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08e6557e007ef6/!ПроектыЛичное/"/>
    </mc:Choice>
  </mc:AlternateContent>
  <xr:revisionPtr revIDLastSave="88" documentId="14_{5F1A3813-1F2C-4604-B057-ECEEE1B1133C}" xr6:coauthVersionLast="47" xr6:coauthVersionMax="47" xr10:uidLastSave="{AD88AF71-60C6-4C79-A3AC-44FC4BA64D0D}"/>
  <bookViews>
    <workbookView xWindow="-120" yWindow="-120" windowWidth="29040" windowHeight="15720" tabRatio="515" activeTab="2" xr2:uid="{056F9F9C-AE5C-4E22-B91C-EF51260B0716}"/>
  </bookViews>
  <sheets>
    <sheet name="Clients" sheetId="3" r:id="rId1"/>
    <sheet name="Orders" sheetId="1" r:id="rId2"/>
    <sheet name="OrderItems" sheetId="2" r:id="rId3"/>
    <sheet name="Итоги" sheetId="9" r:id="rId4"/>
    <sheet name="Доставка" sheetId="6" r:id="rId5"/>
    <sheet name="Маршрут" sheetId="7" r:id="rId6"/>
    <sheet name="Лист1" sheetId="8" r:id="rId7"/>
    <sheet name="ПришлоНепришло" sheetId="10" r:id="rId8"/>
    <sheet name="ПВЗ" sheetId="11" r:id="rId9"/>
  </sheets>
  <definedNames>
    <definedName name="_xlnm._FilterDatabase" localSheetId="4" hidden="1">Доставка!$A$1:$K$890</definedName>
    <definedName name="Клиенты">ТабКлиенты[name]</definedName>
  </definedNames>
  <calcPr calcId="181029" refMode="R1C1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83" i="2" l="1"/>
  <c r="O2182" i="2"/>
  <c r="O2181" i="2"/>
  <c r="O2180" i="2"/>
  <c r="O2179" i="2"/>
  <c r="O2178" i="2"/>
  <c r="O2177" i="2"/>
  <c r="O2176" i="2"/>
  <c r="O2175" i="2"/>
  <c r="O2174" i="2"/>
  <c r="O2173" i="2"/>
  <c r="O2172" i="2"/>
  <c r="P2172" i="2" s="1"/>
  <c r="R2172" i="2" s="1"/>
  <c r="U2172" i="2" s="1"/>
  <c r="O2171" i="2"/>
  <c r="O2170" i="2"/>
  <c r="O2169" i="2"/>
  <c r="O2168" i="2"/>
  <c r="O2167" i="2"/>
  <c r="O2166" i="2"/>
  <c r="O2165" i="2"/>
  <c r="O2164" i="2"/>
  <c r="O2163" i="2"/>
  <c r="K2183" i="2"/>
  <c r="K2182" i="2"/>
  <c r="K2181" i="2"/>
  <c r="K2180" i="2"/>
  <c r="K2179" i="2"/>
  <c r="K2178" i="2"/>
  <c r="K2177" i="2"/>
  <c r="K2176" i="2"/>
  <c r="K2175" i="2"/>
  <c r="K2174" i="2"/>
  <c r="K2173" i="2"/>
  <c r="K2172" i="2"/>
  <c r="K2171" i="2"/>
  <c r="K2170" i="2"/>
  <c r="K2169" i="2"/>
  <c r="K2168" i="2"/>
  <c r="K2167" i="2"/>
  <c r="K2166" i="2"/>
  <c r="K2165" i="2"/>
  <c r="K2164" i="2"/>
  <c r="K2163" i="2"/>
  <c r="D2183" i="2"/>
  <c r="B2183" i="2"/>
  <c r="C2183" i="2" s="1"/>
  <c r="D2182" i="2"/>
  <c r="B2182" i="2"/>
  <c r="C2182" i="2" s="1"/>
  <c r="D2181" i="2"/>
  <c r="B2181" i="2"/>
  <c r="C2181" i="2" s="1"/>
  <c r="D2180" i="2"/>
  <c r="B2180" i="2"/>
  <c r="C2180" i="2" s="1"/>
  <c r="D2179" i="2"/>
  <c r="B2179" i="2"/>
  <c r="C2179" i="2" s="1"/>
  <c r="D2178" i="2"/>
  <c r="B2178" i="2"/>
  <c r="C2178" i="2" s="1"/>
  <c r="D2177" i="2"/>
  <c r="B2177" i="2"/>
  <c r="C2177" i="2" s="1"/>
  <c r="D2176" i="2"/>
  <c r="B2176" i="2"/>
  <c r="C2176" i="2" s="1"/>
  <c r="D2175" i="2"/>
  <c r="B2175" i="2"/>
  <c r="C2175" i="2" s="1"/>
  <c r="D2174" i="2"/>
  <c r="B2174" i="2"/>
  <c r="C2174" i="2" s="1"/>
  <c r="D2173" i="2"/>
  <c r="B2173" i="2"/>
  <c r="C2173" i="2" s="1"/>
  <c r="D2172" i="2"/>
  <c r="B2172" i="2"/>
  <c r="C2172" i="2" s="1"/>
  <c r="D2171" i="2"/>
  <c r="B2171" i="2"/>
  <c r="C2171" i="2" s="1"/>
  <c r="D2170" i="2"/>
  <c r="B2170" i="2"/>
  <c r="C2170" i="2" s="1"/>
  <c r="D2169" i="2"/>
  <c r="B2169" i="2"/>
  <c r="C2169" i="2" s="1"/>
  <c r="D2168" i="2"/>
  <c r="B2168" i="2"/>
  <c r="C2168" i="2" s="1"/>
  <c r="D2167" i="2"/>
  <c r="B2167" i="2"/>
  <c r="C2167" i="2" s="1"/>
  <c r="D2166" i="2"/>
  <c r="B2166" i="2"/>
  <c r="C2166" i="2" s="1"/>
  <c r="D2165" i="2"/>
  <c r="B2165" i="2"/>
  <c r="C2165" i="2" s="1"/>
  <c r="D2164" i="2"/>
  <c r="B2164" i="2"/>
  <c r="C2164" i="2" s="1"/>
  <c r="D2163" i="2"/>
  <c r="B2163" i="2"/>
  <c r="C2163" i="2" s="1"/>
  <c r="M2163" i="2"/>
  <c r="M2164" i="2"/>
  <c r="P2164" i="2" s="1"/>
  <c r="R2164" i="2" s="1"/>
  <c r="U2164" i="2" s="1"/>
  <c r="M2165" i="2"/>
  <c r="M2166" i="2"/>
  <c r="M2167" i="2"/>
  <c r="M2168" i="2"/>
  <c r="M2169" i="2"/>
  <c r="M2170" i="2"/>
  <c r="P2170" i="2" s="1"/>
  <c r="R2170" i="2" s="1"/>
  <c r="U2170" i="2" s="1"/>
  <c r="M2171" i="2"/>
  <c r="M2172" i="2"/>
  <c r="M2173" i="2"/>
  <c r="P2173" i="2" s="1"/>
  <c r="R2173" i="2" s="1"/>
  <c r="U2173" i="2" s="1"/>
  <c r="M2174" i="2"/>
  <c r="P2174" i="2" s="1"/>
  <c r="R2174" i="2" s="1"/>
  <c r="U2174" i="2" s="1"/>
  <c r="M2175" i="2"/>
  <c r="M2176" i="2"/>
  <c r="P2176" i="2" s="1"/>
  <c r="R2176" i="2" s="1"/>
  <c r="U2176" i="2" s="1"/>
  <c r="M2177" i="2"/>
  <c r="M2178" i="2"/>
  <c r="M2179" i="2"/>
  <c r="M2180" i="2"/>
  <c r="P2180" i="2" s="1"/>
  <c r="R2180" i="2" s="1"/>
  <c r="U2180" i="2" s="1"/>
  <c r="M2181" i="2"/>
  <c r="P2181" i="2" s="1"/>
  <c r="R2181" i="2" s="1"/>
  <c r="U2181" i="2" s="1"/>
  <c r="M2182" i="2"/>
  <c r="P2182" i="2" s="1"/>
  <c r="R2182" i="2" s="1"/>
  <c r="U2182" i="2" s="1"/>
  <c r="M2183" i="2"/>
  <c r="K2162" i="2"/>
  <c r="K2161" i="2"/>
  <c r="K2160" i="2"/>
  <c r="K2159" i="2"/>
  <c r="K2158" i="2"/>
  <c r="K2157" i="2"/>
  <c r="K2156" i="2"/>
  <c r="K2155" i="2"/>
  <c r="K2154" i="2"/>
  <c r="K2153" i="2"/>
  <c r="K2152" i="2"/>
  <c r="K2151" i="2"/>
  <c r="K2150" i="2"/>
  <c r="K2149" i="2"/>
  <c r="K2148" i="2"/>
  <c r="K2147" i="2"/>
  <c r="K2146" i="2"/>
  <c r="K2145" i="2"/>
  <c r="K2144" i="2"/>
  <c r="K2143" i="2"/>
  <c r="K2142" i="2"/>
  <c r="K2141" i="2"/>
  <c r="K2140" i="2"/>
  <c r="M2150" i="2"/>
  <c r="M2140" i="2"/>
  <c r="M2141" i="2"/>
  <c r="O2141" i="2" s="1"/>
  <c r="M2142" i="2"/>
  <c r="M2143" i="2"/>
  <c r="M2144" i="2"/>
  <c r="M2145" i="2"/>
  <c r="O2145" i="2" s="1"/>
  <c r="M2146" i="2"/>
  <c r="M2147" i="2"/>
  <c r="M2148" i="2"/>
  <c r="M2149" i="2"/>
  <c r="M2151" i="2"/>
  <c r="O2151" i="2" s="1"/>
  <c r="M2152" i="2"/>
  <c r="M2153" i="2"/>
  <c r="M2154" i="2"/>
  <c r="M2155" i="2"/>
  <c r="M2156" i="2"/>
  <c r="O2156" i="2" s="1"/>
  <c r="M2157" i="2"/>
  <c r="M2158" i="2"/>
  <c r="M2159" i="2"/>
  <c r="M2160" i="2"/>
  <c r="M2161" i="2"/>
  <c r="M2162" i="2"/>
  <c r="I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G752" i="6"/>
  <c r="D650" i="6"/>
  <c r="L2110" i="2"/>
  <c r="D753" i="6"/>
  <c r="D741" i="6"/>
  <c r="D729" i="6"/>
  <c r="G719" i="6"/>
  <c r="G710" i="6"/>
  <c r="G701" i="6"/>
  <c r="G692" i="6"/>
  <c r="G683" i="6"/>
  <c r="G672" i="6"/>
  <c r="G665" i="6"/>
  <c r="G658" i="6"/>
  <c r="G646" i="6"/>
  <c r="E647" i="6"/>
  <c r="E820" i="6"/>
  <c r="D813" i="6"/>
  <c r="G805" i="6"/>
  <c r="G798" i="6"/>
  <c r="E791" i="6"/>
  <c r="E784" i="6"/>
  <c r="D778" i="6"/>
  <c r="G772" i="6"/>
  <c r="G768" i="6"/>
  <c r="G764" i="6"/>
  <c r="G856" i="6"/>
  <c r="G852" i="6"/>
  <c r="G848" i="6"/>
  <c r="G844" i="6"/>
  <c r="G841" i="6"/>
  <c r="G838" i="6"/>
  <c r="G835" i="6"/>
  <c r="G832" i="6"/>
  <c r="G829" i="6"/>
  <c r="G874" i="6"/>
  <c r="G871" i="6"/>
  <c r="G869" i="6"/>
  <c r="G867" i="6"/>
  <c r="G865" i="6"/>
  <c r="G863" i="6"/>
  <c r="G861" i="6"/>
  <c r="G859" i="6"/>
  <c r="G881" i="6"/>
  <c r="G879" i="6"/>
  <c r="G877" i="6"/>
  <c r="G875" i="6"/>
  <c r="G885" i="6"/>
  <c r="G883" i="6"/>
  <c r="G887" i="6"/>
  <c r="G890" i="6"/>
  <c r="D632" i="6"/>
  <c r="D637" i="6"/>
  <c r="D629" i="6"/>
  <c r="D628" i="6"/>
  <c r="A18" i="9"/>
  <c r="A17" i="9"/>
  <c r="C1" i="7"/>
  <c r="C2" i="7"/>
  <c r="C3" i="7"/>
  <c r="C4" i="7"/>
  <c r="C5" i="7"/>
  <c r="C6" i="7"/>
  <c r="C7" i="7"/>
  <c r="C8" i="7"/>
  <c r="C9" i="7"/>
  <c r="J2039" i="2"/>
  <c r="K611" i="6"/>
  <c r="J1982" i="2"/>
  <c r="J1971" i="2"/>
  <c r="N1943" i="2"/>
  <c r="D599" i="6"/>
  <c r="M2012" i="2"/>
  <c r="F531" i="1" s="1"/>
  <c r="E531" i="1" s="1"/>
  <c r="O2012" i="2" s="1"/>
  <c r="K2012" i="2"/>
  <c r="A3" i="1"/>
  <c r="I3" i="1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F5" i="1" s="1"/>
  <c r="E5" i="1" s="1"/>
  <c r="M26" i="2"/>
  <c r="M27" i="2"/>
  <c r="O27" i="2" s="1"/>
  <c r="M28" i="2"/>
  <c r="F7" i="1" s="1"/>
  <c r="E7" i="1" s="1"/>
  <c r="O28" i="2" s="1"/>
  <c r="P28" i="2" s="1"/>
  <c r="H7" i="1" s="1"/>
  <c r="M29" i="2"/>
  <c r="M30" i="2"/>
  <c r="M31" i="2"/>
  <c r="M32" i="2"/>
  <c r="M33" i="2"/>
  <c r="M34" i="2"/>
  <c r="M35" i="2"/>
  <c r="M36" i="2"/>
  <c r="M37" i="2"/>
  <c r="M38" i="2"/>
  <c r="M39" i="2"/>
  <c r="M40" i="2"/>
  <c r="F12" i="1" s="1"/>
  <c r="E12" i="1" s="1"/>
  <c r="M41" i="2"/>
  <c r="M66" i="2"/>
  <c r="M42" i="2"/>
  <c r="M43" i="2"/>
  <c r="M44" i="2"/>
  <c r="F15" i="1" s="1"/>
  <c r="E15" i="1" s="1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O58" i="2" s="1"/>
  <c r="P58" i="2" s="1"/>
  <c r="M59" i="2"/>
  <c r="M60" i="2"/>
  <c r="M61" i="2"/>
  <c r="M62" i="2"/>
  <c r="M63" i="2"/>
  <c r="M64" i="2"/>
  <c r="M65" i="2"/>
  <c r="M67" i="2"/>
  <c r="F22" i="1" s="1"/>
  <c r="E22" i="1" s="1"/>
  <c r="O67" i="2" s="1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F28" i="1" s="1"/>
  <c r="E28" i="1" s="1"/>
  <c r="O85" i="2" s="1"/>
  <c r="M86" i="2"/>
  <c r="O86" i="2" s="1"/>
  <c r="M87" i="2"/>
  <c r="O87" i="2" s="1"/>
  <c r="G30" i="1" s="1"/>
  <c r="M88" i="2"/>
  <c r="O88" i="2" s="1"/>
  <c r="G31" i="1" s="1"/>
  <c r="M89" i="2"/>
  <c r="M90" i="2"/>
  <c r="M91" i="2"/>
  <c r="O91" i="2" s="1"/>
  <c r="P91" i="2" s="1"/>
  <c r="H33" i="1" s="1"/>
  <c r="M92" i="2"/>
  <c r="O92" i="2" s="1"/>
  <c r="M93" i="2"/>
  <c r="M94" i="2"/>
  <c r="F37" i="1" s="1"/>
  <c r="E37" i="1" s="1"/>
  <c r="O94" i="2" s="1"/>
  <c r="M95" i="2"/>
  <c r="F38" i="1" s="1"/>
  <c r="E38" i="1" s="1"/>
  <c r="M96" i="2"/>
  <c r="O96" i="2" s="1"/>
  <c r="P96" i="2" s="1"/>
  <c r="R96" i="2" s="1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O136" i="2" s="1"/>
  <c r="M137" i="2"/>
  <c r="F46" i="1" s="1"/>
  <c r="E46" i="1" s="1"/>
  <c r="O137" i="2" s="1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F52" i="1" s="1"/>
  <c r="E52" i="1" s="1"/>
  <c r="O157" i="2" s="1"/>
  <c r="P157" i="2" s="1"/>
  <c r="R157" i="2" s="1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O198" i="2" s="1"/>
  <c r="P198" i="2" s="1"/>
  <c r="R198" i="2" s="1"/>
  <c r="M199" i="2"/>
  <c r="M200" i="2"/>
  <c r="M201" i="2"/>
  <c r="M202" i="2"/>
  <c r="M203" i="2"/>
  <c r="M204" i="2"/>
  <c r="M205" i="2"/>
  <c r="M206" i="2"/>
  <c r="M207" i="2"/>
  <c r="M208" i="2"/>
  <c r="F62" i="1" s="1"/>
  <c r="E62" i="1" s="1"/>
  <c r="M209" i="2"/>
  <c r="M210" i="2"/>
  <c r="M211" i="2"/>
  <c r="F66" i="1" s="1"/>
  <c r="E66" i="1" s="1"/>
  <c r="O209" i="2" s="1"/>
  <c r="P209" i="2" s="1"/>
  <c r="R209" i="2" s="1"/>
  <c r="M212" i="2"/>
  <c r="M213" i="2"/>
  <c r="M214" i="2"/>
  <c r="M215" i="2"/>
  <c r="M216" i="2"/>
  <c r="M217" i="2"/>
  <c r="O216" i="2" s="1"/>
  <c r="P216" i="2" s="1"/>
  <c r="R216" i="2" s="1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O257" i="2" s="1"/>
  <c r="P257" i="2" s="1"/>
  <c r="R257" i="2" s="1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F85" i="1" s="1"/>
  <c r="E85" i="1" s="1"/>
  <c r="O292" i="2" s="1"/>
  <c r="M293" i="2"/>
  <c r="O293" i="2" s="1"/>
  <c r="P293" i="2" s="1"/>
  <c r="R293" i="2" s="1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F91" i="1" s="1"/>
  <c r="E91" i="1" s="1"/>
  <c r="O309" i="2" s="1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O325" i="2" s="1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F99" i="1" s="1"/>
  <c r="E99" i="1" s="1"/>
  <c r="O356" i="2" s="1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O390" i="2" s="1"/>
  <c r="G108" i="1" s="1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F112" i="1" s="1"/>
  <c r="E112" i="1" s="1"/>
  <c r="O408" i="2" s="1"/>
  <c r="P408" i="2" s="1"/>
  <c r="R408" i="2" s="1"/>
  <c r="M410" i="2"/>
  <c r="F113" i="1" s="1"/>
  <c r="E113" i="1" s="1"/>
  <c r="O410" i="2" s="1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L443" i="2"/>
  <c r="M443" i="2" s="1"/>
  <c r="M444" i="2"/>
  <c r="M445" i="2"/>
  <c r="M446" i="2"/>
  <c r="M447" i="2"/>
  <c r="F118" i="1" s="1"/>
  <c r="E118" i="1" s="1"/>
  <c r="O447" i="2" s="1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O465" i="2" s="1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F127" i="1" s="1"/>
  <c r="E127" i="1" s="1"/>
  <c r="O494" i="2" s="1"/>
  <c r="P494" i="2" s="1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F131" i="1" s="1"/>
  <c r="E131" i="1" s="1"/>
  <c r="O507" i="2" s="1"/>
  <c r="P507" i="2" s="1"/>
  <c r="M508" i="2"/>
  <c r="M509" i="2"/>
  <c r="L510" i="2"/>
  <c r="M510" i="2" s="1"/>
  <c r="F134" i="1" s="1"/>
  <c r="E134" i="1" s="1"/>
  <c r="O510" i="2" s="1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O526" i="2" s="1"/>
  <c r="M527" i="2"/>
  <c r="M528" i="2"/>
  <c r="M529" i="2"/>
  <c r="M530" i="2"/>
  <c r="M531" i="2"/>
  <c r="M532" i="2"/>
  <c r="F144" i="1" s="1"/>
  <c r="E144" i="1" s="1"/>
  <c r="O532" i="2" s="1"/>
  <c r="P532" i="2" s="1"/>
  <c r="M533" i="2"/>
  <c r="M534" i="2"/>
  <c r="M535" i="2"/>
  <c r="M536" i="2"/>
  <c r="M537" i="2"/>
  <c r="M538" i="2"/>
  <c r="M539" i="2"/>
  <c r="M540" i="2"/>
  <c r="M541" i="2"/>
  <c r="M542" i="2"/>
  <c r="M543" i="2"/>
  <c r="M544" i="2"/>
  <c r="O544" i="2" s="1"/>
  <c r="P544" i="2" s="1"/>
  <c r="R544" i="2" s="1"/>
  <c r="M545" i="2"/>
  <c r="M546" i="2"/>
  <c r="M547" i="2"/>
  <c r="F152" i="1" s="1"/>
  <c r="E152" i="1" s="1"/>
  <c r="M548" i="2"/>
  <c r="M549" i="2"/>
  <c r="M550" i="2"/>
  <c r="M551" i="2"/>
  <c r="M552" i="2"/>
  <c r="M553" i="2"/>
  <c r="M554" i="2"/>
  <c r="M555" i="2"/>
  <c r="M556" i="2"/>
  <c r="M557" i="2"/>
  <c r="O557" i="2" s="1"/>
  <c r="P557" i="2" s="1"/>
  <c r="R557" i="2" s="1"/>
  <c r="M558" i="2"/>
  <c r="M559" i="2"/>
  <c r="M560" i="2"/>
  <c r="M562" i="2"/>
  <c r="M563" i="2"/>
  <c r="M564" i="2"/>
  <c r="M565" i="2"/>
  <c r="M566" i="2"/>
  <c r="M567" i="2"/>
  <c r="F157" i="1" s="1"/>
  <c r="E157" i="1" s="1"/>
  <c r="O567" i="2" s="1"/>
  <c r="P567" i="2" s="1"/>
  <c r="H157" i="1" s="1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O616" i="2" s="1"/>
  <c r="M617" i="2"/>
  <c r="O617" i="2" s="1"/>
  <c r="G169" i="1" s="1"/>
  <c r="M618" i="2"/>
  <c r="M619" i="2"/>
  <c r="M620" i="2"/>
  <c r="M621" i="2"/>
  <c r="M622" i="2"/>
  <c r="M623" i="2"/>
  <c r="M624" i="2"/>
  <c r="M625" i="2"/>
  <c r="M626" i="2"/>
  <c r="M627" i="2"/>
  <c r="M628" i="2"/>
  <c r="M629" i="2"/>
  <c r="F174" i="1" s="1"/>
  <c r="E174" i="1" s="1"/>
  <c r="O629" i="2" s="1"/>
  <c r="L630" i="2"/>
  <c r="M630" i="2" s="1"/>
  <c r="F175" i="1" s="1"/>
  <c r="E175" i="1" s="1"/>
  <c r="O630" i="2" s="1"/>
  <c r="M631" i="2"/>
  <c r="M632" i="2"/>
  <c r="M633" i="2"/>
  <c r="M634" i="2"/>
  <c r="M635" i="2"/>
  <c r="M636" i="2"/>
  <c r="M637" i="2"/>
  <c r="M638" i="2"/>
  <c r="O638" i="2" s="1"/>
  <c r="P638" i="2" s="1"/>
  <c r="M639" i="2"/>
  <c r="M640" i="2"/>
  <c r="M641" i="2"/>
  <c r="M642" i="2"/>
  <c r="M643" i="2"/>
  <c r="M644" i="2"/>
  <c r="F180" i="1" s="1"/>
  <c r="E180" i="1" s="1"/>
  <c r="O644" i="2" s="1"/>
  <c r="G180" i="1" s="1"/>
  <c r="M645" i="2"/>
  <c r="O645" i="2" s="1"/>
  <c r="P645" i="2" s="1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O680" i="2" s="1"/>
  <c r="P680" i="2" s="1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L703" i="2"/>
  <c r="M703" i="2"/>
  <c r="F195" i="1" s="1"/>
  <c r="E195" i="1" s="1"/>
  <c r="O703" i="2" s="1"/>
  <c r="P703" i="2" s="1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F201" i="1" s="1"/>
  <c r="E201" i="1" s="1"/>
  <c r="O717" i="2" s="1"/>
  <c r="P717" i="2" s="1"/>
  <c r="R717" i="2" s="1"/>
  <c r="M718" i="2"/>
  <c r="F202" i="1" s="1"/>
  <c r="E202" i="1" s="1"/>
  <c r="O718" i="2" s="1"/>
  <c r="G202" i="1" s="1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F207" i="1" s="1"/>
  <c r="E207" i="1" s="1"/>
  <c r="O732" i="2" s="1"/>
  <c r="M733" i="2"/>
  <c r="M734" i="2"/>
  <c r="M735" i="2"/>
  <c r="M736" i="2"/>
  <c r="M737" i="2"/>
  <c r="M738" i="2"/>
  <c r="F210" i="1" s="1"/>
  <c r="E210" i="1" s="1"/>
  <c r="O738" i="2" s="1"/>
  <c r="G210" i="1" s="1"/>
  <c r="M739" i="2"/>
  <c r="M740" i="2"/>
  <c r="M741" i="2"/>
  <c r="M742" i="2"/>
  <c r="O742" i="2" s="1"/>
  <c r="P742" i="2" s="1"/>
  <c r="M743" i="2"/>
  <c r="M744" i="2"/>
  <c r="F215" i="1" s="1"/>
  <c r="E215" i="1" s="1"/>
  <c r="O744" i="2" s="1"/>
  <c r="G215" i="1" s="1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F228" i="1" s="1"/>
  <c r="E228" i="1" s="1"/>
  <c r="O775" i="2" s="1"/>
  <c r="P775" i="2" s="1"/>
  <c r="R775" i="2" s="1"/>
  <c r="M776" i="2"/>
  <c r="F221" i="1" s="1"/>
  <c r="M777" i="2"/>
  <c r="F222" i="1" s="1"/>
  <c r="E222" i="1" s="1"/>
  <c r="O777" i="2" s="1"/>
  <c r="P777" i="2" s="1"/>
  <c r="M778" i="2"/>
  <c r="M779" i="2"/>
  <c r="M780" i="2"/>
  <c r="M781" i="2"/>
  <c r="M782" i="2"/>
  <c r="O782" i="2" s="1"/>
  <c r="P782" i="2" s="1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O814" i="2" s="1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F239" i="1" s="1"/>
  <c r="E239" i="1" s="1"/>
  <c r="O840" i="2" s="1"/>
  <c r="G239" i="1" s="1"/>
  <c r="M841" i="2"/>
  <c r="M842" i="2"/>
  <c r="F241" i="1" s="1"/>
  <c r="E241" i="1" s="1"/>
  <c r="O842" i="2" s="1"/>
  <c r="G241" i="1" s="1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N861" i="2" s="1"/>
  <c r="M862" i="2"/>
  <c r="N862" i="2" s="1"/>
  <c r="M863" i="2"/>
  <c r="M864" i="2"/>
  <c r="M865" i="2"/>
  <c r="M866" i="2"/>
  <c r="M867" i="2"/>
  <c r="M868" i="2"/>
  <c r="M869" i="2"/>
  <c r="M870" i="2"/>
  <c r="M871" i="2"/>
  <c r="M872" i="2"/>
  <c r="O872" i="2" s="1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O893" i="2" s="1"/>
  <c r="P893" i="2" s="1"/>
  <c r="R893" i="2" s="1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F258" i="1" s="1"/>
  <c r="E258" i="1" s="1"/>
  <c r="O907" i="2" s="1"/>
  <c r="M908" i="2"/>
  <c r="M909" i="2"/>
  <c r="M910" i="2"/>
  <c r="M911" i="2"/>
  <c r="M912" i="2"/>
  <c r="F259" i="1" s="1"/>
  <c r="E259" i="1" s="1"/>
  <c r="M913" i="2"/>
  <c r="M914" i="2"/>
  <c r="F233" i="1" s="1"/>
  <c r="E233" i="1" s="1"/>
  <c r="O914" i="2" s="1"/>
  <c r="M915" i="2"/>
  <c r="L916" i="2"/>
  <c r="M916" i="2" s="1"/>
  <c r="F260" i="1" s="1"/>
  <c r="E260" i="1" s="1"/>
  <c r="O916" i="2" s="1"/>
  <c r="M917" i="2"/>
  <c r="F261" i="1" s="1"/>
  <c r="E261" i="1" s="1"/>
  <c r="O917" i="2" s="1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F265" i="1" s="1"/>
  <c r="E265" i="1" s="1"/>
  <c r="O930" i="2" s="1"/>
  <c r="M931" i="2"/>
  <c r="O931" i="2" s="1"/>
  <c r="L932" i="2"/>
  <c r="M932" i="2" s="1"/>
  <c r="M933" i="2"/>
  <c r="L934" i="2"/>
  <c r="M934" i="2" s="1"/>
  <c r="F270" i="1" s="1"/>
  <c r="E270" i="1" s="1"/>
  <c r="O934" i="2" s="1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L997" i="2"/>
  <c r="M997" i="2"/>
  <c r="F276" i="1" s="1"/>
  <c r="E276" i="1" s="1"/>
  <c r="O997" i="2" s="1"/>
  <c r="G276" i="1" s="1"/>
  <c r="M998" i="2"/>
  <c r="F277" i="1" s="1"/>
  <c r="E277" i="1" s="1"/>
  <c r="O998" i="2" s="1"/>
  <c r="P998" i="2" s="1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L1031" i="2"/>
  <c r="M1031" i="2" s="1"/>
  <c r="M1032" i="2"/>
  <c r="M1033" i="2"/>
  <c r="M1034" i="2"/>
  <c r="M1035" i="2"/>
  <c r="F285" i="1" s="1"/>
  <c r="E285" i="1" s="1"/>
  <c r="O1035" i="2" s="1"/>
  <c r="P1035" i="2" s="1"/>
  <c r="R1035" i="2" s="1"/>
  <c r="M1036" i="2"/>
  <c r="F286" i="1" s="1"/>
  <c r="E286" i="1" s="1"/>
  <c r="O1036" i="2" s="1"/>
  <c r="M1037" i="2"/>
  <c r="M1038" i="2"/>
  <c r="O1038" i="2" s="1"/>
  <c r="M1039" i="2"/>
  <c r="F289" i="1" s="1"/>
  <c r="E289" i="1" s="1"/>
  <c r="O1039" i="2" s="1"/>
  <c r="G289" i="1" s="1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O1052" i="2" s="1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L1082" i="2"/>
  <c r="M1082" i="2" s="1"/>
  <c r="F297" i="1" s="1"/>
  <c r="E297" i="1" s="1"/>
  <c r="O1082" i="2" s="1"/>
  <c r="G297" i="1" s="1"/>
  <c r="M1083" i="2"/>
  <c r="F298" i="1" s="1"/>
  <c r="E298" i="1" s="1"/>
  <c r="O1083" i="2" s="1"/>
  <c r="P1083" i="2" s="1"/>
  <c r="L1084" i="2"/>
  <c r="M1084" i="2"/>
  <c r="F299" i="1" s="1"/>
  <c r="E299" i="1" s="1"/>
  <c r="O1084" i="2" s="1"/>
  <c r="G299" i="1" s="1"/>
  <c r="M1085" i="2"/>
  <c r="M1086" i="2"/>
  <c r="M1087" i="2"/>
  <c r="M1088" i="2"/>
  <c r="M1089" i="2"/>
  <c r="M1090" i="2"/>
  <c r="O1090" i="2" s="1"/>
  <c r="G301" i="1" s="1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O1137" i="2" s="1"/>
  <c r="P1137" i="2" s="1"/>
  <c r="R1137" i="2" s="1"/>
  <c r="M1138" i="2"/>
  <c r="O1138" i="2" s="1"/>
  <c r="M1139" i="2"/>
  <c r="F310" i="1" s="1"/>
  <c r="E310" i="1" s="1"/>
  <c r="O1139" i="2" s="1"/>
  <c r="P1139" i="2" s="1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F322" i="1" s="1"/>
  <c r="E322" i="1" s="1"/>
  <c r="O1187" i="2" s="1"/>
  <c r="P1187" i="2" s="1"/>
  <c r="M1188" i="2"/>
  <c r="M1189" i="2"/>
  <c r="M1190" i="2"/>
  <c r="M1191" i="2"/>
  <c r="M1192" i="2"/>
  <c r="M1193" i="2"/>
  <c r="M1194" i="2"/>
  <c r="M1195" i="2"/>
  <c r="M1196" i="2"/>
  <c r="M1197" i="2"/>
  <c r="M1198" i="2"/>
  <c r="O1198" i="2" s="1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F329" i="1" s="1"/>
  <c r="E329" i="1" s="1"/>
  <c r="O1216" i="2" s="1"/>
  <c r="G329" i="1" s="1"/>
  <c r="M1217" i="2"/>
  <c r="L1218" i="2"/>
  <c r="M1218" i="2" s="1"/>
  <c r="L1219" i="2"/>
  <c r="M1219" i="2" s="1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F341" i="1" s="1"/>
  <c r="E341" i="1" s="1"/>
  <c r="O1271" i="2" s="1"/>
  <c r="P1271" i="2" s="1"/>
  <c r="M1272" i="2"/>
  <c r="M1273" i="2"/>
  <c r="M1274" i="2"/>
  <c r="F340" i="1" s="1"/>
  <c r="E340" i="1" s="1"/>
  <c r="O1274" i="2" s="1"/>
  <c r="M1275" i="2"/>
  <c r="M1276" i="2"/>
  <c r="O1276" i="2" s="1"/>
  <c r="M1277" i="2"/>
  <c r="O1277" i="2" s="1"/>
  <c r="M1278" i="2"/>
  <c r="O1278" i="2" s="1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O1296" i="2" s="1"/>
  <c r="P1296" i="2" s="1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F352" i="1" s="1"/>
  <c r="E352" i="1" s="1"/>
  <c r="O1308" i="2" s="1"/>
  <c r="M1309" i="2"/>
  <c r="M1310" i="2"/>
  <c r="M1311" i="2"/>
  <c r="O1311" i="2" s="1"/>
  <c r="P1311" i="2" s="1"/>
  <c r="M1312" i="2"/>
  <c r="M1313" i="2"/>
  <c r="F355" i="1" s="1"/>
  <c r="E355" i="1" s="1"/>
  <c r="O1313" i="2" s="1"/>
  <c r="P1313" i="2" s="1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F362" i="1" s="1"/>
  <c r="E362" i="1" s="1"/>
  <c r="O1351" i="2" s="1"/>
  <c r="G362" i="1" s="1"/>
  <c r="M1352" i="2"/>
  <c r="O1352" i="2" s="1"/>
  <c r="M1353" i="2"/>
  <c r="F364" i="1" s="1"/>
  <c r="E364" i="1" s="1"/>
  <c r="O1353" i="2" s="1"/>
  <c r="P1353" i="2" s="1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F372" i="1" s="1"/>
  <c r="E372" i="1" s="1"/>
  <c r="O1405" i="2" s="1"/>
  <c r="M1406" i="2"/>
  <c r="M1407" i="2"/>
  <c r="F374" i="1" s="1"/>
  <c r="E374" i="1" s="1"/>
  <c r="O1407" i="2" s="1"/>
  <c r="P1407" i="2" s="1"/>
  <c r="H374" i="1" s="1"/>
  <c r="M1408" i="2"/>
  <c r="F375" i="1" s="1"/>
  <c r="E375" i="1" s="1"/>
  <c r="O1408" i="2" s="1"/>
  <c r="M1409" i="2"/>
  <c r="M1410" i="2"/>
  <c r="M1411" i="2"/>
  <c r="O1411" i="2" s="1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O1482" i="2" s="1"/>
  <c r="M1483" i="2"/>
  <c r="F388" i="1" s="1"/>
  <c r="E388" i="1" s="1"/>
  <c r="O1483" i="2" s="1"/>
  <c r="M1484" i="2"/>
  <c r="M1485" i="2"/>
  <c r="M1486" i="2"/>
  <c r="M1487" i="2"/>
  <c r="O1487" i="2" s="1"/>
  <c r="M1488" i="2"/>
  <c r="O1488" i="2" s="1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F395" i="1" s="1"/>
  <c r="E395" i="1" s="1"/>
  <c r="O1501" i="2" s="1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O1519" i="2" s="1"/>
  <c r="G399" i="1" s="1"/>
  <c r="M1520" i="2"/>
  <c r="M1521" i="2"/>
  <c r="F401" i="1" s="1"/>
  <c r="E401" i="1" s="1"/>
  <c r="O1521" i="2" s="1"/>
  <c r="P1521" i="2" s="1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F406" i="1" s="1"/>
  <c r="M1534" i="2"/>
  <c r="M1535" i="2"/>
  <c r="M1536" i="2"/>
  <c r="M1537" i="2"/>
  <c r="M1538" i="2"/>
  <c r="M1539" i="2"/>
  <c r="M1540" i="2"/>
  <c r="M1541" i="2"/>
  <c r="M1542" i="2"/>
  <c r="M1543" i="2"/>
  <c r="F408" i="1" s="1"/>
  <c r="E408" i="1" s="1"/>
  <c r="O1543" i="2" s="1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O1565" i="2" s="1"/>
  <c r="M1566" i="2"/>
  <c r="M1567" i="2"/>
  <c r="M1568" i="2"/>
  <c r="M1569" i="2"/>
  <c r="O1569" i="2" s="1"/>
  <c r="M1570" i="2"/>
  <c r="O1570" i="2" s="1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O1605" i="2" s="1"/>
  <c r="M1606" i="2"/>
  <c r="M1607" i="2"/>
  <c r="F425" i="1" s="1"/>
  <c r="E425" i="1" s="1"/>
  <c r="O1607" i="2" s="1"/>
  <c r="P1607" i="2" s="1"/>
  <c r="R1607" i="2" s="1"/>
  <c r="M1608" i="2"/>
  <c r="M1609" i="2"/>
  <c r="F428" i="1" s="1"/>
  <c r="E428" i="1" s="1"/>
  <c r="O1609" i="2" s="1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F435" i="1" s="1"/>
  <c r="E435" i="1" s="1"/>
  <c r="O1647" i="2" s="1"/>
  <c r="P1647" i="2" s="1"/>
  <c r="R1647" i="2" s="1"/>
  <c r="U1647" i="2" s="1"/>
  <c r="M1648" i="2"/>
  <c r="M1649" i="2"/>
  <c r="F437" i="1" s="1"/>
  <c r="E437" i="1" s="1"/>
  <c r="O1649" i="2" s="1"/>
  <c r="M1650" i="2"/>
  <c r="M1651" i="2"/>
  <c r="F439" i="1" s="1"/>
  <c r="E439" i="1" s="1"/>
  <c r="O1651" i="2" s="1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F443" i="1" s="1"/>
  <c r="E443" i="1" s="1"/>
  <c r="O1669" i="2" s="1"/>
  <c r="P1669" i="2" s="1"/>
  <c r="R1669" i="2" s="1"/>
  <c r="U1669" i="2" s="1"/>
  <c r="M1670" i="2"/>
  <c r="M1671" i="2"/>
  <c r="F444" i="1" s="1"/>
  <c r="E444" i="1" s="1"/>
  <c r="O1671" i="2" s="1"/>
  <c r="P1671" i="2" s="1"/>
  <c r="M1672" i="2"/>
  <c r="M1673" i="2"/>
  <c r="P1673" i="2" s="1"/>
  <c r="M1674" i="2"/>
  <c r="O1674" i="2" s="1"/>
  <c r="M1675" i="2"/>
  <c r="F447" i="1" s="1"/>
  <c r="E447" i="1" s="1"/>
  <c r="O1675" i="2" s="1"/>
  <c r="P1675" i="2" s="1"/>
  <c r="R1675" i="2" s="1"/>
  <c r="U1675" i="2" s="1"/>
  <c r="M1676" i="2"/>
  <c r="O1676" i="2" s="1"/>
  <c r="P1676" i="2" s="1"/>
  <c r="M1677" i="2"/>
  <c r="F449" i="1" s="1"/>
  <c r="E449" i="1" s="1"/>
  <c r="O1677" i="2" s="1"/>
  <c r="G449" i="1" s="1"/>
  <c r="M1678" i="2"/>
  <c r="M1679" i="2"/>
  <c r="M1680" i="2"/>
  <c r="M1681" i="2"/>
  <c r="F452" i="1" s="1"/>
  <c r="E452" i="1" s="1"/>
  <c r="O1681" i="2" s="1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F455" i="1" s="1"/>
  <c r="E455" i="1" s="1"/>
  <c r="O1701" i="2" s="1"/>
  <c r="P1701" i="2" s="1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F459" i="1" s="1"/>
  <c r="E459" i="1" s="1"/>
  <c r="O1713" i="2" s="1"/>
  <c r="M1714" i="2"/>
  <c r="O1714" i="2" s="1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F450" i="1" s="1"/>
  <c r="E450" i="1" s="1"/>
  <c r="O1728" i="2" s="1"/>
  <c r="P1728" i="2" s="1"/>
  <c r="H450" i="1" s="1"/>
  <c r="M1729" i="2"/>
  <c r="F462" i="1" s="1"/>
  <c r="E462" i="1" s="1"/>
  <c r="O1729" i="2" s="1"/>
  <c r="M1730" i="2"/>
  <c r="M1731" i="2"/>
  <c r="M1732" i="2"/>
  <c r="M1733" i="2"/>
  <c r="M1734" i="2"/>
  <c r="M1735" i="2"/>
  <c r="M1736" i="2"/>
  <c r="M1737" i="2"/>
  <c r="M1738" i="2"/>
  <c r="M1739" i="2"/>
  <c r="M1740" i="2"/>
  <c r="F464" i="1" s="1"/>
  <c r="E464" i="1" s="1"/>
  <c r="O1740" i="2" s="1"/>
  <c r="P1740" i="2" s="1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F469" i="1" s="1"/>
  <c r="E469" i="1" s="1"/>
  <c r="O1769" i="2" s="1"/>
  <c r="M1770" i="2"/>
  <c r="M1771" i="2"/>
  <c r="M1772" i="2"/>
  <c r="M1773" i="2"/>
  <c r="P1773" i="2" s="1"/>
  <c r="M1774" i="2"/>
  <c r="M1775" i="2"/>
  <c r="L1776" i="2"/>
  <c r="M1776" i="2" s="1"/>
  <c r="F473" i="1" s="1"/>
  <c r="E473" i="1" s="1"/>
  <c r="O1776" i="2" s="1"/>
  <c r="G473" i="1" s="1"/>
  <c r="M1777" i="2"/>
  <c r="M1778" i="2"/>
  <c r="M1779" i="2"/>
  <c r="M1780" i="2"/>
  <c r="M1781" i="2"/>
  <c r="M1782" i="2"/>
  <c r="M1783" i="2"/>
  <c r="F474" i="1" s="1"/>
  <c r="E474" i="1" s="1"/>
  <c r="O1783" i="2" s="1"/>
  <c r="G474" i="1" s="1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O1832" i="2" s="1"/>
  <c r="M1833" i="2"/>
  <c r="O1833" i="2" s="1"/>
  <c r="M1834" i="2"/>
  <c r="F486" i="1" s="1"/>
  <c r="E486" i="1" s="1"/>
  <c r="O1834" i="2" s="1"/>
  <c r="P1834" i="2" s="1"/>
  <c r="M1835" i="2"/>
  <c r="O1835" i="2" s="1"/>
  <c r="M1836" i="2"/>
  <c r="O1836" i="2" s="1"/>
  <c r="P1836" i="2" s="1"/>
  <c r="R1836" i="2" s="1"/>
  <c r="U1836" i="2" s="1"/>
  <c r="M1837" i="2"/>
  <c r="F489" i="1" s="1"/>
  <c r="E489" i="1" s="1"/>
  <c r="O1837" i="2" s="1"/>
  <c r="M1838" i="2"/>
  <c r="O1838" i="2" s="1"/>
  <c r="P1838" i="2" s="1"/>
  <c r="M1839" i="2"/>
  <c r="M1840" i="2"/>
  <c r="M1841" i="2"/>
  <c r="O1841" i="2" s="1"/>
  <c r="G482" i="1" s="1"/>
  <c r="M1842" i="2"/>
  <c r="F483" i="1" s="1"/>
  <c r="E483" i="1" s="1"/>
  <c r="O1842" i="2" s="1"/>
  <c r="G483" i="1" s="1"/>
  <c r="M1843" i="2"/>
  <c r="O1843" i="2" s="1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P1862" i="2" s="1"/>
  <c r="R1862" i="2" s="1"/>
  <c r="U1862" i="2" s="1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O1885" i="2" s="1"/>
  <c r="M1886" i="2"/>
  <c r="F498" i="1" s="1"/>
  <c r="E498" i="1" s="1"/>
  <c r="O1886" i="2" s="1"/>
  <c r="P1886" i="2" s="1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F502" i="1" s="1"/>
  <c r="E502" i="1" s="1"/>
  <c r="O1907" i="2" s="1"/>
  <c r="G502" i="1" s="1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F506" i="1" s="1"/>
  <c r="E506" i="1" s="1"/>
  <c r="O1923" i="2" s="1"/>
  <c r="M1924" i="2"/>
  <c r="F507" i="1" s="1"/>
  <c r="E507" i="1" s="1"/>
  <c r="O1924" i="2" s="1"/>
  <c r="P1924" i="2" s="1"/>
  <c r="R1924" i="2" s="1"/>
  <c r="U1924" i="2" s="1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F509" i="1" s="1"/>
  <c r="E509" i="1" s="1"/>
  <c r="O1938" i="2" s="1"/>
  <c r="M1939" i="2"/>
  <c r="M1940" i="2"/>
  <c r="M1941" i="2"/>
  <c r="M1942" i="2"/>
  <c r="M1943" i="2"/>
  <c r="M1944" i="2"/>
  <c r="M1945" i="2"/>
  <c r="F512" i="1" s="1"/>
  <c r="E512" i="1" s="1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F515" i="1" s="1"/>
  <c r="E515" i="1" s="1"/>
  <c r="O1979" i="2" s="1"/>
  <c r="P1979" i="2" s="1"/>
  <c r="R1979" i="2" s="1"/>
  <c r="U1979" i="2" s="1"/>
  <c r="M1968" i="2"/>
  <c r="M1969" i="2"/>
  <c r="M1970" i="2"/>
  <c r="M1971" i="2"/>
  <c r="F516" i="1" s="1"/>
  <c r="E516" i="1" s="1"/>
  <c r="O1971" i="2" s="1"/>
  <c r="M1972" i="2"/>
  <c r="M1973" i="2"/>
  <c r="O1973" i="2" s="1"/>
  <c r="G518" i="1" s="1"/>
  <c r="M1974" i="2"/>
  <c r="M1975" i="2"/>
  <c r="M1976" i="2"/>
  <c r="M1977" i="2"/>
  <c r="M1978" i="2"/>
  <c r="M1979" i="2"/>
  <c r="M1980" i="2"/>
  <c r="M1981" i="2"/>
  <c r="F523" i="1" s="1"/>
  <c r="E523" i="1" s="1"/>
  <c r="O1981" i="2" s="1"/>
  <c r="P1981" i="2" s="1"/>
  <c r="M1982" i="2"/>
  <c r="F524" i="1" s="1"/>
  <c r="E524" i="1" s="1"/>
  <c r="O1982" i="2" s="1"/>
  <c r="P1982" i="2" s="1"/>
  <c r="R1982" i="2" s="1"/>
  <c r="U1982" i="2" s="1"/>
  <c r="M1983" i="2"/>
  <c r="F525" i="1" s="1"/>
  <c r="E525" i="1" s="1"/>
  <c r="O1983" i="2" s="1"/>
  <c r="G525" i="1" s="1"/>
  <c r="M1984" i="2"/>
  <c r="M1985" i="2"/>
  <c r="M1986" i="2"/>
  <c r="M1987" i="2"/>
  <c r="M1988" i="2"/>
  <c r="F527" i="1" s="1"/>
  <c r="E527" i="1" s="1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F533" i="1" s="1"/>
  <c r="E533" i="1" s="1"/>
  <c r="O2033" i="2" s="1"/>
  <c r="M2034" i="2"/>
  <c r="F534" i="1" s="1"/>
  <c r="E534" i="1" s="1"/>
  <c r="O2034" i="2" s="1"/>
  <c r="G534" i="1" s="1"/>
  <c r="M2035" i="2"/>
  <c r="M2036" i="2"/>
  <c r="M2037" i="2"/>
  <c r="O2037" i="2" s="1"/>
  <c r="M2038" i="2"/>
  <c r="F536" i="1" s="1"/>
  <c r="E536" i="1" s="1"/>
  <c r="O2038" i="2" s="1"/>
  <c r="M2039" i="2"/>
  <c r="M2040" i="2"/>
  <c r="F538" i="1" s="1"/>
  <c r="E538" i="1" s="1"/>
  <c r="O2040" i="2" s="1"/>
  <c r="G538" i="1" s="1"/>
  <c r="M2041" i="2"/>
  <c r="P2041" i="2" s="1"/>
  <c r="R2041" i="2" s="1"/>
  <c r="U2041" i="2" s="1"/>
  <c r="M2042" i="2"/>
  <c r="F539" i="1" s="1"/>
  <c r="E539" i="1" s="1"/>
  <c r="O2042" i="2" s="1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F541" i="1" s="1"/>
  <c r="E541" i="1" s="1"/>
  <c r="O2058" i="2" s="1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F547" i="1" s="1"/>
  <c r="E547" i="1" s="1"/>
  <c r="O2088" i="2" s="1"/>
  <c r="G547" i="1" s="1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O2104" i="2" s="1"/>
  <c r="M2105" i="2"/>
  <c r="M2106" i="2"/>
  <c r="O2106" i="2" s="1"/>
  <c r="P2106" i="2" s="1"/>
  <c r="M2107" i="2"/>
  <c r="M2108" i="2"/>
  <c r="M2109" i="2"/>
  <c r="M2110" i="2"/>
  <c r="F558" i="1" s="1"/>
  <c r="E558" i="1" s="1"/>
  <c r="O2110" i="2" s="1"/>
  <c r="M2111" i="2"/>
  <c r="M2112" i="2"/>
  <c r="F560" i="1" s="1"/>
  <c r="E560" i="1" s="1"/>
  <c r="M2113" i="2"/>
  <c r="O2113" i="2" s="1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F565" i="1" s="1"/>
  <c r="E565" i="1" s="1"/>
  <c r="O2132" i="2" s="1"/>
  <c r="P2132" i="2" s="1"/>
  <c r="M2133" i="2"/>
  <c r="M2134" i="2"/>
  <c r="M2135" i="2"/>
  <c r="M2136" i="2"/>
  <c r="M2137" i="2"/>
  <c r="M2138" i="2"/>
  <c r="M2139" i="2"/>
  <c r="N342" i="2"/>
  <c r="N343" i="2"/>
  <c r="N2184" i="2" s="1"/>
  <c r="N344" i="2"/>
  <c r="N345" i="2"/>
  <c r="N346" i="2"/>
  <c r="N644" i="2"/>
  <c r="N907" i="2"/>
  <c r="N930" i="2"/>
  <c r="N1609" i="2"/>
  <c r="K2011" i="2"/>
  <c r="K2010" i="2"/>
  <c r="K2009" i="2"/>
  <c r="K2008" i="2"/>
  <c r="K2007" i="2"/>
  <c r="K2006" i="2"/>
  <c r="K2005" i="2"/>
  <c r="K2004" i="2"/>
  <c r="K2003" i="2"/>
  <c r="K2002" i="2"/>
  <c r="K2001" i="2"/>
  <c r="K2000" i="2"/>
  <c r="K1999" i="2"/>
  <c r="K1998" i="2"/>
  <c r="K1997" i="2"/>
  <c r="K1996" i="2"/>
  <c r="K1995" i="2"/>
  <c r="K1994" i="2"/>
  <c r="K1993" i="2"/>
  <c r="K1992" i="2"/>
  <c r="K1991" i="2"/>
  <c r="K1990" i="2"/>
  <c r="K1989" i="2"/>
  <c r="K1988" i="2"/>
  <c r="K1987" i="2"/>
  <c r="K1986" i="2"/>
  <c r="K1985" i="2"/>
  <c r="K1984" i="2"/>
  <c r="K1983" i="2"/>
  <c r="K1982" i="2"/>
  <c r="K1981" i="2"/>
  <c r="K1980" i="2"/>
  <c r="K1979" i="2"/>
  <c r="K1978" i="2"/>
  <c r="K1977" i="2"/>
  <c r="K1976" i="2"/>
  <c r="K1975" i="2"/>
  <c r="K1974" i="2"/>
  <c r="K1973" i="2"/>
  <c r="K1972" i="2"/>
  <c r="K1971" i="2"/>
  <c r="K1970" i="2"/>
  <c r="K1969" i="2"/>
  <c r="K1968" i="2"/>
  <c r="K1967" i="2"/>
  <c r="K1966" i="2"/>
  <c r="K1965" i="2"/>
  <c r="K1964" i="2"/>
  <c r="K1963" i="2"/>
  <c r="K1962" i="2"/>
  <c r="K1961" i="2"/>
  <c r="K1960" i="2"/>
  <c r="K1959" i="2"/>
  <c r="K1958" i="2"/>
  <c r="K1957" i="2"/>
  <c r="K1956" i="2"/>
  <c r="K1955" i="2"/>
  <c r="K1954" i="2"/>
  <c r="K1953" i="2"/>
  <c r="K1952" i="2"/>
  <c r="K1951" i="2"/>
  <c r="K1950" i="2"/>
  <c r="K1949" i="2"/>
  <c r="K1948" i="2"/>
  <c r="K1947" i="2"/>
  <c r="K1946" i="2"/>
  <c r="K1945" i="2"/>
  <c r="K1944" i="2"/>
  <c r="K1943" i="2"/>
  <c r="K1942" i="2"/>
  <c r="K1941" i="2"/>
  <c r="K1940" i="2"/>
  <c r="K1939" i="2"/>
  <c r="K1938" i="2"/>
  <c r="K1937" i="2"/>
  <c r="K1936" i="2"/>
  <c r="K1935" i="2"/>
  <c r="K1934" i="2"/>
  <c r="K1933" i="2"/>
  <c r="K1932" i="2"/>
  <c r="K1931" i="2"/>
  <c r="K1930" i="2"/>
  <c r="K1929" i="2"/>
  <c r="K1928" i="2"/>
  <c r="K1927" i="2"/>
  <c r="K1926" i="2"/>
  <c r="K1925" i="2"/>
  <c r="K1924" i="2"/>
  <c r="K1923" i="2"/>
  <c r="K1922" i="2"/>
  <c r="K1921" i="2"/>
  <c r="K1920" i="2"/>
  <c r="K1919" i="2"/>
  <c r="K1918" i="2"/>
  <c r="K1917" i="2"/>
  <c r="K1916" i="2"/>
  <c r="K1915" i="2"/>
  <c r="K1914" i="2"/>
  <c r="K1913" i="2"/>
  <c r="K1912" i="2"/>
  <c r="K1911" i="2"/>
  <c r="K1910" i="2"/>
  <c r="K1909" i="2"/>
  <c r="K1908" i="2"/>
  <c r="K1907" i="2"/>
  <c r="K1906" i="2"/>
  <c r="K1905" i="2"/>
  <c r="K1904" i="2"/>
  <c r="K1903" i="2"/>
  <c r="K1902" i="2"/>
  <c r="K1901" i="2"/>
  <c r="K1900" i="2"/>
  <c r="K1899" i="2"/>
  <c r="K1898" i="2"/>
  <c r="K1897" i="2"/>
  <c r="K1896" i="2"/>
  <c r="K1895" i="2"/>
  <c r="K1894" i="2"/>
  <c r="K1893" i="2"/>
  <c r="K1892" i="2"/>
  <c r="K1891" i="2"/>
  <c r="K1890" i="2"/>
  <c r="K1889" i="2"/>
  <c r="K2075" i="2"/>
  <c r="K2074" i="2"/>
  <c r="K2073" i="2"/>
  <c r="K2072" i="2"/>
  <c r="K2071" i="2"/>
  <c r="K2070" i="2"/>
  <c r="K2069" i="2"/>
  <c r="K2068" i="2"/>
  <c r="K2067" i="2"/>
  <c r="K2066" i="2"/>
  <c r="K2065" i="2"/>
  <c r="K2064" i="2"/>
  <c r="K2063" i="2"/>
  <c r="K2062" i="2"/>
  <c r="K2061" i="2"/>
  <c r="K2060" i="2"/>
  <c r="K2059" i="2"/>
  <c r="K2058" i="2"/>
  <c r="K2057" i="2"/>
  <c r="K2056" i="2"/>
  <c r="K2055" i="2"/>
  <c r="K2054" i="2"/>
  <c r="K2053" i="2"/>
  <c r="K2052" i="2"/>
  <c r="K2051" i="2"/>
  <c r="K2050" i="2"/>
  <c r="K2049" i="2"/>
  <c r="K2048" i="2"/>
  <c r="K2047" i="2"/>
  <c r="K2046" i="2"/>
  <c r="K2045" i="2"/>
  <c r="K2044" i="2"/>
  <c r="K2043" i="2"/>
  <c r="K2042" i="2"/>
  <c r="K2041" i="2"/>
  <c r="K2040" i="2"/>
  <c r="K2039" i="2"/>
  <c r="K2038" i="2"/>
  <c r="K2037" i="2"/>
  <c r="K2036" i="2"/>
  <c r="K2035" i="2"/>
  <c r="K2034" i="2"/>
  <c r="K2033" i="2"/>
  <c r="K2032" i="2"/>
  <c r="K2031" i="2"/>
  <c r="K2030" i="2"/>
  <c r="K2029" i="2"/>
  <c r="K2028" i="2"/>
  <c r="K2027" i="2"/>
  <c r="K2026" i="2"/>
  <c r="K2025" i="2"/>
  <c r="K2024" i="2"/>
  <c r="K2023" i="2"/>
  <c r="K2022" i="2"/>
  <c r="K2021" i="2"/>
  <c r="K2020" i="2"/>
  <c r="K2019" i="2"/>
  <c r="K2018" i="2"/>
  <c r="K2017" i="2"/>
  <c r="K2016" i="2"/>
  <c r="K2015" i="2"/>
  <c r="K2014" i="2"/>
  <c r="K2013" i="2"/>
  <c r="K2107" i="2"/>
  <c r="K2106" i="2"/>
  <c r="K2105" i="2"/>
  <c r="K2104" i="2"/>
  <c r="K2103" i="2"/>
  <c r="K2102" i="2"/>
  <c r="K2101" i="2"/>
  <c r="K2100" i="2"/>
  <c r="K2099" i="2"/>
  <c r="K2098" i="2"/>
  <c r="K2097" i="2"/>
  <c r="K2096" i="2"/>
  <c r="K2095" i="2"/>
  <c r="K2094" i="2"/>
  <c r="K2093" i="2"/>
  <c r="K2092" i="2"/>
  <c r="K2091" i="2"/>
  <c r="K2090" i="2"/>
  <c r="K2089" i="2"/>
  <c r="K2088" i="2"/>
  <c r="K2087" i="2"/>
  <c r="K2086" i="2"/>
  <c r="K2085" i="2"/>
  <c r="K2084" i="2"/>
  <c r="K2083" i="2"/>
  <c r="K2082" i="2"/>
  <c r="K2081" i="2"/>
  <c r="K2080" i="2"/>
  <c r="K2079" i="2"/>
  <c r="K2078" i="2"/>
  <c r="K2077" i="2"/>
  <c r="K2076" i="2"/>
  <c r="K2122" i="2"/>
  <c r="K2121" i="2"/>
  <c r="K2120" i="2"/>
  <c r="K2119" i="2"/>
  <c r="K2118" i="2"/>
  <c r="K2117" i="2"/>
  <c r="K2116" i="2"/>
  <c r="K2115" i="2"/>
  <c r="K2114" i="2"/>
  <c r="K2113" i="2"/>
  <c r="K2112" i="2"/>
  <c r="K2111" i="2"/>
  <c r="K2110" i="2"/>
  <c r="K2109" i="2"/>
  <c r="K2108" i="2"/>
  <c r="K2130" i="2"/>
  <c r="K2129" i="2"/>
  <c r="K2128" i="2"/>
  <c r="K2127" i="2"/>
  <c r="K2126" i="2"/>
  <c r="K2125" i="2"/>
  <c r="K2124" i="2"/>
  <c r="K2123" i="2"/>
  <c r="K2134" i="2"/>
  <c r="K2133" i="2"/>
  <c r="K2132" i="2"/>
  <c r="K2131" i="2"/>
  <c r="K2139" i="2"/>
  <c r="K2138" i="2"/>
  <c r="K2137" i="2"/>
  <c r="K2136" i="2"/>
  <c r="K2135" i="2"/>
  <c r="K1888" i="2"/>
  <c r="K1887" i="2"/>
  <c r="K1886" i="2"/>
  <c r="K1885" i="2"/>
  <c r="K1884" i="2"/>
  <c r="K1883" i="2"/>
  <c r="K1882" i="2"/>
  <c r="K1881" i="2"/>
  <c r="K1880" i="2"/>
  <c r="K1879" i="2"/>
  <c r="K1878" i="2"/>
  <c r="K1877" i="2"/>
  <c r="K1876" i="2"/>
  <c r="K1875" i="2"/>
  <c r="K1874" i="2"/>
  <c r="K1873" i="2"/>
  <c r="K1872" i="2"/>
  <c r="K1871" i="2"/>
  <c r="H570" i="6"/>
  <c r="K1833" i="2"/>
  <c r="E556" i="6"/>
  <c r="D556" i="6"/>
  <c r="K556" i="6" s="1"/>
  <c r="J1783" i="2"/>
  <c r="K1783" i="2" s="1"/>
  <c r="J1776" i="2"/>
  <c r="K1776" i="2" s="1"/>
  <c r="D547" i="6"/>
  <c r="E547" i="6"/>
  <c r="D552" i="6"/>
  <c r="E552" i="6"/>
  <c r="D551" i="6"/>
  <c r="E551" i="6"/>
  <c r="D544" i="6"/>
  <c r="E544" i="6"/>
  <c r="D543" i="6"/>
  <c r="E543" i="6"/>
  <c r="D548" i="6"/>
  <c r="E548" i="6"/>
  <c r="D545" i="6"/>
  <c r="E545" i="6"/>
  <c r="D549" i="6"/>
  <c r="E549" i="6"/>
  <c r="D546" i="6"/>
  <c r="E546" i="6"/>
  <c r="K546" i="6" s="1"/>
  <c r="D550" i="6"/>
  <c r="E550" i="6"/>
  <c r="D555" i="6"/>
  <c r="E555" i="6"/>
  <c r="D557" i="6"/>
  <c r="E557" i="6"/>
  <c r="D559" i="6"/>
  <c r="E559" i="6"/>
  <c r="D558" i="6"/>
  <c r="E558" i="6"/>
  <c r="D553" i="6"/>
  <c r="E553" i="6"/>
  <c r="D554" i="6"/>
  <c r="E554" i="6"/>
  <c r="D563" i="6"/>
  <c r="E563" i="6"/>
  <c r="D561" i="6"/>
  <c r="E561" i="6"/>
  <c r="D564" i="6"/>
  <c r="E564" i="6"/>
  <c r="D565" i="6"/>
  <c r="E565" i="6"/>
  <c r="D570" i="6"/>
  <c r="E570" i="6"/>
  <c r="K570" i="6" s="1"/>
  <c r="D582" i="6"/>
  <c r="E582" i="6"/>
  <c r="D576" i="6"/>
  <c r="E576" i="6"/>
  <c r="D578" i="6"/>
  <c r="E578" i="6"/>
  <c r="D580" i="6"/>
  <c r="E580" i="6"/>
  <c r="K1757" i="2"/>
  <c r="K1794" i="2"/>
  <c r="K1793" i="2"/>
  <c r="K1792" i="2"/>
  <c r="K1791" i="2"/>
  <c r="K1790" i="2"/>
  <c r="K1789" i="2"/>
  <c r="K1788" i="2"/>
  <c r="K1787" i="2"/>
  <c r="K1786" i="2"/>
  <c r="K1785" i="2"/>
  <c r="K1784" i="2"/>
  <c r="K1782" i="2"/>
  <c r="K1781" i="2"/>
  <c r="K1780" i="2"/>
  <c r="K1779" i="2"/>
  <c r="K1778" i="2"/>
  <c r="K1777" i="2"/>
  <c r="K1775" i="2"/>
  <c r="K1774" i="2"/>
  <c r="K1773" i="2"/>
  <c r="K1772" i="2"/>
  <c r="K1771" i="2"/>
  <c r="K1770" i="2"/>
  <c r="K1769" i="2"/>
  <c r="K1768" i="2"/>
  <c r="K1767" i="2"/>
  <c r="K1766" i="2"/>
  <c r="K1765" i="2"/>
  <c r="K1764" i="2"/>
  <c r="K1763" i="2"/>
  <c r="K1762" i="2"/>
  <c r="K1761" i="2"/>
  <c r="K1760" i="2"/>
  <c r="K1759" i="2"/>
  <c r="K1758" i="2"/>
  <c r="K1756" i="2"/>
  <c r="K1755" i="2"/>
  <c r="K1754" i="2"/>
  <c r="K1753" i="2"/>
  <c r="K1752" i="2"/>
  <c r="K1751" i="2"/>
  <c r="K1750" i="2"/>
  <c r="K1749" i="2"/>
  <c r="K1748" i="2"/>
  <c r="K1747" i="2"/>
  <c r="K1746" i="2"/>
  <c r="K1745" i="2"/>
  <c r="K1744" i="2"/>
  <c r="K1743" i="2"/>
  <c r="K1742" i="2"/>
  <c r="K1741" i="2"/>
  <c r="K1740" i="2"/>
  <c r="K1739" i="2"/>
  <c r="K1738" i="2"/>
  <c r="K1737" i="2"/>
  <c r="K1736" i="2"/>
  <c r="K1735" i="2"/>
  <c r="K1734" i="2"/>
  <c r="K1733" i="2"/>
  <c r="K1732" i="2"/>
  <c r="K1731" i="2"/>
  <c r="K1730" i="2"/>
  <c r="K1729" i="2"/>
  <c r="K1728" i="2"/>
  <c r="K1727" i="2"/>
  <c r="K1726" i="2"/>
  <c r="K1725" i="2"/>
  <c r="K1724" i="2"/>
  <c r="K1723" i="2"/>
  <c r="K1722" i="2"/>
  <c r="K1721" i="2"/>
  <c r="K1720" i="2"/>
  <c r="K1719" i="2"/>
  <c r="K1718" i="2"/>
  <c r="K1717" i="2"/>
  <c r="K1716" i="2"/>
  <c r="K1715" i="2"/>
  <c r="K1834" i="2"/>
  <c r="K1832" i="2"/>
  <c r="K1831" i="2"/>
  <c r="K1830" i="2"/>
  <c r="K1829" i="2"/>
  <c r="K1828" i="2"/>
  <c r="K1827" i="2"/>
  <c r="K1826" i="2"/>
  <c r="K1825" i="2"/>
  <c r="K1824" i="2"/>
  <c r="K1823" i="2"/>
  <c r="K1822" i="2"/>
  <c r="K1821" i="2"/>
  <c r="K1820" i="2"/>
  <c r="K1819" i="2"/>
  <c r="K1818" i="2"/>
  <c r="K1817" i="2"/>
  <c r="K1816" i="2"/>
  <c r="K1815" i="2"/>
  <c r="K1814" i="2"/>
  <c r="K1813" i="2"/>
  <c r="K1812" i="2"/>
  <c r="K1811" i="2"/>
  <c r="K1810" i="2"/>
  <c r="K1809" i="2"/>
  <c r="K1808" i="2"/>
  <c r="K1807" i="2"/>
  <c r="K1806" i="2"/>
  <c r="K1805" i="2"/>
  <c r="K1804" i="2"/>
  <c r="K1803" i="2"/>
  <c r="K1802" i="2"/>
  <c r="K1801" i="2"/>
  <c r="K1800" i="2"/>
  <c r="K1799" i="2"/>
  <c r="K1798" i="2"/>
  <c r="K1797" i="2"/>
  <c r="K1796" i="2"/>
  <c r="K1795" i="2"/>
  <c r="K1854" i="2"/>
  <c r="K1853" i="2"/>
  <c r="K1852" i="2"/>
  <c r="K1851" i="2"/>
  <c r="K1850" i="2"/>
  <c r="K1849" i="2"/>
  <c r="K1848" i="2"/>
  <c r="K1847" i="2"/>
  <c r="K1846" i="2"/>
  <c r="K1845" i="2"/>
  <c r="K1844" i="2"/>
  <c r="K1843" i="2"/>
  <c r="K1842" i="2"/>
  <c r="K1841" i="2"/>
  <c r="K1840" i="2"/>
  <c r="K1839" i="2"/>
  <c r="K1838" i="2"/>
  <c r="K1837" i="2"/>
  <c r="K1836" i="2"/>
  <c r="K1835" i="2"/>
  <c r="K1863" i="2"/>
  <c r="K1862" i="2"/>
  <c r="K1861" i="2"/>
  <c r="K1860" i="2"/>
  <c r="K1859" i="2"/>
  <c r="K1858" i="2"/>
  <c r="K1857" i="2"/>
  <c r="K1856" i="2"/>
  <c r="K1855" i="2"/>
  <c r="K1868" i="2"/>
  <c r="K1867" i="2"/>
  <c r="K1866" i="2"/>
  <c r="K1865" i="2"/>
  <c r="K1864" i="2"/>
  <c r="K1673" i="2"/>
  <c r="A16" i="9"/>
  <c r="G572" i="6"/>
  <c r="E572" i="6"/>
  <c r="D572" i="6"/>
  <c r="G575" i="6"/>
  <c r="E575" i="6"/>
  <c r="D575" i="6"/>
  <c r="G573" i="6"/>
  <c r="E573" i="6"/>
  <c r="D573" i="6"/>
  <c r="G584" i="6"/>
  <c r="E584" i="6"/>
  <c r="D584" i="6"/>
  <c r="G580" i="6"/>
  <c r="G578" i="6"/>
  <c r="G576" i="6"/>
  <c r="G582" i="6"/>
  <c r="G570" i="6"/>
  <c r="G565" i="6"/>
  <c r="G564" i="6"/>
  <c r="K564" i="6" s="1"/>
  <c r="G561" i="6"/>
  <c r="G563" i="6"/>
  <c r="G554" i="6"/>
  <c r="G553" i="6"/>
  <c r="G558" i="6"/>
  <c r="G559" i="6"/>
  <c r="G557" i="6"/>
  <c r="G555" i="6"/>
  <c r="G550" i="6"/>
  <c r="G549" i="6"/>
  <c r="G545" i="6"/>
  <c r="G548" i="6"/>
  <c r="G543" i="6"/>
  <c r="G544" i="6"/>
  <c r="G551" i="6"/>
  <c r="G552" i="6"/>
  <c r="G547" i="6"/>
  <c r="G542" i="6"/>
  <c r="K542" i="6" s="1"/>
  <c r="E542" i="6"/>
  <c r="D542" i="6"/>
  <c r="G535" i="6"/>
  <c r="E535" i="6"/>
  <c r="D535" i="6"/>
  <c r="G536" i="6"/>
  <c r="E536" i="6"/>
  <c r="D536" i="6"/>
  <c r="G530" i="6"/>
  <c r="E530" i="6"/>
  <c r="D530" i="6"/>
  <c r="G540" i="6"/>
  <c r="K540" i="6" s="1"/>
  <c r="E540" i="6"/>
  <c r="D540" i="6"/>
  <c r="G531" i="6"/>
  <c r="E531" i="6"/>
  <c r="D531" i="6"/>
  <c r="G541" i="6"/>
  <c r="E541" i="6"/>
  <c r="D541" i="6"/>
  <c r="G537" i="6"/>
  <c r="D537" i="6"/>
  <c r="G534" i="6"/>
  <c r="E534" i="6"/>
  <c r="D534" i="6"/>
  <c r="G539" i="6"/>
  <c r="E539" i="6"/>
  <c r="D539" i="6"/>
  <c r="G533" i="6"/>
  <c r="E533" i="6"/>
  <c r="D533" i="6"/>
  <c r="G538" i="6"/>
  <c r="E538" i="6"/>
  <c r="D538" i="6"/>
  <c r="G532" i="6"/>
  <c r="E532" i="6"/>
  <c r="K532" i="6" s="1"/>
  <c r="D532" i="6"/>
  <c r="G516" i="6"/>
  <c r="E516" i="6"/>
  <c r="D516" i="6"/>
  <c r="G520" i="6"/>
  <c r="E520" i="6"/>
  <c r="D520" i="6"/>
  <c r="G524" i="6"/>
  <c r="E524" i="6"/>
  <c r="D524" i="6"/>
  <c r="G528" i="6"/>
  <c r="E528" i="6"/>
  <c r="K528" i="6" s="1"/>
  <c r="D528" i="6"/>
  <c r="G517" i="6"/>
  <c r="E517" i="6"/>
  <c r="D517" i="6"/>
  <c r="G525" i="6"/>
  <c r="E525" i="6"/>
  <c r="D525" i="6"/>
  <c r="G518" i="6"/>
  <c r="E518" i="6"/>
  <c r="D518" i="6"/>
  <c r="E511" i="6"/>
  <c r="D511" i="6"/>
  <c r="K511" i="6" s="1"/>
  <c r="G526" i="6"/>
  <c r="E526" i="6"/>
  <c r="D526" i="6"/>
  <c r="G601" i="6"/>
  <c r="E601" i="6"/>
  <c r="G604" i="6"/>
  <c r="E604" i="6"/>
  <c r="G595" i="6"/>
  <c r="E595" i="6"/>
  <c r="D595" i="6"/>
  <c r="G598" i="6"/>
  <c r="E598" i="6"/>
  <c r="D598" i="6"/>
  <c r="G597" i="6"/>
  <c r="E597" i="6"/>
  <c r="D597" i="6"/>
  <c r="G599" i="6"/>
  <c r="E599" i="6"/>
  <c r="G600" i="6"/>
  <c r="E600" i="6"/>
  <c r="G596" i="6"/>
  <c r="E596" i="6"/>
  <c r="D596" i="6"/>
  <c r="G592" i="6"/>
  <c r="E592" i="6"/>
  <c r="D592" i="6"/>
  <c r="G594" i="6"/>
  <c r="E594" i="6"/>
  <c r="D594" i="6"/>
  <c r="G593" i="6"/>
  <c r="E593" i="6"/>
  <c r="D593" i="6"/>
  <c r="G586" i="6"/>
  <c r="E586" i="6"/>
  <c r="D586" i="6"/>
  <c r="G589" i="6"/>
  <c r="K589" i="6" s="1"/>
  <c r="E589" i="6"/>
  <c r="D589" i="6"/>
  <c r="G588" i="6"/>
  <c r="E588" i="6"/>
  <c r="D588" i="6"/>
  <c r="G591" i="6"/>
  <c r="E591" i="6"/>
  <c r="D591" i="6"/>
  <c r="G585" i="6"/>
  <c r="E585" i="6"/>
  <c r="D585" i="6"/>
  <c r="G587" i="6"/>
  <c r="K587" i="6" s="1"/>
  <c r="E587" i="6"/>
  <c r="D587" i="6"/>
  <c r="G571" i="6"/>
  <c r="E571" i="6"/>
  <c r="D571" i="6"/>
  <c r="G579" i="6"/>
  <c r="E579" i="6"/>
  <c r="D579" i="6"/>
  <c r="G581" i="6"/>
  <c r="E581" i="6"/>
  <c r="D581" i="6"/>
  <c r="D577" i="6"/>
  <c r="K577" i="6" s="1"/>
  <c r="G568" i="6"/>
  <c r="E568" i="6"/>
  <c r="D568" i="6"/>
  <c r="G569" i="6"/>
  <c r="E569" i="6"/>
  <c r="D569" i="6"/>
  <c r="D574" i="6"/>
  <c r="K574" i="6" s="1"/>
  <c r="G625" i="6"/>
  <c r="E625" i="6"/>
  <c r="D625" i="6"/>
  <c r="G622" i="6"/>
  <c r="E622" i="6"/>
  <c r="D622" i="6"/>
  <c r="G623" i="6"/>
  <c r="E623" i="6"/>
  <c r="D623" i="6"/>
  <c r="G606" i="6"/>
  <c r="E606" i="6"/>
  <c r="D606" i="6"/>
  <c r="G615" i="6"/>
  <c r="E615" i="6"/>
  <c r="D615" i="6"/>
  <c r="G607" i="6"/>
  <c r="E607" i="6"/>
  <c r="D607" i="6"/>
  <c r="G608" i="6"/>
  <c r="E608" i="6"/>
  <c r="D608" i="6"/>
  <c r="G617" i="6"/>
  <c r="E617" i="6"/>
  <c r="D617" i="6"/>
  <c r="G614" i="6"/>
  <c r="E614" i="6"/>
  <c r="D614" i="6"/>
  <c r="G610" i="6"/>
  <c r="E610" i="6"/>
  <c r="D610" i="6"/>
  <c r="G612" i="6"/>
  <c r="E612" i="6"/>
  <c r="D612" i="6"/>
  <c r="G609" i="6"/>
  <c r="E609" i="6"/>
  <c r="D609" i="6"/>
  <c r="G616" i="6"/>
  <c r="E616" i="6"/>
  <c r="D616" i="6"/>
  <c r="G626" i="6"/>
  <c r="G633" i="6"/>
  <c r="G618" i="6"/>
  <c r="E618" i="6"/>
  <c r="D618" i="6"/>
  <c r="G620" i="6"/>
  <c r="E620" i="6"/>
  <c r="D620" i="6"/>
  <c r="G619" i="6"/>
  <c r="E619" i="6"/>
  <c r="D619" i="6"/>
  <c r="G629" i="6"/>
  <c r="G634" i="6"/>
  <c r="G631" i="6"/>
  <c r="G637" i="6"/>
  <c r="G635" i="6"/>
  <c r="G636" i="6"/>
  <c r="G628" i="6"/>
  <c r="K1660" i="2"/>
  <c r="K1687" i="2"/>
  <c r="K1686" i="2"/>
  <c r="K1685" i="2"/>
  <c r="K1684" i="2"/>
  <c r="K1683" i="2"/>
  <c r="K1682" i="2"/>
  <c r="K1681" i="2"/>
  <c r="K1680" i="2"/>
  <c r="K1679" i="2"/>
  <c r="K1678" i="2"/>
  <c r="K1677" i="2"/>
  <c r="K1676" i="2"/>
  <c r="K1675" i="2"/>
  <c r="K1674" i="2"/>
  <c r="K1672" i="2"/>
  <c r="K1671" i="2"/>
  <c r="K1670" i="2"/>
  <c r="K1669" i="2"/>
  <c r="K1668" i="2"/>
  <c r="K1667" i="2"/>
  <c r="K1666" i="2"/>
  <c r="K1665" i="2"/>
  <c r="K1664" i="2"/>
  <c r="K1663" i="2"/>
  <c r="K1662" i="2"/>
  <c r="K1661" i="2"/>
  <c r="K1659" i="2"/>
  <c r="K1658" i="2"/>
  <c r="K1657" i="2"/>
  <c r="K1702" i="2"/>
  <c r="K1701" i="2"/>
  <c r="K1700" i="2"/>
  <c r="K1699" i="2"/>
  <c r="K1698" i="2"/>
  <c r="K1697" i="2"/>
  <c r="K1696" i="2"/>
  <c r="K1695" i="2"/>
  <c r="K1694" i="2"/>
  <c r="K1693" i="2"/>
  <c r="K1692" i="2"/>
  <c r="K1691" i="2"/>
  <c r="K1690" i="2"/>
  <c r="K1689" i="2"/>
  <c r="K1688" i="2"/>
  <c r="K1710" i="2"/>
  <c r="K1709" i="2"/>
  <c r="K1708" i="2"/>
  <c r="K1707" i="2"/>
  <c r="K1706" i="2"/>
  <c r="K1705" i="2"/>
  <c r="K1704" i="2"/>
  <c r="K1703" i="2"/>
  <c r="K1714" i="2"/>
  <c r="K1713" i="2"/>
  <c r="K1712" i="2"/>
  <c r="K1711" i="2"/>
  <c r="K1870" i="2"/>
  <c r="K1869" i="2"/>
  <c r="D501" i="6"/>
  <c r="E501" i="6"/>
  <c r="G501" i="6"/>
  <c r="D508" i="6"/>
  <c r="E508" i="6"/>
  <c r="D504" i="6"/>
  <c r="E504" i="6"/>
  <c r="D503" i="6"/>
  <c r="E503" i="6"/>
  <c r="D498" i="6"/>
  <c r="E498" i="6"/>
  <c r="D492" i="6"/>
  <c r="E492" i="6"/>
  <c r="D500" i="6"/>
  <c r="E500" i="6"/>
  <c r="D505" i="6"/>
  <c r="E505" i="6"/>
  <c r="D494" i="6"/>
  <c r="E494" i="6"/>
  <c r="D506" i="6"/>
  <c r="E506" i="6"/>
  <c r="D491" i="6"/>
  <c r="E491" i="6"/>
  <c r="D493" i="6"/>
  <c r="K493" i="6" s="1"/>
  <c r="D495" i="6"/>
  <c r="K495" i="6" s="1"/>
  <c r="E495" i="6"/>
  <c r="D496" i="6"/>
  <c r="E496" i="6"/>
  <c r="D497" i="6"/>
  <c r="E497" i="6"/>
  <c r="D490" i="6"/>
  <c r="E490" i="6"/>
  <c r="D502" i="6"/>
  <c r="K502" i="6" s="1"/>
  <c r="E502" i="6"/>
  <c r="D499" i="6"/>
  <c r="E499" i="6"/>
  <c r="D507" i="6"/>
  <c r="E507" i="6"/>
  <c r="D489" i="6"/>
  <c r="E489" i="6"/>
  <c r="D529" i="6"/>
  <c r="E529" i="6"/>
  <c r="D514" i="6"/>
  <c r="E514" i="6"/>
  <c r="D522" i="6"/>
  <c r="E522" i="6"/>
  <c r="D515" i="6"/>
  <c r="E515" i="6"/>
  <c r="D523" i="6"/>
  <c r="E523" i="6"/>
  <c r="D513" i="6"/>
  <c r="E513" i="6"/>
  <c r="D527" i="6"/>
  <c r="E527" i="6"/>
  <c r="D509" i="6"/>
  <c r="E509" i="6"/>
  <c r="D521" i="6"/>
  <c r="K521" i="6" s="1"/>
  <c r="E521" i="6"/>
  <c r="D510" i="6"/>
  <c r="E510" i="6"/>
  <c r="D512" i="6"/>
  <c r="E512" i="6"/>
  <c r="K1633" i="2"/>
  <c r="K1632" i="2"/>
  <c r="K1631" i="2"/>
  <c r="K1630" i="2"/>
  <c r="K1629" i="2"/>
  <c r="K1628" i="2"/>
  <c r="K1627" i="2"/>
  <c r="K1626" i="2"/>
  <c r="K1625" i="2"/>
  <c r="K1624" i="2"/>
  <c r="K1623" i="2"/>
  <c r="K1622" i="2"/>
  <c r="K1621" i="2"/>
  <c r="K1620" i="2"/>
  <c r="K1619" i="2"/>
  <c r="K1618" i="2"/>
  <c r="K1617" i="2"/>
  <c r="K1616" i="2"/>
  <c r="K1615" i="2"/>
  <c r="K1614" i="2"/>
  <c r="K1613" i="2"/>
  <c r="K1612" i="2"/>
  <c r="K1644" i="2"/>
  <c r="K1643" i="2"/>
  <c r="K1642" i="2"/>
  <c r="K1641" i="2"/>
  <c r="K1640" i="2"/>
  <c r="K1639" i="2"/>
  <c r="K1638" i="2"/>
  <c r="K1637" i="2"/>
  <c r="K1636" i="2"/>
  <c r="K1635" i="2"/>
  <c r="K1634" i="2"/>
  <c r="D487" i="6"/>
  <c r="E487" i="6"/>
  <c r="G487" i="6"/>
  <c r="C10" i="7"/>
  <c r="J1564" i="2"/>
  <c r="K1564" i="2"/>
  <c r="J1519" i="2"/>
  <c r="K1519" i="2" s="1"/>
  <c r="Q182" i="2"/>
  <c r="Q68" i="2"/>
  <c r="G471" i="6"/>
  <c r="E471" i="6"/>
  <c r="D471" i="6"/>
  <c r="G466" i="6"/>
  <c r="E466" i="6"/>
  <c r="D466" i="6"/>
  <c r="G467" i="6"/>
  <c r="E467" i="6"/>
  <c r="D467" i="6"/>
  <c r="G463" i="6"/>
  <c r="E463" i="6"/>
  <c r="D463" i="6"/>
  <c r="D453" i="6"/>
  <c r="K453" i="6" s="1"/>
  <c r="G465" i="6"/>
  <c r="E465" i="6"/>
  <c r="K465" i="6" s="1"/>
  <c r="D465" i="6"/>
  <c r="G458" i="6"/>
  <c r="E458" i="6"/>
  <c r="D458" i="6"/>
  <c r="G462" i="6"/>
  <c r="E462" i="6"/>
  <c r="D462" i="6"/>
  <c r="G460" i="6"/>
  <c r="E460" i="6"/>
  <c r="D460" i="6"/>
  <c r="G456" i="6"/>
  <c r="E456" i="6"/>
  <c r="K456" i="6" s="1"/>
  <c r="D456" i="6"/>
  <c r="G454" i="6"/>
  <c r="E454" i="6"/>
  <c r="D454" i="6"/>
  <c r="G451" i="6"/>
  <c r="E451" i="6"/>
  <c r="K451" i="6" s="1"/>
  <c r="D451" i="6"/>
  <c r="G457" i="6"/>
  <c r="E457" i="6"/>
  <c r="D457" i="6"/>
  <c r="G459" i="6"/>
  <c r="E459" i="6"/>
  <c r="K459" i="6" s="1"/>
  <c r="D459" i="6"/>
  <c r="G455" i="6"/>
  <c r="E455" i="6"/>
  <c r="D455" i="6"/>
  <c r="G461" i="6"/>
  <c r="E461" i="6"/>
  <c r="K461" i="6" s="1"/>
  <c r="D461" i="6"/>
  <c r="G452" i="6"/>
  <c r="E452" i="6"/>
  <c r="D452" i="6"/>
  <c r="G464" i="6"/>
  <c r="E464" i="6"/>
  <c r="K464" i="6" s="1"/>
  <c r="D464" i="6"/>
  <c r="G447" i="6"/>
  <c r="E447" i="6"/>
  <c r="D447" i="6"/>
  <c r="G443" i="6"/>
  <c r="E443" i="6"/>
  <c r="K443" i="6" s="1"/>
  <c r="D443" i="6"/>
  <c r="G438" i="6"/>
  <c r="E438" i="6"/>
  <c r="D438" i="6"/>
  <c r="G439" i="6"/>
  <c r="E439" i="6"/>
  <c r="D439" i="6"/>
  <c r="G448" i="6"/>
  <c r="E448" i="6"/>
  <c r="D448" i="6"/>
  <c r="G444" i="6"/>
  <c r="E444" i="6"/>
  <c r="K444" i="6" s="1"/>
  <c r="D444" i="6"/>
  <c r="G446" i="6"/>
  <c r="E446" i="6"/>
  <c r="D446" i="6"/>
  <c r="G445" i="6"/>
  <c r="E445" i="6"/>
  <c r="K445" i="6" s="1"/>
  <c r="D445" i="6"/>
  <c r="G440" i="6"/>
  <c r="E440" i="6"/>
  <c r="D440" i="6"/>
  <c r="G437" i="6"/>
  <c r="E437" i="6"/>
  <c r="K437" i="6" s="1"/>
  <c r="D437" i="6"/>
  <c r="G442" i="6"/>
  <c r="E442" i="6"/>
  <c r="D442" i="6"/>
  <c r="G441" i="6"/>
  <c r="E441" i="6"/>
  <c r="K441" i="6" s="1"/>
  <c r="D441" i="6"/>
  <c r="G450" i="6"/>
  <c r="E450" i="6"/>
  <c r="D450" i="6"/>
  <c r="G449" i="6"/>
  <c r="E449" i="6"/>
  <c r="K449" i="6" s="1"/>
  <c r="D449" i="6"/>
  <c r="G431" i="6"/>
  <c r="E431" i="6"/>
  <c r="D431" i="6"/>
  <c r="G423" i="6"/>
  <c r="E423" i="6"/>
  <c r="K423" i="6" s="1"/>
  <c r="D423" i="6"/>
  <c r="G421" i="6"/>
  <c r="E421" i="6"/>
  <c r="D421" i="6"/>
  <c r="G428" i="6"/>
  <c r="E428" i="6"/>
  <c r="K428" i="6" s="1"/>
  <c r="D428" i="6"/>
  <c r="G425" i="6"/>
  <c r="E425" i="6"/>
  <c r="D425" i="6"/>
  <c r="G430" i="6"/>
  <c r="E430" i="6"/>
  <c r="K430" i="6" s="1"/>
  <c r="D430" i="6"/>
  <c r="G424" i="6"/>
  <c r="E424" i="6"/>
  <c r="D424" i="6"/>
  <c r="G417" i="6"/>
  <c r="E417" i="6"/>
  <c r="K417" i="6" s="1"/>
  <c r="D417" i="6"/>
  <c r="G418" i="6"/>
  <c r="E418" i="6"/>
  <c r="D418" i="6"/>
  <c r="G433" i="6"/>
  <c r="D433" i="6"/>
  <c r="K433" i="6" s="1"/>
  <c r="E433" i="6"/>
  <c r="G434" i="6"/>
  <c r="E434" i="6"/>
  <c r="D434" i="6"/>
  <c r="G426" i="6"/>
  <c r="D426" i="6"/>
  <c r="K426" i="6" s="1"/>
  <c r="E426" i="6"/>
  <c r="G429" i="6"/>
  <c r="E429" i="6"/>
  <c r="D429" i="6"/>
  <c r="G427" i="6"/>
  <c r="E427" i="6"/>
  <c r="D427" i="6"/>
  <c r="G419" i="6"/>
  <c r="E419" i="6"/>
  <c r="D419" i="6"/>
  <c r="K419" i="6" s="1"/>
  <c r="G436" i="6"/>
  <c r="E436" i="6"/>
  <c r="K436" i="6" s="1"/>
  <c r="D436" i="6"/>
  <c r="G420" i="6"/>
  <c r="E420" i="6"/>
  <c r="D420" i="6"/>
  <c r="G422" i="6"/>
  <c r="E422" i="6"/>
  <c r="K422" i="6" s="1"/>
  <c r="D422" i="6"/>
  <c r="G432" i="6"/>
  <c r="E432" i="6"/>
  <c r="D432" i="6"/>
  <c r="G435" i="6"/>
  <c r="E435" i="6"/>
  <c r="K435" i="6" s="1"/>
  <c r="D435" i="6"/>
  <c r="G498" i="6"/>
  <c r="K498" i="6" s="1"/>
  <c r="G503" i="6"/>
  <c r="G504" i="6"/>
  <c r="G508" i="6"/>
  <c r="G483" i="6"/>
  <c r="E483" i="6"/>
  <c r="D483" i="6"/>
  <c r="G479" i="6"/>
  <c r="E479" i="6"/>
  <c r="D479" i="6"/>
  <c r="G477" i="6"/>
  <c r="E477" i="6"/>
  <c r="D477" i="6"/>
  <c r="K477" i="6" s="1"/>
  <c r="G484" i="6"/>
  <c r="E484" i="6"/>
  <c r="D484" i="6"/>
  <c r="G478" i="6"/>
  <c r="E478" i="6"/>
  <c r="D478" i="6"/>
  <c r="G486" i="6"/>
  <c r="E486" i="6"/>
  <c r="D486" i="6"/>
  <c r="G485" i="6"/>
  <c r="E485" i="6"/>
  <c r="D485" i="6"/>
  <c r="K485" i="6" s="1"/>
  <c r="G481" i="6"/>
  <c r="E481" i="6"/>
  <c r="D481" i="6"/>
  <c r="G480" i="6"/>
  <c r="E480" i="6"/>
  <c r="D480" i="6"/>
  <c r="G482" i="6"/>
  <c r="E482" i="6"/>
  <c r="D482" i="6"/>
  <c r="G488" i="6"/>
  <c r="E488" i="6"/>
  <c r="D488" i="6"/>
  <c r="G474" i="6"/>
  <c r="E474" i="6"/>
  <c r="D474" i="6"/>
  <c r="G472" i="6"/>
  <c r="E472" i="6"/>
  <c r="D472" i="6"/>
  <c r="G470" i="6"/>
  <c r="E470" i="6"/>
  <c r="K470" i="6" s="1"/>
  <c r="D470" i="6"/>
  <c r="G468" i="6"/>
  <c r="E468" i="6"/>
  <c r="D468" i="6"/>
  <c r="G476" i="6"/>
  <c r="E476" i="6"/>
  <c r="D476" i="6"/>
  <c r="G469" i="6"/>
  <c r="E469" i="6"/>
  <c r="D469" i="6"/>
  <c r="G473" i="6"/>
  <c r="E473" i="6"/>
  <c r="D473" i="6"/>
  <c r="G499" i="6"/>
  <c r="G502" i="6"/>
  <c r="G490" i="6"/>
  <c r="G497" i="6"/>
  <c r="G496" i="6"/>
  <c r="G495" i="6"/>
  <c r="G491" i="6"/>
  <c r="K491" i="6" s="1"/>
  <c r="G506" i="6"/>
  <c r="G494" i="6"/>
  <c r="G505" i="6"/>
  <c r="G500" i="6"/>
  <c r="G492" i="6"/>
  <c r="G523" i="6"/>
  <c r="G515" i="6"/>
  <c r="G522" i="6"/>
  <c r="G514" i="6"/>
  <c r="G529" i="6"/>
  <c r="K529" i="6" s="1"/>
  <c r="G489" i="6"/>
  <c r="G507" i="6"/>
  <c r="J1408" i="2"/>
  <c r="K1408" i="2"/>
  <c r="G401" i="6"/>
  <c r="E401" i="6"/>
  <c r="D401" i="6"/>
  <c r="D395" i="6"/>
  <c r="K395" i="6" s="1"/>
  <c r="G394" i="6"/>
  <c r="E394" i="6"/>
  <c r="D394" i="6"/>
  <c r="G402" i="6"/>
  <c r="E402" i="6"/>
  <c r="D402" i="6"/>
  <c r="D389" i="6"/>
  <c r="K389" i="6" s="1"/>
  <c r="G392" i="6"/>
  <c r="E392" i="6"/>
  <c r="D392" i="6"/>
  <c r="G393" i="6"/>
  <c r="E393" i="6"/>
  <c r="K393" i="6" s="1"/>
  <c r="D393" i="6"/>
  <c r="G398" i="6"/>
  <c r="E398" i="6"/>
  <c r="D398" i="6"/>
  <c r="G400" i="6"/>
  <c r="E400" i="6"/>
  <c r="K400" i="6" s="1"/>
  <c r="D400" i="6"/>
  <c r="G399" i="6"/>
  <c r="E399" i="6"/>
  <c r="D399" i="6"/>
  <c r="G404" i="6"/>
  <c r="E404" i="6"/>
  <c r="K404" i="6" s="1"/>
  <c r="D404" i="6"/>
  <c r="G388" i="6"/>
  <c r="E388" i="6"/>
  <c r="D388" i="6"/>
  <c r="G396" i="6"/>
  <c r="E396" i="6"/>
  <c r="K396" i="6" s="1"/>
  <c r="D396" i="6"/>
  <c r="G390" i="6"/>
  <c r="E390" i="6"/>
  <c r="D390" i="6"/>
  <c r="G397" i="6"/>
  <c r="E397" i="6"/>
  <c r="K397" i="6" s="1"/>
  <c r="D397" i="6"/>
  <c r="G391" i="6"/>
  <c r="E391" i="6"/>
  <c r="D391" i="6"/>
  <c r="G403" i="6"/>
  <c r="E403" i="6"/>
  <c r="K403" i="6" s="1"/>
  <c r="D403" i="6"/>
  <c r="G413" i="6"/>
  <c r="E413" i="6"/>
  <c r="D413" i="6"/>
  <c r="G412" i="6"/>
  <c r="D412" i="6"/>
  <c r="K412" i="6" s="1"/>
  <c r="E412" i="6"/>
  <c r="G414" i="6"/>
  <c r="E414" i="6"/>
  <c r="D414" i="6"/>
  <c r="G409" i="6"/>
  <c r="E409" i="6"/>
  <c r="K409" i="6" s="1"/>
  <c r="D409" i="6"/>
  <c r="G405" i="6"/>
  <c r="E405" i="6"/>
  <c r="D405" i="6"/>
  <c r="G410" i="6"/>
  <c r="E410" i="6"/>
  <c r="D410" i="6"/>
  <c r="G408" i="6"/>
  <c r="E408" i="6"/>
  <c r="D408" i="6"/>
  <c r="G416" i="6"/>
  <c r="E416" i="6"/>
  <c r="K416" i="6" s="1"/>
  <c r="D416" i="6"/>
  <c r="G415" i="6"/>
  <c r="E415" i="6"/>
  <c r="D415" i="6"/>
  <c r="D407" i="6"/>
  <c r="D406" i="6"/>
  <c r="D411" i="6"/>
  <c r="A3" i="9"/>
  <c r="A4" i="9"/>
  <c r="A5" i="9"/>
  <c r="A6" i="9"/>
  <c r="A15" i="9"/>
  <c r="A14" i="9"/>
  <c r="A13" i="9"/>
  <c r="A12" i="9"/>
  <c r="A11" i="9"/>
  <c r="A10" i="9"/>
  <c r="A9" i="9"/>
  <c r="A8" i="9"/>
  <c r="A7" i="9"/>
  <c r="K1288" i="2"/>
  <c r="K1656" i="2"/>
  <c r="K1655" i="2"/>
  <c r="K1654" i="2"/>
  <c r="K1653" i="2"/>
  <c r="K1652" i="2"/>
  <c r="K1651" i="2"/>
  <c r="K1650" i="2"/>
  <c r="K1649" i="2"/>
  <c r="K1648" i="2"/>
  <c r="K1647" i="2"/>
  <c r="K1646" i="2"/>
  <c r="K1645" i="2"/>
  <c r="K1611" i="2"/>
  <c r="K1610" i="2"/>
  <c r="K1609" i="2"/>
  <c r="K1608" i="2"/>
  <c r="K1607" i="2"/>
  <c r="K1606" i="2"/>
  <c r="K1605" i="2"/>
  <c r="K1604" i="2"/>
  <c r="K1603" i="2"/>
  <c r="K1602" i="2"/>
  <c r="K1601" i="2"/>
  <c r="K1600" i="2"/>
  <c r="K1599" i="2"/>
  <c r="K1598" i="2"/>
  <c r="K1597" i="2"/>
  <c r="K1596" i="2"/>
  <c r="K1595" i="2"/>
  <c r="K1594" i="2"/>
  <c r="K1593" i="2"/>
  <c r="K1592" i="2"/>
  <c r="K1591" i="2"/>
  <c r="K1590" i="2"/>
  <c r="K1589" i="2"/>
  <c r="K1588" i="2"/>
  <c r="K1587" i="2"/>
  <c r="K1586" i="2"/>
  <c r="K1585" i="2"/>
  <c r="K1584" i="2"/>
  <c r="K1583" i="2"/>
  <c r="K1582" i="2"/>
  <c r="K1581" i="2"/>
  <c r="K1580" i="2"/>
  <c r="K1579" i="2"/>
  <c r="K1578" i="2"/>
  <c r="K1577" i="2"/>
  <c r="K1576" i="2"/>
  <c r="K1575" i="2"/>
  <c r="K1574" i="2"/>
  <c r="K1573" i="2"/>
  <c r="K1572" i="2"/>
  <c r="K1571" i="2"/>
  <c r="K1570" i="2"/>
  <c r="K1569" i="2"/>
  <c r="K1568" i="2"/>
  <c r="K1567" i="2"/>
  <c r="K1566" i="2"/>
  <c r="K1565" i="2"/>
  <c r="K1563" i="2"/>
  <c r="K1562" i="2"/>
  <c r="K1561" i="2"/>
  <c r="K1560" i="2"/>
  <c r="K1559" i="2"/>
  <c r="K1529" i="2"/>
  <c r="K1558" i="2"/>
  <c r="K1557" i="2"/>
  <c r="K1556" i="2"/>
  <c r="K1555" i="2"/>
  <c r="K1554" i="2"/>
  <c r="K1553" i="2"/>
  <c r="K1552" i="2"/>
  <c r="K1551" i="2"/>
  <c r="K1550" i="2"/>
  <c r="K1549" i="2"/>
  <c r="K1548" i="2"/>
  <c r="K1547" i="2"/>
  <c r="K1546" i="2"/>
  <c r="K1545" i="2"/>
  <c r="K1544" i="2"/>
  <c r="K1543" i="2"/>
  <c r="K1542" i="2"/>
  <c r="K1541" i="2"/>
  <c r="K1540" i="2"/>
  <c r="K1539" i="2"/>
  <c r="K1538" i="2"/>
  <c r="K1537" i="2"/>
  <c r="K1536" i="2"/>
  <c r="K1535" i="2"/>
  <c r="K1534" i="2"/>
  <c r="K1533" i="2"/>
  <c r="K1532" i="2"/>
  <c r="K1531" i="2"/>
  <c r="K1530" i="2"/>
  <c r="K1528" i="2"/>
  <c r="K1527" i="2"/>
  <c r="K1526" i="2"/>
  <c r="K1525" i="2"/>
  <c r="K1524" i="2"/>
  <c r="K1523" i="2"/>
  <c r="K1522" i="2"/>
  <c r="K1521" i="2"/>
  <c r="K1520" i="2"/>
  <c r="K1518" i="2"/>
  <c r="K1517" i="2"/>
  <c r="K1516" i="2"/>
  <c r="K1515" i="2"/>
  <c r="K1514" i="2"/>
  <c r="K1513" i="2"/>
  <c r="K1512" i="2"/>
  <c r="K1511" i="2"/>
  <c r="K1510" i="2"/>
  <c r="K1509" i="2"/>
  <c r="K1508" i="2"/>
  <c r="K1507" i="2"/>
  <c r="K1506" i="2"/>
  <c r="K1505" i="2"/>
  <c r="K1504" i="2"/>
  <c r="K1503" i="2"/>
  <c r="K1502" i="2"/>
  <c r="K1501" i="2"/>
  <c r="K1500" i="2"/>
  <c r="K1499" i="2"/>
  <c r="K1498" i="2"/>
  <c r="K1497" i="2"/>
  <c r="K1496" i="2"/>
  <c r="K1495" i="2"/>
  <c r="K1494" i="2"/>
  <c r="K1493" i="2"/>
  <c r="K1492" i="2"/>
  <c r="K1491" i="2"/>
  <c r="K1490" i="2"/>
  <c r="K1489" i="2"/>
  <c r="K1488" i="2"/>
  <c r="K1487" i="2"/>
  <c r="K1486" i="2"/>
  <c r="K1485" i="2"/>
  <c r="K1484" i="2"/>
  <c r="K1483" i="2"/>
  <c r="K1482" i="2"/>
  <c r="K1481" i="2"/>
  <c r="K1480" i="2"/>
  <c r="K1479" i="2"/>
  <c r="K1478" i="2"/>
  <c r="K1477" i="2"/>
  <c r="K1476" i="2"/>
  <c r="K1475" i="2"/>
  <c r="K1474" i="2"/>
  <c r="K1473" i="2"/>
  <c r="K1472" i="2"/>
  <c r="K1471" i="2"/>
  <c r="K1470" i="2"/>
  <c r="K1469" i="2"/>
  <c r="K1468" i="2"/>
  <c r="K1467" i="2"/>
  <c r="K1466" i="2"/>
  <c r="K1465" i="2"/>
  <c r="K1464" i="2"/>
  <c r="K1463" i="2"/>
  <c r="K1462" i="2"/>
  <c r="K1461" i="2"/>
  <c r="K1460" i="2"/>
  <c r="K1459" i="2"/>
  <c r="K1458" i="2"/>
  <c r="K1457" i="2"/>
  <c r="K1456" i="2"/>
  <c r="K1455" i="2"/>
  <c r="K1454" i="2"/>
  <c r="K1453" i="2"/>
  <c r="K1452" i="2"/>
  <c r="K1451" i="2"/>
  <c r="K1450" i="2"/>
  <c r="K1449" i="2"/>
  <c r="K1448" i="2"/>
  <c r="K1447" i="2"/>
  <c r="K1446" i="2"/>
  <c r="K1445" i="2"/>
  <c r="K1444" i="2"/>
  <c r="K1443" i="2"/>
  <c r="K1442" i="2"/>
  <c r="K1441" i="2"/>
  <c r="K1440" i="2"/>
  <c r="K1439" i="2"/>
  <c r="K1438" i="2"/>
  <c r="K1437" i="2"/>
  <c r="K1436" i="2"/>
  <c r="K1435" i="2"/>
  <c r="K1434" i="2"/>
  <c r="K1433" i="2"/>
  <c r="K1432" i="2"/>
  <c r="K1431" i="2"/>
  <c r="K1430" i="2"/>
  <c r="K1429" i="2"/>
  <c r="K1428" i="2"/>
  <c r="K1427" i="2"/>
  <c r="K1426" i="2"/>
  <c r="K1425" i="2"/>
  <c r="K1424" i="2"/>
  <c r="K1423" i="2"/>
  <c r="K1422" i="2"/>
  <c r="K1421" i="2"/>
  <c r="K1420" i="2"/>
  <c r="K1419" i="2"/>
  <c r="K1418" i="2"/>
  <c r="K1417" i="2"/>
  <c r="K1416" i="2"/>
  <c r="K1415" i="2"/>
  <c r="K1414" i="2"/>
  <c r="K1413" i="2"/>
  <c r="K1412" i="2"/>
  <c r="K1411" i="2"/>
  <c r="K1410" i="2"/>
  <c r="K1409" i="2"/>
  <c r="K1407" i="2"/>
  <c r="K1406" i="2"/>
  <c r="K1405" i="2"/>
  <c r="K1404" i="2"/>
  <c r="K1403" i="2"/>
  <c r="K1402" i="2"/>
  <c r="K1401" i="2"/>
  <c r="K1400" i="2"/>
  <c r="K1399" i="2"/>
  <c r="K1398" i="2"/>
  <c r="K1397" i="2"/>
  <c r="K1396" i="2"/>
  <c r="K1395" i="2"/>
  <c r="K1394" i="2"/>
  <c r="K1393" i="2"/>
  <c r="K1392" i="2"/>
  <c r="K1391" i="2"/>
  <c r="K1390" i="2"/>
  <c r="K1389" i="2"/>
  <c r="K1388" i="2"/>
  <c r="K1387" i="2"/>
  <c r="K1386" i="2"/>
  <c r="K1385" i="2"/>
  <c r="K1384" i="2"/>
  <c r="K1383" i="2"/>
  <c r="K1382" i="2"/>
  <c r="K1381" i="2"/>
  <c r="K1380" i="2"/>
  <c r="K1379" i="2"/>
  <c r="K1378" i="2"/>
  <c r="K1377" i="2"/>
  <c r="K1376" i="2"/>
  <c r="K1375" i="2"/>
  <c r="K1374" i="2"/>
  <c r="K1373" i="2"/>
  <c r="K1372" i="2"/>
  <c r="K1371" i="2"/>
  <c r="K1370" i="2"/>
  <c r="K1369" i="2"/>
  <c r="K1368" i="2"/>
  <c r="K1367" i="2"/>
  <c r="K1366" i="2"/>
  <c r="K1365" i="2"/>
  <c r="K1364" i="2"/>
  <c r="K1363" i="2"/>
  <c r="K1362" i="2"/>
  <c r="K1361" i="2"/>
  <c r="K1360" i="2"/>
  <c r="K1359" i="2"/>
  <c r="K1358" i="2"/>
  <c r="K1357" i="2"/>
  <c r="K1356" i="2"/>
  <c r="K1355" i="2"/>
  <c r="K1354" i="2"/>
  <c r="K1353" i="2"/>
  <c r="K1352" i="2"/>
  <c r="K1351" i="2"/>
  <c r="K1350" i="2"/>
  <c r="K1349" i="2"/>
  <c r="K1348" i="2"/>
  <c r="K1347" i="2"/>
  <c r="K1346" i="2"/>
  <c r="K1345" i="2"/>
  <c r="K1344" i="2"/>
  <c r="K1343" i="2"/>
  <c r="K1342" i="2"/>
  <c r="K1341" i="2"/>
  <c r="K1340" i="2"/>
  <c r="K1339" i="2"/>
  <c r="K1338" i="2"/>
  <c r="K1337" i="2"/>
  <c r="K1336" i="2"/>
  <c r="K1335" i="2"/>
  <c r="K1334" i="2"/>
  <c r="K1333" i="2"/>
  <c r="K1332" i="2"/>
  <c r="K1331" i="2"/>
  <c r="K1330" i="2"/>
  <c r="K1329" i="2"/>
  <c r="K1328" i="2"/>
  <c r="K1327" i="2"/>
  <c r="K1326" i="2"/>
  <c r="K1325" i="2"/>
  <c r="K1324" i="2"/>
  <c r="K1323" i="2"/>
  <c r="K1322" i="2"/>
  <c r="K1321" i="2"/>
  <c r="K1320" i="2"/>
  <c r="K1319" i="2"/>
  <c r="K1318" i="2"/>
  <c r="K1317" i="2"/>
  <c r="K1316" i="2"/>
  <c r="K1315" i="2"/>
  <c r="K1314" i="2"/>
  <c r="K1313" i="2"/>
  <c r="K1312" i="2"/>
  <c r="K1311" i="2"/>
  <c r="K1310" i="2"/>
  <c r="K1309" i="2"/>
  <c r="K1308" i="2"/>
  <c r="K1307" i="2"/>
  <c r="K1306" i="2"/>
  <c r="K1305" i="2"/>
  <c r="K1304" i="2"/>
  <c r="K1303" i="2"/>
  <c r="K1302" i="2"/>
  <c r="K1301" i="2"/>
  <c r="K1300" i="2"/>
  <c r="K1299" i="2"/>
  <c r="K1298" i="2"/>
  <c r="K1297" i="2"/>
  <c r="K1296" i="2"/>
  <c r="K1295" i="2"/>
  <c r="K1294" i="2"/>
  <c r="K1293" i="2"/>
  <c r="K1292" i="2"/>
  <c r="K1291" i="2"/>
  <c r="H358" i="6"/>
  <c r="C21" i="7"/>
  <c r="E349" i="6"/>
  <c r="K1290" i="2"/>
  <c r="K1289" i="2"/>
  <c r="K1287" i="2"/>
  <c r="K1286" i="2"/>
  <c r="K1285" i="2"/>
  <c r="K1284" i="2"/>
  <c r="K1283" i="2"/>
  <c r="K1282" i="2"/>
  <c r="K1281" i="2"/>
  <c r="K1280" i="2"/>
  <c r="K1279" i="2"/>
  <c r="K1278" i="2"/>
  <c r="K1277" i="2"/>
  <c r="K1276" i="2"/>
  <c r="K1275" i="2"/>
  <c r="K1274" i="2"/>
  <c r="K1273" i="2"/>
  <c r="K1272" i="2"/>
  <c r="K1271" i="2"/>
  <c r="K1270" i="2"/>
  <c r="K1269" i="2"/>
  <c r="K1268" i="2"/>
  <c r="K1267" i="2"/>
  <c r="K1266" i="2"/>
  <c r="K1265" i="2"/>
  <c r="K1264" i="2"/>
  <c r="K1263" i="2"/>
  <c r="K1262" i="2"/>
  <c r="K1261" i="2"/>
  <c r="K1260" i="2"/>
  <c r="K1259" i="2"/>
  <c r="K1258" i="2"/>
  <c r="K1257" i="2"/>
  <c r="K1256" i="2"/>
  <c r="K1255" i="2"/>
  <c r="K1254" i="2"/>
  <c r="K1253" i="2"/>
  <c r="K1252" i="2"/>
  <c r="K1251" i="2"/>
  <c r="K1250" i="2"/>
  <c r="K1249" i="2"/>
  <c r="K1248" i="2"/>
  <c r="K1247" i="2"/>
  <c r="K1246" i="2"/>
  <c r="K1245" i="2"/>
  <c r="K1244" i="2"/>
  <c r="K1243" i="2"/>
  <c r="K1242" i="2"/>
  <c r="K1241" i="2"/>
  <c r="K1240" i="2"/>
  <c r="K1239" i="2"/>
  <c r="K1238" i="2"/>
  <c r="K1237" i="2"/>
  <c r="K1236" i="2"/>
  <c r="K1235" i="2"/>
  <c r="K1234" i="2"/>
  <c r="K1233" i="2"/>
  <c r="K1232" i="2"/>
  <c r="K1231" i="2"/>
  <c r="K1230" i="2"/>
  <c r="K1229" i="2"/>
  <c r="K1228" i="2"/>
  <c r="K1227" i="2"/>
  <c r="K1226" i="2"/>
  <c r="K1225" i="2"/>
  <c r="K1224" i="2"/>
  <c r="K1223" i="2"/>
  <c r="K1222" i="2"/>
  <c r="J1218" i="2"/>
  <c r="K1218" i="2" s="1"/>
  <c r="K1217" i="2"/>
  <c r="K1216" i="2"/>
  <c r="K1215" i="2"/>
  <c r="K1214" i="2"/>
  <c r="K1213" i="2"/>
  <c r="K1212" i="2"/>
  <c r="K1211" i="2"/>
  <c r="K1210" i="2"/>
  <c r="K1209" i="2"/>
  <c r="K1208" i="2"/>
  <c r="K1207" i="2"/>
  <c r="K1206" i="2"/>
  <c r="K1205" i="2"/>
  <c r="K1204" i="2"/>
  <c r="K1203" i="2"/>
  <c r="K1202" i="2"/>
  <c r="K1201" i="2"/>
  <c r="K1200" i="2"/>
  <c r="K1199" i="2"/>
  <c r="K1198" i="2"/>
  <c r="K1197" i="2"/>
  <c r="K1196" i="2"/>
  <c r="K1195" i="2"/>
  <c r="K1194" i="2"/>
  <c r="K1193" i="2"/>
  <c r="K1192" i="2"/>
  <c r="K1191" i="2"/>
  <c r="K1190" i="2"/>
  <c r="K1189" i="2"/>
  <c r="K1186" i="2"/>
  <c r="K1182" i="2"/>
  <c r="K1181" i="2"/>
  <c r="K1180" i="2"/>
  <c r="K1179" i="2"/>
  <c r="K1178" i="2"/>
  <c r="K1177" i="2"/>
  <c r="K1176" i="2"/>
  <c r="K1175" i="2"/>
  <c r="K1174" i="2"/>
  <c r="K1173" i="2"/>
  <c r="K1172" i="2"/>
  <c r="K1171" i="2"/>
  <c r="K1170" i="2"/>
  <c r="K1169" i="2"/>
  <c r="K1168" i="2"/>
  <c r="K1167" i="2"/>
  <c r="K1165" i="2"/>
  <c r="K1164" i="2"/>
  <c r="K1158" i="2"/>
  <c r="K1156" i="2"/>
  <c r="K1155" i="2"/>
  <c r="K1154" i="2"/>
  <c r="K1153" i="2"/>
  <c r="K1150" i="2"/>
  <c r="K1148" i="2"/>
  <c r="K1147" i="2"/>
  <c r="K1146" i="2"/>
  <c r="K1129" i="2"/>
  <c r="R773" i="2"/>
  <c r="R869" i="2"/>
  <c r="J1219" i="2"/>
  <c r="K1219" i="2" s="1"/>
  <c r="G356" i="6"/>
  <c r="E356" i="6"/>
  <c r="D356" i="6"/>
  <c r="K356" i="6" s="1"/>
  <c r="G354" i="6"/>
  <c r="E354" i="6"/>
  <c r="D354" i="6"/>
  <c r="G348" i="6"/>
  <c r="E348" i="6"/>
  <c r="D348" i="6"/>
  <c r="K348" i="6" s="1"/>
  <c r="G352" i="6"/>
  <c r="E352" i="6"/>
  <c r="D352" i="6"/>
  <c r="G342" i="6"/>
  <c r="E342" i="6"/>
  <c r="D342" i="6"/>
  <c r="K342" i="6" s="1"/>
  <c r="G355" i="6"/>
  <c r="D355" i="6"/>
  <c r="E355" i="6"/>
  <c r="G350" i="6"/>
  <c r="E350" i="6"/>
  <c r="D350" i="6"/>
  <c r="K350" i="6" s="1"/>
  <c r="G360" i="6"/>
  <c r="E360" i="6"/>
  <c r="D360" i="6"/>
  <c r="G351" i="6"/>
  <c r="E351" i="6"/>
  <c r="D351" i="6"/>
  <c r="K351" i="6" s="1"/>
  <c r="G343" i="6"/>
  <c r="E343" i="6"/>
  <c r="D343" i="6"/>
  <c r="G345" i="6"/>
  <c r="E345" i="6"/>
  <c r="D345" i="6"/>
  <c r="K345" i="6" s="1"/>
  <c r="G359" i="6"/>
  <c r="E359" i="6"/>
  <c r="D359" i="6"/>
  <c r="G341" i="6"/>
  <c r="E341" i="6"/>
  <c r="D341" i="6"/>
  <c r="K341" i="6" s="1"/>
  <c r="G346" i="6"/>
  <c r="E346" i="6"/>
  <c r="D346" i="6"/>
  <c r="G358" i="6"/>
  <c r="E358" i="6"/>
  <c r="D358" i="6"/>
  <c r="K358" i="6" s="1"/>
  <c r="G357" i="6"/>
  <c r="E357" i="6"/>
  <c r="D357" i="6"/>
  <c r="G344" i="6"/>
  <c r="E344" i="6"/>
  <c r="D344" i="6"/>
  <c r="K344" i="6" s="1"/>
  <c r="G340" i="6"/>
  <c r="E340" i="6"/>
  <c r="D340" i="6"/>
  <c r="G335" i="6"/>
  <c r="E335" i="6"/>
  <c r="D335" i="6"/>
  <c r="K335" i="6" s="1"/>
  <c r="G332" i="6"/>
  <c r="E332" i="6"/>
  <c r="D332" i="6"/>
  <c r="G333" i="6"/>
  <c r="E333" i="6"/>
  <c r="D333" i="6"/>
  <c r="G337" i="6"/>
  <c r="E337" i="6"/>
  <c r="D337" i="6"/>
  <c r="G339" i="6"/>
  <c r="E339" i="6"/>
  <c r="D339" i="6"/>
  <c r="K339" i="6" s="1"/>
  <c r="G331" i="6"/>
  <c r="E331" i="6"/>
  <c r="D331" i="6"/>
  <c r="G338" i="6"/>
  <c r="E338" i="6"/>
  <c r="D338" i="6"/>
  <c r="K338" i="6" s="1"/>
  <c r="G334" i="6"/>
  <c r="E334" i="6"/>
  <c r="D334" i="6"/>
  <c r="G330" i="6"/>
  <c r="E330" i="6"/>
  <c r="D330" i="6"/>
  <c r="G336" i="6"/>
  <c r="E336" i="6"/>
  <c r="D336" i="6"/>
  <c r="G325" i="6"/>
  <c r="E325" i="6"/>
  <c r="D325" i="6"/>
  <c r="K325" i="6" s="1"/>
  <c r="G329" i="6"/>
  <c r="E329" i="6"/>
  <c r="D329" i="6"/>
  <c r="G324" i="6"/>
  <c r="E324" i="6"/>
  <c r="D324" i="6"/>
  <c r="K324" i="6" s="1"/>
  <c r="G318" i="6"/>
  <c r="E318" i="6"/>
  <c r="D318" i="6"/>
  <c r="G328" i="6"/>
  <c r="E328" i="6"/>
  <c r="D328" i="6"/>
  <c r="K328" i="6" s="1"/>
  <c r="G326" i="6"/>
  <c r="E326" i="6"/>
  <c r="D326" i="6"/>
  <c r="G320" i="6"/>
  <c r="E320" i="6"/>
  <c r="D320" i="6"/>
  <c r="K320" i="6" s="1"/>
  <c r="G327" i="6"/>
  <c r="E327" i="6"/>
  <c r="K327" i="6" s="1"/>
  <c r="D327" i="6"/>
  <c r="G321" i="6"/>
  <c r="E321" i="6"/>
  <c r="D321" i="6"/>
  <c r="K321" i="6" s="1"/>
  <c r="G323" i="6"/>
  <c r="E323" i="6"/>
  <c r="D323" i="6"/>
  <c r="G322" i="6"/>
  <c r="E322" i="6"/>
  <c r="D322" i="6"/>
  <c r="K322" i="6" s="1"/>
  <c r="G319" i="6"/>
  <c r="E319" i="6"/>
  <c r="D319" i="6"/>
  <c r="G377" i="6"/>
  <c r="E377" i="6"/>
  <c r="D377" i="6"/>
  <c r="K377" i="6" s="1"/>
  <c r="G385" i="6"/>
  <c r="E385" i="6"/>
  <c r="D385" i="6"/>
  <c r="G362" i="6"/>
  <c r="E362" i="6"/>
  <c r="D362" i="6"/>
  <c r="K362" i="6" s="1"/>
  <c r="G368" i="6"/>
  <c r="E368" i="6"/>
  <c r="D368" i="6"/>
  <c r="G372" i="6"/>
  <c r="E372" i="6"/>
  <c r="D372" i="6"/>
  <c r="K372" i="6" s="1"/>
  <c r="G363" i="6"/>
  <c r="E363" i="6"/>
  <c r="D363" i="6"/>
  <c r="D365" i="6"/>
  <c r="K365" i="6" s="1"/>
  <c r="G373" i="6"/>
  <c r="E373" i="6"/>
  <c r="K373" i="6" s="1"/>
  <c r="D373" i="6"/>
  <c r="G370" i="6"/>
  <c r="E370" i="6"/>
  <c r="D370" i="6"/>
  <c r="G361" i="6"/>
  <c r="E361" i="6"/>
  <c r="K361" i="6" s="1"/>
  <c r="D361" i="6"/>
  <c r="G371" i="6"/>
  <c r="E371" i="6"/>
  <c r="D371" i="6"/>
  <c r="G367" i="6"/>
  <c r="E367" i="6"/>
  <c r="K367" i="6" s="1"/>
  <c r="D367" i="6"/>
  <c r="D364" i="6"/>
  <c r="K364" i="6" s="1"/>
  <c r="G369" i="6"/>
  <c r="E369" i="6"/>
  <c r="D369" i="6"/>
  <c r="G366" i="6"/>
  <c r="E366" i="6"/>
  <c r="D366" i="6"/>
  <c r="D347" i="6"/>
  <c r="K347" i="6" s="1"/>
  <c r="G349" i="6"/>
  <c r="D349" i="6"/>
  <c r="G353" i="6"/>
  <c r="E353" i="6"/>
  <c r="D353" i="6"/>
  <c r="G384" i="6"/>
  <c r="E384" i="6"/>
  <c r="D384" i="6"/>
  <c r="G387" i="6"/>
  <c r="E387" i="6"/>
  <c r="D387" i="6"/>
  <c r="G383" i="6"/>
  <c r="E383" i="6"/>
  <c r="D383" i="6"/>
  <c r="G378" i="6"/>
  <c r="E378" i="6"/>
  <c r="D378" i="6"/>
  <c r="G375" i="6"/>
  <c r="E375" i="6"/>
  <c r="D375" i="6"/>
  <c r="G376" i="6"/>
  <c r="E376" i="6"/>
  <c r="D376" i="6"/>
  <c r="G374" i="6"/>
  <c r="E374" i="6"/>
  <c r="D374" i="6"/>
  <c r="G386" i="6"/>
  <c r="E386" i="6"/>
  <c r="D386" i="6"/>
  <c r="G381" i="6"/>
  <c r="E381" i="6"/>
  <c r="D381" i="6"/>
  <c r="G382" i="6"/>
  <c r="E382" i="6"/>
  <c r="D382" i="6"/>
  <c r="G380" i="6"/>
  <c r="E380" i="6"/>
  <c r="D380" i="6"/>
  <c r="J1084" i="2"/>
  <c r="J1082" i="2"/>
  <c r="J1037" i="2"/>
  <c r="J1031" i="2"/>
  <c r="J997" i="2"/>
  <c r="H284" i="6"/>
  <c r="J934" i="2"/>
  <c r="J932" i="2"/>
  <c r="J931" i="2"/>
  <c r="J915" i="2"/>
  <c r="J916" i="2"/>
  <c r="D265" i="6"/>
  <c r="D268" i="6"/>
  <c r="D275" i="6"/>
  <c r="K275" i="6" s="1"/>
  <c r="D263" i="6"/>
  <c r="D276" i="6"/>
  <c r="D264" i="6"/>
  <c r="K264" i="6" s="1"/>
  <c r="D269" i="6"/>
  <c r="H257" i="6"/>
  <c r="H252" i="6"/>
  <c r="Q843" i="2"/>
  <c r="K195" i="6"/>
  <c r="C20" i="7"/>
  <c r="C19" i="7"/>
  <c r="C18" i="7"/>
  <c r="C17" i="7"/>
  <c r="C16" i="7"/>
  <c r="C15" i="7"/>
  <c r="C14" i="7"/>
  <c r="C13" i="7"/>
  <c r="C12" i="7"/>
  <c r="C11" i="7"/>
  <c r="H205" i="6"/>
  <c r="J443" i="2"/>
  <c r="J509" i="2"/>
  <c r="J510" i="2"/>
  <c r="J630" i="2"/>
  <c r="J703" i="2"/>
  <c r="J758" i="2"/>
  <c r="G630" i="6"/>
  <c r="G512" i="6"/>
  <c r="G510" i="6"/>
  <c r="G521" i="6"/>
  <c r="G509" i="6"/>
  <c r="G527" i="6"/>
  <c r="G513" i="6"/>
  <c r="G411" i="6"/>
  <c r="E411" i="6"/>
  <c r="G406" i="6"/>
  <c r="E406" i="6"/>
  <c r="G407" i="6"/>
  <c r="E407" i="6"/>
  <c r="G379" i="6"/>
  <c r="E379" i="6"/>
  <c r="D379" i="6"/>
  <c r="K379" i="6" s="1"/>
  <c r="K311" i="6"/>
  <c r="G314" i="6"/>
  <c r="E314" i="6"/>
  <c r="D314" i="6"/>
  <c r="G307" i="6"/>
  <c r="E307" i="6"/>
  <c r="K307" i="6" s="1"/>
  <c r="D307" i="6"/>
  <c r="G304" i="6"/>
  <c r="E304" i="6"/>
  <c r="D304" i="6"/>
  <c r="G316" i="6"/>
  <c r="E316" i="6"/>
  <c r="K316" i="6" s="1"/>
  <c r="D316" i="6"/>
  <c r="G312" i="6"/>
  <c r="E312" i="6"/>
  <c r="D312" i="6"/>
  <c r="G306" i="6"/>
  <c r="E306" i="6"/>
  <c r="K306" i="6" s="1"/>
  <c r="D306" i="6"/>
  <c r="G315" i="6"/>
  <c r="E315" i="6"/>
  <c r="D315" i="6"/>
  <c r="G303" i="6"/>
  <c r="E303" i="6"/>
  <c r="K303" i="6" s="1"/>
  <c r="D303" i="6"/>
  <c r="G313" i="6"/>
  <c r="E313" i="6"/>
  <c r="D313" i="6"/>
  <c r="G309" i="6"/>
  <c r="E309" i="6"/>
  <c r="K309" i="6" s="1"/>
  <c r="D309" i="6"/>
  <c r="G308" i="6"/>
  <c r="E308" i="6"/>
  <c r="D308" i="6"/>
  <c r="G317" i="6"/>
  <c r="E317" i="6"/>
  <c r="K317" i="6" s="1"/>
  <c r="D317" i="6"/>
  <c r="G305" i="6"/>
  <c r="E305" i="6"/>
  <c r="D305" i="6"/>
  <c r="G297" i="6"/>
  <c r="E297" i="6"/>
  <c r="K297" i="6" s="1"/>
  <c r="D297" i="6"/>
  <c r="D296" i="6"/>
  <c r="K296" i="6" s="1"/>
  <c r="G302" i="6"/>
  <c r="E302" i="6"/>
  <c r="D302" i="6"/>
  <c r="G301" i="6"/>
  <c r="E301" i="6"/>
  <c r="D301" i="6"/>
  <c r="G295" i="6"/>
  <c r="E295" i="6"/>
  <c r="D295" i="6"/>
  <c r="G300" i="6"/>
  <c r="E300" i="6"/>
  <c r="D300" i="6"/>
  <c r="G298" i="6"/>
  <c r="E298" i="6"/>
  <c r="K298" i="6" s="1"/>
  <c r="D298" i="6"/>
  <c r="G299" i="6"/>
  <c r="E299" i="6"/>
  <c r="D299" i="6"/>
  <c r="K299" i="6" s="1"/>
  <c r="G291" i="6"/>
  <c r="E291" i="6"/>
  <c r="D291" i="6"/>
  <c r="D294" i="6"/>
  <c r="K294" i="6" s="1"/>
  <c r="G289" i="6"/>
  <c r="E289" i="6"/>
  <c r="D289" i="6"/>
  <c r="G285" i="6"/>
  <c r="E285" i="6"/>
  <c r="D285" i="6"/>
  <c r="K285" i="6" s="1"/>
  <c r="G286" i="6"/>
  <c r="E286" i="6"/>
  <c r="D286" i="6"/>
  <c r="D290" i="6"/>
  <c r="K290" i="6" s="1"/>
  <c r="G288" i="6"/>
  <c r="E288" i="6"/>
  <c r="K288" i="6" s="1"/>
  <c r="D288" i="6"/>
  <c r="G287" i="6"/>
  <c r="E287" i="6"/>
  <c r="D287" i="6"/>
  <c r="G293" i="6"/>
  <c r="E293" i="6"/>
  <c r="K293" i="6" s="1"/>
  <c r="D293" i="6"/>
  <c r="G292" i="6"/>
  <c r="E292" i="6"/>
  <c r="D292" i="6"/>
  <c r="G277" i="6"/>
  <c r="E277" i="6"/>
  <c r="K277" i="6" s="1"/>
  <c r="D277" i="6"/>
  <c r="G282" i="6"/>
  <c r="E282" i="6"/>
  <c r="D282" i="6"/>
  <c r="G281" i="6"/>
  <c r="E281" i="6"/>
  <c r="K281" i="6" s="1"/>
  <c r="D281" i="6"/>
  <c r="G283" i="6"/>
  <c r="E283" i="6"/>
  <c r="D283" i="6"/>
  <c r="G278" i="6"/>
  <c r="E278" i="6"/>
  <c r="K278" i="6" s="1"/>
  <c r="D278" i="6"/>
  <c r="G279" i="6"/>
  <c r="E279" i="6"/>
  <c r="D279" i="6"/>
  <c r="G280" i="6"/>
  <c r="E280" i="6"/>
  <c r="D280" i="6"/>
  <c r="G284" i="6"/>
  <c r="E284" i="6"/>
  <c r="D284" i="6"/>
  <c r="G267" i="6"/>
  <c r="E267" i="6"/>
  <c r="D267" i="6"/>
  <c r="G266" i="6"/>
  <c r="E266" i="6"/>
  <c r="D266" i="6"/>
  <c r="G274" i="6"/>
  <c r="E274" i="6"/>
  <c r="D274" i="6"/>
  <c r="G272" i="6"/>
  <c r="E272" i="6"/>
  <c r="D272" i="6"/>
  <c r="G271" i="6"/>
  <c r="E271" i="6"/>
  <c r="D271" i="6"/>
  <c r="G269" i="6"/>
  <c r="E269" i="6"/>
  <c r="G276" i="6"/>
  <c r="E276" i="6"/>
  <c r="G263" i="6"/>
  <c r="E263" i="6"/>
  <c r="G268" i="6"/>
  <c r="E268" i="6"/>
  <c r="G265" i="6"/>
  <c r="K265" i="6" s="1"/>
  <c r="E265" i="6"/>
  <c r="G273" i="6"/>
  <c r="E273" i="6"/>
  <c r="D273" i="6"/>
  <c r="G270" i="6"/>
  <c r="E270" i="6"/>
  <c r="D270" i="6"/>
  <c r="G250" i="6"/>
  <c r="E250" i="6"/>
  <c r="D250" i="6"/>
  <c r="G253" i="6"/>
  <c r="E253" i="6"/>
  <c r="D253" i="6"/>
  <c r="G257" i="6"/>
  <c r="E257" i="6"/>
  <c r="D257" i="6"/>
  <c r="G249" i="6"/>
  <c r="E249" i="6"/>
  <c r="K249" i="6" s="1"/>
  <c r="D249" i="6"/>
  <c r="G254" i="6"/>
  <c r="E254" i="6"/>
  <c r="D254" i="6"/>
  <c r="G258" i="6"/>
  <c r="E258" i="6"/>
  <c r="D258" i="6"/>
  <c r="G248" i="6"/>
  <c r="E248" i="6"/>
  <c r="D248" i="6"/>
  <c r="G262" i="6"/>
  <c r="E262" i="6"/>
  <c r="D262" i="6"/>
  <c r="G251" i="6"/>
  <c r="E251" i="6"/>
  <c r="D251" i="6"/>
  <c r="G261" i="6"/>
  <c r="E261" i="6"/>
  <c r="D261" i="6"/>
  <c r="G252" i="6"/>
  <c r="E252" i="6"/>
  <c r="D252" i="6"/>
  <c r="G245" i="6"/>
  <c r="E245" i="6"/>
  <c r="D245" i="6"/>
  <c r="G244" i="6"/>
  <c r="E244" i="6"/>
  <c r="D244" i="6"/>
  <c r="G247" i="6"/>
  <c r="E247" i="6"/>
  <c r="D247" i="6"/>
  <c r="G259" i="6"/>
  <c r="E259" i="6"/>
  <c r="D259" i="6"/>
  <c r="G255" i="6"/>
  <c r="E255" i="6"/>
  <c r="D255" i="6"/>
  <c r="G243" i="6"/>
  <c r="E243" i="6"/>
  <c r="D243" i="6"/>
  <c r="G242" i="6"/>
  <c r="E242" i="6"/>
  <c r="D242" i="6"/>
  <c r="G246" i="6"/>
  <c r="E246" i="6"/>
  <c r="D246" i="6"/>
  <c r="G256" i="6"/>
  <c r="E256" i="6"/>
  <c r="D256" i="6"/>
  <c r="G260" i="6"/>
  <c r="E260" i="6"/>
  <c r="D260" i="6"/>
  <c r="G234" i="6"/>
  <c r="E234" i="6"/>
  <c r="D234" i="6"/>
  <c r="G237" i="6"/>
  <c r="E237" i="6"/>
  <c r="D237" i="6"/>
  <c r="G236" i="6"/>
  <c r="E236" i="6"/>
  <c r="D236" i="6"/>
  <c r="G235" i="6"/>
  <c r="E235" i="6"/>
  <c r="D235" i="6"/>
  <c r="G238" i="6"/>
  <c r="E238" i="6"/>
  <c r="D238" i="6"/>
  <c r="G233" i="6"/>
  <c r="E233" i="6"/>
  <c r="D233" i="6"/>
  <c r="G239" i="6"/>
  <c r="E239" i="6"/>
  <c r="D239" i="6"/>
  <c r="G230" i="6"/>
  <c r="E230" i="6"/>
  <c r="D230" i="6"/>
  <c r="G228" i="6"/>
  <c r="E228" i="6"/>
  <c r="D228" i="6"/>
  <c r="G241" i="6"/>
  <c r="E241" i="6"/>
  <c r="D241" i="6"/>
  <c r="G231" i="6"/>
  <c r="E231" i="6"/>
  <c r="D231" i="6"/>
  <c r="K231" i="6" s="1"/>
  <c r="G240" i="6"/>
  <c r="E240" i="6"/>
  <c r="D240" i="6"/>
  <c r="G227" i="6"/>
  <c r="E227" i="6"/>
  <c r="D227" i="6"/>
  <c r="G229" i="6"/>
  <c r="E229" i="6"/>
  <c r="D229" i="6"/>
  <c r="G232" i="6"/>
  <c r="E232" i="6"/>
  <c r="D232" i="6"/>
  <c r="G215" i="6"/>
  <c r="E215" i="6"/>
  <c r="D215" i="6"/>
  <c r="G218" i="6"/>
  <c r="E218" i="6"/>
  <c r="D218" i="6"/>
  <c r="G224" i="6"/>
  <c r="E224" i="6"/>
  <c r="D224" i="6"/>
  <c r="G216" i="6"/>
  <c r="E216" i="6"/>
  <c r="D216" i="6"/>
  <c r="G221" i="6"/>
  <c r="E221" i="6"/>
  <c r="D221" i="6"/>
  <c r="G219" i="6"/>
  <c r="E219" i="6"/>
  <c r="D219" i="6"/>
  <c r="G223" i="6"/>
  <c r="E223" i="6"/>
  <c r="D223" i="6"/>
  <c r="G220" i="6"/>
  <c r="E220" i="6"/>
  <c r="D220" i="6"/>
  <c r="G222" i="6"/>
  <c r="E222" i="6"/>
  <c r="D222" i="6"/>
  <c r="D213" i="6"/>
  <c r="K213" i="6" s="1"/>
  <c r="G226" i="6"/>
  <c r="E226" i="6"/>
  <c r="D226" i="6"/>
  <c r="G217" i="6"/>
  <c r="E217" i="6"/>
  <c r="D217" i="6"/>
  <c r="G212" i="6"/>
  <c r="E212" i="6"/>
  <c r="D212" i="6"/>
  <c r="G225" i="6"/>
  <c r="E225" i="6"/>
  <c r="D225" i="6"/>
  <c r="G214" i="6"/>
  <c r="E214" i="6"/>
  <c r="D214" i="6"/>
  <c r="G207" i="6"/>
  <c r="E207" i="6"/>
  <c r="D207" i="6"/>
  <c r="G202" i="6"/>
  <c r="E202" i="6"/>
  <c r="D202" i="6"/>
  <c r="G206" i="6"/>
  <c r="E206" i="6"/>
  <c r="D206" i="6"/>
  <c r="G208" i="6"/>
  <c r="E208" i="6"/>
  <c r="D208" i="6"/>
  <c r="G205" i="6"/>
  <c r="E205" i="6"/>
  <c r="D205" i="6"/>
  <c r="G210" i="6"/>
  <c r="E210" i="6"/>
  <c r="D210" i="6"/>
  <c r="G203" i="6"/>
  <c r="E203" i="6"/>
  <c r="K203" i="6" s="1"/>
  <c r="D203" i="6"/>
  <c r="G201" i="6"/>
  <c r="E201" i="6"/>
  <c r="D201" i="6"/>
  <c r="G204" i="6"/>
  <c r="E204" i="6"/>
  <c r="K204" i="6" s="1"/>
  <c r="D204" i="6"/>
  <c r="G199" i="6"/>
  <c r="E199" i="6"/>
  <c r="D199" i="6"/>
  <c r="G198" i="6"/>
  <c r="E198" i="6"/>
  <c r="D198" i="6"/>
  <c r="G211" i="6"/>
  <c r="E211" i="6"/>
  <c r="D211" i="6"/>
  <c r="G200" i="6"/>
  <c r="E200" i="6"/>
  <c r="D200" i="6"/>
  <c r="G197" i="6"/>
  <c r="E197" i="6"/>
  <c r="D197" i="6"/>
  <c r="G194" i="6"/>
  <c r="D194" i="6"/>
  <c r="E194" i="6"/>
  <c r="G193" i="6"/>
  <c r="E193" i="6"/>
  <c r="D193" i="6"/>
  <c r="G192" i="6"/>
  <c r="E192" i="6"/>
  <c r="K192" i="6" s="1"/>
  <c r="D192" i="6"/>
  <c r="G191" i="6"/>
  <c r="E191" i="6"/>
  <c r="D191" i="6"/>
  <c r="G190" i="6"/>
  <c r="E190" i="6"/>
  <c r="D190" i="6"/>
  <c r="G189" i="6"/>
  <c r="E189" i="6"/>
  <c r="D189" i="6"/>
  <c r="G188" i="6"/>
  <c r="E188" i="6"/>
  <c r="D188" i="6"/>
  <c r="G187" i="6"/>
  <c r="E187" i="6"/>
  <c r="D187" i="6"/>
  <c r="G186" i="6"/>
  <c r="E186" i="6"/>
  <c r="D186" i="6"/>
  <c r="G185" i="6"/>
  <c r="E185" i="6"/>
  <c r="D185" i="6"/>
  <c r="G184" i="6"/>
  <c r="E184" i="6"/>
  <c r="D184" i="6"/>
  <c r="G183" i="6"/>
  <c r="E183" i="6"/>
  <c r="D183" i="6"/>
  <c r="G182" i="6"/>
  <c r="D182" i="6"/>
  <c r="E182" i="6"/>
  <c r="G181" i="6"/>
  <c r="E181" i="6"/>
  <c r="D181" i="6"/>
  <c r="K181" i="6" s="1"/>
  <c r="G180" i="6"/>
  <c r="E180" i="6"/>
  <c r="K180" i="6" s="1"/>
  <c r="D180" i="6"/>
  <c r="G179" i="6"/>
  <c r="E179" i="6"/>
  <c r="D179" i="6"/>
  <c r="G178" i="6"/>
  <c r="E178" i="6"/>
  <c r="D178" i="6"/>
  <c r="G177" i="6"/>
  <c r="E177" i="6"/>
  <c r="D177" i="6"/>
  <c r="G176" i="6"/>
  <c r="E176" i="6"/>
  <c r="D176" i="6"/>
  <c r="G175" i="6"/>
  <c r="E175" i="6"/>
  <c r="D175" i="6"/>
  <c r="G174" i="6"/>
  <c r="E174" i="6"/>
  <c r="D174" i="6"/>
  <c r="G173" i="6"/>
  <c r="E173" i="6"/>
  <c r="D173" i="6"/>
  <c r="K173" i="6" s="1"/>
  <c r="G172" i="6"/>
  <c r="E172" i="6"/>
  <c r="D172" i="6"/>
  <c r="G171" i="6"/>
  <c r="E171" i="6"/>
  <c r="D171" i="6"/>
  <c r="G170" i="6"/>
  <c r="E170" i="6"/>
  <c r="D170" i="6"/>
  <c r="G169" i="6"/>
  <c r="E169" i="6"/>
  <c r="D169" i="6"/>
  <c r="G168" i="6"/>
  <c r="E168" i="6"/>
  <c r="D168" i="6"/>
  <c r="G167" i="6"/>
  <c r="E167" i="6"/>
  <c r="D167" i="6"/>
  <c r="G166" i="6"/>
  <c r="E166" i="6"/>
  <c r="D166" i="6"/>
  <c r="G165" i="6"/>
  <c r="E165" i="6"/>
  <c r="D165" i="6"/>
  <c r="G164" i="6"/>
  <c r="E164" i="6"/>
  <c r="D164" i="6"/>
  <c r="G163" i="6"/>
  <c r="E163" i="6"/>
  <c r="D163" i="6"/>
  <c r="G162" i="6"/>
  <c r="D162" i="6"/>
  <c r="E162" i="6"/>
  <c r="G161" i="6"/>
  <c r="E161" i="6"/>
  <c r="D161" i="6"/>
  <c r="G160" i="6"/>
  <c r="D160" i="6"/>
  <c r="E160" i="6"/>
  <c r="G159" i="6"/>
  <c r="E159" i="6"/>
  <c r="D159" i="6"/>
  <c r="G158" i="6"/>
  <c r="E158" i="6"/>
  <c r="D158" i="6"/>
  <c r="G157" i="6"/>
  <c r="E157" i="6"/>
  <c r="D157" i="6"/>
  <c r="G156" i="6"/>
  <c r="E156" i="6"/>
  <c r="D156" i="6"/>
  <c r="G155" i="6"/>
  <c r="E155" i="6"/>
  <c r="D155" i="6"/>
  <c r="G154" i="6"/>
  <c r="E154" i="6"/>
  <c r="D154" i="6"/>
  <c r="G153" i="6"/>
  <c r="E153" i="6"/>
  <c r="D153" i="6"/>
  <c r="G152" i="6"/>
  <c r="E152" i="6"/>
  <c r="D152" i="6"/>
  <c r="G151" i="6"/>
  <c r="E151" i="6"/>
  <c r="D151" i="6"/>
  <c r="G150" i="6"/>
  <c r="D150" i="6"/>
  <c r="K150" i="6" s="1"/>
  <c r="E150" i="6"/>
  <c r="G149" i="6"/>
  <c r="E149" i="6"/>
  <c r="D149" i="6"/>
  <c r="G148" i="6"/>
  <c r="E148" i="6"/>
  <c r="D148" i="6"/>
  <c r="G147" i="6"/>
  <c r="E147" i="6"/>
  <c r="D147" i="6"/>
  <c r="D146" i="6"/>
  <c r="K146" i="6" s="1"/>
  <c r="G145" i="6"/>
  <c r="E145" i="6"/>
  <c r="D145" i="6"/>
  <c r="G144" i="6"/>
  <c r="E144" i="6"/>
  <c r="D144" i="6"/>
  <c r="G143" i="6"/>
  <c r="E143" i="6"/>
  <c r="D143" i="6"/>
  <c r="G142" i="6"/>
  <c r="E142" i="6"/>
  <c r="D142" i="6"/>
  <c r="G141" i="6"/>
  <c r="E141" i="6"/>
  <c r="D141" i="6"/>
  <c r="G140" i="6"/>
  <c r="E140" i="6"/>
  <c r="D140" i="6"/>
  <c r="G139" i="6"/>
  <c r="E139" i="6"/>
  <c r="D139" i="6"/>
  <c r="G138" i="6"/>
  <c r="E138" i="6"/>
  <c r="D138" i="6"/>
  <c r="G137" i="6"/>
  <c r="E137" i="6"/>
  <c r="D137" i="6"/>
  <c r="D135" i="6"/>
  <c r="K135" i="6" s="1"/>
  <c r="G134" i="6"/>
  <c r="E134" i="6"/>
  <c r="D134" i="6"/>
  <c r="G133" i="6"/>
  <c r="E133" i="6"/>
  <c r="D133" i="6"/>
  <c r="G132" i="6"/>
  <c r="E132" i="6"/>
  <c r="D132" i="6"/>
  <c r="G131" i="6"/>
  <c r="E131" i="6"/>
  <c r="D131" i="6"/>
  <c r="G130" i="6"/>
  <c r="E130" i="6"/>
  <c r="D130" i="6"/>
  <c r="G129" i="6"/>
  <c r="E129" i="6"/>
  <c r="D129" i="6"/>
  <c r="G128" i="6"/>
  <c r="E128" i="6"/>
  <c r="D128" i="6"/>
  <c r="G127" i="6"/>
  <c r="E127" i="6"/>
  <c r="D127" i="6"/>
  <c r="G126" i="6"/>
  <c r="E126" i="6"/>
  <c r="D126" i="6"/>
  <c r="G125" i="6"/>
  <c r="E125" i="6"/>
  <c r="D125" i="6"/>
  <c r="G124" i="6"/>
  <c r="E124" i="6"/>
  <c r="D124" i="6"/>
  <c r="G123" i="6"/>
  <c r="E123" i="6"/>
  <c r="D123" i="6"/>
  <c r="G122" i="6"/>
  <c r="E122" i="6"/>
  <c r="D122" i="6"/>
  <c r="G121" i="6"/>
  <c r="E121" i="6"/>
  <c r="D121" i="6"/>
  <c r="G120" i="6"/>
  <c r="E120" i="6"/>
  <c r="D120" i="6"/>
  <c r="G119" i="6"/>
  <c r="E119" i="6"/>
  <c r="D119" i="6"/>
  <c r="G118" i="6"/>
  <c r="E118" i="6"/>
  <c r="D118" i="6"/>
  <c r="G117" i="6"/>
  <c r="E117" i="6"/>
  <c r="D117" i="6"/>
  <c r="G116" i="6"/>
  <c r="E116" i="6"/>
  <c r="D116" i="6"/>
  <c r="G115" i="6"/>
  <c r="E115" i="6"/>
  <c r="D115" i="6"/>
  <c r="G114" i="6"/>
  <c r="E114" i="6"/>
  <c r="D114" i="6"/>
  <c r="G113" i="6"/>
  <c r="E113" i="6"/>
  <c r="D113" i="6"/>
  <c r="G112" i="6"/>
  <c r="E112" i="6"/>
  <c r="D112" i="6"/>
  <c r="G111" i="6"/>
  <c r="E111" i="6"/>
  <c r="D111" i="6"/>
  <c r="G110" i="6"/>
  <c r="E110" i="6"/>
  <c r="D110" i="6"/>
  <c r="G109" i="6"/>
  <c r="E109" i="6"/>
  <c r="D109" i="6"/>
  <c r="G108" i="6"/>
  <c r="E108" i="6"/>
  <c r="D108" i="6"/>
  <c r="G107" i="6"/>
  <c r="E107" i="6"/>
  <c r="D107" i="6"/>
  <c r="G106" i="6"/>
  <c r="E106" i="6"/>
  <c r="D106" i="6"/>
  <c r="G105" i="6"/>
  <c r="E105" i="6"/>
  <c r="D105" i="6"/>
  <c r="G104" i="6"/>
  <c r="E104" i="6"/>
  <c r="D104" i="6"/>
  <c r="G103" i="6"/>
  <c r="E103" i="6"/>
  <c r="D103" i="6"/>
  <c r="G102" i="6"/>
  <c r="E102" i="6"/>
  <c r="D102" i="6"/>
  <c r="G101" i="6"/>
  <c r="E101" i="6"/>
  <c r="D101" i="6"/>
  <c r="G100" i="6"/>
  <c r="E100" i="6"/>
  <c r="D100" i="6"/>
  <c r="G99" i="6"/>
  <c r="E99" i="6"/>
  <c r="D99" i="6"/>
  <c r="G98" i="6"/>
  <c r="E98" i="6"/>
  <c r="D98" i="6"/>
  <c r="G97" i="6"/>
  <c r="E97" i="6"/>
  <c r="D97" i="6"/>
  <c r="G96" i="6"/>
  <c r="E96" i="6"/>
  <c r="D96" i="6"/>
  <c r="G95" i="6"/>
  <c r="E95" i="6"/>
  <c r="D95" i="6"/>
  <c r="G94" i="6"/>
  <c r="E94" i="6"/>
  <c r="D94" i="6"/>
  <c r="G93" i="6"/>
  <c r="E93" i="6"/>
  <c r="D93" i="6"/>
  <c r="G92" i="6"/>
  <c r="E92" i="6"/>
  <c r="D92" i="6"/>
  <c r="G91" i="6"/>
  <c r="E91" i="6"/>
  <c r="D91" i="6"/>
  <c r="G90" i="6"/>
  <c r="E90" i="6"/>
  <c r="D90" i="6"/>
  <c r="G89" i="6"/>
  <c r="E89" i="6"/>
  <c r="D89" i="6"/>
  <c r="G88" i="6"/>
  <c r="E88" i="6"/>
  <c r="D88" i="6"/>
  <c r="G87" i="6"/>
  <c r="E87" i="6"/>
  <c r="D87" i="6"/>
  <c r="G86" i="6"/>
  <c r="E86" i="6"/>
  <c r="D86" i="6"/>
  <c r="G85" i="6"/>
  <c r="E85" i="6"/>
  <c r="D85" i="6"/>
  <c r="G84" i="6"/>
  <c r="E84" i="6"/>
  <c r="D84" i="6"/>
  <c r="G83" i="6"/>
  <c r="E83" i="6"/>
  <c r="D83" i="6"/>
  <c r="G82" i="6"/>
  <c r="E82" i="6"/>
  <c r="D82" i="6"/>
  <c r="G81" i="6"/>
  <c r="E81" i="6"/>
  <c r="D81" i="6"/>
  <c r="G80" i="6"/>
  <c r="E80" i="6"/>
  <c r="D80" i="6"/>
  <c r="G79" i="6"/>
  <c r="E79" i="6"/>
  <c r="D79" i="6"/>
  <c r="G78" i="6"/>
  <c r="E78" i="6"/>
  <c r="D78" i="6"/>
  <c r="G77" i="6"/>
  <c r="E77" i="6"/>
  <c r="D77" i="6"/>
  <c r="G76" i="6"/>
  <c r="E76" i="6"/>
  <c r="D76" i="6"/>
  <c r="G75" i="6"/>
  <c r="E75" i="6"/>
  <c r="D75" i="6"/>
  <c r="G74" i="6"/>
  <c r="E74" i="6"/>
  <c r="D74" i="6"/>
  <c r="G73" i="6"/>
  <c r="E73" i="6"/>
  <c r="D73" i="6"/>
  <c r="G72" i="6"/>
  <c r="E72" i="6"/>
  <c r="D72" i="6"/>
  <c r="G71" i="6"/>
  <c r="E71" i="6"/>
  <c r="D71" i="6"/>
  <c r="G70" i="6"/>
  <c r="E70" i="6"/>
  <c r="D70" i="6"/>
  <c r="G69" i="6"/>
  <c r="E69" i="6"/>
  <c r="D69" i="6"/>
  <c r="G68" i="6"/>
  <c r="E68" i="6"/>
  <c r="D68" i="6"/>
  <c r="G67" i="6"/>
  <c r="E67" i="6"/>
  <c r="D67" i="6"/>
  <c r="G66" i="6"/>
  <c r="E66" i="6"/>
  <c r="D66" i="6"/>
  <c r="G65" i="6"/>
  <c r="E65" i="6"/>
  <c r="D65" i="6"/>
  <c r="G64" i="6"/>
  <c r="E64" i="6"/>
  <c r="D64" i="6"/>
  <c r="G63" i="6"/>
  <c r="E63" i="6"/>
  <c r="D63" i="6"/>
  <c r="G62" i="6"/>
  <c r="E62" i="6"/>
  <c r="D62" i="6"/>
  <c r="G61" i="6"/>
  <c r="E61" i="6"/>
  <c r="D61" i="6"/>
  <c r="K61" i="6" s="1"/>
  <c r="G60" i="6"/>
  <c r="E60" i="6"/>
  <c r="D60" i="6"/>
  <c r="G59" i="6"/>
  <c r="E59" i="6"/>
  <c r="D59" i="6"/>
  <c r="G58" i="6"/>
  <c r="E58" i="6"/>
  <c r="D58" i="6"/>
  <c r="G57" i="6"/>
  <c r="E57" i="6"/>
  <c r="D57" i="6"/>
  <c r="G56" i="6"/>
  <c r="E56" i="6"/>
  <c r="D56" i="6"/>
  <c r="G55" i="6"/>
  <c r="E55" i="6"/>
  <c r="D55" i="6"/>
  <c r="G54" i="6"/>
  <c r="E54" i="6"/>
  <c r="D54" i="6"/>
  <c r="G53" i="6"/>
  <c r="E53" i="6"/>
  <c r="D53" i="6"/>
  <c r="G52" i="6"/>
  <c r="E52" i="6"/>
  <c r="D52" i="6"/>
  <c r="G51" i="6"/>
  <c r="E51" i="6"/>
  <c r="D51" i="6"/>
  <c r="G50" i="6"/>
  <c r="E50" i="6"/>
  <c r="D50" i="6"/>
  <c r="G49" i="6"/>
  <c r="E49" i="6"/>
  <c r="D49" i="6"/>
  <c r="G48" i="6"/>
  <c r="E48" i="6"/>
  <c r="D48" i="6"/>
  <c r="G47" i="6"/>
  <c r="E47" i="6"/>
  <c r="D47" i="6"/>
  <c r="G46" i="6"/>
  <c r="E46" i="6"/>
  <c r="D46" i="6"/>
  <c r="G45" i="6"/>
  <c r="E45" i="6"/>
  <c r="D45" i="6"/>
  <c r="G44" i="6"/>
  <c r="E44" i="6"/>
  <c r="D44" i="6"/>
  <c r="G43" i="6"/>
  <c r="E43" i="6"/>
  <c r="D43" i="6"/>
  <c r="G42" i="6"/>
  <c r="E42" i="6"/>
  <c r="D42" i="6"/>
  <c r="G41" i="6"/>
  <c r="E41" i="6"/>
  <c r="D41" i="6"/>
  <c r="G40" i="6"/>
  <c r="E40" i="6"/>
  <c r="D40" i="6"/>
  <c r="G39" i="6"/>
  <c r="E39" i="6"/>
  <c r="D39" i="6"/>
  <c r="G38" i="6"/>
  <c r="E38" i="6"/>
  <c r="D38" i="6"/>
  <c r="G37" i="6"/>
  <c r="E37" i="6"/>
  <c r="D37" i="6"/>
  <c r="G36" i="6"/>
  <c r="E36" i="6"/>
  <c r="D36" i="6"/>
  <c r="G35" i="6"/>
  <c r="E35" i="6"/>
  <c r="D35" i="6"/>
  <c r="G34" i="6"/>
  <c r="E34" i="6"/>
  <c r="D34" i="6"/>
  <c r="G33" i="6"/>
  <c r="E33" i="6"/>
  <c r="D33" i="6"/>
  <c r="G32" i="6"/>
  <c r="E32" i="6"/>
  <c r="D32" i="6"/>
  <c r="G31" i="6"/>
  <c r="E31" i="6"/>
  <c r="D31" i="6"/>
  <c r="G30" i="6"/>
  <c r="E30" i="6"/>
  <c r="D30" i="6"/>
  <c r="D28" i="6"/>
  <c r="K28" i="6" s="1"/>
  <c r="G27" i="6"/>
  <c r="E27" i="6"/>
  <c r="D27" i="6"/>
  <c r="G26" i="6"/>
  <c r="E26" i="6"/>
  <c r="D26" i="6"/>
  <c r="G25" i="6"/>
  <c r="E25" i="6"/>
  <c r="D25" i="6"/>
  <c r="G24" i="6"/>
  <c r="E24" i="6"/>
  <c r="D24" i="6"/>
  <c r="G23" i="6"/>
  <c r="E23" i="6"/>
  <c r="D23" i="6"/>
  <c r="G22" i="6"/>
  <c r="D22" i="6"/>
  <c r="E22" i="6"/>
  <c r="D21" i="6"/>
  <c r="K21" i="6" s="1"/>
  <c r="G20" i="6"/>
  <c r="E20" i="6"/>
  <c r="D20" i="6"/>
  <c r="D19" i="6"/>
  <c r="K19" i="6" s="1"/>
  <c r="D18" i="6"/>
  <c r="K18" i="6" s="1"/>
  <c r="D17" i="6"/>
  <c r="K17" i="6" s="1"/>
  <c r="D16" i="6"/>
  <c r="K16" i="6" s="1"/>
  <c r="D15" i="6"/>
  <c r="K15" i="6" s="1"/>
  <c r="D14" i="6"/>
  <c r="K14" i="6" s="1"/>
  <c r="G13" i="6"/>
  <c r="E13" i="6"/>
  <c r="D13" i="6"/>
  <c r="G12" i="6"/>
  <c r="E12" i="6"/>
  <c r="D12" i="6"/>
  <c r="D11" i="6"/>
  <c r="K11" i="6" s="1"/>
  <c r="G10" i="6"/>
  <c r="D10" i="6"/>
  <c r="G9" i="6"/>
  <c r="E9" i="6"/>
  <c r="D9" i="6"/>
  <c r="G8" i="6"/>
  <c r="E8" i="6"/>
  <c r="D8" i="6"/>
  <c r="G7" i="6"/>
  <c r="E7" i="6"/>
  <c r="D7" i="6"/>
  <c r="G6" i="6"/>
  <c r="E6" i="6"/>
  <c r="D6" i="6"/>
  <c r="G5" i="6"/>
  <c r="E5" i="6"/>
  <c r="D5" i="6"/>
  <c r="G4" i="6"/>
  <c r="E4" i="6"/>
  <c r="D4" i="6"/>
  <c r="G3" i="6"/>
  <c r="E3" i="6"/>
  <c r="D3" i="6"/>
  <c r="G2" i="6"/>
  <c r="E2" i="6"/>
  <c r="D2" i="6"/>
  <c r="D11" i="2"/>
  <c r="B11" i="2"/>
  <c r="C11" i="2" s="1"/>
  <c r="D10" i="2"/>
  <c r="B10" i="2"/>
  <c r="C10" i="2" s="1"/>
  <c r="D9" i="2"/>
  <c r="B9" i="2"/>
  <c r="C9" i="2" s="1"/>
  <c r="D8" i="2"/>
  <c r="B8" i="2"/>
  <c r="C8" i="2" s="1"/>
  <c r="K136" i="6"/>
  <c r="H44" i="6"/>
  <c r="K29" i="6"/>
  <c r="H27" i="6"/>
  <c r="I2184" i="2"/>
  <c r="Q732" i="2"/>
  <c r="Q184" i="2"/>
  <c r="Q185" i="2"/>
  <c r="Q190" i="2"/>
  <c r="Q194" i="2"/>
  <c r="Q195" i="2"/>
  <c r="Q409" i="2"/>
  <c r="K209" i="6"/>
  <c r="K196" i="6"/>
  <c r="K310" i="6"/>
  <c r="K519" i="6"/>
  <c r="K475" i="6"/>
  <c r="B13" i="2"/>
  <c r="C13" i="2" s="1"/>
  <c r="D12" i="2"/>
  <c r="K562" i="6"/>
  <c r="K560" i="6"/>
  <c r="K613" i="6"/>
  <c r="K583" i="6"/>
  <c r="K603" i="6"/>
  <c r="K567" i="6"/>
  <c r="K590" i="6"/>
  <c r="K602" i="6"/>
  <c r="K566" i="6"/>
  <c r="R1775" i="2"/>
  <c r="U1775" i="2" s="1"/>
  <c r="R1774" i="2"/>
  <c r="U1774" i="2" s="1"/>
  <c r="K621" i="6"/>
  <c r="D13" i="2"/>
  <c r="B15" i="2"/>
  <c r="C15" i="2" s="1"/>
  <c r="D14" i="2"/>
  <c r="D15" i="2"/>
  <c r="B16" i="2"/>
  <c r="C16" i="2" s="1"/>
  <c r="B12" i="2"/>
  <c r="C12" i="2" s="1"/>
  <c r="B14" i="2"/>
  <c r="C14" i="2" s="1"/>
  <c r="D16" i="2"/>
  <c r="E628" i="6"/>
  <c r="K628" i="6" s="1"/>
  <c r="E629" i="6"/>
  <c r="E637" i="6"/>
  <c r="K637" i="6" s="1"/>
  <c r="E632" i="6"/>
  <c r="K632" i="6" s="1"/>
  <c r="E890" i="6"/>
  <c r="E887" i="6"/>
  <c r="E883" i="6"/>
  <c r="K883" i="6" s="1"/>
  <c r="E885" i="6"/>
  <c r="E875" i="6"/>
  <c r="E877" i="6"/>
  <c r="E879" i="6"/>
  <c r="E881" i="6"/>
  <c r="E859" i="6"/>
  <c r="K859" i="6" s="1"/>
  <c r="E861" i="6"/>
  <c r="E863" i="6"/>
  <c r="E865" i="6"/>
  <c r="E867" i="6"/>
  <c r="E869" i="6"/>
  <c r="E871" i="6"/>
  <c r="K871" i="6" s="1"/>
  <c r="D874" i="6"/>
  <c r="D829" i="6"/>
  <c r="D832" i="6"/>
  <c r="D835" i="6"/>
  <c r="D838" i="6"/>
  <c r="D841" i="6"/>
  <c r="E841" i="6"/>
  <c r="D844" i="6"/>
  <c r="D848" i="6"/>
  <c r="K848" i="6" s="1"/>
  <c r="D852" i="6"/>
  <c r="D856" i="6"/>
  <c r="D764" i="6"/>
  <c r="D768" i="6"/>
  <c r="D772" i="6"/>
  <c r="G777" i="6"/>
  <c r="G783" i="6"/>
  <c r="D791" i="6"/>
  <c r="E798" i="6"/>
  <c r="E805" i="6"/>
  <c r="D805" i="6"/>
  <c r="G812" i="6"/>
  <c r="G819" i="6"/>
  <c r="D647" i="6"/>
  <c r="D646" i="6"/>
  <c r="E658" i="6"/>
  <c r="D665" i="6"/>
  <c r="E672" i="6"/>
  <c r="D683" i="6"/>
  <c r="E692" i="6"/>
  <c r="D701" i="6"/>
  <c r="K701" i="6" s="1"/>
  <c r="E710" i="6"/>
  <c r="D719" i="6"/>
  <c r="G728" i="6"/>
  <c r="G740" i="6"/>
  <c r="E664" i="6"/>
  <c r="D661" i="6"/>
  <c r="E663" i="6"/>
  <c r="E654" i="6"/>
  <c r="E649" i="6"/>
  <c r="K649" i="6" s="1"/>
  <c r="E645" i="6"/>
  <c r="D644" i="6"/>
  <c r="G643" i="6"/>
  <c r="E826" i="6"/>
  <c r="G823" i="6"/>
  <c r="E821" i="6"/>
  <c r="D819" i="6"/>
  <c r="G816" i="6"/>
  <c r="E814" i="6"/>
  <c r="G811" i="6"/>
  <c r="E809" i="6"/>
  <c r="D807" i="6"/>
  <c r="G804" i="6"/>
  <c r="E802" i="6"/>
  <c r="G799" i="6"/>
  <c r="E797" i="6"/>
  <c r="D795" i="6"/>
  <c r="G792" i="6"/>
  <c r="E790" i="6"/>
  <c r="G787" i="6"/>
  <c r="E785" i="6"/>
  <c r="D783" i="6"/>
  <c r="D781" i="6"/>
  <c r="D779" i="6"/>
  <c r="K779" i="6" s="1"/>
  <c r="D777" i="6"/>
  <c r="D775" i="6"/>
  <c r="D773" i="6"/>
  <c r="D771" i="6"/>
  <c r="D769" i="6"/>
  <c r="D767" i="6"/>
  <c r="D765" i="6"/>
  <c r="D763" i="6"/>
  <c r="K763" i="6" s="1"/>
  <c r="D857" i="6"/>
  <c r="D855" i="6"/>
  <c r="D853" i="6"/>
  <c r="D851" i="6"/>
  <c r="D849" i="6"/>
  <c r="D847" i="6"/>
  <c r="D845" i="6"/>
  <c r="G693" i="6"/>
  <c r="G690" i="6"/>
  <c r="D690" i="6"/>
  <c r="E690" i="6"/>
  <c r="G687" i="6"/>
  <c r="G684" i="6"/>
  <c r="G681" i="6"/>
  <c r="G676" i="6"/>
  <c r="G675" i="6"/>
  <c r="G670" i="6"/>
  <c r="G666" i="6"/>
  <c r="G662" i="6"/>
  <c r="G656" i="6"/>
  <c r="G660" i="6"/>
  <c r="G653" i="6"/>
  <c r="E648" i="6"/>
  <c r="G640" i="6"/>
  <c r="G641" i="6"/>
  <c r="G639" i="6"/>
  <c r="E643" i="6"/>
  <c r="G825" i="6"/>
  <c r="E823" i="6"/>
  <c r="D821" i="6"/>
  <c r="G818" i="6"/>
  <c r="E816" i="6"/>
  <c r="G813" i="6"/>
  <c r="E811" i="6"/>
  <c r="D809" i="6"/>
  <c r="G806" i="6"/>
  <c r="E804" i="6"/>
  <c r="G801" i="6"/>
  <c r="E799" i="6"/>
  <c r="D797" i="6"/>
  <c r="G794" i="6"/>
  <c r="E792" i="6"/>
  <c r="G789" i="6"/>
  <c r="E787" i="6"/>
  <c r="D785" i="6"/>
  <c r="G782" i="6"/>
  <c r="G780" i="6"/>
  <c r="G778" i="6"/>
  <c r="G776" i="6"/>
  <c r="G774" i="6"/>
  <c r="G647" i="6"/>
  <c r="E825" i="6"/>
  <c r="D823" i="6"/>
  <c r="G820" i="6"/>
  <c r="E818" i="6"/>
  <c r="G815" i="6"/>
  <c r="E813" i="6"/>
  <c r="K813" i="6" s="1"/>
  <c r="D811" i="6"/>
  <c r="G808" i="6"/>
  <c r="E806" i="6"/>
  <c r="G803" i="6"/>
  <c r="E801" i="6"/>
  <c r="D799" i="6"/>
  <c r="G796" i="6"/>
  <c r="E794" i="6"/>
  <c r="G791" i="6"/>
  <c r="E789" i="6"/>
  <c r="K789" i="6" s="1"/>
  <c r="D787" i="6"/>
  <c r="G784" i="6"/>
  <c r="E782" i="6"/>
  <c r="E780" i="6"/>
  <c r="E778" i="6"/>
  <c r="E776" i="6"/>
  <c r="E774" i="6"/>
  <c r="E772" i="6"/>
  <c r="E770" i="6"/>
  <c r="D770" i="6"/>
  <c r="G770" i="6"/>
  <c r="E768" i="6"/>
  <c r="K768" i="6" s="1"/>
  <c r="E766" i="6"/>
  <c r="E764" i="6"/>
  <c r="E858" i="6"/>
  <c r="E856" i="6"/>
  <c r="E854" i="6"/>
  <c r="E852" i="6"/>
  <c r="E850" i="6"/>
  <c r="E848" i="6"/>
  <c r="E846" i="6"/>
  <c r="E844" i="6"/>
  <c r="E842" i="6"/>
  <c r="E840" i="6"/>
  <c r="E838" i="6"/>
  <c r="K838" i="6" s="1"/>
  <c r="E836" i="6"/>
  <c r="E834" i="6"/>
  <c r="K834" i="6" s="1"/>
  <c r="E832" i="6"/>
  <c r="E830" i="6"/>
  <c r="E828" i="6"/>
  <c r="E874" i="6"/>
  <c r="E872" i="6"/>
  <c r="D638" i="6"/>
  <c r="K638" i="6" s="1"/>
  <c r="G826" i="6"/>
  <c r="E824" i="6"/>
  <c r="G821" i="6"/>
  <c r="E819" i="6"/>
  <c r="D817" i="6"/>
  <c r="G814" i="6"/>
  <c r="E812" i="6"/>
  <c r="G809" i="6"/>
  <c r="E807" i="6"/>
  <c r="G802" i="6"/>
  <c r="E800" i="6"/>
  <c r="G797" i="6"/>
  <c r="E795" i="6"/>
  <c r="D793" i="6"/>
  <c r="G790" i="6"/>
  <c r="E788" i="6"/>
  <c r="G785" i="6"/>
  <c r="E783" i="6"/>
  <c r="E781" i="6"/>
  <c r="E779" i="6"/>
  <c r="E777" i="6"/>
  <c r="E775" i="6"/>
  <c r="E773" i="6"/>
  <c r="E771" i="6"/>
  <c r="E769" i="6"/>
  <c r="E767" i="6"/>
  <c r="E765" i="6"/>
  <c r="K765" i="6" s="1"/>
  <c r="E763" i="6"/>
  <c r="E857" i="6"/>
  <c r="E855" i="6"/>
  <c r="K855" i="6" s="1"/>
  <c r="E853" i="6"/>
  <c r="E851" i="6"/>
  <c r="E849" i="6"/>
  <c r="E847" i="6"/>
  <c r="E845" i="6"/>
  <c r="E843" i="6"/>
  <c r="K843" i="6" s="1"/>
  <c r="E839" i="6"/>
  <c r="E837" i="6"/>
  <c r="E835" i="6"/>
  <c r="K835" i="6" s="1"/>
  <c r="E833" i="6"/>
  <c r="E831" i="6"/>
  <c r="E829" i="6"/>
  <c r="E827" i="6"/>
  <c r="E873" i="6"/>
  <c r="D600" i="6"/>
  <c r="K600" i="6" s="1"/>
  <c r="E635" i="6"/>
  <c r="E634" i="6"/>
  <c r="E626" i="6"/>
  <c r="D626" i="6"/>
  <c r="D627" i="6"/>
  <c r="K627" i="6" s="1"/>
  <c r="D889" i="6"/>
  <c r="K889" i="6" s="1"/>
  <c r="D888" i="6"/>
  <c r="D884" i="6"/>
  <c r="D886" i="6"/>
  <c r="D876" i="6"/>
  <c r="D878" i="6"/>
  <c r="D880" i="6"/>
  <c r="K880" i="6" s="1"/>
  <c r="D882" i="6"/>
  <c r="D860" i="6"/>
  <c r="D862" i="6"/>
  <c r="D864" i="6"/>
  <c r="D866" i="6"/>
  <c r="D868" i="6"/>
  <c r="K868" i="6" s="1"/>
  <c r="D870" i="6"/>
  <c r="D872" i="6"/>
  <c r="D827" i="6"/>
  <c r="D830" i="6"/>
  <c r="D833" i="6"/>
  <c r="D836" i="6"/>
  <c r="K836" i="6" s="1"/>
  <c r="D839" i="6"/>
  <c r="K839" i="6" s="1"/>
  <c r="D842" i="6"/>
  <c r="G845" i="6"/>
  <c r="G849" i="6"/>
  <c r="G853" i="6"/>
  <c r="G857" i="6"/>
  <c r="G765" i="6"/>
  <c r="G769" i="6"/>
  <c r="G773" i="6"/>
  <c r="G779" i="6"/>
  <c r="E786" i="6"/>
  <c r="E793" i="6"/>
  <c r="K793" i="6" s="1"/>
  <c r="G800" i="6"/>
  <c r="G807" i="6"/>
  <c r="D815" i="6"/>
  <c r="E822" i="6"/>
  <c r="E638" i="6"/>
  <c r="E652" i="6"/>
  <c r="D659" i="6"/>
  <c r="E671" i="6"/>
  <c r="D678" i="6"/>
  <c r="E686" i="6"/>
  <c r="D695" i="6"/>
  <c r="E704" i="6"/>
  <c r="D713" i="6"/>
  <c r="E722" i="6"/>
  <c r="G732" i="6"/>
  <c r="G744" i="6"/>
  <c r="D744" i="6"/>
  <c r="E744" i="6"/>
  <c r="G756" i="6"/>
  <c r="D649" i="6"/>
  <c r="D652" i="6"/>
  <c r="D601" i="6"/>
  <c r="D635" i="6"/>
  <c r="D634" i="6"/>
  <c r="E627" i="6"/>
  <c r="E889" i="6"/>
  <c r="E888" i="6"/>
  <c r="E884" i="6"/>
  <c r="E886" i="6"/>
  <c r="G886" i="6"/>
  <c r="E876" i="6"/>
  <c r="K876" i="6" s="1"/>
  <c r="E878" i="6"/>
  <c r="E880" i="6"/>
  <c r="E882" i="6"/>
  <c r="E860" i="6"/>
  <c r="E862" i="6"/>
  <c r="E864" i="6"/>
  <c r="E866" i="6"/>
  <c r="E868" i="6"/>
  <c r="E870" i="6"/>
  <c r="G872" i="6"/>
  <c r="G827" i="6"/>
  <c r="G830" i="6"/>
  <c r="G833" i="6"/>
  <c r="G836" i="6"/>
  <c r="G839" i="6"/>
  <c r="G842" i="6"/>
  <c r="D846" i="6"/>
  <c r="K846" i="6" s="1"/>
  <c r="D850" i="6"/>
  <c r="D854" i="6"/>
  <c r="D858" i="6"/>
  <c r="D766" i="6"/>
  <c r="D774" i="6"/>
  <c r="D780" i="6"/>
  <c r="G786" i="6"/>
  <c r="G793" i="6"/>
  <c r="D801" i="6"/>
  <c r="E808" i="6"/>
  <c r="E815" i="6"/>
  <c r="G822" i="6"/>
  <c r="G638" i="6"/>
  <c r="G652" i="6"/>
  <c r="G659" i="6"/>
  <c r="G671" i="6"/>
  <c r="G678" i="6"/>
  <c r="G686" i="6"/>
  <c r="G695" i="6"/>
  <c r="G704" i="6"/>
  <c r="G713" i="6"/>
  <c r="G722" i="6"/>
  <c r="D733" i="6"/>
  <c r="D745" i="6"/>
  <c r="K745" i="6" s="1"/>
  <c r="D757" i="6"/>
  <c r="D604" i="6"/>
  <c r="E630" i="6"/>
  <c r="E636" i="6"/>
  <c r="E631" i="6"/>
  <c r="E633" i="6"/>
  <c r="G627" i="6"/>
  <c r="G889" i="6"/>
  <c r="G888" i="6"/>
  <c r="G884" i="6"/>
  <c r="G876" i="6"/>
  <c r="G878" i="6"/>
  <c r="G880" i="6"/>
  <c r="G882" i="6"/>
  <c r="G860" i="6"/>
  <c r="G862" i="6"/>
  <c r="G864" i="6"/>
  <c r="G866" i="6"/>
  <c r="G868" i="6"/>
  <c r="G870" i="6"/>
  <c r="D873" i="6"/>
  <c r="D828" i="6"/>
  <c r="G828" i="6"/>
  <c r="D831" i="6"/>
  <c r="D834" i="6"/>
  <c r="D837" i="6"/>
  <c r="D840" i="6"/>
  <c r="D843" i="6"/>
  <c r="G846" i="6"/>
  <c r="G850" i="6"/>
  <c r="G854" i="6"/>
  <c r="G858" i="6"/>
  <c r="G766" i="6"/>
  <c r="G775" i="6"/>
  <c r="G781" i="6"/>
  <c r="G788" i="6"/>
  <c r="G795" i="6"/>
  <c r="K795" i="6" s="1"/>
  <c r="D803" i="6"/>
  <c r="E810" i="6"/>
  <c r="E817" i="6"/>
  <c r="G824" i="6"/>
  <c r="E642" i="6"/>
  <c r="D655" i="6"/>
  <c r="E657" i="6"/>
  <c r="E673" i="6"/>
  <c r="D689" i="6"/>
  <c r="E698" i="6"/>
  <c r="D707" i="6"/>
  <c r="E716" i="6"/>
  <c r="D725" i="6"/>
  <c r="G736" i="6"/>
  <c r="G748" i="6"/>
  <c r="G760" i="6"/>
  <c r="D605" i="6"/>
  <c r="K605" i="6" s="1"/>
  <c r="D630" i="6"/>
  <c r="D636" i="6"/>
  <c r="D631" i="6"/>
  <c r="D633" i="6"/>
  <c r="D890" i="6"/>
  <c r="D887" i="6"/>
  <c r="K887" i="6" s="1"/>
  <c r="D883" i="6"/>
  <c r="D885" i="6"/>
  <c r="D875" i="6"/>
  <c r="K875" i="6" s="1"/>
  <c r="D877" i="6"/>
  <c r="D879" i="6"/>
  <c r="K879" i="6" s="1"/>
  <c r="D881" i="6"/>
  <c r="K881" i="6" s="1"/>
  <c r="D859" i="6"/>
  <c r="D861" i="6"/>
  <c r="D863" i="6"/>
  <c r="D865" i="6"/>
  <c r="D867" i="6"/>
  <c r="D869" i="6"/>
  <c r="D871" i="6"/>
  <c r="G873" i="6"/>
  <c r="G831" i="6"/>
  <c r="G834" i="6"/>
  <c r="G837" i="6"/>
  <c r="G840" i="6"/>
  <c r="G843" i="6"/>
  <c r="G847" i="6"/>
  <c r="G851" i="6"/>
  <c r="G855" i="6"/>
  <c r="G763" i="6"/>
  <c r="G767" i="6"/>
  <c r="G771" i="6"/>
  <c r="D776" i="6"/>
  <c r="D782" i="6"/>
  <c r="K782" i="6" s="1"/>
  <c r="D789" i="6"/>
  <c r="E796" i="6"/>
  <c r="E803" i="6"/>
  <c r="G810" i="6"/>
  <c r="G817" i="6"/>
  <c r="D825" i="6"/>
  <c r="K825" i="6" s="1"/>
  <c r="G642" i="6"/>
  <c r="G655" i="6"/>
  <c r="G657" i="6"/>
  <c r="G673" i="6"/>
  <c r="G689" i="6"/>
  <c r="G698" i="6"/>
  <c r="G707" i="6"/>
  <c r="G716" i="6"/>
  <c r="G725" i="6"/>
  <c r="D737" i="6"/>
  <c r="D749" i="6"/>
  <c r="D761" i="6"/>
  <c r="G644" i="6"/>
  <c r="G645" i="6"/>
  <c r="E650" i="6"/>
  <c r="G654" i="6"/>
  <c r="G663" i="6"/>
  <c r="G661" i="6"/>
  <c r="G664" i="6"/>
  <c r="G667" i="6"/>
  <c r="G668" i="6"/>
  <c r="G679" i="6"/>
  <c r="G674" i="6"/>
  <c r="G682" i="6"/>
  <c r="G685" i="6"/>
  <c r="G688" i="6"/>
  <c r="G691" i="6"/>
  <c r="G694" i="6"/>
  <c r="G697" i="6"/>
  <c r="G700" i="6"/>
  <c r="G703" i="6"/>
  <c r="G706" i="6"/>
  <c r="G709" i="6"/>
  <c r="G712" i="6"/>
  <c r="G715" i="6"/>
  <c r="G718" i="6"/>
  <c r="G721" i="6"/>
  <c r="G724" i="6"/>
  <c r="E728" i="6"/>
  <c r="E732" i="6"/>
  <c r="E736" i="6"/>
  <c r="E740" i="6"/>
  <c r="E748" i="6"/>
  <c r="E752" i="6"/>
  <c r="E756" i="6"/>
  <c r="E760" i="6"/>
  <c r="D651" i="6"/>
  <c r="D762" i="6"/>
  <c r="D760" i="6"/>
  <c r="D758" i="6"/>
  <c r="D756" i="6"/>
  <c r="K756" i="6" s="1"/>
  <c r="D754" i="6"/>
  <c r="D752" i="6"/>
  <c r="D750" i="6"/>
  <c r="D748" i="6"/>
  <c r="D746" i="6"/>
  <c r="D742" i="6"/>
  <c r="D740" i="6"/>
  <c r="D738" i="6"/>
  <c r="D736" i="6"/>
  <c r="D734" i="6"/>
  <c r="D732" i="6"/>
  <c r="D730" i="6"/>
  <c r="D728" i="6"/>
  <c r="K728" i="6" s="1"/>
  <c r="D726" i="6"/>
  <c r="D724" i="6"/>
  <c r="D722" i="6"/>
  <c r="D720" i="6"/>
  <c r="D718" i="6"/>
  <c r="K718" i="6" s="1"/>
  <c r="D716" i="6"/>
  <c r="D714" i="6"/>
  <c r="D712" i="6"/>
  <c r="D710" i="6"/>
  <c r="D708" i="6"/>
  <c r="D706" i="6"/>
  <c r="D704" i="6"/>
  <c r="D702" i="6"/>
  <c r="D700" i="6"/>
  <c r="D698" i="6"/>
  <c r="D696" i="6"/>
  <c r="D694" i="6"/>
  <c r="D692" i="6"/>
  <c r="D688" i="6"/>
  <c r="D686" i="6"/>
  <c r="D684" i="6"/>
  <c r="D682" i="6"/>
  <c r="D673" i="6"/>
  <c r="D677" i="6"/>
  <c r="D674" i="6"/>
  <c r="D672" i="6"/>
  <c r="D675" i="6"/>
  <c r="D668" i="6"/>
  <c r="D671" i="6"/>
  <c r="D666" i="6"/>
  <c r="D664" i="6"/>
  <c r="D657" i="6"/>
  <c r="D656" i="6"/>
  <c r="D663" i="6"/>
  <c r="D658" i="6"/>
  <c r="D653" i="6"/>
  <c r="G648" i="6"/>
  <c r="G650" i="6"/>
  <c r="D640" i="6"/>
  <c r="D645" i="6"/>
  <c r="D642" i="6"/>
  <c r="D639" i="6"/>
  <c r="D643" i="6"/>
  <c r="D826" i="6"/>
  <c r="D824" i="6"/>
  <c r="D822" i="6"/>
  <c r="D820" i="6"/>
  <c r="D818" i="6"/>
  <c r="D816" i="6"/>
  <c r="D814" i="6"/>
  <c r="D812" i="6"/>
  <c r="D810" i="6"/>
  <c r="D808" i="6"/>
  <c r="D806" i="6"/>
  <c r="D804" i="6"/>
  <c r="D802" i="6"/>
  <c r="K802" i="6" s="1"/>
  <c r="D800" i="6"/>
  <c r="D798" i="6"/>
  <c r="D796" i="6"/>
  <c r="D794" i="6"/>
  <c r="D792" i="6"/>
  <c r="D790" i="6"/>
  <c r="D788" i="6"/>
  <c r="D786" i="6"/>
  <c r="D784" i="6"/>
  <c r="D648" i="6"/>
  <c r="G761" i="6"/>
  <c r="G759" i="6"/>
  <c r="G757" i="6"/>
  <c r="G755" i="6"/>
  <c r="G753" i="6"/>
  <c r="G751" i="6"/>
  <c r="G749" i="6"/>
  <c r="G747" i="6"/>
  <c r="G745" i="6"/>
  <c r="G743" i="6"/>
  <c r="G741" i="6"/>
  <c r="G739" i="6"/>
  <c r="G737" i="6"/>
  <c r="G735" i="6"/>
  <c r="G733" i="6"/>
  <c r="G731" i="6"/>
  <c r="G729" i="6"/>
  <c r="G727" i="6"/>
  <c r="D654" i="6"/>
  <c r="E761" i="6"/>
  <c r="E759" i="6"/>
  <c r="E757" i="6"/>
  <c r="E755" i="6"/>
  <c r="E753" i="6"/>
  <c r="E751" i="6"/>
  <c r="E749" i="6"/>
  <c r="E747" i="6"/>
  <c r="E745" i="6"/>
  <c r="E743" i="6"/>
  <c r="E741" i="6"/>
  <c r="E739" i="6"/>
  <c r="E737" i="6"/>
  <c r="E735" i="6"/>
  <c r="E733" i="6"/>
  <c r="E731" i="6"/>
  <c r="E729" i="6"/>
  <c r="E727" i="6"/>
  <c r="E725" i="6"/>
  <c r="E723" i="6"/>
  <c r="E721" i="6"/>
  <c r="E719" i="6"/>
  <c r="K719" i="6" s="1"/>
  <c r="E717" i="6"/>
  <c r="E715" i="6"/>
  <c r="E713" i="6"/>
  <c r="E711" i="6"/>
  <c r="E709" i="6"/>
  <c r="E707" i="6"/>
  <c r="E705" i="6"/>
  <c r="E703" i="6"/>
  <c r="E701" i="6"/>
  <c r="E699" i="6"/>
  <c r="E697" i="6"/>
  <c r="E695" i="6"/>
  <c r="K695" i="6" s="1"/>
  <c r="E693" i="6"/>
  <c r="E691" i="6"/>
  <c r="E689" i="6"/>
  <c r="E687" i="6"/>
  <c r="E685" i="6"/>
  <c r="E683" i="6"/>
  <c r="K683" i="6" s="1"/>
  <c r="E681" i="6"/>
  <c r="E678" i="6"/>
  <c r="E676" i="6"/>
  <c r="E679" i="6"/>
  <c r="E670" i="6"/>
  <c r="E667" i="6"/>
  <c r="E665" i="6"/>
  <c r="E662" i="6"/>
  <c r="E661" i="6"/>
  <c r="E659" i="6"/>
  <c r="E660" i="6"/>
  <c r="E655" i="6"/>
  <c r="G651" i="6"/>
  <c r="G649" i="6"/>
  <c r="E646" i="6"/>
  <c r="E641" i="6"/>
  <c r="E644" i="6"/>
  <c r="K644" i="6" s="1"/>
  <c r="E639" i="6"/>
  <c r="D641" i="6"/>
  <c r="E640" i="6"/>
  <c r="E651" i="6"/>
  <c r="E653" i="6"/>
  <c r="D660" i="6"/>
  <c r="E656" i="6"/>
  <c r="D662" i="6"/>
  <c r="E666" i="6"/>
  <c r="D670" i="6"/>
  <c r="E675" i="6"/>
  <c r="D676" i="6"/>
  <c r="D681" i="6"/>
  <c r="E684" i="6"/>
  <c r="D687" i="6"/>
  <c r="D693" i="6"/>
  <c r="E696" i="6"/>
  <c r="D699" i="6"/>
  <c r="E702" i="6"/>
  <c r="D705" i="6"/>
  <c r="E708" i="6"/>
  <c r="D711" i="6"/>
  <c r="E714" i="6"/>
  <c r="D717" i="6"/>
  <c r="E720" i="6"/>
  <c r="D723" i="6"/>
  <c r="E726" i="6"/>
  <c r="E730" i="6"/>
  <c r="E734" i="6"/>
  <c r="E738" i="6"/>
  <c r="E742" i="6"/>
  <c r="E746" i="6"/>
  <c r="E750" i="6"/>
  <c r="E754" i="6"/>
  <c r="E758" i="6"/>
  <c r="E762" i="6"/>
  <c r="G696" i="6"/>
  <c r="G699" i="6"/>
  <c r="G702" i="6"/>
  <c r="G705" i="6"/>
  <c r="G708" i="6"/>
  <c r="G711" i="6"/>
  <c r="G714" i="6"/>
  <c r="G717" i="6"/>
  <c r="G720" i="6"/>
  <c r="G723" i="6"/>
  <c r="G726" i="6"/>
  <c r="G730" i="6"/>
  <c r="G734" i="6"/>
  <c r="K734" i="6" s="1"/>
  <c r="G738" i="6"/>
  <c r="G742" i="6"/>
  <c r="G746" i="6"/>
  <c r="G750" i="6"/>
  <c r="G754" i="6"/>
  <c r="G758" i="6"/>
  <c r="G762" i="6"/>
  <c r="D667" i="6"/>
  <c r="E668" i="6"/>
  <c r="D679" i="6"/>
  <c r="E674" i="6"/>
  <c r="D680" i="6"/>
  <c r="K680" i="6" s="1"/>
  <c r="E682" i="6"/>
  <c r="D685" i="6"/>
  <c r="E688" i="6"/>
  <c r="D691" i="6"/>
  <c r="E694" i="6"/>
  <c r="D697" i="6"/>
  <c r="E700" i="6"/>
  <c r="D703" i="6"/>
  <c r="E706" i="6"/>
  <c r="D709" i="6"/>
  <c r="E712" i="6"/>
  <c r="D715" i="6"/>
  <c r="E718" i="6"/>
  <c r="D721" i="6"/>
  <c r="E724" i="6"/>
  <c r="D727" i="6"/>
  <c r="D731" i="6"/>
  <c r="D735" i="6"/>
  <c r="D739" i="6"/>
  <c r="D743" i="6"/>
  <c r="D747" i="6"/>
  <c r="D751" i="6"/>
  <c r="D755" i="6"/>
  <c r="D759" i="6"/>
  <c r="A4" i="1"/>
  <c r="D22" i="2"/>
  <c r="K553" i="6"/>
  <c r="K561" i="6"/>
  <c r="K533" i="6"/>
  <c r="K580" i="6"/>
  <c r="K559" i="6"/>
  <c r="K629" i="6"/>
  <c r="K579" i="6"/>
  <c r="K591" i="6"/>
  <c r="K593" i="6"/>
  <c r="K592" i="6"/>
  <c r="K541" i="6"/>
  <c r="K536" i="6"/>
  <c r="K544" i="6"/>
  <c r="K573" i="6"/>
  <c r="K572" i="6"/>
  <c r="K490" i="6"/>
  <c r="K599" i="6"/>
  <c r="K598" i="6"/>
  <c r="K525" i="6"/>
  <c r="K520" i="6"/>
  <c r="K534" i="6"/>
  <c r="K547" i="6"/>
  <c r="K545" i="6"/>
  <c r="K557" i="6"/>
  <c r="K548" i="6"/>
  <c r="K474" i="6"/>
  <c r="K462" i="6"/>
  <c r="K616" i="6"/>
  <c r="K509" i="6"/>
  <c r="K425" i="6"/>
  <c r="K555" i="6"/>
  <c r="O515" i="2"/>
  <c r="P515" i="2" s="1"/>
  <c r="O514" i="2"/>
  <c r="P514" i="2" s="1"/>
  <c r="R514" i="2" s="1"/>
  <c r="U514" i="2" s="1"/>
  <c r="O217" i="2"/>
  <c r="P217" i="2" s="1"/>
  <c r="D19" i="2"/>
  <c r="B19" i="2"/>
  <c r="C19" i="2" s="1"/>
  <c r="K326" i="6"/>
  <c r="K415" i="6"/>
  <c r="K450" i="6"/>
  <c r="K552" i="6"/>
  <c r="K236" i="6"/>
  <c r="K276" i="6"/>
  <c r="K282" i="6"/>
  <c r="K388" i="6"/>
  <c r="K448" i="6"/>
  <c r="K625" i="6"/>
  <c r="K550" i="6"/>
  <c r="K330" i="6"/>
  <c r="K411" i="6"/>
  <c r="K410" i="6"/>
  <c r="K427" i="6"/>
  <c r="K439" i="6"/>
  <c r="K68" i="6"/>
  <c r="K280" i="6"/>
  <c r="K366" i="6"/>
  <c r="K622" i="6"/>
  <c r="K314" i="6"/>
  <c r="K83" i="6"/>
  <c r="K119" i="6"/>
  <c r="K267" i="6"/>
  <c r="K624" i="6"/>
  <c r="K333" i="6"/>
  <c r="K596" i="6"/>
  <c r="K578" i="6"/>
  <c r="K508" i="6"/>
  <c r="R1987" i="2"/>
  <c r="U1987" i="2" s="1"/>
  <c r="R1988" i="2"/>
  <c r="U1988" i="2" s="1"/>
  <c r="K823" i="6"/>
  <c r="K716" i="6"/>
  <c r="K864" i="6"/>
  <c r="K809" i="6"/>
  <c r="K824" i="6"/>
  <c r="K669" i="6"/>
  <c r="K890" i="6"/>
  <c r="D21" i="2"/>
  <c r="A5" i="1"/>
  <c r="I5" i="1"/>
  <c r="D17" i="2"/>
  <c r="I4" i="1"/>
  <c r="K787" i="6"/>
  <c r="K713" i="6"/>
  <c r="K775" i="6"/>
  <c r="K791" i="6"/>
  <c r="K856" i="6"/>
  <c r="K867" i="6"/>
  <c r="D20" i="2"/>
  <c r="B18" i="2"/>
  <c r="C18" i="2" s="1"/>
  <c r="B24" i="2"/>
  <c r="C24" i="2" s="1"/>
  <c r="D18" i="2"/>
  <c r="B21" i="2"/>
  <c r="C21" i="2" s="1"/>
  <c r="B17" i="2"/>
  <c r="C17" i="2" s="1"/>
  <c r="D23" i="2"/>
  <c r="B22" i="2"/>
  <c r="C22" i="2" s="1"/>
  <c r="B20" i="2"/>
  <c r="C20" i="2" s="1"/>
  <c r="D24" i="2"/>
  <c r="B23" i="2"/>
  <c r="C23" i="2" s="1"/>
  <c r="A6" i="1"/>
  <c r="D25" i="2"/>
  <c r="B26" i="2"/>
  <c r="C26" i="2" s="1"/>
  <c r="B25" i="2"/>
  <c r="C25" i="2" s="1"/>
  <c r="D26" i="2"/>
  <c r="F6" i="1"/>
  <c r="E6" i="1" s="1"/>
  <c r="I6" i="1"/>
  <c r="A7" i="1"/>
  <c r="B27" i="2"/>
  <c r="C27" i="2" s="1"/>
  <c r="D27" i="2"/>
  <c r="I7" i="1"/>
  <c r="B28" i="2"/>
  <c r="C28" i="2" s="1"/>
  <c r="A8" i="1"/>
  <c r="D28" i="2"/>
  <c r="I8" i="1"/>
  <c r="D29" i="2"/>
  <c r="F8" i="1"/>
  <c r="E8" i="1" s="1"/>
  <c r="O29" i="2" s="1"/>
  <c r="G8" i="1" s="1"/>
  <c r="B29" i="2"/>
  <c r="C29" i="2" s="1"/>
  <c r="A9" i="1"/>
  <c r="I9" i="1"/>
  <c r="D30" i="2"/>
  <c r="F9" i="1"/>
  <c r="E9" i="1" s="1"/>
  <c r="O30" i="2" s="1"/>
  <c r="B30" i="2"/>
  <c r="C30" i="2" s="1"/>
  <c r="A10" i="1"/>
  <c r="B34" i="2"/>
  <c r="C34" i="2" s="1"/>
  <c r="I10" i="1"/>
  <c r="B32" i="2"/>
  <c r="C32" i="2" s="1"/>
  <c r="D37" i="2"/>
  <c r="D31" i="2"/>
  <c r="B38" i="2"/>
  <c r="C38" i="2" s="1"/>
  <c r="D32" i="2"/>
  <c r="D34" i="2"/>
  <c r="B31" i="2"/>
  <c r="C31" i="2" s="1"/>
  <c r="B33" i="2"/>
  <c r="C33" i="2" s="1"/>
  <c r="B36" i="2"/>
  <c r="C36" i="2" s="1"/>
  <c r="D38" i="2"/>
  <c r="A11" i="1"/>
  <c r="D33" i="2"/>
  <c r="B37" i="2"/>
  <c r="C37" i="2" s="1"/>
  <c r="B35" i="2"/>
  <c r="C35" i="2" s="1"/>
  <c r="D35" i="2"/>
  <c r="D36" i="2"/>
  <c r="F11" i="1"/>
  <c r="E11" i="1" s="1"/>
  <c r="O39" i="2" s="1"/>
  <c r="P39" i="2" s="1"/>
  <c r="I11" i="1"/>
  <c r="A12" i="1"/>
  <c r="B39" i="2"/>
  <c r="C39" i="2" s="1"/>
  <c r="D39" i="2"/>
  <c r="I12" i="1"/>
  <c r="D40" i="2"/>
  <c r="B40" i="2"/>
  <c r="C40" i="2" s="1"/>
  <c r="A13" i="1"/>
  <c r="I13" i="1"/>
  <c r="D66" i="2"/>
  <c r="F13" i="1"/>
  <c r="E13" i="1" s="1"/>
  <c r="B41" i="2"/>
  <c r="C41" i="2" s="1"/>
  <c r="B66" i="2"/>
  <c r="C66" i="2" s="1"/>
  <c r="A14" i="1"/>
  <c r="D41" i="2"/>
  <c r="B43" i="2"/>
  <c r="C43" i="2" s="1"/>
  <c r="I14" i="1"/>
  <c r="D43" i="2"/>
  <c r="B42" i="2"/>
  <c r="C42" i="2" s="1"/>
  <c r="A15" i="1"/>
  <c r="I15" i="1"/>
  <c r="A16" i="1"/>
  <c r="I16" i="1"/>
  <c r="A17" i="1"/>
  <c r="I17" i="1"/>
  <c r="A18" i="1"/>
  <c r="F18" i="1"/>
  <c r="E18" i="1" s="1"/>
  <c r="O415" i="2" s="1"/>
  <c r="P415" i="2" s="1"/>
  <c r="R415" i="2" s="1"/>
  <c r="I18" i="1"/>
  <c r="A19" i="1"/>
  <c r="F19" i="1"/>
  <c r="E19" i="1" s="1"/>
  <c r="I19" i="1"/>
  <c r="A20" i="1"/>
  <c r="I20" i="1"/>
  <c r="A21" i="1"/>
  <c r="I21" i="1"/>
  <c r="A22" i="1"/>
  <c r="I22" i="1"/>
  <c r="A23" i="1"/>
  <c r="I23" i="1"/>
  <c r="A24" i="1"/>
  <c r="I24" i="1"/>
  <c r="A25" i="1"/>
  <c r="I25" i="1"/>
  <c r="A26" i="1"/>
  <c r="I26" i="1"/>
  <c r="A27" i="1"/>
  <c r="F27" i="1"/>
  <c r="E27" i="1" s="1"/>
  <c r="O84" i="2" s="1"/>
  <c r="I27" i="1"/>
  <c r="A28" i="1"/>
  <c r="I28" i="1"/>
  <c r="A29" i="1"/>
  <c r="I29" i="1"/>
  <c r="A30" i="1"/>
  <c r="F30" i="1"/>
  <c r="E30" i="1" s="1"/>
  <c r="I30" i="1"/>
  <c r="A31" i="1"/>
  <c r="I31" i="1"/>
  <c r="A32" i="1"/>
  <c r="I32" i="1"/>
  <c r="A33" i="1"/>
  <c r="I33" i="1"/>
  <c r="A34" i="1"/>
  <c r="I34" i="1"/>
  <c r="A35" i="1"/>
  <c r="F35" i="1"/>
  <c r="E35" i="1" s="1"/>
  <c r="O133" i="2" s="1"/>
  <c r="I35" i="1"/>
  <c r="A36" i="1"/>
  <c r="F36" i="1"/>
  <c r="E36" i="1" s="1"/>
  <c r="O93" i="2" s="1"/>
  <c r="I36" i="1"/>
  <c r="A37" i="1"/>
  <c r="I37" i="1"/>
  <c r="A38" i="1"/>
  <c r="I38" i="1"/>
  <c r="A39" i="1"/>
  <c r="F39" i="1"/>
  <c r="E39" i="1" s="1"/>
  <c r="I39" i="1"/>
  <c r="A40" i="1"/>
  <c r="I40" i="1"/>
  <c r="A41" i="1"/>
  <c r="I41" i="1"/>
  <c r="A42" i="1"/>
  <c r="I42" i="1"/>
  <c r="A43" i="1"/>
  <c r="I43" i="1"/>
  <c r="A44" i="1"/>
  <c r="I44" i="1"/>
  <c r="A45" i="1"/>
  <c r="I45" i="1"/>
  <c r="A46" i="1"/>
  <c r="I46" i="1"/>
  <c r="A47" i="1"/>
  <c r="I47" i="1"/>
  <c r="A48" i="1"/>
  <c r="F48" i="1"/>
  <c r="E48" i="1" s="1"/>
  <c r="O143" i="2" s="1"/>
  <c r="I48" i="1"/>
  <c r="A49" i="1"/>
  <c r="F49" i="1"/>
  <c r="E49" i="1" s="1"/>
  <c r="O144" i="2" s="1"/>
  <c r="I49" i="1"/>
  <c r="A50" i="1"/>
  <c r="I50" i="1"/>
  <c r="A51" i="1"/>
  <c r="F51" i="1"/>
  <c r="E51" i="1" s="1"/>
  <c r="O155" i="2" s="1"/>
  <c r="I51" i="1"/>
  <c r="A52" i="1"/>
  <c r="I52" i="1"/>
  <c r="A53" i="1"/>
  <c r="I53" i="1"/>
  <c r="A54" i="1"/>
  <c r="I54" i="1"/>
  <c r="A55" i="1"/>
  <c r="I55" i="1"/>
  <c r="A56" i="1"/>
  <c r="F56" i="1"/>
  <c r="E56" i="1" s="1"/>
  <c r="O173" i="2" s="1"/>
  <c r="P173" i="2" s="1"/>
  <c r="I56" i="1"/>
  <c r="A57" i="1"/>
  <c r="I57" i="1"/>
  <c r="A58" i="1"/>
  <c r="I58" i="1"/>
  <c r="A59" i="1"/>
  <c r="F59" i="1"/>
  <c r="E59" i="1" s="1"/>
  <c r="O183" i="2" s="1"/>
  <c r="P183" i="2" s="1"/>
  <c r="I59" i="1"/>
  <c r="A60" i="1"/>
  <c r="I60" i="1"/>
  <c r="A61" i="1"/>
  <c r="F61" i="1"/>
  <c r="E61" i="1" s="1"/>
  <c r="I61" i="1"/>
  <c r="A62" i="1"/>
  <c r="I62" i="1"/>
  <c r="A63" i="1"/>
  <c r="F63" i="1"/>
  <c r="E63" i="1" s="1"/>
  <c r="O199" i="2" s="1"/>
  <c r="I63" i="1"/>
  <c r="A64" i="1"/>
  <c r="I64" i="1"/>
  <c r="A65" i="1"/>
  <c r="I65" i="1"/>
  <c r="A66" i="1"/>
  <c r="I66" i="1"/>
  <c r="A67" i="1"/>
  <c r="I67" i="1"/>
  <c r="A68" i="1"/>
  <c r="F68" i="1"/>
  <c r="E68" i="1" s="1"/>
  <c r="I68" i="1"/>
  <c r="A69" i="1"/>
  <c r="I69" i="1"/>
  <c r="A70" i="1"/>
  <c r="I70" i="1"/>
  <c r="A71" i="1"/>
  <c r="I71" i="1"/>
  <c r="A72" i="1"/>
  <c r="I72" i="1"/>
  <c r="A73" i="1"/>
  <c r="F73" i="1"/>
  <c r="E73" i="1" s="1"/>
  <c r="I73" i="1"/>
  <c r="A74" i="1"/>
  <c r="F74" i="1"/>
  <c r="E74" i="1" s="1"/>
  <c r="O241" i="2" s="1"/>
  <c r="I74" i="1"/>
  <c r="A75" i="1"/>
  <c r="F75" i="1"/>
  <c r="E75" i="1" s="1"/>
  <c r="O242" i="2" s="1"/>
  <c r="I75" i="1"/>
  <c r="A76" i="1"/>
  <c r="I76" i="1"/>
  <c r="A77" i="1"/>
  <c r="I77" i="1"/>
  <c r="A78" i="1"/>
  <c r="I78" i="1"/>
  <c r="A79" i="1"/>
  <c r="I79" i="1"/>
  <c r="A80" i="1"/>
  <c r="I80" i="1"/>
  <c r="A81" i="1"/>
  <c r="I81" i="1"/>
  <c r="A82" i="1"/>
  <c r="I82" i="1"/>
  <c r="A83" i="1"/>
  <c r="I83" i="1"/>
  <c r="A84" i="1"/>
  <c r="I84" i="1"/>
  <c r="A85" i="1"/>
  <c r="I85" i="1"/>
  <c r="A86" i="1"/>
  <c r="F86" i="1"/>
  <c r="E86" i="1" s="1"/>
  <c r="I86" i="1"/>
  <c r="A87" i="1"/>
  <c r="I87" i="1"/>
  <c r="A88" i="1"/>
  <c r="I88" i="1"/>
  <c r="A89" i="1"/>
  <c r="I89" i="1"/>
  <c r="A90" i="1"/>
  <c r="I90" i="1"/>
  <c r="A91" i="1"/>
  <c r="I91" i="1"/>
  <c r="A92" i="1"/>
  <c r="I92" i="1"/>
  <c r="A93" i="1"/>
  <c r="I93" i="1"/>
  <c r="A94" i="1"/>
  <c r="F94" i="1"/>
  <c r="E94" i="1" s="1"/>
  <c r="O324" i="2" s="1"/>
  <c r="P324" i="2" s="1"/>
  <c r="I94" i="1"/>
  <c r="A95" i="1"/>
  <c r="F95" i="1"/>
  <c r="E95" i="1" s="1"/>
  <c r="I95" i="1"/>
  <c r="A96" i="1"/>
  <c r="I96" i="1"/>
  <c r="A97" i="1"/>
  <c r="I97" i="1"/>
  <c r="A98" i="1"/>
  <c r="I98" i="1"/>
  <c r="A99" i="1"/>
  <c r="I99" i="1"/>
  <c r="A100" i="1"/>
  <c r="I100" i="1"/>
  <c r="A101" i="1"/>
  <c r="I101" i="1"/>
  <c r="A102" i="1"/>
  <c r="I102" i="1"/>
  <c r="A103" i="1"/>
  <c r="F103" i="1"/>
  <c r="E103" i="1" s="1"/>
  <c r="O372" i="2" s="1"/>
  <c r="P372" i="2" s="1"/>
  <c r="R372" i="2" s="1"/>
  <c r="I103" i="1"/>
  <c r="A104" i="1"/>
  <c r="I104" i="1"/>
  <c r="A105" i="1"/>
  <c r="I105" i="1"/>
  <c r="A106" i="1"/>
  <c r="I106" i="1"/>
  <c r="A107" i="1"/>
  <c r="I107" i="1"/>
  <c r="A108" i="1"/>
  <c r="F108" i="1"/>
  <c r="E108" i="1" s="1"/>
  <c r="I108" i="1"/>
  <c r="A109" i="1"/>
  <c r="I109" i="1"/>
  <c r="A110" i="1"/>
  <c r="I110" i="1"/>
  <c r="A111" i="1"/>
  <c r="I111" i="1"/>
  <c r="A112" i="1"/>
  <c r="I112" i="1"/>
  <c r="A113" i="1"/>
  <c r="I113" i="1"/>
  <c r="A114" i="1"/>
  <c r="I114" i="1"/>
  <c r="A115" i="1"/>
  <c r="F115" i="1"/>
  <c r="E115" i="1" s="1"/>
  <c r="O432" i="2" s="1"/>
  <c r="I115" i="1"/>
  <c r="A116" i="1"/>
  <c r="I116" i="1"/>
  <c r="A117" i="1"/>
  <c r="I117" i="1"/>
  <c r="A118" i="1"/>
  <c r="I118" i="1"/>
  <c r="A119" i="1"/>
  <c r="I119" i="1"/>
  <c r="A120" i="1"/>
  <c r="I120" i="1"/>
  <c r="A121" i="1"/>
  <c r="I121" i="1"/>
  <c r="A122" i="1"/>
  <c r="I122" i="1"/>
  <c r="A123" i="1"/>
  <c r="I123" i="1"/>
  <c r="A124" i="1"/>
  <c r="I124" i="1"/>
  <c r="A125" i="1"/>
  <c r="I125" i="1"/>
  <c r="A126" i="1"/>
  <c r="I126" i="1"/>
  <c r="A127" i="1"/>
  <c r="I127" i="1"/>
  <c r="A128" i="1"/>
  <c r="I128" i="1"/>
  <c r="A129" i="1"/>
  <c r="I129" i="1"/>
  <c r="A130" i="1"/>
  <c r="I130" i="1"/>
  <c r="A131" i="1"/>
  <c r="I131" i="1"/>
  <c r="A132" i="1"/>
  <c r="F132" i="1"/>
  <c r="E132" i="1" s="1"/>
  <c r="O508" i="2" s="1"/>
  <c r="I132" i="1"/>
  <c r="A133" i="1"/>
  <c r="F133" i="1"/>
  <c r="E133" i="1" s="1"/>
  <c r="O509" i="2" s="1"/>
  <c r="I133" i="1"/>
  <c r="A134" i="1"/>
  <c r="I134" i="1"/>
  <c r="A135" i="1"/>
  <c r="I135" i="1"/>
  <c r="A136" i="1"/>
  <c r="F136" i="1"/>
  <c r="E136" i="1" s="1"/>
  <c r="I136" i="1"/>
  <c r="A137" i="1"/>
  <c r="F137" i="1"/>
  <c r="E137" i="1" s="1"/>
  <c r="O516" i="2" s="1"/>
  <c r="P516" i="2" s="1"/>
  <c r="I137" i="1"/>
  <c r="A138" i="1"/>
  <c r="I138" i="1"/>
  <c r="A139" i="1"/>
  <c r="I139" i="1"/>
  <c r="A140" i="1"/>
  <c r="I140" i="1"/>
  <c r="A141" i="1"/>
  <c r="F141" i="1"/>
  <c r="E141" i="1" s="1"/>
  <c r="I141" i="1"/>
  <c r="A142" i="1"/>
  <c r="F142" i="1"/>
  <c r="E142" i="1" s="1"/>
  <c r="O527" i="2" s="1"/>
  <c r="G142" i="1" s="1"/>
  <c r="I142" i="1"/>
  <c r="A143" i="1"/>
  <c r="I143" i="1"/>
  <c r="A144" i="1"/>
  <c r="I144" i="1"/>
  <c r="A145" i="1"/>
  <c r="I145" i="1"/>
  <c r="A146" i="1"/>
  <c r="F146" i="1"/>
  <c r="E146" i="1" s="1"/>
  <c r="O533" i="2" s="1"/>
  <c r="P533" i="2" s="1"/>
  <c r="I146" i="1"/>
  <c r="A147" i="1"/>
  <c r="I147" i="1"/>
  <c r="A148" i="1"/>
  <c r="I148" i="1"/>
  <c r="A149" i="1"/>
  <c r="I149" i="1"/>
  <c r="A150" i="1"/>
  <c r="F150" i="1"/>
  <c r="E150" i="1" s="1"/>
  <c r="O545" i="2" s="1"/>
  <c r="I150" i="1"/>
  <c r="A151" i="1"/>
  <c r="F151" i="1"/>
  <c r="E151" i="1" s="1"/>
  <c r="O546" i="2" s="1"/>
  <c r="G151" i="1" s="1"/>
  <c r="I151" i="1"/>
  <c r="A152" i="1"/>
  <c r="I152" i="1"/>
  <c r="A153" i="1"/>
  <c r="I153" i="1"/>
  <c r="A154" i="1"/>
  <c r="F154" i="1"/>
  <c r="E154" i="1" s="1"/>
  <c r="I154" i="1"/>
  <c r="A155" i="1"/>
  <c r="I155" i="1"/>
  <c r="A156" i="1"/>
  <c r="I156" i="1"/>
  <c r="A157" i="1"/>
  <c r="I157" i="1"/>
  <c r="A158" i="1"/>
  <c r="I158" i="1"/>
  <c r="A159" i="1"/>
  <c r="I159" i="1"/>
  <c r="A160" i="1"/>
  <c r="F160" i="1"/>
  <c r="E160" i="1" s="1"/>
  <c r="O582" i="2" s="1"/>
  <c r="I160" i="1"/>
  <c r="A161" i="1"/>
  <c r="I161" i="1"/>
  <c r="A162" i="1"/>
  <c r="F162" i="1"/>
  <c r="E162" i="1" s="1"/>
  <c r="O594" i="2" s="1"/>
  <c r="I162" i="1"/>
  <c r="A163" i="1"/>
  <c r="I163" i="1"/>
  <c r="A164" i="1"/>
  <c r="I164" i="1"/>
  <c r="A165" i="1"/>
  <c r="I165" i="1"/>
  <c r="A166" i="1"/>
  <c r="I166" i="1"/>
  <c r="A167" i="1"/>
  <c r="F167" i="1"/>
  <c r="E167" i="1" s="1"/>
  <c r="I167" i="1"/>
  <c r="A168" i="1"/>
  <c r="I168" i="1"/>
  <c r="A169" i="1"/>
  <c r="F169" i="1"/>
  <c r="E169" i="1" s="1"/>
  <c r="I169" i="1"/>
  <c r="A170" i="1"/>
  <c r="I170" i="1"/>
  <c r="A171" i="1"/>
  <c r="I171" i="1"/>
  <c r="A172" i="1"/>
  <c r="I172" i="1"/>
  <c r="A173" i="1"/>
  <c r="I173" i="1"/>
  <c r="A174" i="1"/>
  <c r="I174" i="1"/>
  <c r="A175" i="1"/>
  <c r="I175" i="1"/>
  <c r="A176" i="1"/>
  <c r="I176" i="1"/>
  <c r="A177" i="1"/>
  <c r="F177" i="1"/>
  <c r="E177" i="1" s="1"/>
  <c r="I177" i="1"/>
  <c r="A178" i="1"/>
  <c r="I178" i="1"/>
  <c r="A179" i="1"/>
  <c r="F179" i="1"/>
  <c r="E179" i="1" s="1"/>
  <c r="O643" i="2" s="1"/>
  <c r="I179" i="1"/>
  <c r="A180" i="1"/>
  <c r="I180" i="1"/>
  <c r="A181" i="1"/>
  <c r="F181" i="1"/>
  <c r="E181" i="1" s="1"/>
  <c r="I181" i="1"/>
  <c r="A182" i="1"/>
  <c r="I182" i="1"/>
  <c r="A183" i="1"/>
  <c r="I183" i="1"/>
  <c r="A184" i="1"/>
  <c r="F184" i="1"/>
  <c r="E184" i="1" s="1"/>
  <c r="O655" i="2" s="1"/>
  <c r="P655" i="2" s="1"/>
  <c r="I184" i="1"/>
  <c r="A185" i="1"/>
  <c r="I185" i="1"/>
  <c r="A186" i="1"/>
  <c r="F186" i="1"/>
  <c r="E186" i="1" s="1"/>
  <c r="O663" i="2" s="1"/>
  <c r="I186" i="1"/>
  <c r="A187" i="1"/>
  <c r="I187" i="1"/>
  <c r="A188" i="1"/>
  <c r="I188" i="1"/>
  <c r="A189" i="1"/>
  <c r="F189" i="1"/>
  <c r="E189" i="1" s="1"/>
  <c r="O681" i="2" s="1"/>
  <c r="G189" i="1" s="1"/>
  <c r="I189" i="1"/>
  <c r="A190" i="1"/>
  <c r="I190" i="1"/>
  <c r="A191" i="1"/>
  <c r="I191" i="1"/>
  <c r="A192" i="1"/>
  <c r="I192" i="1"/>
  <c r="A193" i="1"/>
  <c r="I193" i="1"/>
  <c r="A194" i="1"/>
  <c r="I194" i="1"/>
  <c r="A195" i="1"/>
  <c r="I195" i="1"/>
  <c r="A196" i="1"/>
  <c r="F196" i="1"/>
  <c r="E196" i="1" s="1"/>
  <c r="O704" i="2" s="1"/>
  <c r="I196" i="1"/>
  <c r="A197" i="1"/>
  <c r="I197" i="1"/>
  <c r="A198" i="1"/>
  <c r="I198" i="1"/>
  <c r="A199" i="1"/>
  <c r="I199" i="1"/>
  <c r="A200" i="1"/>
  <c r="I200" i="1"/>
  <c r="A201" i="1"/>
  <c r="I201" i="1"/>
  <c r="A202" i="1"/>
  <c r="I202" i="1"/>
  <c r="A203" i="1"/>
  <c r="F203" i="1"/>
  <c r="E203" i="1" s="1"/>
  <c r="O719" i="2" s="1"/>
  <c r="G203" i="1" s="1"/>
  <c r="I203" i="1"/>
  <c r="A204" i="1"/>
  <c r="F204" i="1"/>
  <c r="E204" i="1" s="1"/>
  <c r="O720" i="2" s="1"/>
  <c r="I204" i="1"/>
  <c r="A205" i="1"/>
  <c r="I205" i="1"/>
  <c r="A206" i="1"/>
  <c r="I206" i="1"/>
  <c r="A207" i="1"/>
  <c r="I207" i="1"/>
  <c r="A208" i="1"/>
  <c r="I208" i="1"/>
  <c r="A209" i="1"/>
  <c r="F209" i="1"/>
  <c r="E209" i="1" s="1"/>
  <c r="O737" i="2" s="1"/>
  <c r="P737" i="2" s="1"/>
  <c r="R737" i="2" s="1"/>
  <c r="I209" i="1"/>
  <c r="A210" i="1"/>
  <c r="I210" i="1"/>
  <c r="A211" i="1"/>
  <c r="F211" i="1"/>
  <c r="E211" i="1" s="1"/>
  <c r="O739" i="2" s="1"/>
  <c r="G211" i="1" s="1"/>
  <c r="I211" i="1"/>
  <c r="A212" i="1"/>
  <c r="I212" i="1"/>
  <c r="A213" i="1"/>
  <c r="F213" i="1"/>
  <c r="E213" i="1" s="1"/>
  <c r="I213" i="1"/>
  <c r="A214" i="1"/>
  <c r="F214" i="1"/>
  <c r="E214" i="1" s="1"/>
  <c r="O743" i="2" s="1"/>
  <c r="P743" i="2" s="1"/>
  <c r="H214" i="1" s="1"/>
  <c r="I214" i="1"/>
  <c r="A215" i="1"/>
  <c r="I215" i="1"/>
  <c r="A216" i="1"/>
  <c r="I216" i="1"/>
  <c r="A217" i="1"/>
  <c r="I217" i="1"/>
  <c r="A218" i="1"/>
  <c r="I218" i="1"/>
  <c r="A219" i="1"/>
  <c r="I219" i="1"/>
  <c r="A220" i="1"/>
  <c r="I220" i="1"/>
  <c r="A221" i="1"/>
  <c r="I221" i="1"/>
  <c r="A222" i="1"/>
  <c r="I222" i="1"/>
  <c r="A223" i="1"/>
  <c r="I223" i="1"/>
  <c r="A224" i="1"/>
  <c r="I224" i="1"/>
  <c r="A225" i="1"/>
  <c r="I225" i="1"/>
  <c r="A226" i="1"/>
  <c r="I226" i="1"/>
  <c r="A227" i="1"/>
  <c r="I227" i="1"/>
  <c r="A228" i="1"/>
  <c r="I228" i="1"/>
  <c r="A229" i="1"/>
  <c r="F229" i="1"/>
  <c r="E229" i="1" s="1"/>
  <c r="O808" i="2" s="1"/>
  <c r="I229" i="1"/>
  <c r="A230" i="1"/>
  <c r="F230" i="1"/>
  <c r="E230" i="1" s="1"/>
  <c r="O809" i="2" s="1"/>
  <c r="G230" i="1" s="1"/>
  <c r="I230" i="1"/>
  <c r="A231" i="1"/>
  <c r="I231" i="1"/>
  <c r="A232" i="1"/>
  <c r="F232" i="1"/>
  <c r="E232" i="1" s="1"/>
  <c r="I232" i="1"/>
  <c r="A233" i="1"/>
  <c r="I233" i="1"/>
  <c r="A234" i="1"/>
  <c r="I234" i="1"/>
  <c r="A235" i="1"/>
  <c r="I235" i="1"/>
  <c r="A236" i="1"/>
  <c r="I236" i="1"/>
  <c r="A237" i="1"/>
  <c r="I237" i="1"/>
  <c r="A238" i="1"/>
  <c r="F238" i="1"/>
  <c r="E238" i="1" s="1"/>
  <c r="O839" i="2" s="1"/>
  <c r="I238" i="1"/>
  <c r="A239" i="1"/>
  <c r="I239" i="1"/>
  <c r="A240" i="1"/>
  <c r="F240" i="1"/>
  <c r="E240" i="1" s="1"/>
  <c r="O841" i="2" s="1"/>
  <c r="I240" i="1"/>
  <c r="A241" i="1"/>
  <c r="I241" i="1"/>
  <c r="A242" i="1"/>
  <c r="I242" i="1"/>
  <c r="A243" i="1"/>
  <c r="I243" i="1"/>
  <c r="A244" i="1"/>
  <c r="I244" i="1"/>
  <c r="A245" i="1"/>
  <c r="F245" i="1"/>
  <c r="E245" i="1" s="1"/>
  <c r="O859" i="2" s="1"/>
  <c r="I245" i="1"/>
  <c r="A246" i="1"/>
  <c r="I246" i="1"/>
  <c r="A247" i="1"/>
  <c r="F247" i="1"/>
  <c r="E247" i="1" s="1"/>
  <c r="O915" i="2" s="1"/>
  <c r="P915" i="2" s="1"/>
  <c r="I247" i="1"/>
  <c r="A248" i="1"/>
  <c r="I248" i="1"/>
  <c r="A249" i="1"/>
  <c r="I249" i="1"/>
  <c r="A250" i="1"/>
  <c r="F250" i="1"/>
  <c r="E250" i="1" s="1"/>
  <c r="O873" i="2" s="1"/>
  <c r="P873" i="2" s="1"/>
  <c r="I250" i="1"/>
  <c r="A251" i="1"/>
  <c r="I251" i="1"/>
  <c r="A252" i="1"/>
  <c r="F252" i="1"/>
  <c r="E252" i="1" s="1"/>
  <c r="O880" i="2" s="1"/>
  <c r="I252" i="1"/>
  <c r="A253" i="1"/>
  <c r="F253" i="1"/>
  <c r="E253" i="1" s="1"/>
  <c r="O881" i="2" s="1"/>
  <c r="I253" i="1"/>
  <c r="A254" i="1"/>
  <c r="I254" i="1"/>
  <c r="A255" i="1"/>
  <c r="F255" i="1"/>
  <c r="E255" i="1" s="1"/>
  <c r="I255" i="1"/>
  <c r="A256" i="1"/>
  <c r="I256" i="1"/>
  <c r="A257" i="1"/>
  <c r="I257" i="1"/>
  <c r="A258" i="1"/>
  <c r="I258" i="1"/>
  <c r="A259" i="1"/>
  <c r="I259" i="1"/>
  <c r="A260" i="1"/>
  <c r="I260" i="1"/>
  <c r="A261" i="1"/>
  <c r="I261" i="1"/>
  <c r="A262" i="1"/>
  <c r="I262" i="1"/>
  <c r="A263" i="1"/>
  <c r="A264" i="1"/>
  <c r="I264" i="1"/>
  <c r="A265" i="1"/>
  <c r="I265" i="1"/>
  <c r="A266" i="1"/>
  <c r="I266" i="1"/>
  <c r="A267" i="1"/>
  <c r="I267" i="1"/>
  <c r="A268" i="1"/>
  <c r="I268" i="1"/>
  <c r="A269" i="1"/>
  <c r="F269" i="1"/>
  <c r="E269" i="1" s="1"/>
  <c r="O933" i="2" s="1"/>
  <c r="I269" i="1"/>
  <c r="A270" i="1"/>
  <c r="I270" i="1"/>
  <c r="A271" i="1"/>
  <c r="I271" i="1"/>
  <c r="A272" i="1"/>
  <c r="I272" i="1"/>
  <c r="A273" i="1"/>
  <c r="I273" i="1"/>
  <c r="A274" i="1"/>
  <c r="I274" i="1"/>
  <c r="A275" i="1"/>
  <c r="F275" i="1"/>
  <c r="E275" i="1" s="1"/>
  <c r="O936" i="2" s="1"/>
  <c r="G275" i="1" s="1"/>
  <c r="I275" i="1"/>
  <c r="A276" i="1"/>
  <c r="I276" i="1"/>
  <c r="A277" i="1"/>
  <c r="I277" i="1"/>
  <c r="A278" i="1"/>
  <c r="F278" i="1"/>
  <c r="E278" i="1" s="1"/>
  <c r="O999" i="2" s="1"/>
  <c r="I278" i="1"/>
  <c r="A279" i="1"/>
  <c r="I279" i="1"/>
  <c r="A280" i="1"/>
  <c r="I280" i="1"/>
  <c r="A281" i="1"/>
  <c r="F281" i="1"/>
  <c r="E281" i="1" s="1"/>
  <c r="O1023" i="2" s="1"/>
  <c r="P1023" i="2" s="1"/>
  <c r="I281" i="1"/>
  <c r="A282" i="1"/>
  <c r="I282" i="1"/>
  <c r="A283" i="1"/>
  <c r="F283" i="1"/>
  <c r="E283" i="1" s="1"/>
  <c r="O1025" i="2" s="1"/>
  <c r="P1025" i="2" s="1"/>
  <c r="I283" i="1"/>
  <c r="A284" i="1"/>
  <c r="I284" i="1"/>
  <c r="A285" i="1"/>
  <c r="I285" i="1"/>
  <c r="A286" i="1"/>
  <c r="I286" i="1"/>
  <c r="A287" i="1"/>
  <c r="F287" i="1"/>
  <c r="E287" i="1" s="1"/>
  <c r="O1037" i="2" s="1"/>
  <c r="I287" i="1"/>
  <c r="A288" i="1"/>
  <c r="I288" i="1"/>
  <c r="A289" i="1"/>
  <c r="I289" i="1"/>
  <c r="A290" i="1"/>
  <c r="F290" i="1"/>
  <c r="E290" i="1" s="1"/>
  <c r="O1040" i="2" s="1"/>
  <c r="I290" i="1"/>
  <c r="A291" i="1"/>
  <c r="I291" i="1"/>
  <c r="A292" i="1"/>
  <c r="I292" i="1"/>
  <c r="A293" i="1"/>
  <c r="F293" i="1"/>
  <c r="E293" i="1" s="1"/>
  <c r="I293" i="1"/>
  <c r="A294" i="1"/>
  <c r="I294" i="1"/>
  <c r="A295" i="1"/>
  <c r="I295" i="1"/>
  <c r="A296" i="1"/>
  <c r="I296" i="1"/>
  <c r="A297" i="1"/>
  <c r="I297" i="1"/>
  <c r="A298" i="1"/>
  <c r="I298" i="1"/>
  <c r="A299" i="1"/>
  <c r="I299" i="1"/>
  <c r="A300" i="1"/>
  <c r="I300" i="1"/>
  <c r="A301" i="1"/>
  <c r="I301" i="1"/>
  <c r="A302" i="1"/>
  <c r="F302" i="1"/>
  <c r="E302" i="1" s="1"/>
  <c r="I302" i="1"/>
  <c r="A303" i="1"/>
  <c r="I303" i="1"/>
  <c r="A304" i="1"/>
  <c r="I304" i="1"/>
  <c r="A305" i="1"/>
  <c r="I305" i="1"/>
  <c r="A306" i="1"/>
  <c r="I306" i="1"/>
  <c r="A307" i="1"/>
  <c r="I307" i="1"/>
  <c r="A308" i="1"/>
  <c r="I308" i="1"/>
  <c r="A309" i="1"/>
  <c r="I309" i="1"/>
  <c r="A310" i="1"/>
  <c r="I310" i="1"/>
  <c r="A311" i="1"/>
  <c r="I311" i="1"/>
  <c r="A312" i="1"/>
  <c r="F312" i="1"/>
  <c r="E312" i="1" s="1"/>
  <c r="O1146" i="2" s="1"/>
  <c r="P1146" i="2" s="1"/>
  <c r="I312" i="1"/>
  <c r="A313" i="1"/>
  <c r="I313" i="1"/>
  <c r="A314" i="1"/>
  <c r="I314" i="1"/>
  <c r="A315" i="1"/>
  <c r="I315" i="1"/>
  <c r="A316" i="1"/>
  <c r="I316" i="1"/>
  <c r="A317" i="1"/>
  <c r="I317" i="1"/>
  <c r="A318" i="1"/>
  <c r="I318" i="1"/>
  <c r="A319" i="1"/>
  <c r="I319" i="1"/>
  <c r="A320" i="1"/>
  <c r="I320" i="1"/>
  <c r="A321" i="1"/>
  <c r="I321" i="1"/>
  <c r="A322" i="1"/>
  <c r="I322" i="1"/>
  <c r="A323" i="1"/>
  <c r="F323" i="1"/>
  <c r="E323" i="1" s="1"/>
  <c r="O1188" i="2" s="1"/>
  <c r="G323" i="1" s="1"/>
  <c r="I323" i="1"/>
  <c r="A324" i="1"/>
  <c r="I324" i="1"/>
  <c r="A325" i="1"/>
  <c r="I325" i="1"/>
  <c r="A326" i="1"/>
  <c r="I326" i="1"/>
  <c r="A327" i="1"/>
  <c r="I327" i="1"/>
  <c r="A328" i="1"/>
  <c r="F328" i="1"/>
  <c r="E328" i="1" s="1"/>
  <c r="O1215" i="2" s="1"/>
  <c r="P1215" i="2" s="1"/>
  <c r="I328" i="1"/>
  <c r="A329" i="1"/>
  <c r="I329" i="1"/>
  <c r="A330" i="1"/>
  <c r="F330" i="1"/>
  <c r="E330" i="1" s="1"/>
  <c r="O1222" i="2" s="1"/>
  <c r="P1222" i="2" s="1"/>
  <c r="I330" i="1"/>
  <c r="A331" i="1"/>
  <c r="F331" i="1"/>
  <c r="E331" i="1" s="1"/>
  <c r="O1223" i="2" s="1"/>
  <c r="P1223" i="2" s="1"/>
  <c r="I331" i="1"/>
  <c r="A332" i="1"/>
  <c r="I332" i="1"/>
  <c r="A333" i="1"/>
  <c r="I333" i="1"/>
  <c r="A334" i="1"/>
  <c r="I334" i="1"/>
  <c r="A335" i="1"/>
  <c r="I335" i="1"/>
  <c r="A336" i="1"/>
  <c r="A337" i="1"/>
  <c r="I337" i="1"/>
  <c r="A338" i="1"/>
  <c r="I338" i="1"/>
  <c r="A339" i="1"/>
  <c r="I339" i="1"/>
  <c r="A340" i="1"/>
  <c r="A341" i="1"/>
  <c r="I341" i="1"/>
  <c r="A342" i="1"/>
  <c r="F342" i="1"/>
  <c r="E342" i="1" s="1"/>
  <c r="I342" i="1"/>
  <c r="A343" i="1"/>
  <c r="I343" i="1"/>
  <c r="A344" i="1"/>
  <c r="F344" i="1"/>
  <c r="E344" i="1" s="1"/>
  <c r="I344" i="1"/>
  <c r="A345" i="1"/>
  <c r="A346" i="1"/>
  <c r="I346" i="1"/>
  <c r="A347" i="1"/>
  <c r="I347" i="1"/>
  <c r="A348" i="1"/>
  <c r="F348" i="1"/>
  <c r="E348" i="1" s="1"/>
  <c r="A349" i="1"/>
  <c r="I349" i="1"/>
  <c r="A350" i="1"/>
  <c r="A351" i="1"/>
  <c r="F351" i="1"/>
  <c r="E351" i="1" s="1"/>
  <c r="O1306" i="2" s="1"/>
  <c r="P1306" i="2" s="1"/>
  <c r="A352" i="1"/>
  <c r="A353" i="1"/>
  <c r="I353" i="1"/>
  <c r="A354" i="1"/>
  <c r="F354" i="1"/>
  <c r="E354" i="1" s="1"/>
  <c r="O1312" i="2" s="1"/>
  <c r="P1312" i="2" s="1"/>
  <c r="I354" i="1"/>
  <c r="A355" i="1"/>
  <c r="I355" i="1"/>
  <c r="A356" i="1"/>
  <c r="A357" i="1"/>
  <c r="A358" i="1"/>
  <c r="F358" i="1"/>
  <c r="E358" i="1" s="1"/>
  <c r="O1330" i="2" s="1"/>
  <c r="P1330" i="2" s="1"/>
  <c r="A359" i="1"/>
  <c r="A360" i="1"/>
  <c r="F360" i="1"/>
  <c r="E360" i="1" s="1"/>
  <c r="O1338" i="2" s="1"/>
  <c r="P1338" i="2" s="1"/>
  <c r="R1338" i="2" s="1"/>
  <c r="A361" i="1"/>
  <c r="A362" i="1"/>
  <c r="A363" i="1"/>
  <c r="F363" i="1"/>
  <c r="E363" i="1" s="1"/>
  <c r="A364" i="1"/>
  <c r="A365" i="1"/>
  <c r="F365" i="1"/>
  <c r="E365" i="1" s="1"/>
  <c r="O1354" i="2" s="1"/>
  <c r="P1354" i="2" s="1"/>
  <c r="A366" i="1"/>
  <c r="A367" i="1"/>
  <c r="A368" i="1"/>
  <c r="A369" i="1"/>
  <c r="A370" i="1"/>
  <c r="A371" i="1"/>
  <c r="F371" i="1"/>
  <c r="E371" i="1" s="1"/>
  <c r="A372" i="1"/>
  <c r="I372" i="1"/>
  <c r="A373" i="1"/>
  <c r="F373" i="1"/>
  <c r="E373" i="1" s="1"/>
  <c r="O1406" i="2" s="1"/>
  <c r="A374" i="1"/>
  <c r="I374" i="1"/>
  <c r="A375" i="1"/>
  <c r="I375" i="1"/>
  <c r="A376" i="1"/>
  <c r="F376" i="1"/>
  <c r="E376" i="1" s="1"/>
  <c r="O1409" i="2" s="1"/>
  <c r="I376" i="1"/>
  <c r="A377" i="1"/>
  <c r="I377" i="1"/>
  <c r="A378" i="1"/>
  <c r="A379" i="1"/>
  <c r="A380" i="1"/>
  <c r="A381" i="1"/>
  <c r="A382" i="1"/>
  <c r="I382" i="1"/>
  <c r="A383" i="1"/>
  <c r="A384" i="1"/>
  <c r="F384" i="1"/>
  <c r="E384" i="1" s="1"/>
  <c r="O1458" i="2" s="1"/>
  <c r="P1458" i="2" s="1"/>
  <c r="A385" i="1"/>
  <c r="A386" i="1"/>
  <c r="I386" i="1"/>
  <c r="A387" i="1"/>
  <c r="F387" i="1"/>
  <c r="E387" i="1" s="1"/>
  <c r="I387" i="1"/>
  <c r="A388" i="1"/>
  <c r="I388" i="1"/>
  <c r="A389" i="1"/>
  <c r="I389" i="1"/>
  <c r="A390" i="1"/>
  <c r="F390" i="1"/>
  <c r="E390" i="1" s="1"/>
  <c r="O1486" i="2" s="1"/>
  <c r="G390" i="1" s="1"/>
  <c r="A391" i="1"/>
  <c r="A392" i="1"/>
  <c r="F392" i="1"/>
  <c r="E392" i="1" s="1"/>
  <c r="A393" i="1"/>
  <c r="I393" i="1"/>
  <c r="A394" i="1"/>
  <c r="I394" i="1"/>
  <c r="A395" i="1"/>
  <c r="I395" i="1"/>
  <c r="A396" i="1"/>
  <c r="I396" i="1"/>
  <c r="A397" i="1"/>
  <c r="I397" i="1"/>
  <c r="A398" i="1"/>
  <c r="I398" i="1"/>
  <c r="A399" i="1"/>
  <c r="I399" i="1"/>
  <c r="A400" i="1"/>
  <c r="F400" i="1"/>
  <c r="E400" i="1" s="1"/>
  <c r="O1520" i="2" s="1"/>
  <c r="P1520" i="2" s="1"/>
  <c r="R1520" i="2" s="1"/>
  <c r="U1520" i="2" s="1"/>
  <c r="I400" i="1"/>
  <c r="A401" i="1"/>
  <c r="I401" i="1"/>
  <c r="A402" i="1"/>
  <c r="F402" i="1"/>
  <c r="E402" i="1" s="1"/>
  <c r="O1522" i="2" s="1"/>
  <c r="P1522" i="2" s="1"/>
  <c r="I402" i="1"/>
  <c r="A403" i="1"/>
  <c r="I403" i="1"/>
  <c r="A404" i="1"/>
  <c r="I404" i="1"/>
  <c r="A405" i="1"/>
  <c r="I405" i="1"/>
  <c r="A406" i="1"/>
  <c r="I406" i="1"/>
  <c r="A407" i="1"/>
  <c r="I407" i="1"/>
  <c r="A408" i="1"/>
  <c r="A409" i="1"/>
  <c r="I409" i="1"/>
  <c r="A410" i="1"/>
  <c r="I410" i="1"/>
  <c r="A411" i="1"/>
  <c r="I411" i="1"/>
  <c r="A412" i="1"/>
  <c r="F412" i="1"/>
  <c r="E412" i="1" s="1"/>
  <c r="O1564" i="2" s="1"/>
  <c r="I412" i="1"/>
  <c r="A413" i="1"/>
  <c r="I413" i="1"/>
  <c r="A414" i="1"/>
  <c r="F414" i="1"/>
  <c r="E414" i="1" s="1"/>
  <c r="O1566" i="2" s="1"/>
  <c r="I414" i="1"/>
  <c r="A415" i="1"/>
  <c r="A416" i="1"/>
  <c r="I416" i="1"/>
  <c r="A417" i="1"/>
  <c r="F417" i="1"/>
  <c r="E417" i="1" s="1"/>
  <c r="I417" i="1"/>
  <c r="A418" i="1"/>
  <c r="I418" i="1"/>
  <c r="A419" i="1"/>
  <c r="A420" i="1"/>
  <c r="A421" i="1"/>
  <c r="I421" i="1"/>
  <c r="A422" i="1"/>
  <c r="F422" i="1"/>
  <c r="E422" i="1" s="1"/>
  <c r="O1604" i="2" s="1"/>
  <c r="G422" i="1" s="1"/>
  <c r="I422" i="1"/>
  <c r="A423" i="1"/>
  <c r="I423" i="1"/>
  <c r="A424" i="1"/>
  <c r="I424" i="1"/>
  <c r="A425" i="1"/>
  <c r="A426" i="1"/>
  <c r="F426" i="1"/>
  <c r="E426" i="1" s="1"/>
  <c r="O1608" i="2" s="1"/>
  <c r="A427" i="1"/>
  <c r="F427" i="1"/>
  <c r="E427" i="1" s="1"/>
  <c r="O1606" i="2" s="1"/>
  <c r="G427" i="1" s="1"/>
  <c r="A428" i="1"/>
  <c r="A429" i="1"/>
  <c r="I429" i="1"/>
  <c r="A430" i="1"/>
  <c r="I430" i="1"/>
  <c r="A431" i="1"/>
  <c r="I431" i="1"/>
  <c r="A432" i="1"/>
  <c r="I432" i="1"/>
  <c r="A433" i="1"/>
  <c r="I433" i="1"/>
  <c r="A434" i="1"/>
  <c r="I434" i="1"/>
  <c r="A435" i="1"/>
  <c r="I435" i="1"/>
  <c r="A436" i="1"/>
  <c r="F436" i="1"/>
  <c r="E436" i="1" s="1"/>
  <c r="O1648" i="2" s="1"/>
  <c r="I436" i="1"/>
  <c r="A437" i="1"/>
  <c r="I437" i="1"/>
  <c r="A438" i="1"/>
  <c r="F438" i="1"/>
  <c r="E438" i="1" s="1"/>
  <c r="O1650" i="2" s="1"/>
  <c r="I438" i="1"/>
  <c r="A439" i="1"/>
  <c r="I439" i="1"/>
  <c r="A440" i="1"/>
  <c r="I440" i="1"/>
  <c r="A441" i="1"/>
  <c r="I441" i="1"/>
  <c r="A442" i="1"/>
  <c r="I442" i="1"/>
  <c r="A443" i="1"/>
  <c r="I443" i="1"/>
  <c r="A444" i="1"/>
  <c r="I444" i="1"/>
  <c r="A445" i="1"/>
  <c r="I445" i="1"/>
  <c r="G445" i="1"/>
  <c r="A446" i="1"/>
  <c r="I446" i="1"/>
  <c r="A447" i="1"/>
  <c r="I447" i="1"/>
  <c r="A448" i="1"/>
  <c r="F448" i="1"/>
  <c r="E448" i="1" s="1"/>
  <c r="I448" i="1"/>
  <c r="A449" i="1"/>
  <c r="I449" i="1"/>
  <c r="A450" i="1"/>
  <c r="I450" i="1"/>
  <c r="A451" i="1"/>
  <c r="I451" i="1"/>
  <c r="A452" i="1"/>
  <c r="I452" i="1"/>
  <c r="A453" i="1"/>
  <c r="I453" i="1"/>
  <c r="A454" i="1"/>
  <c r="I454" i="1"/>
  <c r="A455" i="1"/>
  <c r="I455" i="1"/>
  <c r="A456" i="1"/>
  <c r="F456" i="1"/>
  <c r="E456" i="1" s="1"/>
  <c r="O1702" i="2" s="1"/>
  <c r="I456" i="1"/>
  <c r="A457" i="1"/>
  <c r="F457" i="1"/>
  <c r="E457" i="1" s="1"/>
  <c r="I457" i="1"/>
  <c r="A458" i="1"/>
  <c r="G457" i="1"/>
  <c r="H457" i="1"/>
  <c r="I458" i="1"/>
  <c r="A459" i="1"/>
  <c r="I459" i="1"/>
  <c r="A460" i="1"/>
  <c r="F460" i="1"/>
  <c r="E460" i="1" s="1"/>
  <c r="I460" i="1"/>
  <c r="A461" i="1"/>
  <c r="A462" i="1"/>
  <c r="A463" i="1"/>
  <c r="A464" i="1"/>
  <c r="A465" i="1"/>
  <c r="I465" i="1"/>
  <c r="A466" i="1"/>
  <c r="A467" i="1"/>
  <c r="I467" i="1"/>
  <c r="A468" i="1"/>
  <c r="F468" i="1"/>
  <c r="E468" i="1" s="1"/>
  <c r="O1768" i="2" s="1"/>
  <c r="I468" i="1"/>
  <c r="A469" i="1"/>
  <c r="A470" i="1"/>
  <c r="A471" i="1"/>
  <c r="I471" i="1"/>
  <c r="A472" i="1"/>
  <c r="A473" i="1"/>
  <c r="A474" i="1"/>
  <c r="I474" i="1"/>
  <c r="A475" i="1"/>
  <c r="A476" i="1"/>
  <c r="I476" i="1"/>
  <c r="A477" i="1"/>
  <c r="A478" i="1"/>
  <c r="I478" i="1"/>
  <c r="A479" i="1"/>
  <c r="A480" i="1"/>
  <c r="I480" i="1"/>
  <c r="A481" i="1"/>
  <c r="I481" i="1"/>
  <c r="A482" i="1"/>
  <c r="I482" i="1"/>
  <c r="A483" i="1"/>
  <c r="I483" i="1"/>
  <c r="A484" i="1"/>
  <c r="I484" i="1"/>
  <c r="A485" i="1"/>
  <c r="I485" i="1"/>
  <c r="A486" i="1"/>
  <c r="I486" i="1"/>
  <c r="A487" i="1"/>
  <c r="F487" i="1"/>
  <c r="E487" i="1" s="1"/>
  <c r="I487" i="1"/>
  <c r="A488" i="1"/>
  <c r="I488" i="1"/>
  <c r="A489" i="1"/>
  <c r="G488" i="1"/>
  <c r="I489" i="1"/>
  <c r="A490" i="1"/>
  <c r="I490" i="1"/>
  <c r="A491" i="1"/>
  <c r="I491" i="1"/>
  <c r="A492" i="1"/>
  <c r="I492" i="1"/>
  <c r="A493" i="1"/>
  <c r="I493" i="1"/>
  <c r="A494" i="1"/>
  <c r="I494" i="1"/>
  <c r="A495" i="1"/>
  <c r="I495" i="1"/>
  <c r="A496" i="1"/>
  <c r="I496" i="1"/>
  <c r="A497" i="1"/>
  <c r="I497" i="1"/>
  <c r="A498" i="1"/>
  <c r="I498" i="1"/>
  <c r="A499" i="1"/>
  <c r="I499" i="1"/>
  <c r="A500" i="1"/>
  <c r="I500" i="1"/>
  <c r="A501" i="1"/>
  <c r="I501" i="1"/>
  <c r="A502" i="1"/>
  <c r="I502" i="1"/>
  <c r="A503" i="1"/>
  <c r="F503" i="1"/>
  <c r="E503" i="1" s="1"/>
  <c r="O1908" i="2" s="1"/>
  <c r="I503" i="1"/>
  <c r="A504" i="1"/>
  <c r="I504" i="1"/>
  <c r="A505" i="1"/>
  <c r="I505" i="1"/>
  <c r="A506" i="1"/>
  <c r="I506" i="1"/>
  <c r="A507" i="1"/>
  <c r="I507" i="1"/>
  <c r="A508" i="1"/>
  <c r="I508" i="1"/>
  <c r="A509" i="1"/>
  <c r="I509" i="1"/>
  <c r="A510" i="1"/>
  <c r="I510" i="1"/>
  <c r="A511" i="1"/>
  <c r="I511" i="1"/>
  <c r="A512" i="1"/>
  <c r="I512" i="1"/>
  <c r="A513" i="1"/>
  <c r="I513" i="1"/>
  <c r="A514" i="1"/>
  <c r="I514" i="1"/>
  <c r="A515" i="1"/>
  <c r="I515" i="1"/>
  <c r="A516" i="1"/>
  <c r="I516" i="1"/>
  <c r="A517" i="1"/>
  <c r="F517" i="1"/>
  <c r="E517" i="1" s="1"/>
  <c r="O1972" i="2" s="1"/>
  <c r="G517" i="1" s="1"/>
  <c r="I517" i="1"/>
  <c r="A518" i="1"/>
  <c r="I518" i="1"/>
  <c r="A519" i="1"/>
  <c r="F519" i="1"/>
  <c r="E519" i="1" s="1"/>
  <c r="O1974" i="2" s="1"/>
  <c r="G519" i="1" s="1"/>
  <c r="I519" i="1"/>
  <c r="A520" i="1"/>
  <c r="I520" i="1"/>
  <c r="A521" i="1"/>
  <c r="F521" i="1"/>
  <c r="E521" i="1" s="1"/>
  <c r="O1978" i="2" s="1"/>
  <c r="P1978" i="2" s="1"/>
  <c r="I521" i="1"/>
  <c r="A522" i="1"/>
  <c r="F522" i="1"/>
  <c r="E522" i="1" s="1"/>
  <c r="O1980" i="2" s="1"/>
  <c r="G522" i="1" s="1"/>
  <c r="I522" i="1"/>
  <c r="A523" i="1"/>
  <c r="I523" i="1"/>
  <c r="A524" i="1"/>
  <c r="I524" i="1"/>
  <c r="A525" i="1"/>
  <c r="I525" i="1"/>
  <c r="A526" i="1"/>
  <c r="I526" i="1"/>
  <c r="A527" i="1"/>
  <c r="I527" i="1"/>
  <c r="G527" i="1"/>
  <c r="A528" i="1"/>
  <c r="H527" i="1"/>
  <c r="I528" i="1"/>
  <c r="A529" i="1"/>
  <c r="I529" i="1"/>
  <c r="A530" i="1"/>
  <c r="I530" i="1"/>
  <c r="A531" i="1"/>
  <c r="I531" i="1"/>
  <c r="A532" i="1"/>
  <c r="I532" i="1"/>
  <c r="A533" i="1"/>
  <c r="I533" i="1"/>
  <c r="A534" i="1"/>
  <c r="I534" i="1"/>
  <c r="A535" i="1"/>
  <c r="I535" i="1"/>
  <c r="A536" i="1"/>
  <c r="I536" i="1"/>
  <c r="A537" i="1"/>
  <c r="F537" i="1"/>
  <c r="I537" i="1"/>
  <c r="A538" i="1"/>
  <c r="I538" i="1"/>
  <c r="A539" i="1"/>
  <c r="I539" i="1"/>
  <c r="A540" i="1"/>
  <c r="I540" i="1"/>
  <c r="A541" i="1"/>
  <c r="I541" i="1"/>
  <c r="A542" i="1"/>
  <c r="I542" i="1"/>
  <c r="A543" i="1"/>
  <c r="I543" i="1"/>
  <c r="A544" i="1"/>
  <c r="I544" i="1"/>
  <c r="A545" i="1"/>
  <c r="I545" i="1"/>
  <c r="A546" i="1"/>
  <c r="I546" i="1"/>
  <c r="A547" i="1"/>
  <c r="I547" i="1"/>
  <c r="A548" i="1"/>
  <c r="I548" i="1"/>
  <c r="A549" i="1"/>
  <c r="I549" i="1"/>
  <c r="A550" i="1"/>
  <c r="F550" i="1"/>
  <c r="E550" i="1" s="1"/>
  <c r="O2099" i="2" s="1"/>
  <c r="I550" i="1"/>
  <c r="A551" i="1"/>
  <c r="I551" i="1"/>
  <c r="A552" i="1"/>
  <c r="I552" i="1"/>
  <c r="A553" i="1"/>
  <c r="F553" i="1"/>
  <c r="E553" i="1" s="1"/>
  <c r="O2105" i="2" s="1"/>
  <c r="I553" i="1"/>
  <c r="A554" i="1"/>
  <c r="I554" i="1"/>
  <c r="A555" i="1"/>
  <c r="F555" i="1"/>
  <c r="E555" i="1" s="1"/>
  <c r="O2107" i="2" s="1"/>
  <c r="I555" i="1"/>
  <c r="A556" i="1"/>
  <c r="I556" i="1"/>
  <c r="A557" i="1"/>
  <c r="F557" i="1"/>
  <c r="E557" i="1" s="1"/>
  <c r="I557" i="1"/>
  <c r="A558" i="1"/>
  <c r="I558" i="1"/>
  <c r="G557" i="1"/>
  <c r="H557" i="1"/>
  <c r="A559" i="1"/>
  <c r="F559" i="1"/>
  <c r="E559" i="1" s="1"/>
  <c r="O2111" i="2" s="1"/>
  <c r="G559" i="1" s="1"/>
  <c r="I559" i="1"/>
  <c r="A560" i="1"/>
  <c r="I560" i="1"/>
  <c r="A561" i="1"/>
  <c r="F561" i="1"/>
  <c r="E561" i="1" s="1"/>
  <c r="I561" i="1"/>
  <c r="A562" i="1"/>
  <c r="I562" i="1"/>
  <c r="A563" i="1"/>
  <c r="I563" i="1"/>
  <c r="A564" i="1"/>
  <c r="I564" i="1"/>
  <c r="A565" i="1"/>
  <c r="I565" i="1"/>
  <c r="A566" i="1"/>
  <c r="I566" i="1"/>
  <c r="A567" i="1"/>
  <c r="I567" i="1"/>
  <c r="A568" i="1"/>
  <c r="F568" i="1"/>
  <c r="E568" i="1" s="1"/>
  <c r="I568" i="1"/>
  <c r="A569" i="1"/>
  <c r="F569" i="1"/>
  <c r="E569" i="1" s="1"/>
  <c r="O2144" i="2" s="1"/>
  <c r="I569" i="1"/>
  <c r="A570" i="1"/>
  <c r="F570" i="1"/>
  <c r="E570" i="1" s="1"/>
  <c r="I570" i="1"/>
  <c r="A571" i="1"/>
  <c r="F571" i="1"/>
  <c r="E571" i="1" s="1"/>
  <c r="O2147" i="2" s="1"/>
  <c r="P2147" i="2" s="1"/>
  <c r="R2147" i="2" s="1"/>
  <c r="U2147" i="2" s="1"/>
  <c r="I571" i="1"/>
  <c r="A572" i="1"/>
  <c r="F572" i="1"/>
  <c r="E572" i="1" s="1"/>
  <c r="O2150" i="2" s="1"/>
  <c r="I572" i="1"/>
  <c r="A573" i="1"/>
  <c r="F573" i="1"/>
  <c r="E573" i="1" s="1"/>
  <c r="I573" i="1"/>
  <c r="A574" i="1"/>
  <c r="F574" i="1"/>
  <c r="E574" i="1" s="1"/>
  <c r="O2154" i="2" s="1"/>
  <c r="P2154" i="2" s="1"/>
  <c r="R2154" i="2" s="1"/>
  <c r="U2154" i="2" s="1"/>
  <c r="I574" i="1"/>
  <c r="A575" i="1"/>
  <c r="F575" i="1"/>
  <c r="E575" i="1" s="1"/>
  <c r="O2155" i="2" s="1"/>
  <c r="I575" i="1"/>
  <c r="A576" i="1"/>
  <c r="F576" i="1"/>
  <c r="I576" i="1"/>
  <c r="A577" i="1"/>
  <c r="F577" i="1"/>
  <c r="E577" i="1" s="1"/>
  <c r="O2159" i="2" s="1"/>
  <c r="I577" i="1"/>
  <c r="A578" i="1"/>
  <c r="F578" i="1"/>
  <c r="E578" i="1" s="1"/>
  <c r="I578" i="1"/>
  <c r="A579" i="1"/>
  <c r="F579" i="1"/>
  <c r="E579" i="1" s="1"/>
  <c r="I579" i="1"/>
  <c r="A580" i="1"/>
  <c r="H579" i="1"/>
  <c r="G579" i="1"/>
  <c r="F580" i="1"/>
  <c r="E580" i="1" s="1"/>
  <c r="I580" i="1"/>
  <c r="G580" i="1"/>
  <c r="A581" i="1"/>
  <c r="H580" i="1"/>
  <c r="F581" i="1"/>
  <c r="E581" i="1" s="1"/>
  <c r="I581" i="1"/>
  <c r="H581" i="1"/>
  <c r="G581" i="1"/>
  <c r="A582" i="1"/>
  <c r="F582" i="1"/>
  <c r="E582" i="1" s="1"/>
  <c r="I582" i="1"/>
  <c r="A583" i="1"/>
  <c r="H582" i="1"/>
  <c r="G582" i="1"/>
  <c r="F583" i="1"/>
  <c r="E583" i="1" s="1"/>
  <c r="I583" i="1"/>
  <c r="H583" i="1"/>
  <c r="A584" i="1"/>
  <c r="G583" i="1"/>
  <c r="F584" i="1"/>
  <c r="E584" i="1" s="1"/>
  <c r="I584" i="1"/>
  <c r="G584" i="1"/>
  <c r="A585" i="1"/>
  <c r="H584" i="1"/>
  <c r="F585" i="1"/>
  <c r="E585" i="1" s="1"/>
  <c r="I585" i="1"/>
  <c r="G585" i="1"/>
  <c r="A586" i="1"/>
  <c r="H585" i="1"/>
  <c r="F586" i="1"/>
  <c r="E586" i="1" s="1"/>
  <c r="I586" i="1"/>
  <c r="H586" i="1"/>
  <c r="G586" i="1"/>
  <c r="A587" i="1"/>
  <c r="F587" i="1"/>
  <c r="E587" i="1" s="1"/>
  <c r="I587" i="1"/>
  <c r="G587" i="1"/>
  <c r="A588" i="1"/>
  <c r="H587" i="1"/>
  <c r="F588" i="1"/>
  <c r="E588" i="1" s="1"/>
  <c r="I588" i="1"/>
  <c r="G588" i="1"/>
  <c r="A589" i="1"/>
  <c r="H588" i="1"/>
  <c r="F589" i="1"/>
  <c r="E589" i="1" s="1"/>
  <c r="I589" i="1"/>
  <c r="H589" i="1"/>
  <c r="G589" i="1"/>
  <c r="A590" i="1"/>
  <c r="F590" i="1"/>
  <c r="E590" i="1" s="1"/>
  <c r="I590" i="1"/>
  <c r="G590" i="1"/>
  <c r="H590" i="1"/>
  <c r="A591" i="1"/>
  <c r="F591" i="1"/>
  <c r="E591" i="1" s="1"/>
  <c r="I591" i="1"/>
  <c r="G591" i="1"/>
  <c r="A592" i="1"/>
  <c r="H591" i="1"/>
  <c r="F592" i="1"/>
  <c r="E592" i="1" s="1"/>
  <c r="I592" i="1"/>
  <c r="A593" i="1"/>
  <c r="H592" i="1"/>
  <c r="G592" i="1"/>
  <c r="F593" i="1"/>
  <c r="E593" i="1" s="1"/>
  <c r="I593" i="1"/>
  <c r="H593" i="1"/>
  <c r="A594" i="1"/>
  <c r="G593" i="1"/>
  <c r="F594" i="1"/>
  <c r="E594" i="1" s="1"/>
  <c r="I594" i="1"/>
  <c r="H594" i="1"/>
  <c r="A595" i="1"/>
  <c r="G594" i="1"/>
  <c r="F595" i="1"/>
  <c r="E595" i="1" s="1"/>
  <c r="I595" i="1"/>
  <c r="G595" i="1"/>
  <c r="H595" i="1"/>
  <c r="A596" i="1"/>
  <c r="F596" i="1"/>
  <c r="E596" i="1" s="1"/>
  <c r="I596" i="1"/>
  <c r="H596" i="1"/>
  <c r="A597" i="1"/>
  <c r="G596" i="1"/>
  <c r="F597" i="1"/>
  <c r="E597" i="1" s="1"/>
  <c r="I597" i="1"/>
  <c r="G597" i="1"/>
  <c r="H597" i="1"/>
  <c r="A598" i="1"/>
  <c r="F598" i="1"/>
  <c r="E598" i="1" s="1"/>
  <c r="I598" i="1"/>
  <c r="A599" i="1"/>
  <c r="G598" i="1"/>
  <c r="H598" i="1"/>
  <c r="F599" i="1"/>
  <c r="E599" i="1" s="1"/>
  <c r="I599" i="1"/>
  <c r="A600" i="1"/>
  <c r="H599" i="1"/>
  <c r="G599" i="1"/>
  <c r="F600" i="1"/>
  <c r="E600" i="1" s="1"/>
  <c r="I600" i="1"/>
  <c r="G600" i="1"/>
  <c r="A601" i="1"/>
  <c r="H600" i="1"/>
  <c r="F601" i="1"/>
  <c r="E601" i="1" s="1"/>
  <c r="I601" i="1"/>
  <c r="H601" i="1"/>
  <c r="A602" i="1"/>
  <c r="G601" i="1"/>
  <c r="F602" i="1"/>
  <c r="E602" i="1" s="1"/>
  <c r="I602" i="1"/>
  <c r="H602" i="1"/>
  <c r="G602" i="1"/>
  <c r="A603" i="1"/>
  <c r="F603" i="1"/>
  <c r="E603" i="1" s="1"/>
  <c r="I603" i="1"/>
  <c r="H603" i="1"/>
  <c r="G603" i="1"/>
  <c r="A604" i="1"/>
  <c r="F604" i="1"/>
  <c r="E604" i="1" s="1"/>
  <c r="I604" i="1"/>
  <c r="H604" i="1"/>
  <c r="A605" i="1"/>
  <c r="G604" i="1"/>
  <c r="F605" i="1"/>
  <c r="E605" i="1" s="1"/>
  <c r="I605" i="1"/>
  <c r="H605" i="1"/>
  <c r="A606" i="1"/>
  <c r="G605" i="1"/>
  <c r="F606" i="1"/>
  <c r="E606" i="1" s="1"/>
  <c r="I606" i="1"/>
  <c r="A607" i="1"/>
  <c r="G606" i="1"/>
  <c r="H606" i="1"/>
  <c r="F607" i="1"/>
  <c r="I607" i="1"/>
  <c r="H607" i="1"/>
  <c r="D2114" i="2"/>
  <c r="G607" i="1"/>
  <c r="D2158" i="2"/>
  <c r="D2145" i="2"/>
  <c r="B2148" i="2"/>
  <c r="C2148" i="2" s="1"/>
  <c r="B2147" i="2"/>
  <c r="C2147" i="2" s="1"/>
  <c r="B2143" i="2"/>
  <c r="C2143" i="2" s="1"/>
  <c r="D2162" i="2"/>
  <c r="B2152" i="2"/>
  <c r="C2152" i="2" s="1"/>
  <c r="B2150" i="2"/>
  <c r="C2150" i="2" s="1"/>
  <c r="B2149" i="2"/>
  <c r="C2149" i="2" s="1"/>
  <c r="D2156" i="2"/>
  <c r="D2142" i="2"/>
  <c r="D2148" i="2"/>
  <c r="D2155" i="2"/>
  <c r="B2151" i="2"/>
  <c r="C2151" i="2" s="1"/>
  <c r="D2152" i="2"/>
  <c r="D2151" i="2"/>
  <c r="B2161" i="2"/>
  <c r="C2161" i="2" s="1"/>
  <c r="D2143" i="2"/>
  <c r="B2154" i="2"/>
  <c r="C2154" i="2" s="1"/>
  <c r="D2153" i="2"/>
  <c r="B2158" i="2"/>
  <c r="C2158" i="2" s="1"/>
  <c r="B2145" i="2"/>
  <c r="C2145" i="2" s="1"/>
  <c r="B2155" i="2"/>
  <c r="C2155" i="2" s="1"/>
  <c r="D2144" i="2"/>
  <c r="B2140" i="2"/>
  <c r="C2140" i="2" s="1"/>
  <c r="B2159" i="2"/>
  <c r="C2159" i="2" s="1"/>
  <c r="B2144" i="2"/>
  <c r="C2144" i="2" s="1"/>
  <c r="D2140" i="2"/>
  <c r="D2146" i="2"/>
  <c r="B2157" i="2"/>
  <c r="C2157" i="2" s="1"/>
  <c r="D2149" i="2"/>
  <c r="D2161" i="2"/>
  <c r="D2157" i="2"/>
  <c r="B2162" i="2"/>
  <c r="C2162" i="2" s="1"/>
  <c r="B2141" i="2"/>
  <c r="C2141" i="2" s="1"/>
  <c r="B2146" i="2"/>
  <c r="C2146" i="2" s="1"/>
  <c r="D2154" i="2"/>
  <c r="B2142" i="2"/>
  <c r="C2142" i="2" s="1"/>
  <c r="D2159" i="2"/>
  <c r="D2147" i="2"/>
  <c r="D2150" i="2"/>
  <c r="B2153" i="2"/>
  <c r="C2153" i="2" s="1"/>
  <c r="B2156" i="2"/>
  <c r="C2156" i="2" s="1"/>
  <c r="D2141" i="2"/>
  <c r="D2160" i="2"/>
  <c r="B2160" i="2"/>
  <c r="C2160" i="2" s="1"/>
  <c r="D1904" i="2"/>
  <c r="D138" i="2"/>
  <c r="D302" i="2"/>
  <c r="D664" i="2"/>
  <c r="D1828" i="2"/>
  <c r="B645" i="2"/>
  <c r="C645" i="2" s="1"/>
  <c r="B859" i="2"/>
  <c r="C859" i="2" s="1"/>
  <c r="D1921" i="2"/>
  <c r="B1071" i="2"/>
  <c r="C1071" i="2" s="1"/>
  <c r="D654" i="2"/>
  <c r="B1014" i="2"/>
  <c r="C1014" i="2" s="1"/>
  <c r="B909" i="2"/>
  <c r="C909" i="2" s="1"/>
  <c r="B1987" i="2"/>
  <c r="C1987" i="2" s="1"/>
  <c r="B1609" i="2"/>
  <c r="C1609" i="2" s="1"/>
  <c r="B1017" i="2"/>
  <c r="C1017" i="2" s="1"/>
  <c r="D1523" i="2"/>
  <c r="B222" i="2"/>
  <c r="C222" i="2" s="1"/>
  <c r="D899" i="2"/>
  <c r="B1117" i="2"/>
  <c r="C1117" i="2" s="1"/>
  <c r="D629" i="2"/>
  <c r="D1285" i="2"/>
  <c r="D1053" i="2"/>
  <c r="D1054" i="2"/>
  <c r="B985" i="2"/>
  <c r="C985" i="2" s="1"/>
  <c r="B1257" i="2"/>
  <c r="C1257" i="2" s="1"/>
  <c r="B1092" i="2"/>
  <c r="C1092" i="2" s="1"/>
  <c r="D126" i="2"/>
  <c r="B1837" i="2"/>
  <c r="C1837" i="2" s="1"/>
  <c r="D1556" i="2"/>
  <c r="B1988" i="2"/>
  <c r="C1988" i="2" s="1"/>
  <c r="B2019" i="2"/>
  <c r="C2019" i="2" s="1"/>
  <c r="B332" i="2"/>
  <c r="C332" i="2" s="1"/>
  <c r="D1408" i="2"/>
  <c r="D160" i="2"/>
  <c r="B790" i="2"/>
  <c r="C790" i="2" s="1"/>
  <c r="D902" i="2"/>
  <c r="B1790" i="2"/>
  <c r="C1790" i="2" s="1"/>
  <c r="D689" i="2"/>
  <c r="B1882" i="2"/>
  <c r="C1882" i="2" s="1"/>
  <c r="O2039" i="2"/>
  <c r="P2039" i="2" s="1"/>
  <c r="R2039" i="2" s="1"/>
  <c r="U2039" i="2" s="1"/>
  <c r="D1427" i="2"/>
  <c r="B852" i="2"/>
  <c r="C852" i="2" s="1"/>
  <c r="D1978" i="2"/>
  <c r="B1479" i="2"/>
  <c r="C1479" i="2" s="1"/>
  <c r="D1839" i="2"/>
  <c r="B406" i="2"/>
  <c r="C406" i="2" s="1"/>
  <c r="B1020" i="2"/>
  <c r="C1020" i="2" s="1"/>
  <c r="D1113" i="2"/>
  <c r="D277" i="2"/>
  <c r="D1005" i="2"/>
  <c r="B1809" i="2"/>
  <c r="C1809" i="2" s="1"/>
  <c r="D78" i="2"/>
  <c r="B1535" i="2"/>
  <c r="C1535" i="2" s="1"/>
  <c r="D753" i="2"/>
  <c r="D1997" i="2"/>
  <c r="B1054" i="2"/>
  <c r="C1054" i="2" s="1"/>
  <c r="D1177" i="2"/>
  <c r="B1449" i="2"/>
  <c r="C1449" i="2" s="1"/>
  <c r="D892" i="2"/>
  <c r="B896" i="2"/>
  <c r="C896" i="2" s="1"/>
  <c r="B760" i="2"/>
  <c r="C760" i="2" s="1"/>
  <c r="D1160" i="2"/>
  <c r="B961" i="2"/>
  <c r="C961" i="2" s="1"/>
  <c r="D656" i="2"/>
  <c r="D924" i="2"/>
  <c r="D735" i="2"/>
  <c r="D833" i="2"/>
  <c r="B1596" i="2"/>
  <c r="C1596" i="2" s="1"/>
  <c r="B444" i="2"/>
  <c r="C444" i="2" s="1"/>
  <c r="D2015" i="2"/>
  <c r="D821" i="2"/>
  <c r="D1601" i="2"/>
  <c r="D498" i="2"/>
  <c r="D832" i="2"/>
  <c r="B738" i="2"/>
  <c r="C738" i="2" s="1"/>
  <c r="D89" i="2"/>
  <c r="B2020" i="2"/>
  <c r="C2020" i="2" s="1"/>
  <c r="D1833" i="2"/>
  <c r="B343" i="2"/>
  <c r="C343" i="2" s="1"/>
  <c r="B423" i="2"/>
  <c r="C423" i="2" s="1"/>
  <c r="D423" i="2"/>
  <c r="B1808" i="2"/>
  <c r="C1808" i="2" s="1"/>
  <c r="B1262" i="2"/>
  <c r="C1262" i="2" s="1"/>
  <c r="B1483" i="2"/>
  <c r="C1483" i="2" s="1"/>
  <c r="D823" i="2"/>
  <c r="D1412" i="2"/>
  <c r="D663" i="2"/>
  <c r="B1075" i="2"/>
  <c r="C1075" i="2" s="1"/>
  <c r="D634" i="2"/>
  <c r="B1793" i="2"/>
  <c r="C1793" i="2" s="1"/>
  <c r="B1799" i="2"/>
  <c r="C1799" i="2" s="1"/>
  <c r="D1730" i="2"/>
  <c r="B751" i="2"/>
  <c r="C751" i="2" s="1"/>
  <c r="B780" i="2"/>
  <c r="C780" i="2" s="1"/>
  <c r="B1941" i="2"/>
  <c r="C1941" i="2" s="1"/>
  <c r="B1485" i="2"/>
  <c r="C1485" i="2" s="1"/>
  <c r="B1599" i="2"/>
  <c r="C1599" i="2" s="1"/>
  <c r="B1134" i="2"/>
  <c r="C1134" i="2" s="1"/>
  <c r="B1875" i="2"/>
  <c r="C1875" i="2" s="1"/>
  <c r="D657" i="2"/>
  <c r="D476" i="2"/>
  <c r="D1539" i="2"/>
  <c r="B1531" i="2"/>
  <c r="C1531" i="2" s="1"/>
  <c r="B1207" i="2"/>
  <c r="C1207" i="2" s="1"/>
  <c r="D687" i="2"/>
  <c r="D1253" i="2"/>
  <c r="B69" i="2"/>
  <c r="C69" i="2" s="1"/>
  <c r="B1896" i="2"/>
  <c r="C1896" i="2" s="1"/>
  <c r="B948" i="2"/>
  <c r="C948" i="2" s="1"/>
  <c r="B1982" i="2"/>
  <c r="C1982" i="2" s="1"/>
  <c r="D1982" i="2"/>
  <c r="B1800" i="2"/>
  <c r="C1800" i="2" s="1"/>
  <c r="B944" i="2"/>
  <c r="C944" i="2" s="1"/>
  <c r="D77" i="2"/>
  <c r="D1449" i="2"/>
  <c r="D1486" i="2"/>
  <c r="D790" i="2"/>
  <c r="D316" i="2"/>
  <c r="D502" i="2"/>
  <c r="D288" i="2"/>
  <c r="B2021" i="2"/>
  <c r="C2021" i="2" s="1"/>
  <c r="B1854" i="2"/>
  <c r="C1854" i="2" s="1"/>
  <c r="D677" i="2"/>
  <c r="D1954" i="2"/>
  <c r="B1086" i="2"/>
  <c r="C1086" i="2" s="1"/>
  <c r="D307" i="2"/>
  <c r="D556" i="2"/>
  <c r="B102" i="2"/>
  <c r="C102" i="2" s="1"/>
  <c r="D1835" i="2"/>
  <c r="B1947" i="2"/>
  <c r="C1947" i="2" s="1"/>
  <c r="B90" i="2"/>
  <c r="C90" i="2" s="1"/>
  <c r="B1477" i="2"/>
  <c r="C1477" i="2" s="1"/>
  <c r="B963" i="2"/>
  <c r="C963" i="2" s="1"/>
  <c r="B182" i="2"/>
  <c r="C182" i="2" s="1"/>
  <c r="B1857" i="2"/>
  <c r="C1857" i="2" s="1"/>
  <c r="B623" i="2"/>
  <c r="C623" i="2" s="1"/>
  <c r="D786" i="2"/>
  <c r="B1801" i="2"/>
  <c r="C1801" i="2" s="1"/>
  <c r="B1637" i="2"/>
  <c r="C1637" i="2" s="1"/>
  <c r="B288" i="2"/>
  <c r="C288" i="2" s="1"/>
  <c r="D1899" i="2"/>
  <c r="D1304" i="2"/>
  <c r="D293" i="2"/>
  <c r="B1163" i="2"/>
  <c r="C1163" i="2" s="1"/>
  <c r="B1677" i="2"/>
  <c r="C1677" i="2" s="1"/>
  <c r="D1482" i="2"/>
  <c r="D99" i="2"/>
  <c r="D808" i="2"/>
  <c r="B134" i="2"/>
  <c r="C134" i="2" s="1"/>
  <c r="B1645" i="2"/>
  <c r="C1645" i="2" s="1"/>
  <c r="D42" i="2"/>
  <c r="D1498" i="2"/>
  <c r="D363" i="2"/>
  <c r="B1433" i="2"/>
  <c r="C1433" i="2" s="1"/>
  <c r="B570" i="2"/>
  <c r="C570" i="2" s="1"/>
  <c r="B1110" i="2"/>
  <c r="C1110" i="2" s="1"/>
  <c r="D1877" i="2"/>
  <c r="B1102" i="2"/>
  <c r="C1102" i="2" s="1"/>
  <c r="D1363" i="2"/>
  <c r="D1279" i="2"/>
  <c r="B80" i="2"/>
  <c r="C80" i="2" s="1"/>
  <c r="D1106" i="2"/>
  <c r="B1916" i="2"/>
  <c r="C1916" i="2" s="1"/>
  <c r="B327" i="2"/>
  <c r="C327" i="2" s="1"/>
  <c r="D635" i="2"/>
  <c r="D1040" i="2"/>
  <c r="D2021" i="2"/>
  <c r="B1845" i="2"/>
  <c r="C1845" i="2" s="1"/>
  <c r="B863" i="2"/>
  <c r="C863" i="2" s="1"/>
  <c r="D653" i="2"/>
  <c r="B208" i="2"/>
  <c r="C208" i="2" s="1"/>
  <c r="B1226" i="2"/>
  <c r="C1226" i="2" s="1"/>
  <c r="B1143" i="2"/>
  <c r="C1143" i="2" s="1"/>
  <c r="D1992" i="2"/>
  <c r="D1087" i="2"/>
  <c r="D206" i="2"/>
  <c r="D1721" i="2"/>
  <c r="D1348" i="2"/>
  <c r="B624" i="2"/>
  <c r="C624" i="2" s="1"/>
  <c r="B1073" i="2"/>
  <c r="C1073" i="2" s="1"/>
  <c r="D2105" i="2"/>
  <c r="D289" i="2"/>
  <c r="D1861" i="2"/>
  <c r="D1280" i="2"/>
  <c r="D959" i="2"/>
  <c r="B1052" i="2"/>
  <c r="C1052" i="2" s="1"/>
  <c r="B155" i="2"/>
  <c r="C155" i="2" s="1"/>
  <c r="D170" i="2"/>
  <c r="B579" i="2"/>
  <c r="C579" i="2" s="1"/>
  <c r="B1158" i="2"/>
  <c r="C1158" i="2" s="1"/>
  <c r="D1368" i="2"/>
  <c r="B2110" i="2"/>
  <c r="C2110" i="2" s="1"/>
  <c r="B471" i="2"/>
  <c r="C471" i="2" s="1"/>
  <c r="D549" i="2"/>
  <c r="D325" i="2"/>
  <c r="B1904" i="2"/>
  <c r="C1904" i="2" s="1"/>
  <c r="D985" i="2"/>
  <c r="D490" i="2"/>
  <c r="B249" i="2"/>
  <c r="C249" i="2" s="1"/>
  <c r="B244" i="2"/>
  <c r="C244" i="2" s="1"/>
  <c r="D1765" i="2"/>
  <c r="B1586" i="2"/>
  <c r="C1586" i="2" s="1"/>
  <c r="D91" i="2"/>
  <c r="B1575" i="2"/>
  <c r="C1575" i="2" s="1"/>
  <c r="D231" i="2"/>
  <c r="B407" i="2"/>
  <c r="C407" i="2" s="1"/>
  <c r="B856" i="2"/>
  <c r="C856" i="2" s="1"/>
  <c r="B981" i="2"/>
  <c r="C981" i="2" s="1"/>
  <c r="B264" i="2"/>
  <c r="C264" i="2" s="1"/>
  <c r="D1057" i="2"/>
  <c r="D1627" i="2"/>
  <c r="D1075" i="2"/>
  <c r="D1143" i="2"/>
  <c r="D374" i="2"/>
  <c r="D1165" i="2"/>
  <c r="B263" i="2"/>
  <c r="C263" i="2" s="1"/>
  <c r="D1309" i="2"/>
  <c r="B436" i="2"/>
  <c r="C436" i="2" s="1"/>
  <c r="B322" i="2"/>
  <c r="C322" i="2" s="1"/>
  <c r="D1396" i="2"/>
  <c r="D557" i="2"/>
  <c r="D1478" i="2"/>
  <c r="D405" i="2"/>
  <c r="D1795" i="2"/>
  <c r="B866" i="2"/>
  <c r="C866" i="2" s="1"/>
  <c r="B1136" i="2"/>
  <c r="C1136" i="2" s="1"/>
  <c r="D60" i="2"/>
  <c r="B542" i="2"/>
  <c r="C542" i="2" s="1"/>
  <c r="D1543" i="2"/>
  <c r="B1055" i="2"/>
  <c r="C1055" i="2" s="1"/>
  <c r="D926" i="2"/>
  <c r="B117" i="2"/>
  <c r="C117" i="2" s="1"/>
  <c r="B1060" i="2"/>
  <c r="C1060" i="2" s="1"/>
  <c r="D727" i="2"/>
  <c r="B1778" i="2"/>
  <c r="C1778" i="2" s="1"/>
  <c r="D1579" i="2"/>
  <c r="D1515" i="2"/>
  <c r="B1395" i="2"/>
  <c r="C1395" i="2" s="1"/>
  <c r="D1318" i="2"/>
  <c r="D471" i="2"/>
  <c r="B846" i="2"/>
  <c r="C846" i="2" s="1"/>
  <c r="D1950" i="2"/>
  <c r="D1813" i="2"/>
  <c r="D47" i="2"/>
  <c r="B952" i="2"/>
  <c r="C952" i="2" s="1"/>
  <c r="B1516" i="2"/>
  <c r="C1516" i="2" s="1"/>
  <c r="B922" i="2"/>
  <c r="C922" i="2" s="1"/>
  <c r="B1428" i="2"/>
  <c r="C1428" i="2" s="1"/>
  <c r="B2106" i="2"/>
  <c r="C2106" i="2" s="1"/>
  <c r="B568" i="2"/>
  <c r="C568" i="2" s="1"/>
  <c r="D211" i="2"/>
  <c r="B311" i="2"/>
  <c r="C311" i="2" s="1"/>
  <c r="D467" i="2"/>
  <c r="B800" i="2"/>
  <c r="C800" i="2" s="1"/>
  <c r="D1187" i="2"/>
  <c r="B239" i="2"/>
  <c r="C239" i="2" s="1"/>
  <c r="D1339" i="2"/>
  <c r="B965" i="2"/>
  <c r="C965" i="2" s="1"/>
  <c r="D120" i="2"/>
  <c r="D1951" i="2"/>
  <c r="B1489" i="2"/>
  <c r="C1489" i="2" s="1"/>
  <c r="B385" i="2"/>
  <c r="C385" i="2" s="1"/>
  <c r="D854" i="2"/>
  <c r="D332" i="2"/>
  <c r="B1614" i="2"/>
  <c r="C1614" i="2" s="1"/>
  <c r="D1885" i="2"/>
  <c r="D1124" i="2"/>
  <c r="D1271" i="2"/>
  <c r="D1102" i="2"/>
  <c r="B2084" i="2"/>
  <c r="C2084" i="2" s="1"/>
  <c r="B1940" i="2"/>
  <c r="C1940" i="2" s="1"/>
  <c r="D1067" i="2"/>
  <c r="B259" i="2"/>
  <c r="C259" i="2" s="1"/>
  <c r="D709" i="2"/>
  <c r="D445" i="2"/>
  <c r="D1021" i="2"/>
  <c r="B1949" i="2"/>
  <c r="C1949" i="2" s="1"/>
  <c r="B1313" i="2"/>
  <c r="C1313" i="2" s="1"/>
  <c r="B683" i="2"/>
  <c r="C683" i="2" s="1"/>
  <c r="B2134" i="2"/>
  <c r="C2134" i="2" s="1"/>
  <c r="B1634" i="2"/>
  <c r="C1634" i="2" s="1"/>
  <c r="B832" i="2"/>
  <c r="C832" i="2" s="1"/>
  <c r="D806" i="2"/>
  <c r="D102" i="2"/>
  <c r="B632" i="2"/>
  <c r="C632" i="2" s="1"/>
  <c r="D2027" i="2"/>
  <c r="B1847" i="2"/>
  <c r="C1847" i="2" s="1"/>
  <c r="B1701" i="2"/>
  <c r="C1701" i="2" s="1"/>
  <c r="B74" i="2"/>
  <c r="C74" i="2" s="1"/>
  <c r="B316" i="2"/>
  <c r="C316" i="2" s="1"/>
  <c r="B1069" i="2"/>
  <c r="C1069" i="2" s="1"/>
  <c r="D1152" i="2"/>
  <c r="B281" i="2"/>
  <c r="C281" i="2" s="1"/>
  <c r="B747" i="2"/>
  <c r="C747" i="2" s="1"/>
  <c r="D477" i="2"/>
  <c r="B670" i="2"/>
  <c r="C670" i="2" s="1"/>
  <c r="B2010" i="2"/>
  <c r="C2010" i="2" s="1"/>
  <c r="B1469" i="2"/>
  <c r="C1469" i="2" s="1"/>
  <c r="D542" i="2"/>
  <c r="B446" i="2"/>
  <c r="C446" i="2" s="1"/>
  <c r="D495" i="2"/>
  <c r="B1035" i="2"/>
  <c r="C1035" i="2" s="1"/>
  <c r="B105" i="2"/>
  <c r="C105" i="2" s="1"/>
  <c r="D1688" i="2"/>
  <c r="B1362" i="2"/>
  <c r="C1362" i="2" s="1"/>
  <c r="D82" i="2"/>
  <c r="D540" i="2"/>
  <c r="B1301" i="2"/>
  <c r="C1301" i="2" s="1"/>
  <c r="B502" i="2"/>
  <c r="C502" i="2" s="1"/>
  <c r="B498" i="2"/>
  <c r="C498" i="2" s="1"/>
  <c r="D388" i="2"/>
  <c r="D1651" i="2"/>
  <c r="D1209" i="2"/>
  <c r="D2018" i="2"/>
  <c r="B1977" i="2"/>
  <c r="C1977" i="2" s="1"/>
  <c r="B1995" i="2"/>
  <c r="C1995" i="2" s="1"/>
  <c r="B1734" i="2"/>
  <c r="C1734" i="2" s="1"/>
  <c r="D1095" i="2"/>
  <c r="B115" i="2"/>
  <c r="C115" i="2" s="1"/>
  <c r="B1511" i="2"/>
  <c r="C1511" i="2" s="1"/>
  <c r="D1671" i="2"/>
  <c r="B715" i="2"/>
  <c r="C715" i="2" s="1"/>
  <c r="D1333" i="2"/>
  <c r="B2093" i="2"/>
  <c r="C2093" i="2" s="1"/>
  <c r="B1746" i="2"/>
  <c r="C1746" i="2" s="1"/>
  <c r="B1270" i="2"/>
  <c r="C1270" i="2" s="1"/>
  <c r="B86" i="2"/>
  <c r="C86" i="2" s="1"/>
  <c r="D348" i="2"/>
  <c r="B44" i="2"/>
  <c r="C44" i="2" s="1"/>
  <c r="D1273" i="2"/>
  <c r="B940" i="2"/>
  <c r="C940" i="2" s="1"/>
  <c r="B1695" i="2"/>
  <c r="C1695" i="2" s="1"/>
  <c r="B231" i="2"/>
  <c r="C231" i="2" s="1"/>
  <c r="B91" i="2"/>
  <c r="C91" i="2" s="1"/>
  <c r="D264" i="2"/>
  <c r="D412" i="2"/>
  <c r="D166" i="2"/>
  <c r="B1106" i="2"/>
  <c r="C1106" i="2" s="1"/>
  <c r="B655" i="2"/>
  <c r="C655" i="2" s="1"/>
  <c r="D420" i="2"/>
  <c r="D2004" i="2"/>
  <c r="D215" i="2"/>
  <c r="D459" i="2"/>
  <c r="B1725" i="2"/>
  <c r="C1725" i="2" s="1"/>
  <c r="D287" i="2"/>
  <c r="B1277" i="2"/>
  <c r="C1277" i="2" s="1"/>
  <c r="B1152" i="2"/>
  <c r="C1152" i="2" s="1"/>
  <c r="D585" i="2"/>
  <c r="D1704" i="2"/>
  <c r="B1109" i="2"/>
  <c r="C1109" i="2" s="1"/>
  <c r="B373" i="2"/>
  <c r="C373" i="2" s="1"/>
  <c r="D752" i="2"/>
  <c r="B770" i="2"/>
  <c r="C770" i="2" s="1"/>
  <c r="D1026" i="2"/>
  <c r="D2106" i="2"/>
  <c r="B1495" i="2"/>
  <c r="C1495" i="2" s="1"/>
  <c r="D1979" i="2"/>
  <c r="B587" i="2"/>
  <c r="C587" i="2" s="1"/>
  <c r="D1532" i="2"/>
  <c r="B1394" i="2"/>
  <c r="C1394" i="2" s="1"/>
  <c r="D2072" i="2"/>
  <c r="B1210" i="2"/>
  <c r="C1210" i="2" s="1"/>
  <c r="B1962" i="2"/>
  <c r="C1962" i="2" s="1"/>
  <c r="B2123" i="2"/>
  <c r="C2123" i="2" s="1"/>
  <c r="B325" i="2"/>
  <c r="C325" i="2" s="1"/>
  <c r="D759" i="2"/>
  <c r="D1338" i="2"/>
  <c r="B1833" i="2"/>
  <c r="C1833" i="2" s="1"/>
  <c r="B1867" i="2"/>
  <c r="C1867" i="2" s="1"/>
  <c r="D1235" i="2"/>
  <c r="B219" i="2"/>
  <c r="C219" i="2" s="1"/>
  <c r="B686" i="2"/>
  <c r="C686" i="2" s="1"/>
  <c r="B179" i="2"/>
  <c r="C179" i="2" s="1"/>
  <c r="B792" i="2"/>
  <c r="C792" i="2" s="1"/>
  <c r="B1975" i="2"/>
  <c r="C1975" i="2" s="1"/>
  <c r="B1517" i="2"/>
  <c r="C1517" i="2" s="1"/>
  <c r="B362" i="2"/>
  <c r="C362" i="2" s="1"/>
  <c r="B1260" i="2"/>
  <c r="C1260" i="2" s="1"/>
  <c r="B1315" i="2"/>
  <c r="C1315" i="2" s="1"/>
  <c r="D1242" i="2"/>
  <c r="B973" i="2"/>
  <c r="C973" i="2" s="1"/>
  <c r="D1536" i="2"/>
  <c r="B395" i="2"/>
  <c r="C395" i="2" s="1"/>
  <c r="D644" i="2"/>
  <c r="B892" i="2"/>
  <c r="C892" i="2" s="1"/>
  <c r="D1639" i="2"/>
  <c r="D508" i="2"/>
  <c r="D1786" i="2"/>
  <c r="B467" i="2"/>
  <c r="C467" i="2" s="1"/>
  <c r="B1120" i="2"/>
  <c r="C1120" i="2" s="1"/>
  <c r="D1644" i="2"/>
  <c r="B857" i="2"/>
  <c r="C857" i="2" s="1"/>
  <c r="B549" i="2"/>
  <c r="C549" i="2" s="1"/>
  <c r="D646" i="2"/>
  <c r="D1788" i="2"/>
  <c r="B1526" i="2"/>
  <c r="C1526" i="2" s="1"/>
  <c r="B1719" i="2"/>
  <c r="C1719" i="2" s="1"/>
  <c r="D1530" i="2"/>
  <c r="B653" i="2"/>
  <c r="C653" i="2" s="1"/>
  <c r="B214" i="2"/>
  <c r="C214" i="2" s="1"/>
  <c r="B2102" i="2"/>
  <c r="C2102" i="2" s="1"/>
  <c r="D1734" i="2"/>
  <c r="B1658" i="2"/>
  <c r="C1658" i="2" s="1"/>
  <c r="B869" i="2"/>
  <c r="C869" i="2" s="1"/>
  <c r="D1131" i="2"/>
  <c r="D562" i="2"/>
  <c r="B1679" i="2"/>
  <c r="C1679" i="2" s="1"/>
  <c r="D1083" i="2"/>
  <c r="D987" i="2"/>
  <c r="B445" i="2"/>
  <c r="C445" i="2" s="1"/>
  <c r="D1748" i="2"/>
  <c r="D1011" i="2"/>
  <c r="B1294" i="2"/>
  <c r="C1294" i="2" s="1"/>
  <c r="B941" i="2"/>
  <c r="C941" i="2" s="1"/>
  <c r="B160" i="2"/>
  <c r="C160" i="2" s="1"/>
  <c r="D647" i="2"/>
  <c r="D1438" i="2"/>
  <c r="B1589" i="2"/>
  <c r="C1589" i="2" s="1"/>
  <c r="B1215" i="2"/>
  <c r="C1215" i="2" s="1"/>
  <c r="D403" i="2"/>
  <c r="D1222" i="2"/>
  <c r="B353" i="2"/>
  <c r="C353" i="2" s="1"/>
  <c r="D111" i="2"/>
  <c r="B1380" i="2"/>
  <c r="C1380" i="2" s="1"/>
  <c r="B2036" i="2"/>
  <c r="C2036" i="2" s="1"/>
  <c r="D1450" i="2"/>
  <c r="B1359" i="2"/>
  <c r="C1359" i="2" s="1"/>
  <c r="B1996" i="2"/>
  <c r="C1996" i="2" s="1"/>
  <c r="D1649" i="2"/>
  <c r="B1066" i="2"/>
  <c r="C1066" i="2" s="1"/>
  <c r="B1311" i="2"/>
  <c r="C1311" i="2" s="1"/>
  <c r="D2049" i="2"/>
  <c r="D444" i="2"/>
  <c r="D427" i="2"/>
  <c r="D442" i="2"/>
  <c r="B473" i="2"/>
  <c r="C473" i="2" s="1"/>
  <c r="B112" i="2"/>
  <c r="C112" i="2" s="1"/>
  <c r="B1957" i="2"/>
  <c r="C1957" i="2" s="1"/>
  <c r="B1886" i="2"/>
  <c r="C1886" i="2" s="1"/>
  <c r="D1345" i="2"/>
  <c r="B1317" i="2"/>
  <c r="C1317" i="2" s="1"/>
  <c r="B829" i="2"/>
  <c r="C829" i="2" s="1"/>
  <c r="D112" i="2"/>
  <c r="B2026" i="2"/>
  <c r="C2026" i="2" s="1"/>
  <c r="B2082" i="2"/>
  <c r="C2082" i="2" s="1"/>
  <c r="B1823" i="2"/>
  <c r="C1823" i="2" s="1"/>
  <c r="B349" i="2"/>
  <c r="C349" i="2" s="1"/>
  <c r="B2023" i="2"/>
  <c r="C2023" i="2" s="1"/>
  <c r="B1991" i="2"/>
  <c r="C1991" i="2" s="1"/>
  <c r="B2006" i="2"/>
  <c r="C2006" i="2" s="1"/>
  <c r="B1146" i="2"/>
  <c r="C1146" i="2" s="1"/>
  <c r="D693" i="2"/>
  <c r="B1993" i="2"/>
  <c r="C1993" i="2" s="1"/>
  <c r="B1851" i="2"/>
  <c r="C1851" i="2" s="1"/>
  <c r="D1959" i="2"/>
  <c r="B1985" i="2"/>
  <c r="C1985" i="2" s="1"/>
  <c r="B1321" i="2"/>
  <c r="C1321" i="2" s="1"/>
  <c r="D1935" i="2"/>
  <c r="B163" i="2"/>
  <c r="C163" i="2" s="1"/>
  <c r="D1763" i="2"/>
  <c r="B718" i="2"/>
  <c r="C718" i="2" s="1"/>
  <c r="B931" i="2"/>
  <c r="C931" i="2" s="1"/>
  <c r="D1357" i="2"/>
  <c r="D1585" i="2"/>
  <c r="D104" i="2"/>
  <c r="D1801" i="2"/>
  <c r="B1164" i="2"/>
  <c r="C1164" i="2" s="1"/>
  <c r="B302" i="2"/>
  <c r="C302" i="2" s="1"/>
  <c r="B966" i="2"/>
  <c r="C966" i="2" s="1"/>
  <c r="B441" i="2"/>
  <c r="C441" i="2" s="1"/>
  <c r="B1508" i="2"/>
  <c r="C1508" i="2" s="1"/>
  <c r="B2083" i="2"/>
  <c r="C2083" i="2" s="1"/>
  <c r="B1287" i="2"/>
  <c r="C1287" i="2" s="1"/>
  <c r="D1500" i="2"/>
  <c r="D1251" i="2"/>
  <c r="B978" i="2"/>
  <c r="C978" i="2" s="1"/>
  <c r="D1881" i="2"/>
  <c r="B741" i="2"/>
  <c r="C741" i="2" s="1"/>
  <c r="D1678" i="2"/>
  <c r="D240" i="2"/>
  <c r="B121" i="2"/>
  <c r="C121" i="2" s="1"/>
  <c r="D1936" i="2"/>
  <c r="D1334" i="2"/>
  <c r="D1782" i="2"/>
  <c r="B1968" i="2"/>
  <c r="C1968" i="2" s="1"/>
  <c r="B1240" i="2"/>
  <c r="C1240" i="2" s="1"/>
  <c r="D1426" i="2"/>
  <c r="D601" i="2"/>
  <c r="D196" i="2"/>
  <c r="D270" i="2"/>
  <c r="B1852" i="2"/>
  <c r="C1852" i="2" s="1"/>
  <c r="B1003" i="2"/>
  <c r="C1003" i="2" s="1"/>
  <c r="D2077" i="2"/>
  <c r="B211" i="2"/>
  <c r="C211" i="2" s="1"/>
  <c r="B1116" i="2"/>
  <c r="C1116" i="2" s="1"/>
  <c r="D1565" i="2"/>
  <c r="B723" i="2"/>
  <c r="C723" i="2" s="1"/>
  <c r="D537" i="2"/>
  <c r="D1900" i="2"/>
  <c r="D1773" i="2"/>
  <c r="D1130" i="2"/>
  <c r="B1181" i="2"/>
  <c r="C1181" i="2" s="1"/>
  <c r="B592" i="2"/>
  <c r="C592" i="2" s="1"/>
  <c r="D611" i="2"/>
  <c r="D1419" i="2"/>
  <c r="D2012" i="2"/>
  <c r="B1346" i="2"/>
  <c r="C1346" i="2" s="1"/>
  <c r="B652" i="2"/>
  <c r="C652" i="2" s="1"/>
  <c r="B1411" i="2"/>
  <c r="C1411" i="2" s="1"/>
  <c r="D612" i="2"/>
  <c r="D1059" i="2"/>
  <c r="B463" i="2"/>
  <c r="C463" i="2" s="1"/>
  <c r="B681" i="2"/>
  <c r="C681" i="2" s="1"/>
  <c r="B403" i="2"/>
  <c r="C403" i="2" s="1"/>
  <c r="B1459" i="2"/>
  <c r="C1459" i="2" s="1"/>
  <c r="B854" i="2"/>
  <c r="C854" i="2" s="1"/>
  <c r="D1844" i="2"/>
  <c r="B765" i="2"/>
  <c r="C765" i="2" s="1"/>
  <c r="B855" i="2"/>
  <c r="C855" i="2" s="1"/>
  <c r="D1169" i="2"/>
  <c r="D1183" i="2"/>
  <c r="B1724" i="2"/>
  <c r="C1724" i="2" s="1"/>
  <c r="D1667" i="2"/>
  <c r="D979" i="2"/>
  <c r="D1137" i="2"/>
  <c r="D1541" i="2"/>
  <c r="B1933" i="2"/>
  <c r="C1933" i="2" s="1"/>
  <c r="D1892" i="2"/>
  <c r="D352" i="2"/>
  <c r="B1450" i="2"/>
  <c r="C1450" i="2" s="1"/>
  <c r="B1653" i="2"/>
  <c r="C1653" i="2" s="1"/>
  <c r="D923" i="2"/>
  <c r="D980" i="2"/>
  <c r="B1601" i="2"/>
  <c r="C1601" i="2" s="1"/>
  <c r="D125" i="2"/>
  <c r="D1524" i="2"/>
  <c r="B1009" i="2"/>
  <c r="C1009" i="2" s="1"/>
  <c r="D1893" i="2"/>
  <c r="B1186" i="2"/>
  <c r="C1186" i="2" s="1"/>
  <c r="D997" i="2"/>
  <c r="B1557" i="2"/>
  <c r="C1557" i="2" s="1"/>
  <c r="D318" i="2"/>
  <c r="D74" i="2"/>
  <c r="D1962" i="2"/>
  <c r="B297" i="2"/>
  <c r="C297" i="2" s="1"/>
  <c r="B1281" i="2"/>
  <c r="C1281" i="2" s="1"/>
  <c r="B1468" i="2"/>
  <c r="C1468" i="2" s="1"/>
  <c r="D670" i="2"/>
  <c r="B1840" i="2"/>
  <c r="C1840" i="2" s="1"/>
  <c r="D523" i="2"/>
  <c r="B1590" i="2"/>
  <c r="C1590" i="2" s="1"/>
  <c r="B1325" i="2"/>
  <c r="C1325" i="2" s="1"/>
  <c r="B1689" i="2"/>
  <c r="C1689" i="2" s="1"/>
  <c r="B591" i="2"/>
  <c r="C591" i="2" s="1"/>
  <c r="B984" i="2"/>
  <c r="C984" i="2" s="1"/>
  <c r="D569" i="2"/>
  <c r="B660" i="2"/>
  <c r="C660" i="2" s="1"/>
  <c r="D1030" i="2"/>
  <c r="D1378" i="2"/>
  <c r="D1420" i="2"/>
  <c r="D1391" i="2"/>
  <c r="B1154" i="2"/>
  <c r="C1154" i="2" s="1"/>
  <c r="B1786" i="2"/>
  <c r="C1786" i="2" s="1"/>
  <c r="B1125" i="2"/>
  <c r="C1125" i="2" s="1"/>
  <c r="B732" i="2"/>
  <c r="C732" i="2" s="1"/>
  <c r="D1580" i="2"/>
  <c r="B1624" i="2"/>
  <c r="C1624" i="2" s="1"/>
  <c r="B2009" i="2"/>
  <c r="C2009" i="2" s="1"/>
  <c r="D2099" i="2"/>
  <c r="D273" i="2"/>
  <c r="B392" i="2"/>
  <c r="C392" i="2" s="1"/>
  <c r="B1173" i="2"/>
  <c r="C1173" i="2" s="1"/>
  <c r="D1572" i="2"/>
  <c r="D956" i="2"/>
  <c r="D70" i="2"/>
  <c r="B409" i="2"/>
  <c r="C409" i="2" s="1"/>
  <c r="B212" i="2"/>
  <c r="C212" i="2" s="1"/>
  <c r="D702" i="2"/>
  <c r="D1398" i="2"/>
  <c r="D701" i="2"/>
  <c r="D830" i="2"/>
  <c r="D686" i="2"/>
  <c r="D84" i="2"/>
  <c r="B2032" i="2"/>
  <c r="C2032" i="2" s="1"/>
  <c r="D755" i="2"/>
  <c r="B1593" i="2"/>
  <c r="C1593" i="2" s="1"/>
  <c r="D139" i="2"/>
  <c r="D866" i="2"/>
  <c r="D2011" i="2"/>
  <c r="D1629" i="2"/>
  <c r="B202" i="2"/>
  <c r="C202" i="2" s="1"/>
  <c r="B1918" i="2"/>
  <c r="C1918" i="2" s="1"/>
  <c r="D1385" i="2"/>
  <c r="B1613" i="2"/>
  <c r="C1613" i="2" s="1"/>
  <c r="D1793" i="2"/>
  <c r="D135" i="2"/>
  <c r="D1759" i="2"/>
  <c r="B1902" i="2"/>
  <c r="C1902" i="2" s="1"/>
  <c r="B1954" i="2"/>
  <c r="C1954" i="2" s="1"/>
  <c r="B247" i="2"/>
  <c r="C247" i="2" s="1"/>
  <c r="B465" i="2"/>
  <c r="C465" i="2" s="1"/>
  <c r="D764" i="2"/>
  <c r="D1399" i="2"/>
  <c r="B804" i="2"/>
  <c r="C804" i="2" s="1"/>
  <c r="B1167" i="2"/>
  <c r="C1167" i="2" s="1"/>
  <c r="B1917" i="2"/>
  <c r="C1917" i="2" s="1"/>
  <c r="D1592" i="2"/>
  <c r="D580" i="2"/>
  <c r="D574" i="2"/>
  <c r="D1842" i="2"/>
  <c r="B761" i="2"/>
  <c r="C761" i="2" s="1"/>
  <c r="D188" i="2"/>
  <c r="B1457" i="2"/>
  <c r="C1457" i="2" s="1"/>
  <c r="D2138" i="2"/>
  <c r="B605" i="2"/>
  <c r="C605" i="2" s="1"/>
  <c r="D232" i="2"/>
  <c r="B642" i="2"/>
  <c r="C642" i="2" s="1"/>
  <c r="B950" i="2"/>
  <c r="C950" i="2" s="1"/>
  <c r="B596" i="2"/>
  <c r="C596" i="2" s="1"/>
  <c r="D1824" i="2"/>
  <c r="D238" i="2"/>
  <c r="D950" i="2"/>
  <c r="B933" i="2"/>
  <c r="C933" i="2" s="1"/>
  <c r="D1136" i="2"/>
  <c r="D1200" i="2"/>
  <c r="D1422" i="2"/>
  <c r="D2115" i="2"/>
  <c r="B706" i="2"/>
  <c r="C706" i="2" s="1"/>
  <c r="D1024" i="2"/>
  <c r="B778" i="2"/>
  <c r="C778" i="2" s="1"/>
  <c r="D1425" i="2"/>
  <c r="B569" i="2"/>
  <c r="C569" i="2" s="1"/>
  <c r="D1677" i="2"/>
  <c r="D952" i="2"/>
  <c r="B1884" i="2"/>
  <c r="C1884" i="2" s="1"/>
  <c r="B1025" i="2"/>
  <c r="C1025" i="2" s="1"/>
  <c r="B1344" i="2"/>
  <c r="C1344" i="2" s="1"/>
  <c r="D2121" i="2"/>
  <c r="D1027" i="2"/>
  <c r="B228" i="2"/>
  <c r="C228" i="2" s="1"/>
  <c r="D1213" i="2"/>
  <c r="D153" i="2"/>
  <c r="B716" i="2"/>
  <c r="C716" i="2" s="1"/>
  <c r="B1398" i="2"/>
  <c r="C1398" i="2" s="1"/>
  <c r="D743" i="2"/>
  <c r="D946" i="2"/>
  <c r="B304" i="2"/>
  <c r="C304" i="2" s="1"/>
  <c r="D1882" i="2"/>
  <c r="B1784" i="2"/>
  <c r="C1784" i="2" s="1"/>
  <c r="B540" i="2"/>
  <c r="C540" i="2" s="1"/>
  <c r="B1099" i="2"/>
  <c r="C1099" i="2" s="1"/>
  <c r="D1544" i="2"/>
  <c r="D1195" i="2"/>
  <c r="D1553" i="2"/>
  <c r="B205" i="2"/>
  <c r="C205" i="2" s="1"/>
  <c r="D392" i="2"/>
  <c r="D969" i="2"/>
  <c r="D499" i="2"/>
  <c r="D1973" i="2"/>
  <c r="D586" i="2"/>
  <c r="B1078" i="2"/>
  <c r="C1078" i="2" s="1"/>
  <c r="D1868" i="2"/>
  <c r="B1470" i="2"/>
  <c r="C1470" i="2" s="1"/>
  <c r="B1597" i="2"/>
  <c r="C1597" i="2" s="1"/>
  <c r="B144" i="2"/>
  <c r="C144" i="2" s="1"/>
  <c r="D1647" i="2"/>
  <c r="B709" i="2"/>
  <c r="C709" i="2" s="1"/>
  <c r="D1768" i="2"/>
  <c r="D1112" i="2"/>
  <c r="D1797" i="2"/>
  <c r="B165" i="2"/>
  <c r="C165" i="2" s="1"/>
  <c r="D1823" i="2"/>
  <c r="B1903" i="2"/>
  <c r="C1903" i="2" s="1"/>
  <c r="D1785" i="2"/>
  <c r="D155" i="2"/>
  <c r="D1471" i="2"/>
  <c r="B215" i="2"/>
  <c r="C215" i="2" s="1"/>
  <c r="B366" i="2"/>
  <c r="C366" i="2" s="1"/>
  <c r="B1023" i="2"/>
  <c r="C1023" i="2" s="1"/>
  <c r="D1431" i="2"/>
  <c r="B187" i="2"/>
  <c r="C187" i="2" s="1"/>
  <c r="D1058" i="2"/>
  <c r="D762" i="2"/>
  <c r="B898" i="2"/>
  <c r="C898" i="2" s="1"/>
  <c r="B808" i="2"/>
  <c r="C808" i="2" s="1"/>
  <c r="B1464" i="2"/>
  <c r="C1464" i="2" s="1"/>
  <c r="B843" i="2"/>
  <c r="C843" i="2" s="1"/>
  <c r="B240" i="2"/>
  <c r="C240" i="2" s="1"/>
  <c r="D1586" i="2"/>
  <c r="D253" i="2"/>
  <c r="D470" i="2"/>
  <c r="D811" i="2"/>
  <c r="D1794" i="2"/>
  <c r="D1853" i="2"/>
  <c r="D1867" i="2"/>
  <c r="D1173" i="2"/>
  <c r="B442" i="2"/>
  <c r="C442" i="2" s="1"/>
  <c r="B83" i="2"/>
  <c r="C83" i="2" s="1"/>
  <c r="B276" i="2"/>
  <c r="C276" i="2" s="1"/>
  <c r="D1564" i="2"/>
  <c r="D898" i="2"/>
  <c r="D254" i="2"/>
  <c r="D1076" i="2"/>
  <c r="D1852" i="2"/>
  <c r="B532" i="2"/>
  <c r="C532" i="2" s="1"/>
  <c r="D2046" i="2"/>
  <c r="D1009" i="2"/>
  <c r="B1660" i="2"/>
  <c r="C1660" i="2" s="1"/>
  <c r="D269" i="2"/>
  <c r="D2130" i="2"/>
  <c r="B499" i="2"/>
  <c r="C499" i="2" s="1"/>
  <c r="B414" i="2"/>
  <c r="C414" i="2" s="1"/>
  <c r="D1489" i="2"/>
  <c r="B1619" i="2"/>
  <c r="C1619" i="2" s="1"/>
  <c r="D1086" i="2"/>
  <c r="B1723" i="2"/>
  <c r="C1723" i="2" s="1"/>
  <c r="D1802" i="2"/>
  <c r="B1343" i="2"/>
  <c r="C1343" i="2" s="1"/>
  <c r="D1188" i="2"/>
  <c r="B1228" i="2"/>
  <c r="C1228" i="2" s="1"/>
  <c r="B733" i="2"/>
  <c r="C733" i="2" s="1"/>
  <c r="D58" i="2"/>
  <c r="B1622" i="2"/>
  <c r="C1622" i="2" s="1"/>
  <c r="D1879" i="2"/>
  <c r="B287" i="2"/>
  <c r="C287" i="2" s="1"/>
  <c r="D1105" i="2"/>
  <c r="B410" i="2"/>
  <c r="C410" i="2" s="1"/>
  <c r="D276" i="2"/>
  <c r="D221" i="2"/>
  <c r="D458" i="2"/>
  <c r="B412" i="2"/>
  <c r="C412" i="2" s="1"/>
  <c r="D1685" i="2"/>
  <c r="B757" i="2"/>
  <c r="C757" i="2" s="1"/>
  <c r="D1302" i="2"/>
  <c r="D961" i="2"/>
  <c r="D1650" i="2"/>
  <c r="B1265" i="2"/>
  <c r="C1265" i="2" s="1"/>
  <c r="D457" i="2"/>
  <c r="B1675" i="2"/>
  <c r="C1675" i="2" s="1"/>
  <c r="B1256" i="2"/>
  <c r="C1256" i="2" s="1"/>
  <c r="D1014" i="2"/>
  <c r="D1657" i="2"/>
  <c r="D642" i="2"/>
  <c r="D1207" i="2"/>
  <c r="B1126" i="2"/>
  <c r="C1126" i="2" s="1"/>
  <c r="D1914" i="2"/>
  <c r="B891" i="2"/>
  <c r="C891" i="2" s="1"/>
  <c r="D202" i="2"/>
  <c r="B171" i="2"/>
  <c r="C171" i="2" s="1"/>
  <c r="D824" i="2"/>
  <c r="D1293" i="2"/>
  <c r="B1373" i="2"/>
  <c r="C1373" i="2" s="1"/>
  <c r="D530" i="2"/>
  <c r="D921" i="2"/>
  <c r="D2042" i="2"/>
  <c r="D1624" i="2"/>
  <c r="D1746" i="2"/>
  <c r="D1862" i="2"/>
  <c r="B631" i="2"/>
  <c r="C631" i="2" s="1"/>
  <c r="D1783" i="2"/>
  <c r="D976" i="2"/>
  <c r="B698" i="2"/>
  <c r="C698" i="2" s="1"/>
  <c r="B1405" i="2"/>
  <c r="C1405" i="2" s="1"/>
  <c r="B2005" i="2"/>
  <c r="C2005" i="2" s="1"/>
  <c r="B923" i="2"/>
  <c r="C923" i="2" s="1"/>
  <c r="B1330" i="2"/>
  <c r="C1330" i="2" s="1"/>
  <c r="B1663" i="2"/>
  <c r="C1663" i="2" s="1"/>
  <c r="D692" i="2"/>
  <c r="B77" i="2"/>
  <c r="C77" i="2" s="1"/>
  <c r="D279" i="2"/>
  <c r="B1422" i="2"/>
  <c r="C1422" i="2" s="1"/>
  <c r="B1750" i="2"/>
  <c r="C1750" i="2" s="1"/>
  <c r="B1030" i="2"/>
  <c r="C1030" i="2" s="1"/>
  <c r="B871" i="2"/>
  <c r="C871" i="2" s="1"/>
  <c r="D1289" i="2"/>
  <c r="B1339" i="2"/>
  <c r="C1339" i="2" s="1"/>
  <c r="D331" i="2"/>
  <c r="B109" i="2"/>
  <c r="C109" i="2" s="1"/>
  <c r="D1383" i="2"/>
  <c r="B794" i="2"/>
  <c r="C794" i="2" s="1"/>
  <c r="B928" i="2"/>
  <c r="C928" i="2" s="1"/>
  <c r="B1345" i="2"/>
  <c r="C1345" i="2" s="1"/>
  <c r="B1781" i="2"/>
  <c r="C1781" i="2" s="1"/>
  <c r="B1288" i="2"/>
  <c r="C1288" i="2" s="1"/>
  <c r="B1448" i="2"/>
  <c r="C1448" i="2" s="1"/>
  <c r="B1144" i="2"/>
  <c r="C1144" i="2" s="1"/>
  <c r="B493" i="2"/>
  <c r="C493" i="2" s="1"/>
  <c r="D984" i="2"/>
  <c r="B1342" i="2"/>
  <c r="C1342" i="2" s="1"/>
  <c r="B194" i="2"/>
  <c r="C194" i="2" s="1"/>
  <c r="D1282" i="2"/>
  <c r="D1064" i="2"/>
  <c r="B841" i="2"/>
  <c r="C841" i="2" s="1"/>
  <c r="B1818" i="2"/>
  <c r="C1818" i="2" s="1"/>
  <c r="B76" i="2"/>
  <c r="C76" i="2" s="1"/>
  <c r="D855" i="2"/>
  <c r="B2073" i="2"/>
  <c r="C2073" i="2" s="1"/>
  <c r="D1297" i="2"/>
  <c r="B397" i="2"/>
  <c r="C397" i="2" s="1"/>
  <c r="D1737" i="2"/>
  <c r="B88" i="2"/>
  <c r="C88" i="2" s="1"/>
  <c r="B87" i="2"/>
  <c r="C87" i="2" s="1"/>
  <c r="B1441" i="2"/>
  <c r="C1441" i="2" s="1"/>
  <c r="B344" i="2"/>
  <c r="C344" i="2" s="1"/>
  <c r="D1217" i="2"/>
  <c r="B1091" i="2"/>
  <c r="C1091" i="2" s="1"/>
  <c r="D1236" i="2"/>
  <c r="D1729" i="2"/>
  <c r="B451" i="2"/>
  <c r="C451" i="2" s="1"/>
  <c r="D497" i="2"/>
  <c r="B622" i="2"/>
  <c r="C622" i="2" s="1"/>
  <c r="D487" i="2"/>
  <c r="D230" i="2"/>
  <c r="B558" i="2"/>
  <c r="C558" i="2" s="1"/>
  <c r="B567" i="2"/>
  <c r="C567" i="2" s="1"/>
  <c r="D510" i="2"/>
  <c r="D1068" i="2"/>
  <c r="D1007" i="2"/>
  <c r="D1330" i="2"/>
  <c r="B141" i="2"/>
  <c r="C141" i="2" s="1"/>
  <c r="B1406" i="2"/>
  <c r="C1406" i="2" s="1"/>
  <c r="D1744" i="2"/>
  <c r="D1700" i="2"/>
  <c r="D513" i="2"/>
  <c r="D482" i="2"/>
  <c r="D1221" i="2"/>
  <c r="B858" i="2"/>
  <c r="C858" i="2" s="1"/>
  <c r="D1983" i="2"/>
  <c r="D1243" i="2"/>
  <c r="D750" i="2"/>
  <c r="D621" i="2"/>
  <c r="D434" i="2"/>
  <c r="B1053" i="2"/>
  <c r="C1053" i="2" s="1"/>
  <c r="B1897" i="2"/>
  <c r="C1897" i="2" s="1"/>
  <c r="D930" i="2"/>
  <c r="D1460" i="2"/>
  <c r="B1834" i="2"/>
  <c r="C1834" i="2" s="1"/>
  <c r="D972" i="2"/>
  <c r="B143" i="2"/>
  <c r="C143" i="2" s="1"/>
  <c r="B236" i="2"/>
  <c r="C236" i="2" s="1"/>
  <c r="D2060" i="2"/>
  <c r="B1907" i="2"/>
  <c r="C1907" i="2" s="1"/>
  <c r="D514" i="2"/>
  <c r="B1948" i="2"/>
  <c r="C1948" i="2" s="1"/>
  <c r="B1514" i="2"/>
  <c r="C1514" i="2" s="1"/>
  <c r="B553" i="2"/>
  <c r="C553" i="2" s="1"/>
  <c r="D214" i="2"/>
  <c r="B1131" i="2"/>
  <c r="C1131" i="2" s="1"/>
  <c r="D132" i="2"/>
  <c r="B1161" i="2"/>
  <c r="C1161" i="2" s="1"/>
  <c r="D576" i="2"/>
  <c r="B1707" i="2"/>
  <c r="C1707" i="2" s="1"/>
  <c r="B1476" i="2"/>
  <c r="C1476" i="2" s="1"/>
  <c r="B1387" i="2"/>
  <c r="C1387" i="2" s="1"/>
  <c r="D244" i="2"/>
  <c r="B1887" i="2"/>
  <c r="C1887" i="2" s="1"/>
  <c r="D2117" i="2"/>
  <c r="D970" i="2"/>
  <c r="B1633" i="2"/>
  <c r="C1633" i="2" s="1"/>
  <c r="B630" i="2"/>
  <c r="C630" i="2" s="1"/>
  <c r="D447" i="2"/>
  <c r="B474" i="2"/>
  <c r="C474" i="2" s="1"/>
  <c r="B535" i="2"/>
  <c r="C535" i="2" s="1"/>
  <c r="D1588" i="2"/>
  <c r="D532" i="2"/>
  <c r="D1641" i="2"/>
  <c r="D849" i="2"/>
  <c r="D1447" i="2"/>
  <c r="B1415" i="2"/>
  <c r="C1415" i="2" s="1"/>
  <c r="D1313" i="2"/>
  <c r="D2000" i="2"/>
  <c r="D1241" i="2"/>
  <c r="B173" i="2"/>
  <c r="C173" i="2" s="1"/>
  <c r="D335" i="2"/>
  <c r="B1041" i="2"/>
  <c r="C1041" i="2" s="1"/>
  <c r="D870" i="2"/>
  <c r="B1361" i="2"/>
  <c r="C1361" i="2" s="1"/>
  <c r="D1046" i="2"/>
  <c r="B1873" i="2"/>
  <c r="C1873" i="2" s="1"/>
  <c r="B900" i="2"/>
  <c r="C900" i="2" s="1"/>
  <c r="B1807" i="2"/>
  <c r="C1807" i="2" s="1"/>
  <c r="D105" i="2"/>
  <c r="D729" i="2"/>
  <c r="D197" i="2"/>
  <c r="B189" i="2"/>
  <c r="C189" i="2" s="1"/>
  <c r="B1722" i="2"/>
  <c r="C1722" i="2" s="1"/>
  <c r="B333" i="2"/>
  <c r="C333" i="2" s="1"/>
  <c r="B1015" i="2"/>
  <c r="C1015" i="2" s="1"/>
  <c r="B904" i="2"/>
  <c r="C904" i="2" s="1"/>
  <c r="D422" i="2"/>
  <c r="B266" i="2"/>
  <c r="C266" i="2" s="1"/>
  <c r="D668" i="2"/>
  <c r="B447" i="2"/>
  <c r="C447" i="2" s="1"/>
  <c r="D204" i="2"/>
  <c r="B459" i="2"/>
  <c r="C459" i="2" s="1"/>
  <c r="D1228" i="2"/>
  <c r="D193" i="2"/>
  <c r="B1964" i="2"/>
  <c r="C1964" i="2" s="1"/>
  <c r="B936" i="2"/>
  <c r="C936" i="2" s="1"/>
  <c r="D703" i="2"/>
  <c r="D1760" i="2"/>
  <c r="D742" i="2"/>
  <c r="D1048" i="2"/>
  <c r="B1826" i="2"/>
  <c r="C1826" i="2" s="1"/>
  <c r="B1392" i="2"/>
  <c r="C1392" i="2" s="1"/>
  <c r="D1841" i="2"/>
  <c r="B2016" i="2"/>
  <c r="C2016" i="2" s="1"/>
  <c r="D619" i="2"/>
  <c r="B839" i="2"/>
  <c r="C839" i="2" s="1"/>
  <c r="B604" i="2"/>
  <c r="C604" i="2" s="1"/>
  <c r="D1139" i="2"/>
  <c r="D857" i="2"/>
  <c r="D1410" i="2"/>
  <c r="B312" i="2"/>
  <c r="C312" i="2" s="1"/>
  <c r="B1780" i="2"/>
  <c r="C1780" i="2" s="1"/>
  <c r="D722" i="2"/>
  <c r="B352" i="2"/>
  <c r="C352" i="2" s="1"/>
  <c r="D782" i="2"/>
  <c r="B734" i="2"/>
  <c r="C734" i="2" s="1"/>
  <c r="B1558" i="2"/>
  <c r="C1558" i="2" s="1"/>
  <c r="D1670" i="2"/>
  <c r="D1731" i="2"/>
  <c r="D1939" i="2"/>
  <c r="D1633" i="2"/>
  <c r="D1362" i="2"/>
  <c r="D158" i="2"/>
  <c r="D1929" i="2"/>
  <c r="B2028" i="2"/>
  <c r="C2028" i="2" s="1"/>
  <c r="B1231" i="2"/>
  <c r="C1231" i="2" s="1"/>
  <c r="D1234" i="2"/>
  <c r="B1669" i="2"/>
  <c r="C1669" i="2" s="1"/>
  <c r="B1748" i="2"/>
  <c r="C1748" i="2" s="1"/>
  <c r="B1466" i="2"/>
  <c r="C1466" i="2" s="1"/>
  <c r="D1018" i="2"/>
  <c r="B588" i="2"/>
  <c r="C588" i="2" s="1"/>
  <c r="D1148" i="2"/>
  <c r="D872" i="2"/>
  <c r="D1108" i="2"/>
  <c r="B947" i="2"/>
  <c r="C947" i="2" s="1"/>
  <c r="D494" i="2"/>
  <c r="B1610" i="2"/>
  <c r="C1610" i="2" s="1"/>
  <c r="D1596" i="2"/>
  <c r="B491" i="2"/>
  <c r="C491" i="2" s="1"/>
  <c r="D922" i="2"/>
  <c r="D2076" i="2"/>
  <c r="D2024" i="2"/>
  <c r="B131" i="2"/>
  <c r="C131" i="2" s="1"/>
  <c r="B354" i="2"/>
  <c r="C354" i="2" s="1"/>
  <c r="B1779" i="2"/>
  <c r="C1779" i="2" s="1"/>
  <c r="B1379" i="2"/>
  <c r="C1379" i="2" s="1"/>
  <c r="B1251" i="2"/>
  <c r="C1251" i="2" s="1"/>
  <c r="D886" i="2"/>
  <c r="B2128" i="2"/>
  <c r="C2128" i="2" s="1"/>
  <c r="D2118" i="2"/>
  <c r="D169" i="2"/>
  <c r="D2041" i="2"/>
  <c r="D1373" i="2"/>
  <c r="B519" i="2"/>
  <c r="C519" i="2" s="1"/>
  <c r="D631" i="2"/>
  <c r="D419" i="2"/>
  <c r="D377" i="2"/>
  <c r="D1501" i="2"/>
  <c r="D1397" i="2"/>
  <c r="B998" i="2"/>
  <c r="C998" i="2" s="1"/>
  <c r="B1275" i="2"/>
  <c r="C1275" i="2" s="1"/>
  <c r="D1691" i="2"/>
  <c r="D1342" i="2"/>
  <c r="D122" i="2"/>
  <c r="D555" i="2"/>
  <c r="D1545" i="2"/>
  <c r="B991" i="2"/>
  <c r="C991" i="2" s="1"/>
  <c r="D627" i="2"/>
  <c r="B574" i="2"/>
  <c r="C574" i="2" s="1"/>
  <c r="D876" i="2"/>
  <c r="D800" i="2"/>
  <c r="D1769" i="2"/>
  <c r="D568" i="2"/>
  <c r="B1969" i="2"/>
  <c r="C1969" i="2" s="1"/>
  <c r="D834" i="2"/>
  <c r="B713" i="2"/>
  <c r="C713" i="2" s="1"/>
  <c r="B627" i="2"/>
  <c r="C627" i="2" s="1"/>
  <c r="D511" i="2"/>
  <c r="B1497" i="2"/>
  <c r="C1497" i="2" s="1"/>
  <c r="B1549" i="2"/>
  <c r="C1549" i="2" s="1"/>
  <c r="B106" i="2"/>
  <c r="C106" i="2" s="1"/>
  <c r="B637" i="2"/>
  <c r="C637" i="2" s="1"/>
  <c r="D1770" i="2"/>
  <c r="D1045" i="2"/>
  <c r="B746" i="2"/>
  <c r="C746" i="2" s="1"/>
  <c r="D394" i="2"/>
  <c r="B1838" i="2"/>
  <c r="C1838" i="2" s="1"/>
  <c r="D1752" i="2"/>
  <c r="B920" i="2"/>
  <c r="C920" i="2" s="1"/>
  <c r="D1133" i="2"/>
  <c r="B1384" i="2"/>
  <c r="C1384" i="2" s="1"/>
  <c r="D1535" i="2"/>
  <c r="D97" i="2"/>
  <c r="B252" i="2"/>
  <c r="C252" i="2" s="1"/>
  <c r="D699" i="2"/>
  <c r="B1550" i="2"/>
  <c r="C1550" i="2" s="1"/>
  <c r="B1810" i="2"/>
  <c r="C1810" i="2" s="1"/>
  <c r="B237" i="2"/>
  <c r="C237" i="2" s="1"/>
  <c r="B1326" i="2"/>
  <c r="C1326" i="2" s="1"/>
  <c r="D1467" i="2"/>
  <c r="B82" i="2"/>
  <c r="C82" i="2" s="1"/>
  <c r="D1702" i="2"/>
  <c r="B1119" i="2"/>
  <c r="C1119" i="2" s="1"/>
  <c r="B450" i="2"/>
  <c r="C450" i="2" s="1"/>
  <c r="D1533" i="2"/>
  <c r="D462" i="2"/>
  <c r="B1465" i="2"/>
  <c r="C1465" i="2" s="1"/>
  <c r="D1149" i="2"/>
  <c r="D259" i="2"/>
  <c r="D517" i="2"/>
  <c r="B1787" i="2"/>
  <c r="C1787" i="2" s="1"/>
  <c r="D1451" i="2"/>
  <c r="D846" i="2"/>
  <c r="B255" i="2"/>
  <c r="C255" i="2" s="1"/>
  <c r="B1011" i="2"/>
  <c r="C1011" i="2" s="1"/>
  <c r="B188" i="2"/>
  <c r="C188" i="2" s="1"/>
  <c r="B2111" i="2"/>
  <c r="C2111" i="2" s="1"/>
  <c r="B2100" i="2"/>
  <c r="C2100" i="2" s="1"/>
  <c r="D558" i="2"/>
  <c r="D1695" i="2"/>
  <c r="D1145" i="2"/>
  <c r="B1572" i="2"/>
  <c r="C1572" i="2" s="1"/>
  <c r="D1218" i="2"/>
  <c r="D245" i="2"/>
  <c r="D362" i="2"/>
  <c r="B699" i="2"/>
  <c r="C699" i="2" s="1"/>
  <c r="D263" i="2"/>
  <c r="D504" i="2"/>
  <c r="B443" i="2"/>
  <c r="C443" i="2" s="1"/>
  <c r="D2048" i="2"/>
  <c r="B98" i="2"/>
  <c r="C98" i="2" s="1"/>
  <c r="B1868" i="2"/>
  <c r="C1868" i="2" s="1"/>
  <c r="B1424" i="2"/>
  <c r="C1424" i="2" s="1"/>
  <c r="D929" i="2"/>
  <c r="D1208" i="2"/>
  <c r="D797" i="2"/>
  <c r="D1791" i="2"/>
  <c r="D439" i="2"/>
  <c r="B1249" i="2"/>
  <c r="C1249" i="2" s="1"/>
  <c r="B192" i="2"/>
  <c r="C192" i="2" s="1"/>
  <c r="D389" i="2"/>
  <c r="D754" i="2"/>
  <c r="D1538" i="2"/>
  <c r="D1599" i="2"/>
  <c r="B1726" i="2"/>
  <c r="C1726" i="2" s="1"/>
  <c r="D381" i="2"/>
  <c r="B1481" i="2"/>
  <c r="C1481" i="2" s="1"/>
  <c r="D1549" i="2"/>
  <c r="D2026" i="2"/>
  <c r="D1376" i="2"/>
  <c r="D1248" i="2"/>
  <c r="D380" i="2"/>
  <c r="B1647" i="2"/>
  <c r="C1647" i="2" s="1"/>
  <c r="B581" i="2"/>
  <c r="C581" i="2" s="1"/>
  <c r="D375" i="2"/>
  <c r="B767" i="2"/>
  <c r="C767" i="2" s="1"/>
  <c r="D1589" i="2"/>
  <c r="D1377" i="2"/>
  <c r="B903" i="2"/>
  <c r="C903" i="2" s="1"/>
  <c r="B198" i="2"/>
  <c r="C198" i="2" s="1"/>
  <c r="D890" i="2"/>
  <c r="D304" i="2"/>
  <c r="D2032" i="2"/>
  <c r="B1602" i="2"/>
  <c r="C1602" i="2" s="1"/>
  <c r="B103" i="2"/>
  <c r="C103" i="2" s="1"/>
  <c r="B1390" i="2"/>
  <c r="C1390" i="2" s="1"/>
  <c r="B217" i="2"/>
  <c r="C217" i="2" s="1"/>
  <c r="B1319" i="2"/>
  <c r="C1319" i="2" s="1"/>
  <c r="D308" i="2"/>
  <c r="D346" i="2"/>
  <c r="D1303" i="2"/>
  <c r="B563" i="2"/>
  <c r="C563" i="2" s="1"/>
  <c r="D820" i="2"/>
  <c r="B1304" i="2"/>
  <c r="C1304" i="2" s="1"/>
  <c r="B1665" i="2"/>
  <c r="C1665" i="2" s="1"/>
  <c r="D988" i="2"/>
  <c r="B1681" i="2"/>
  <c r="C1681" i="2" s="1"/>
  <c r="D1456" i="2"/>
  <c r="D815" i="2"/>
  <c r="B315" i="2"/>
  <c r="C315" i="2" s="1"/>
  <c r="D338" i="2"/>
  <c r="B1965" i="2"/>
  <c r="C1965" i="2" s="1"/>
  <c r="D610" i="2"/>
  <c r="D784" i="2"/>
  <c r="B1747" i="2"/>
  <c r="C1747" i="2" s="1"/>
  <c r="B1008" i="2"/>
  <c r="C1008" i="2" s="1"/>
  <c r="B1189" i="2"/>
  <c r="C1189" i="2" s="1"/>
  <c r="B1906" i="2"/>
  <c r="C1906" i="2" s="1"/>
  <c r="D818" i="2"/>
  <c r="D1307" i="2"/>
  <c r="D1071" i="2"/>
  <c r="B1010" i="2"/>
  <c r="C1010" i="2" s="1"/>
  <c r="B1736" i="2"/>
  <c r="C1736" i="2" s="1"/>
  <c r="B996" i="2"/>
  <c r="C996" i="2" s="1"/>
  <c r="B628" i="2"/>
  <c r="C628" i="2" s="1"/>
  <c r="B724" i="2"/>
  <c r="C724" i="2" s="1"/>
  <c r="B1081" i="2"/>
  <c r="C1081" i="2" s="1"/>
  <c r="D1036" i="2"/>
  <c r="B1267" i="2"/>
  <c r="C1267" i="2" s="1"/>
  <c r="B1070" i="2"/>
  <c r="C1070" i="2" s="1"/>
  <c r="B1332" i="2"/>
  <c r="C1332" i="2" s="1"/>
  <c r="B1028" i="2"/>
  <c r="C1028" i="2" s="1"/>
  <c r="B1236" i="2"/>
  <c r="C1236" i="2" s="1"/>
  <c r="B1579" i="2"/>
  <c r="C1579" i="2" s="1"/>
  <c r="D296" i="2"/>
  <c r="B1825" i="2"/>
  <c r="C1825" i="2" s="1"/>
  <c r="D993" i="2"/>
  <c r="D912" i="2"/>
  <c r="D1755" i="2"/>
  <c r="D1804" i="2"/>
  <c r="D1985" i="2"/>
  <c r="D1290" i="2"/>
  <c r="D1710" i="2"/>
  <c r="D1261" i="2"/>
  <c r="D852" i="2"/>
  <c r="D1918" i="2"/>
  <c r="D1603" i="2"/>
  <c r="B104" i="2"/>
  <c r="C104" i="2" s="1"/>
  <c r="B145" i="2"/>
  <c r="C145" i="2" s="1"/>
  <c r="B278" i="2"/>
  <c r="C278" i="2" s="1"/>
  <c r="B1217" i="2"/>
  <c r="C1217" i="2" s="1"/>
  <c r="B1461" i="2"/>
  <c r="C1461" i="2" s="1"/>
  <c r="D1927" i="2"/>
  <c r="D469" i="2"/>
  <c r="D283" i="2"/>
  <c r="D1240" i="2"/>
  <c r="B2130" i="2"/>
  <c r="C2130" i="2" s="1"/>
  <c r="D1571" i="2"/>
  <c r="D366" i="2"/>
  <c r="B477" i="2"/>
  <c r="C477" i="2" s="1"/>
  <c r="D1017" i="2"/>
  <c r="D2131" i="2"/>
  <c r="D2002" i="2"/>
  <c r="D1865" i="2"/>
  <c r="D2016" i="2"/>
  <c r="D491" i="2"/>
  <c r="D1132" i="2"/>
  <c r="B929" i="2"/>
  <c r="C929" i="2" s="1"/>
  <c r="D1117" i="2"/>
  <c r="D1276" i="2"/>
  <c r="D640" i="2"/>
  <c r="D1610" i="2"/>
  <c r="B894" i="2"/>
  <c r="C894" i="2" s="1"/>
  <c r="D1815" i="2"/>
  <c r="D1416" i="2"/>
  <c r="B164" i="2"/>
  <c r="C164" i="2" s="1"/>
  <c r="D1091" i="2"/>
  <c r="B191" i="2"/>
  <c r="C191" i="2" s="1"/>
  <c r="B1266" i="2"/>
  <c r="C1266" i="2" s="1"/>
  <c r="D1154" i="2"/>
  <c r="D1827" i="2"/>
  <c r="B1667" i="2"/>
  <c r="C1667" i="2" s="1"/>
  <c r="B1973" i="2"/>
  <c r="C1973" i="2" s="1"/>
  <c r="B151" i="2"/>
  <c r="C151" i="2" s="1"/>
  <c r="D1184" i="2"/>
  <c r="D314" i="2"/>
  <c r="D856" i="2"/>
  <c r="B512" i="2"/>
  <c r="C512" i="2" s="1"/>
  <c r="D1912" i="2"/>
  <c r="D370" i="2"/>
  <c r="B1166" i="2"/>
  <c r="C1166" i="2" s="1"/>
  <c r="D916" i="2"/>
  <c r="D1994" i="2"/>
  <c r="D365" i="2"/>
  <c r="B1924" i="2"/>
  <c r="C1924" i="2" s="1"/>
  <c r="D337" i="2"/>
  <c r="B1774" i="2"/>
  <c r="C1774" i="2" s="1"/>
  <c r="D1952" i="2"/>
  <c r="D1020" i="2"/>
  <c r="B1919" i="2"/>
  <c r="C1919" i="2" s="1"/>
  <c r="D534" i="2"/>
  <c r="D2036" i="2"/>
  <c r="D1991" i="2"/>
  <c r="B867" i="2"/>
  <c r="C867" i="2" s="1"/>
  <c r="D149" i="2"/>
  <c r="D1358" i="2"/>
  <c r="D1993" i="2"/>
  <c r="B1032" i="2"/>
  <c r="C1032" i="2" s="1"/>
  <c r="D349" i="2"/>
  <c r="D680" i="2"/>
  <c r="B1776" i="2"/>
  <c r="C1776" i="2" s="1"/>
  <c r="D1510" i="2"/>
  <c r="B1421" i="2"/>
  <c r="C1421" i="2" s="1"/>
  <c r="B1849" i="2"/>
  <c r="C1849" i="2" s="1"/>
  <c r="D1803" i="2"/>
  <c r="D465" i="2"/>
  <c r="B181" i="2"/>
  <c r="C181" i="2" s="1"/>
  <c r="B460" i="2"/>
  <c r="C460" i="2" s="1"/>
  <c r="B291" i="2"/>
  <c r="C291" i="2" s="1"/>
  <c r="B1063" i="2"/>
  <c r="C1063" i="2" s="1"/>
  <c r="B915" i="2"/>
  <c r="C915" i="2" s="1"/>
  <c r="D1554" i="2"/>
  <c r="B791" i="2"/>
  <c r="C791" i="2" s="1"/>
  <c r="D391" i="2"/>
  <c r="B2103" i="2"/>
  <c r="C2103" i="2" s="1"/>
  <c r="B1113" i="2"/>
  <c r="C1113" i="2" s="1"/>
  <c r="D141" i="2"/>
  <c r="D177" i="2"/>
  <c r="B743" i="2"/>
  <c r="C743" i="2" s="1"/>
  <c r="D257" i="2"/>
  <c r="D716" i="2"/>
  <c r="D1996" i="2"/>
  <c r="D630" i="2"/>
  <c r="B298" i="2"/>
  <c r="C298" i="2" s="1"/>
  <c r="B142" i="2"/>
  <c r="C142" i="2" s="1"/>
  <c r="D622" i="2"/>
  <c r="D945" i="2"/>
  <c r="D1364" i="2"/>
  <c r="B1958" i="2"/>
  <c r="C1958" i="2" s="1"/>
  <c r="B1034" i="2"/>
  <c r="C1034" i="2" s="1"/>
  <c r="B1026" i="2"/>
  <c r="C1026" i="2" s="1"/>
  <c r="B835" i="2"/>
  <c r="C835" i="2" s="1"/>
  <c r="B1279" i="2"/>
  <c r="C1279" i="2" s="1"/>
  <c r="D1819" i="2"/>
  <c r="B1894" i="2"/>
  <c r="C1894" i="2" s="1"/>
  <c r="D1278" i="2"/>
  <c r="B1458" i="2"/>
  <c r="C1458" i="2" s="1"/>
  <c r="D1836" i="2"/>
  <c r="D437" i="2"/>
  <c r="B1244" i="2"/>
  <c r="C1244" i="2" s="1"/>
  <c r="D1966" i="2"/>
  <c r="B329" i="2"/>
  <c r="C329" i="2" s="1"/>
  <c r="D1669" i="2"/>
  <c r="D780" i="2"/>
  <c r="D1015" i="2"/>
  <c r="B2004" i="2"/>
  <c r="C2004" i="2" s="1"/>
  <c r="D2037" i="2"/>
  <c r="D1231" i="2"/>
  <c r="B1945" i="2"/>
  <c r="C1945" i="2" s="1"/>
  <c r="D1958" i="2"/>
  <c r="B1536" i="2"/>
  <c r="C1536" i="2" s="1"/>
  <c r="B1376" i="2"/>
  <c r="C1376" i="2" s="1"/>
  <c r="B577" i="2"/>
  <c r="C577" i="2" s="1"/>
  <c r="B1859" i="2"/>
  <c r="C1859" i="2" s="1"/>
  <c r="D1555" i="2"/>
  <c r="D368" i="2"/>
  <c r="D463" i="2"/>
  <c r="D1484" i="2"/>
  <c r="D1637" i="2"/>
  <c r="D455" i="2"/>
  <c r="D1395" i="2"/>
  <c r="D449" i="2"/>
  <c r="D1858" i="2"/>
  <c r="B1503" i="2"/>
  <c r="C1503" i="2" s="1"/>
  <c r="D1825" i="2"/>
  <c r="B223" i="2"/>
  <c r="C223" i="2" s="1"/>
  <c r="B987" i="2"/>
  <c r="C987" i="2" s="1"/>
  <c r="B1721" i="2"/>
  <c r="C1721" i="2" s="1"/>
  <c r="D509" i="2"/>
  <c r="D801" i="2"/>
  <c r="D595" i="2"/>
  <c r="D758" i="2"/>
  <c r="D1974" i="2"/>
  <c r="B458" i="2"/>
  <c r="C458" i="2" s="1"/>
  <c r="B1966" i="2"/>
  <c r="C1966" i="2" s="1"/>
  <c r="B1983" i="2"/>
  <c r="C1983" i="2" s="1"/>
  <c r="D1098" i="2"/>
  <c r="B1302" i="2"/>
  <c r="C1302" i="2" s="1"/>
  <c r="B1629" i="2"/>
  <c r="C1629" i="2" s="1"/>
  <c r="D45" i="2"/>
  <c r="B1788" i="2"/>
  <c r="C1788" i="2" s="1"/>
  <c r="D725" i="2"/>
  <c r="D161" i="2"/>
  <c r="D2020" i="2"/>
  <c r="B584" i="2"/>
  <c r="C584" i="2" s="1"/>
  <c r="D1178" i="2"/>
  <c r="B1630" i="2"/>
  <c r="C1630" i="2" s="1"/>
  <c r="B1712" i="2"/>
  <c r="C1712" i="2" s="1"/>
  <c r="B1444" i="2"/>
  <c r="C1444" i="2" s="1"/>
  <c r="D1496" i="2"/>
  <c r="B1175" i="2"/>
  <c r="C1175" i="2" s="1"/>
  <c r="B710" i="2"/>
  <c r="C710" i="2" s="1"/>
  <c r="D301" i="2"/>
  <c r="B827" i="2"/>
  <c r="C827" i="2" s="1"/>
  <c r="B742" i="2"/>
  <c r="C742" i="2" s="1"/>
  <c r="D1441" i="2"/>
  <c r="B1322" i="2"/>
  <c r="C1322" i="2" s="1"/>
  <c r="B886" i="2"/>
  <c r="C886" i="2" s="1"/>
  <c r="B776" i="2"/>
  <c r="C776" i="2" s="1"/>
  <c r="D616" i="2"/>
  <c r="D1847" i="2"/>
  <c r="B617" i="2"/>
  <c r="C617" i="2" s="1"/>
  <c r="D1931" i="2"/>
  <c r="D896" i="2"/>
  <c r="D1099" i="2"/>
  <c r="D1903" i="2"/>
  <c r="B243" i="2"/>
  <c r="C243" i="2" s="1"/>
  <c r="B422" i="2"/>
  <c r="C422" i="2" s="1"/>
  <c r="B722" i="2"/>
  <c r="C722" i="2" s="1"/>
  <c r="D1006" i="2"/>
  <c r="B1782" i="2"/>
  <c r="C1782" i="2" s="1"/>
  <c r="B1172" i="2"/>
  <c r="C1172" i="2" s="1"/>
  <c r="D1511" i="2"/>
  <c r="D1724" i="2"/>
  <c r="D473" i="2"/>
  <c r="D1109" i="2"/>
  <c r="D617" i="2"/>
  <c r="B1492" i="2"/>
  <c r="C1492" i="2" s="1"/>
  <c r="D690" i="2"/>
  <c r="B494" i="2"/>
  <c r="C494" i="2" s="1"/>
  <c r="B1121" i="2"/>
  <c r="C1121" i="2" s="1"/>
  <c r="D681" i="2"/>
  <c r="B598" i="2"/>
  <c r="C598" i="2" s="1"/>
  <c r="D1999" i="2"/>
  <c r="D1115" i="2"/>
  <c r="B307" i="2"/>
  <c r="C307" i="2" s="1"/>
  <c r="B1625" i="2"/>
  <c r="C1625" i="2" s="1"/>
  <c r="D587" i="2"/>
  <c r="B1605" i="2"/>
  <c r="C1605" i="2" s="1"/>
  <c r="B1700" i="2"/>
  <c r="C1700" i="2" s="1"/>
  <c r="B489" i="2"/>
  <c r="C489" i="2" s="1"/>
  <c r="D724" i="2"/>
  <c r="D1682" i="2"/>
  <c r="D1843" i="2"/>
  <c r="O1530" i="2"/>
  <c r="P1530" i="2" s="1"/>
  <c r="D1384" i="2"/>
  <c r="D1863" i="2"/>
  <c r="B1442" i="2"/>
  <c r="C1442" i="2" s="1"/>
  <c r="D2005" i="2"/>
  <c r="B1578" i="2"/>
  <c r="C1578" i="2" s="1"/>
  <c r="B1252" i="2"/>
  <c r="C1252" i="2" s="1"/>
  <c r="B381" i="2"/>
  <c r="C381" i="2" s="1"/>
  <c r="B1145" i="2"/>
  <c r="C1145" i="2" s="1"/>
  <c r="D1069" i="2"/>
  <c r="B636" i="2"/>
  <c r="C636" i="2" s="1"/>
  <c r="D1640" i="2"/>
  <c r="B862" i="2"/>
  <c r="C862" i="2" s="1"/>
  <c r="B469" i="2"/>
  <c r="C469" i="2" s="1"/>
  <c r="D1122" i="2"/>
  <c r="D1767" i="2"/>
  <c r="D1916" i="2"/>
  <c r="B754" i="2"/>
  <c r="C754" i="2" s="1"/>
  <c r="D328" i="2"/>
  <c r="D559" i="2"/>
  <c r="D1299" i="2"/>
  <c r="D1257" i="2"/>
  <c r="B1490" i="2"/>
  <c r="C1490" i="2" s="1"/>
  <c r="B1323" i="2"/>
  <c r="C1323" i="2" s="1"/>
  <c r="D1295" i="2"/>
  <c r="D1004" i="2"/>
  <c r="D1517" i="2"/>
  <c r="B1856" i="2"/>
  <c r="C1856" i="2" s="1"/>
  <c r="D519" i="2"/>
  <c r="O1705" i="2"/>
  <c r="P1705" i="2" s="1"/>
  <c r="R1705" i="2" s="1"/>
  <c r="U1705" i="2" s="1"/>
  <c r="B946" i="2"/>
  <c r="C946" i="2" s="1"/>
  <c r="D383" i="2"/>
  <c r="B1871" i="2"/>
  <c r="C1871" i="2" s="1"/>
  <c r="B669" i="2"/>
  <c r="C669" i="2" s="1"/>
  <c r="D1264" i="2"/>
  <c r="D409" i="2"/>
  <c r="D554" i="2"/>
  <c r="D1834" i="2"/>
  <c r="B1310" i="2"/>
  <c r="C1310" i="2" s="1"/>
  <c r="D1043" i="2"/>
  <c r="B1888" i="2"/>
  <c r="C1888" i="2" s="1"/>
  <c r="D1595" i="2"/>
  <c r="D1369" i="2"/>
  <c r="B2025" i="2"/>
  <c r="C2025" i="2" s="1"/>
  <c r="B646" i="2"/>
  <c r="C646" i="2" s="1"/>
  <c r="D1277" i="2"/>
  <c r="D1871" i="2"/>
  <c r="B368" i="2"/>
  <c r="C368" i="2" s="1"/>
  <c r="B1946" i="2"/>
  <c r="C1946" i="2" s="1"/>
  <c r="D1270" i="2"/>
  <c r="D384" i="2"/>
  <c r="D953" i="2"/>
  <c r="B1095" i="2"/>
  <c r="C1095" i="2" s="1"/>
  <c r="D267" i="2"/>
  <c r="D1491" i="2"/>
  <c r="D1718" i="2"/>
  <c r="D1986" i="2"/>
  <c r="B1292" i="2"/>
  <c r="C1292" i="2" s="1"/>
  <c r="B1200" i="2"/>
  <c r="C1200" i="2" s="1"/>
  <c r="D807" i="2"/>
  <c r="D1448" i="2"/>
  <c r="D399" i="2"/>
  <c r="D1361" i="2"/>
  <c r="D1944" i="2"/>
  <c r="B1284" i="2"/>
  <c r="C1284" i="2" s="1"/>
  <c r="D850" i="2"/>
  <c r="B705" i="2"/>
  <c r="C705" i="2" s="1"/>
  <c r="D194" i="2"/>
  <c r="D706" i="2"/>
  <c r="D501" i="2"/>
  <c r="D1189" i="2"/>
  <c r="B1388" i="2"/>
  <c r="C1388" i="2" s="1"/>
  <c r="B148" i="2"/>
  <c r="C148" i="2" s="1"/>
  <c r="B552" i="2"/>
  <c r="C552" i="2" s="1"/>
  <c r="B1921" i="2"/>
  <c r="C1921" i="2" s="1"/>
  <c r="D2100" i="2"/>
  <c r="B1978" i="2"/>
  <c r="C1978" i="2" s="1"/>
  <c r="B1094" i="2"/>
  <c r="C1094" i="2" s="1"/>
  <c r="B92" i="2"/>
  <c r="C92" i="2" s="1"/>
  <c r="D1157" i="2"/>
  <c r="D235" i="2"/>
  <c r="B925" i="2"/>
  <c r="C925" i="2" s="1"/>
  <c r="B576" i="2"/>
  <c r="C576" i="2" s="1"/>
  <c r="B1062" i="2"/>
  <c r="C1062" i="2" s="1"/>
  <c r="D666" i="2"/>
  <c r="B476" i="2"/>
  <c r="C476" i="2" s="1"/>
  <c r="B1862" i="2"/>
  <c r="C1862" i="2" s="1"/>
  <c r="D1284" i="2"/>
  <c r="D1321" i="2"/>
  <c r="D974" i="2"/>
  <c r="D717" i="2"/>
  <c r="D376" i="2"/>
  <c r="B1600" i="2"/>
  <c r="C1600" i="2" s="1"/>
  <c r="B1640" i="2"/>
  <c r="C1640" i="2" s="1"/>
  <c r="D986" i="2"/>
  <c r="D1327" i="2"/>
  <c r="B585" i="2"/>
  <c r="C585" i="2" s="1"/>
  <c r="D911" i="2"/>
  <c r="B1123" i="2"/>
  <c r="C1123" i="2" s="1"/>
  <c r="D563" i="2"/>
  <c r="D101" i="2"/>
  <c r="B1242" i="2"/>
  <c r="C1242" i="2" s="1"/>
  <c r="B1598" i="2"/>
  <c r="C1598" i="2" s="1"/>
  <c r="D425" i="2"/>
  <c r="B2033" i="2"/>
  <c r="C2033" i="2" s="1"/>
  <c r="D615" i="2"/>
  <c r="B1914" i="2"/>
  <c r="C1914" i="2" s="1"/>
  <c r="D192" i="2"/>
  <c r="D1716" i="2"/>
  <c r="B1842" i="2"/>
  <c r="C1842" i="2" s="1"/>
  <c r="B1061" i="2"/>
  <c r="C1061" i="2" s="1"/>
  <c r="D918" i="2"/>
  <c r="D1898" i="2"/>
  <c r="D1630" i="2"/>
  <c r="B1715" i="2"/>
  <c r="C1715" i="2" s="1"/>
  <c r="B2022" i="2"/>
  <c r="C2022" i="2" s="1"/>
  <c r="D1925" i="2"/>
  <c r="B537" i="2"/>
  <c r="C537" i="2" s="1"/>
  <c r="D1743" i="2"/>
  <c r="B1853" i="2"/>
  <c r="C1853" i="2" s="1"/>
  <c r="D928" i="2"/>
  <c r="B1174" i="2"/>
  <c r="C1174" i="2" s="1"/>
  <c r="B1233" i="2"/>
  <c r="C1233" i="2" s="1"/>
  <c r="B1657" i="2"/>
  <c r="C1657" i="2" s="1"/>
  <c r="B908" i="2"/>
  <c r="C908" i="2" s="1"/>
  <c r="B1049" i="2"/>
  <c r="C1049" i="2" s="1"/>
  <c r="B1187" i="2"/>
  <c r="C1187" i="2" s="1"/>
  <c r="D1956" i="2"/>
  <c r="D290" i="2"/>
  <c r="B640" i="2"/>
  <c r="C640" i="2" s="1"/>
  <c r="B1224" i="2"/>
  <c r="C1224" i="2" s="1"/>
  <c r="B1238" i="2"/>
  <c r="C1238" i="2" s="1"/>
  <c r="D1771" i="2"/>
  <c r="D1118" i="2"/>
  <c r="B680" i="2"/>
  <c r="C680" i="2" s="1"/>
  <c r="B1435" i="2"/>
  <c r="C1435" i="2" s="1"/>
  <c r="D242" i="2"/>
  <c r="B466" i="2"/>
  <c r="C466" i="2" s="1"/>
  <c r="D1166" i="2"/>
  <c r="D90" i="2"/>
  <c r="B1371" i="2"/>
  <c r="C1371" i="2" s="1"/>
  <c r="B1436" i="2"/>
  <c r="C1436" i="2" s="1"/>
  <c r="B1348" i="2"/>
  <c r="C1348" i="2" s="1"/>
  <c r="B1272" i="2"/>
  <c r="C1272" i="2" s="1"/>
  <c r="B2059" i="2"/>
  <c r="C2059" i="2" s="1"/>
  <c r="D1889" i="2"/>
  <c r="D674" i="2"/>
  <c r="B1248" i="2"/>
  <c r="C1248" i="2" s="1"/>
  <c r="D44" i="2"/>
  <c r="D705" i="2"/>
  <c r="B1447" i="2"/>
  <c r="C1447" i="2" s="1"/>
  <c r="D719" i="2"/>
  <c r="D685" i="2"/>
  <c r="B267" i="2"/>
  <c r="C267" i="2" s="1"/>
  <c r="D127" i="2"/>
  <c r="D2050" i="2"/>
  <c r="B232" i="2"/>
  <c r="C232" i="2" s="1"/>
  <c r="D1393" i="2"/>
  <c r="D1661" i="2"/>
  <c r="B320" i="2"/>
  <c r="C320" i="2" s="1"/>
  <c r="B823" i="2"/>
  <c r="C823" i="2" s="1"/>
  <c r="D73" i="2"/>
  <c r="B1934" i="2"/>
  <c r="C1934" i="2" s="1"/>
  <c r="B1641" i="2"/>
  <c r="C1641" i="2" s="1"/>
  <c r="B679" i="2"/>
  <c r="C679" i="2" s="1"/>
  <c r="B1981" i="2"/>
  <c r="C1981" i="2" s="1"/>
  <c r="D645" i="2"/>
  <c r="D1436" i="2"/>
  <c r="D1454" i="2"/>
  <c r="B665" i="2"/>
  <c r="C665" i="2" s="1"/>
  <c r="B919" i="2"/>
  <c r="C919" i="2" s="1"/>
  <c r="B309" i="2"/>
  <c r="C309" i="2" s="1"/>
  <c r="B882" i="2"/>
  <c r="C882" i="2" s="1"/>
  <c r="D1864" i="2"/>
  <c r="B1604" i="2"/>
  <c r="C1604" i="2" s="1"/>
  <c r="D1933" i="2"/>
  <c r="B454" i="2"/>
  <c r="C454" i="2" s="1"/>
  <c r="D971" i="2"/>
  <c r="D901" i="2"/>
  <c r="B1939" i="2"/>
  <c r="C1939" i="2" s="1"/>
  <c r="B1661" i="2"/>
  <c r="C1661" i="2" s="1"/>
  <c r="D966" i="2"/>
  <c r="D1880" i="2"/>
  <c r="B111" i="2"/>
  <c r="C111" i="2" s="1"/>
  <c r="B1678" i="2"/>
  <c r="C1678" i="2" s="1"/>
  <c r="D739" i="2"/>
  <c r="B1745" i="2"/>
  <c r="C1745" i="2" s="1"/>
  <c r="D1417" i="2"/>
  <c r="B101" i="2"/>
  <c r="C101" i="2" s="1"/>
  <c r="D1347" i="2"/>
  <c r="D723" i="2"/>
  <c r="D1073" i="2"/>
  <c r="D566" i="2"/>
  <c r="B1352" i="2"/>
  <c r="C1352" i="2" s="1"/>
  <c r="D1607" i="2"/>
  <c r="B1913" i="2"/>
  <c r="C1913" i="2" s="1"/>
  <c r="D1845" i="2"/>
  <c r="D2028" i="2"/>
  <c r="D603" i="2"/>
  <c r="B759" i="2"/>
  <c r="C759" i="2" s="1"/>
  <c r="D691" i="2"/>
  <c r="D1355" i="2"/>
  <c r="B1743" i="2"/>
  <c r="C1743" i="2" s="1"/>
  <c r="D1961" i="2"/>
  <c r="B1777" i="2"/>
  <c r="C1777" i="2" s="1"/>
  <c r="D1193" i="2"/>
  <c r="B785" i="2"/>
  <c r="C785" i="2" s="1"/>
  <c r="D1047" i="2"/>
  <c r="D203" i="2"/>
  <c r="B1100" i="2"/>
  <c r="C1100" i="2" s="1"/>
  <c r="D1820" i="2"/>
  <c r="B1617" i="2"/>
  <c r="C1617" i="2" s="1"/>
  <c r="D367" i="2"/>
  <c r="B196" i="2"/>
  <c r="C196" i="2" s="1"/>
  <c r="D1372" i="2"/>
  <c r="D218" i="2"/>
  <c r="B1222" i="2"/>
  <c r="C1222" i="2" s="1"/>
  <c r="B879" i="2"/>
  <c r="C879" i="2" s="1"/>
  <c r="D1123" i="2"/>
  <c r="D613" i="2"/>
  <c r="D766" i="2"/>
  <c r="D217" i="2"/>
  <c r="D877" i="2"/>
  <c r="D1552" i="2"/>
  <c r="B1942" i="2"/>
  <c r="C1942" i="2" s="1"/>
  <c r="B1673" i="2"/>
  <c r="C1673" i="2" s="1"/>
  <c r="B462" i="2"/>
  <c r="C462" i="2" s="1"/>
  <c r="B704" i="2"/>
  <c r="C704" i="2" s="1"/>
  <c r="B1494" i="2"/>
  <c r="C1494" i="2" s="1"/>
  <c r="B739" i="2"/>
  <c r="C739" i="2" s="1"/>
  <c r="D417" i="2"/>
  <c r="B1129" i="2"/>
  <c r="C1129" i="2" s="1"/>
  <c r="D1810" i="2"/>
  <c r="B578" i="2"/>
  <c r="C578" i="2" s="1"/>
  <c r="D1219" i="2"/>
  <c r="B1425" i="2"/>
  <c r="C1425" i="2" s="1"/>
  <c r="D1144" i="2"/>
  <c r="B1182" i="2"/>
  <c r="C1182" i="2" s="1"/>
  <c r="B197" i="2"/>
  <c r="C197" i="2" s="1"/>
  <c r="B50" i="2"/>
  <c r="C50" i="2" s="1"/>
  <c r="B283" i="2"/>
  <c r="C283" i="2" s="1"/>
  <c r="D1469" i="2"/>
  <c r="D1696" i="2"/>
  <c r="D684" i="2"/>
  <c r="D400" i="2"/>
  <c r="B1031" i="2"/>
  <c r="C1031" i="2" s="1"/>
  <c r="B1638" i="2"/>
  <c r="C1638" i="2" s="1"/>
  <c r="B58" i="2"/>
  <c r="C58" i="2" s="1"/>
  <c r="D867" i="2"/>
  <c r="B1420" i="2"/>
  <c r="C1420" i="2" s="1"/>
  <c r="D526" i="2"/>
  <c r="D582" i="2"/>
  <c r="D361" i="2"/>
  <c r="D858" i="2"/>
  <c r="B1909" i="2"/>
  <c r="C1909" i="2" s="1"/>
  <c r="D836" i="2"/>
  <c r="B548" i="2"/>
  <c r="C548" i="2" s="1"/>
  <c r="D933" i="2"/>
  <c r="B977" i="2"/>
  <c r="C977" i="2" s="1"/>
  <c r="D1199" i="2"/>
  <c r="D776" i="2"/>
  <c r="B1554" i="2"/>
  <c r="C1554" i="2" s="1"/>
  <c r="B1959" i="2"/>
  <c r="C1959" i="2" s="1"/>
  <c r="B481" i="2"/>
  <c r="C481" i="2" s="1"/>
  <c r="B1768" i="2"/>
  <c r="C1768" i="2" s="1"/>
  <c r="B691" i="2"/>
  <c r="C691" i="2" s="1"/>
  <c r="B430" i="2"/>
  <c r="C430" i="2" s="1"/>
  <c r="B453" i="2"/>
  <c r="C453" i="2" s="1"/>
  <c r="B1153" i="2"/>
  <c r="C1153" i="2" s="1"/>
  <c r="D862" i="2"/>
  <c r="D1653" i="2"/>
  <c r="D1563" i="2"/>
  <c r="D1926" i="2"/>
  <c r="B1967" i="2"/>
  <c r="C1967" i="2" s="1"/>
  <c r="B1953" i="2"/>
  <c r="C1953" i="2" s="1"/>
  <c r="B1196" i="2"/>
  <c r="C1196" i="2" s="1"/>
  <c r="B1454" i="2"/>
  <c r="C1454" i="2" s="1"/>
  <c r="D581" i="2"/>
  <c r="B868" i="2"/>
  <c r="C868" i="2" s="1"/>
  <c r="B1018" i="2"/>
  <c r="C1018" i="2" s="1"/>
  <c r="D271" i="2"/>
  <c r="B762" i="2"/>
  <c r="C762" i="2" s="1"/>
  <c r="B96" i="2"/>
  <c r="C96" i="2" s="1"/>
  <c r="D255" i="2"/>
  <c r="D1757" i="2"/>
  <c r="B2042" i="2"/>
  <c r="C2042" i="2" s="1"/>
  <c r="D1453" i="2"/>
  <c r="D1428" i="2"/>
  <c r="B129" i="2"/>
  <c r="C129" i="2" s="1"/>
  <c r="D416" i="2"/>
  <c r="B1646" i="2"/>
  <c r="C1646" i="2" s="1"/>
  <c r="B2124" i="2"/>
  <c r="C2124" i="2" s="1"/>
  <c r="B335" i="2"/>
  <c r="C335" i="2" s="1"/>
  <c r="D176" i="2"/>
  <c r="B1165" i="2"/>
  <c r="C1165" i="2" s="1"/>
  <c r="D983" i="2"/>
  <c r="B119" i="2"/>
  <c r="C119" i="2" s="1"/>
  <c r="D1714" i="2"/>
  <c r="D575" i="2"/>
  <c r="B1795" i="2"/>
  <c r="C1795" i="2" s="1"/>
  <c r="D1821" i="2"/>
  <c r="B478" i="2"/>
  <c r="C478" i="2" s="1"/>
  <c r="B1704" i="2"/>
  <c r="C1704" i="2" s="1"/>
  <c r="B1403" i="2"/>
  <c r="C1403" i="2" s="1"/>
  <c r="D1288" i="2"/>
  <c r="B745" i="2"/>
  <c r="C745" i="2" s="1"/>
  <c r="D172" i="2"/>
  <c r="D751" i="2"/>
  <c r="D765" i="2"/>
  <c r="B819" i="2"/>
  <c r="C819" i="2" s="1"/>
  <c r="D1204" i="2"/>
  <c r="B1090" i="2"/>
  <c r="C1090" i="2" s="1"/>
  <c r="B1591" i="2"/>
  <c r="C1591" i="2" s="1"/>
  <c r="B1205" i="2"/>
  <c r="C1205" i="2" s="1"/>
  <c r="D1153" i="2"/>
  <c r="D999" i="2"/>
  <c r="B1141" i="2"/>
  <c r="C1141" i="2" s="1"/>
  <c r="D1082" i="2"/>
  <c r="D1908" i="2"/>
  <c r="D433" i="2"/>
  <c r="B1241" i="2"/>
  <c r="C1241" i="2" s="1"/>
  <c r="D741" i="2"/>
  <c r="D236" i="2"/>
  <c r="B1137" i="2"/>
  <c r="C1137" i="2" s="1"/>
  <c r="D1038" i="2"/>
  <c r="B1927" i="2"/>
  <c r="C1927" i="2" s="1"/>
  <c r="B610" i="2"/>
  <c r="C610" i="2" s="1"/>
  <c r="D1615" i="2"/>
  <c r="B2061" i="2"/>
  <c r="C2061" i="2" s="1"/>
  <c r="B1098" i="2"/>
  <c r="C1098" i="2" s="1"/>
  <c r="B1368" i="2"/>
  <c r="C1368" i="2" s="1"/>
  <c r="B876" i="2"/>
  <c r="C876" i="2" s="1"/>
  <c r="D468" i="2"/>
  <c r="D461" i="2"/>
  <c r="B1910" i="2"/>
  <c r="C1910" i="2" s="1"/>
  <c r="B756" i="2"/>
  <c r="C756" i="2" s="1"/>
  <c r="D505" i="2"/>
  <c r="B1620" i="2"/>
  <c r="C1620" i="2" s="1"/>
  <c r="D2058" i="2"/>
  <c r="D1249" i="2"/>
  <c r="B1298" i="2"/>
  <c r="C1298" i="2" s="1"/>
  <c r="D1120" i="2"/>
  <c r="D694" i="2"/>
  <c r="D1316" i="2"/>
  <c r="D275" i="2"/>
  <c r="D178" i="2"/>
  <c r="D1351" i="2"/>
  <c r="D942" i="2"/>
  <c r="B152" i="2"/>
  <c r="C152" i="2" s="1"/>
  <c r="B235" i="2"/>
  <c r="C235" i="2" s="1"/>
  <c r="D700" i="2"/>
  <c r="B650" i="2"/>
  <c r="C650" i="2" s="1"/>
  <c r="B597" i="2"/>
  <c r="C597" i="2" s="1"/>
  <c r="B1956" i="2"/>
  <c r="C1956" i="2" s="1"/>
  <c r="B807" i="2"/>
  <c r="C807" i="2" s="1"/>
  <c r="D623" i="2"/>
  <c r="D200" i="2"/>
  <c r="B675" i="2"/>
  <c r="C675" i="2" s="1"/>
  <c r="D152" i="2"/>
  <c r="B393" i="2"/>
  <c r="C393" i="2" s="1"/>
  <c r="B1232" i="2"/>
  <c r="C1232" i="2" s="1"/>
  <c r="D844" i="2"/>
  <c r="B1556" i="2"/>
  <c r="C1556" i="2" s="1"/>
  <c r="B1749" i="2"/>
  <c r="C1749" i="2" s="1"/>
  <c r="D1787" i="2"/>
  <c r="B238" i="2"/>
  <c r="C238" i="2" s="1"/>
  <c r="B688" i="2"/>
  <c r="C688" i="2" s="1"/>
  <c r="B911" i="2"/>
  <c r="C911" i="2" s="1"/>
  <c r="D1104" i="2"/>
  <c r="B1863" i="2"/>
  <c r="C1863" i="2" s="1"/>
  <c r="D1493" i="2"/>
  <c r="D1312" i="2"/>
  <c r="B116" i="2"/>
  <c r="C116" i="2" s="1"/>
  <c r="D311" i="2"/>
  <c r="D472" i="2"/>
  <c r="D229" i="2"/>
  <c r="B262" i="2"/>
  <c r="C262" i="2" s="1"/>
  <c r="B648" i="2"/>
  <c r="C648" i="2" s="1"/>
  <c r="B1208" i="2"/>
  <c r="C1208" i="2" s="1"/>
  <c r="D220" i="2"/>
  <c r="B974" i="2"/>
  <c r="C974" i="2" s="1"/>
  <c r="B99" i="2"/>
  <c r="C99" i="2" s="1"/>
  <c r="D1174" i="2"/>
  <c r="D1856" i="2"/>
  <c r="D746" i="2"/>
  <c r="B971" i="2"/>
  <c r="C971" i="2" s="1"/>
  <c r="B2014" i="2"/>
  <c r="C2014" i="2" s="1"/>
  <c r="D726" i="2"/>
  <c r="D799" i="2"/>
  <c r="D859" i="2"/>
  <c r="B864" i="2"/>
  <c r="C864" i="2" s="1"/>
  <c r="B970" i="2"/>
  <c r="C970" i="2" s="1"/>
  <c r="B305" i="2"/>
  <c r="C305" i="2" s="1"/>
  <c r="B1938" i="2"/>
  <c r="C1938" i="2" s="1"/>
  <c r="D1947" i="2"/>
  <c r="B1836" i="2"/>
  <c r="C1836" i="2" s="1"/>
  <c r="D212" i="2"/>
  <c r="D336" i="2"/>
  <c r="B958" i="2"/>
  <c r="C958" i="2" s="1"/>
  <c r="B324" i="2"/>
  <c r="C324" i="2" s="1"/>
  <c r="D474" i="2"/>
  <c r="D747" i="2"/>
  <c r="B282" i="2"/>
  <c r="C282" i="2" s="1"/>
  <c r="D404" i="2"/>
  <c r="D775" i="2"/>
  <c r="D2101" i="2"/>
  <c r="B1369" i="2"/>
  <c r="C1369" i="2" s="1"/>
  <c r="B1155" i="2"/>
  <c r="C1155" i="2" s="1"/>
  <c r="B455" i="2"/>
  <c r="C455" i="2" s="1"/>
  <c r="D1266" i="2"/>
  <c r="B1258" i="2"/>
  <c r="C1258" i="2" s="1"/>
  <c r="D1401" i="2"/>
  <c r="D148" i="2"/>
  <c r="D252" i="2"/>
  <c r="B513" i="2"/>
  <c r="C513" i="2" s="1"/>
  <c r="D382" i="2"/>
  <c r="B815" i="2"/>
  <c r="C815" i="2" s="1"/>
  <c r="D550" i="2"/>
  <c r="D1692" i="2"/>
  <c r="D406" i="2"/>
  <c r="B1027" i="2"/>
  <c r="C1027" i="2" s="1"/>
  <c r="B1203" i="2"/>
  <c r="C1203" i="2" s="1"/>
  <c r="D1623" i="2"/>
  <c r="D1751" i="2"/>
  <c r="D669" i="2"/>
  <c r="D803" i="2"/>
  <c r="B1253" i="2"/>
  <c r="C1253" i="2" s="1"/>
  <c r="B1764" i="2"/>
  <c r="C1764" i="2" s="1"/>
  <c r="B1190" i="2"/>
  <c r="C1190" i="2" s="1"/>
  <c r="B1643" i="2"/>
  <c r="C1643" i="2" s="1"/>
  <c r="B531" i="2"/>
  <c r="C531" i="2" s="1"/>
  <c r="D1418" i="2"/>
  <c r="B1437" i="2"/>
  <c r="C1437" i="2" s="1"/>
  <c r="B801" i="2"/>
  <c r="C801" i="2" s="1"/>
  <c r="B1563" i="2"/>
  <c r="C1563" i="2" s="1"/>
  <c r="D1022" i="2"/>
  <c r="D1421" i="2"/>
  <c r="D1352" i="2"/>
  <c r="B2070" i="2"/>
  <c r="C2070" i="2" s="1"/>
  <c r="D1762" i="2"/>
  <c r="D1432" i="2"/>
  <c r="B559" i="2"/>
  <c r="C559" i="2" s="1"/>
  <c r="D1146" i="2"/>
  <c r="D75" i="2"/>
  <c r="B968" i="2"/>
  <c r="C968" i="2" s="1"/>
  <c r="B619" i="2"/>
  <c r="C619" i="2" s="1"/>
  <c r="B1381" i="2"/>
  <c r="C1381" i="2" s="1"/>
  <c r="D768" i="2"/>
  <c r="D773" i="2"/>
  <c r="B849" i="2"/>
  <c r="C849" i="2" s="1"/>
  <c r="D355" i="2"/>
  <c r="D598" i="2"/>
  <c r="B1652" i="2"/>
  <c r="C1652" i="2" s="1"/>
  <c r="D1766" i="2"/>
  <c r="B1817" i="2"/>
  <c r="C1817" i="2" s="1"/>
  <c r="D937" i="2"/>
  <c r="D1646" i="2"/>
  <c r="D210" i="2"/>
  <c r="B1674" i="2"/>
  <c r="C1674" i="2" s="1"/>
  <c r="B999" i="2"/>
  <c r="C999" i="2" s="1"/>
  <c r="B2066" i="2"/>
  <c r="C2066" i="2" s="1"/>
  <c r="D1725" i="2"/>
  <c r="B707" i="2"/>
  <c r="C707" i="2" s="1"/>
  <c r="D1092" i="2"/>
  <c r="B1732" i="2"/>
  <c r="C1732" i="2" s="1"/>
  <c r="B641" i="2"/>
  <c r="C641" i="2" s="1"/>
  <c r="B1300" i="2"/>
  <c r="C1300" i="2" s="1"/>
  <c r="B606" i="2"/>
  <c r="C606" i="2" s="1"/>
  <c r="B75" i="2"/>
  <c r="C75" i="2" s="1"/>
  <c r="D1817" i="2"/>
  <c r="B149" i="2"/>
  <c r="C149" i="2" s="1"/>
  <c r="D1390" i="2"/>
  <c r="D1638" i="2"/>
  <c r="B1571" i="2"/>
  <c r="C1571" i="2" s="1"/>
  <c r="B1178" i="2"/>
  <c r="C1178" i="2" s="1"/>
  <c r="B672" i="2"/>
  <c r="C672" i="2" s="1"/>
  <c r="B1498" i="2"/>
  <c r="C1498" i="2" s="1"/>
  <c r="B2003" i="2"/>
  <c r="C2003" i="2" s="1"/>
  <c r="D454" i="2"/>
  <c r="D1126" i="2"/>
  <c r="D1179" i="2"/>
  <c r="D1052" i="2"/>
  <c r="B1961" i="2"/>
  <c r="C1961" i="2" s="1"/>
  <c r="D545" i="2"/>
  <c r="D1337" i="2"/>
  <c r="B545" i="2"/>
  <c r="C545" i="2" s="1"/>
  <c r="B750" i="2"/>
  <c r="C750" i="2" s="1"/>
  <c r="B538" i="2"/>
  <c r="C538" i="2" s="1"/>
  <c r="B690" i="2"/>
  <c r="C690" i="2" s="1"/>
  <c r="D718" i="2"/>
  <c r="B1533" i="2"/>
  <c r="C1533" i="2" s="1"/>
  <c r="B94" i="2"/>
  <c r="C94" i="2" s="1"/>
  <c r="B1385" i="2"/>
  <c r="C1385" i="2" s="1"/>
  <c r="D1910" i="2"/>
  <c r="D1061" i="2"/>
  <c r="B2116" i="2"/>
  <c r="C2116" i="2" s="1"/>
  <c r="B1739" i="2"/>
  <c r="C1739" i="2" s="1"/>
  <c r="B220" i="2"/>
  <c r="C220" i="2" s="1"/>
  <c r="B1089" i="2"/>
  <c r="C1089" i="2" s="1"/>
  <c r="D344" i="2"/>
  <c r="D121" i="2"/>
  <c r="D531" i="2"/>
  <c r="D853" i="2"/>
  <c r="D1507" i="2"/>
  <c r="D1626" i="2"/>
  <c r="B421" i="2"/>
  <c r="C421" i="2" s="1"/>
  <c r="B1639" i="2"/>
  <c r="C1639" i="2" s="1"/>
  <c r="D50" i="2"/>
  <c r="D1826" i="2"/>
  <c r="D144" i="2"/>
  <c r="B522" i="2"/>
  <c r="C522" i="2" s="1"/>
  <c r="B1990" i="2"/>
  <c r="C1990" i="2" s="1"/>
  <c r="B2094" i="2"/>
  <c r="C2094" i="2" s="1"/>
  <c r="D1150" i="2"/>
  <c r="D435" i="2"/>
  <c r="B2071" i="2"/>
  <c r="C2071" i="2" s="1"/>
  <c r="D851" i="2"/>
  <c r="B1243" i="2"/>
  <c r="C1243" i="2" s="1"/>
  <c r="B1974" i="2"/>
  <c r="C1974" i="2" s="1"/>
  <c r="D522" i="2"/>
  <c r="B1504" i="2"/>
  <c r="C1504" i="2" s="1"/>
  <c r="D1415" i="2"/>
  <c r="D868" i="2"/>
  <c r="D1726" i="2"/>
  <c r="D411" i="2"/>
  <c r="D317" i="2"/>
  <c r="D1648" i="2"/>
  <c r="B360" i="2"/>
  <c r="C360" i="2" s="1"/>
  <c r="D787" i="2"/>
  <c r="B245" i="2"/>
  <c r="C245" i="2" s="1"/>
  <c r="D208" i="2"/>
  <c r="D925" i="2"/>
  <c r="B1419" i="2"/>
  <c r="C1419" i="2" s="1"/>
  <c r="D1529" i="2"/>
  <c r="D438" i="2"/>
  <c r="D604" i="2"/>
  <c r="D1314" i="2"/>
  <c r="B590" i="2"/>
  <c r="C590" i="2" s="1"/>
  <c r="B1911" i="2"/>
  <c r="C1911" i="2" s="1"/>
  <c r="B1212" i="2"/>
  <c r="C1212" i="2" s="1"/>
  <c r="B330" i="2"/>
  <c r="C330" i="2" s="1"/>
  <c r="B1989" i="2"/>
  <c r="C1989" i="2" s="1"/>
  <c r="B296" i="2"/>
  <c r="C296" i="2" s="1"/>
  <c r="D1359" i="2"/>
  <c r="D1747" i="2"/>
  <c r="B1731" i="2"/>
  <c r="C1731" i="2" s="1"/>
  <c r="D1715" i="2"/>
  <c r="B170" i="2"/>
  <c r="C170" i="2" s="1"/>
  <c r="D398" i="2"/>
  <c r="D565" i="2"/>
  <c r="D1805" i="2"/>
  <c r="D1531" i="2"/>
  <c r="D1727" i="2"/>
  <c r="B1021" i="2"/>
  <c r="C1021" i="2" s="1"/>
  <c r="B626" i="2"/>
  <c r="C626" i="2" s="1"/>
  <c r="D1203" i="2"/>
  <c r="B284" i="2"/>
  <c r="C284" i="2" s="1"/>
  <c r="D1301" i="2"/>
  <c r="B1877" i="2"/>
  <c r="C1877" i="2" s="1"/>
  <c r="D1463" i="2"/>
  <c r="D282" i="2"/>
  <c r="D1522" i="2"/>
  <c r="D1151" i="2"/>
  <c r="D913" i="2"/>
  <c r="B678" i="2"/>
  <c r="C678" i="2" s="1"/>
  <c r="B1564" i="2"/>
  <c r="C1564" i="2" s="1"/>
  <c r="B1037" i="2"/>
  <c r="C1037" i="2" s="1"/>
  <c r="B1644" i="2"/>
  <c r="C1644" i="2" s="1"/>
  <c r="D1923" i="2"/>
  <c r="B314" i="2"/>
  <c r="C314" i="2" s="1"/>
  <c r="D728" i="2"/>
  <c r="B845" i="2"/>
  <c r="C845" i="2" s="1"/>
  <c r="D1176" i="2"/>
  <c r="B1416" i="2"/>
  <c r="C1416" i="2" s="1"/>
  <c r="D1887" i="2"/>
  <c r="B797" i="2"/>
  <c r="C797" i="2" s="1"/>
  <c r="B126" i="2"/>
  <c r="C126" i="2" s="1"/>
  <c r="B1389" i="2"/>
  <c r="C1389" i="2" s="1"/>
  <c r="D964" i="2"/>
  <c r="D998" i="2"/>
  <c r="B1309" i="2"/>
  <c r="C1309" i="2" s="1"/>
  <c r="D313" i="2"/>
  <c r="B1881" i="2"/>
  <c r="C1881" i="2" s="1"/>
  <c r="B625" i="2"/>
  <c r="C625" i="2" s="1"/>
  <c r="B2040" i="2"/>
  <c r="C2040" i="2" s="1"/>
  <c r="B1404" i="2"/>
  <c r="C1404" i="2" s="1"/>
  <c r="B1453" i="2"/>
  <c r="C1453" i="2" s="1"/>
  <c r="D1659" i="2"/>
  <c r="B1370" i="2"/>
  <c r="C1370" i="2" s="1"/>
  <c r="B336" i="2"/>
  <c r="C336" i="2" s="1"/>
  <c r="D1621" i="2"/>
  <c r="D1127" i="2"/>
  <c r="D1699" i="2"/>
  <c r="D936" i="2"/>
  <c r="D54" i="2"/>
  <c r="D1775" i="2"/>
  <c r="D573" i="2"/>
  <c r="D1969" i="2"/>
  <c r="B2000" i="2"/>
  <c r="C2000" i="2" s="1"/>
  <c r="B1499" i="2"/>
  <c r="C1499" i="2" s="1"/>
  <c r="B1179" i="2"/>
  <c r="C1179" i="2" s="1"/>
  <c r="D973" i="2"/>
  <c r="D1135" i="2"/>
  <c r="D1107" i="2"/>
  <c r="B378" i="2"/>
  <c r="C378" i="2" s="1"/>
  <c r="D1854" i="2"/>
  <c r="B370" i="2"/>
  <c r="C370" i="2" s="1"/>
  <c r="B434" i="2"/>
  <c r="C434" i="2" s="1"/>
  <c r="D1281" i="2"/>
  <c r="B207" i="2"/>
  <c r="C207" i="2" s="1"/>
  <c r="D1963" i="2"/>
  <c r="D401" i="2"/>
  <c r="B1149" i="2"/>
  <c r="C1149" i="2" s="1"/>
  <c r="D894" i="2"/>
  <c r="B1943" i="2"/>
  <c r="C1943" i="2" s="1"/>
  <c r="B2078" i="2"/>
  <c r="C2078" i="2" s="1"/>
  <c r="B408" i="2"/>
  <c r="C408" i="2" s="1"/>
  <c r="B1803" i="2"/>
  <c r="C1803" i="2" s="1"/>
  <c r="B916" i="2"/>
  <c r="C916" i="2" s="1"/>
  <c r="D651" i="2"/>
  <c r="B935" i="2"/>
  <c r="C935" i="2" s="1"/>
  <c r="D378" i="2"/>
  <c r="D1606" i="2"/>
  <c r="D1930" i="2"/>
  <c r="D292" i="2"/>
  <c r="B784" i="2"/>
  <c r="C784" i="2" s="1"/>
  <c r="B448" i="2"/>
  <c r="C448" i="2" s="1"/>
  <c r="B1473" i="2"/>
  <c r="C1473" i="2" s="1"/>
  <c r="B376" i="2"/>
  <c r="C376" i="2" s="1"/>
  <c r="D180" i="2"/>
  <c r="D1635" i="2"/>
  <c r="B1408" i="2"/>
  <c r="C1408" i="2" s="1"/>
  <c r="B1770" i="2"/>
  <c r="C1770" i="2" s="1"/>
  <c r="B2039" i="2"/>
  <c r="C2039" i="2" s="1"/>
  <c r="B1937" i="2"/>
  <c r="C1937" i="2" s="1"/>
  <c r="B1762" i="2"/>
  <c r="C1762" i="2" s="1"/>
  <c r="B1044" i="2"/>
  <c r="C1044" i="2" s="1"/>
  <c r="B286" i="2"/>
  <c r="C286" i="2" s="1"/>
  <c r="D1060" i="2"/>
  <c r="B1336" i="2"/>
  <c r="C1336" i="2" s="1"/>
  <c r="D481" i="2"/>
  <c r="B1547" i="2"/>
  <c r="C1547" i="2" s="1"/>
  <c r="D1740" i="2"/>
  <c r="D599" i="2"/>
  <c r="D1665" i="2"/>
  <c r="D1306" i="2"/>
  <c r="B1271" i="2"/>
  <c r="C1271" i="2" s="1"/>
  <c r="D1628" i="2"/>
  <c r="B1285" i="2"/>
  <c r="C1285" i="2" s="1"/>
  <c r="B609" i="2"/>
  <c r="C609" i="2" s="1"/>
  <c r="D1980" i="2"/>
  <c r="B461" i="2"/>
  <c r="C461" i="2" s="1"/>
  <c r="B1142" i="2"/>
  <c r="C1142" i="2" s="1"/>
  <c r="B1487" i="2"/>
  <c r="C1487" i="2" s="1"/>
  <c r="B1082" i="2"/>
  <c r="C1082" i="2" s="1"/>
  <c r="B634" i="2"/>
  <c r="C634" i="2" s="1"/>
  <c r="B1506" i="2"/>
  <c r="C1506" i="2" s="1"/>
  <c r="D948" i="2"/>
  <c r="D1831" i="2"/>
  <c r="B789" i="2"/>
  <c r="C789" i="2" s="1"/>
  <c r="B2139" i="2"/>
  <c r="C2139" i="2" s="1"/>
  <c r="D955" i="2"/>
  <c r="B662" i="2"/>
  <c r="C662" i="2" s="1"/>
  <c r="D2107" i="2"/>
  <c r="D583" i="2"/>
  <c r="D51" i="2"/>
  <c r="B1756" i="2"/>
  <c r="C1756" i="2" s="1"/>
  <c r="D1310" i="2"/>
  <c r="B136" i="2"/>
  <c r="C136" i="2" s="1"/>
  <c r="B1920" i="2"/>
  <c r="C1920" i="2" s="1"/>
  <c r="D1461" i="2"/>
  <c r="B550" i="2"/>
  <c r="C550" i="2" s="1"/>
  <c r="D256" i="2"/>
  <c r="B193" i="2"/>
  <c r="C193" i="2" s="1"/>
  <c r="D1090" i="2"/>
  <c r="B969" i="2"/>
  <c r="C969" i="2" s="1"/>
  <c r="D578" i="2"/>
  <c r="B786" i="2"/>
  <c r="C786" i="2" s="1"/>
  <c r="B124" i="2"/>
  <c r="C124" i="2" s="1"/>
  <c r="B822" i="2"/>
  <c r="C822" i="2" s="1"/>
  <c r="D1079" i="2"/>
  <c r="D2078" i="2"/>
  <c r="B943" i="2"/>
  <c r="C943" i="2" s="1"/>
  <c r="D1340" i="2"/>
  <c r="D1225" i="2"/>
  <c r="B1530" i="2"/>
  <c r="C1530" i="2" s="1"/>
  <c r="B771" i="2"/>
  <c r="C771" i="2" s="1"/>
  <c r="B1576" i="2"/>
  <c r="C1576" i="2" s="1"/>
  <c r="D1237" i="2"/>
  <c r="B1058" i="2"/>
  <c r="C1058" i="2" s="1"/>
  <c r="D536" i="2"/>
  <c r="D1186" i="2"/>
  <c r="D731" i="2"/>
  <c r="B1320" i="2"/>
  <c r="C1320" i="2" s="1"/>
  <c r="B990" i="2"/>
  <c r="C990" i="2" s="1"/>
  <c r="D917" i="2"/>
  <c r="B953" i="2"/>
  <c r="C953" i="2" s="1"/>
  <c r="D258" i="2"/>
  <c r="D1508" i="2"/>
  <c r="B544" i="2"/>
  <c r="C544" i="2" s="1"/>
  <c r="B1900" i="2"/>
  <c r="C1900" i="2" s="1"/>
  <c r="D1121" i="2"/>
  <c r="D1620" i="2"/>
  <c r="B258" i="2"/>
  <c r="C258" i="2" s="1"/>
  <c r="B418" i="2"/>
  <c r="C418" i="2" s="1"/>
  <c r="D1883" i="2"/>
  <c r="D1838" i="2"/>
  <c r="B1085" i="2"/>
  <c r="C1085" i="2" s="1"/>
  <c r="D882" i="2"/>
  <c r="B1185" i="2"/>
  <c r="C1185" i="2" s="1"/>
  <c r="D1081" i="2"/>
  <c r="B1088" i="2"/>
  <c r="C1088" i="2" s="1"/>
  <c r="B511" i="2"/>
  <c r="C511" i="2" s="1"/>
  <c r="B2027" i="2"/>
  <c r="C2027" i="2" s="1"/>
  <c r="D1707" i="2"/>
  <c r="D875" i="2"/>
  <c r="D1490" i="2"/>
  <c r="B1542" i="2"/>
  <c r="C1542" i="2" s="1"/>
  <c r="D1913" i="2"/>
  <c r="D710" i="2"/>
  <c r="D660" i="2"/>
  <c r="B246" i="2"/>
  <c r="C246" i="2" s="1"/>
  <c r="D1494" i="2"/>
  <c r="D737" i="2"/>
  <c r="B2001" i="2"/>
  <c r="C2001" i="2" s="1"/>
  <c r="D982" i="2"/>
  <c r="B1664" i="2"/>
  <c r="C1664" i="2" s="1"/>
  <c r="D1798" i="2"/>
  <c r="D633" i="2"/>
  <c r="B1926" i="2"/>
  <c r="C1926" i="2" s="1"/>
  <c r="D95" i="2"/>
  <c r="B1347" i="2"/>
  <c r="C1347" i="2" s="1"/>
  <c r="D944" i="2"/>
  <c r="B253" i="2"/>
  <c r="C253" i="2" s="1"/>
  <c r="D1140" i="2"/>
  <c r="D880" i="2"/>
  <c r="B1880" i="2"/>
  <c r="C1880" i="2" s="1"/>
  <c r="D1896" i="2"/>
  <c r="D1570" i="2"/>
  <c r="B380" i="2"/>
  <c r="C380" i="2" s="1"/>
  <c r="D1976" i="2"/>
  <c r="B1952" i="2"/>
  <c r="C1952" i="2" s="1"/>
  <c r="D1101" i="2"/>
  <c r="B1452" i="2"/>
  <c r="C1452" i="2" s="1"/>
  <c r="D1967" i="2"/>
  <c r="D672" i="2"/>
  <c r="D372" i="2"/>
  <c r="B615" i="2"/>
  <c r="C615" i="2" s="1"/>
  <c r="B363" i="2"/>
  <c r="C363" i="2" s="1"/>
  <c r="D1247" i="2"/>
  <c r="B464" i="2"/>
  <c r="C464" i="2" s="1"/>
  <c r="B1040" i="2"/>
  <c r="C1040" i="2" s="1"/>
  <c r="B1386" i="2"/>
  <c r="C1386" i="2" s="1"/>
  <c r="D771" i="2"/>
  <c r="B956" i="2"/>
  <c r="C956" i="2" s="1"/>
  <c r="B233" i="2"/>
  <c r="C233" i="2" s="1"/>
  <c r="D395" i="2"/>
  <c r="B323" i="2"/>
  <c r="C323" i="2" s="1"/>
  <c r="B930" i="2"/>
  <c r="C930" i="2" s="1"/>
  <c r="D483" i="2"/>
  <c r="D1811" i="2"/>
  <c r="D1033" i="2"/>
  <c r="D949" i="2"/>
  <c r="D620" i="2"/>
  <c r="D1520" i="2"/>
  <c r="D638" i="2"/>
  <c r="B881" i="2"/>
  <c r="C881" i="2" s="1"/>
  <c r="D649" i="2"/>
  <c r="D546" i="2"/>
  <c r="D281" i="2"/>
  <c r="D324" i="2"/>
  <c r="B658" i="2"/>
  <c r="C658" i="2" s="1"/>
  <c r="B960" i="2"/>
  <c r="C960" i="2" s="1"/>
  <c r="D1955" i="2"/>
  <c r="D1922" i="2"/>
  <c r="B589" i="2"/>
  <c r="C589" i="2" s="1"/>
  <c r="B1013" i="2"/>
  <c r="C1013" i="2" s="1"/>
  <c r="D561" i="2"/>
  <c r="D1857" i="2"/>
  <c r="D1097" i="2"/>
  <c r="D186" i="2"/>
  <c r="B1286" i="2"/>
  <c r="C1286" i="2" s="1"/>
  <c r="D2033" i="2"/>
  <c r="B2015" i="2"/>
  <c r="C2015" i="2" s="1"/>
  <c r="D408" i="2"/>
  <c r="D1673" i="2"/>
  <c r="B1929" i="2"/>
  <c r="C1929" i="2" s="1"/>
  <c r="D632" i="2"/>
  <c r="D1998" i="2"/>
  <c r="D1928" i="2"/>
  <c r="D1147" i="2"/>
  <c r="B470" i="2"/>
  <c r="C470" i="2" s="1"/>
  <c r="B777" i="2"/>
  <c r="C777" i="2" s="1"/>
  <c r="B834" i="2"/>
  <c r="C834" i="2" s="1"/>
  <c r="B1396" i="2"/>
  <c r="C1396" i="2" s="1"/>
  <c r="B1705" i="2"/>
  <c r="C1705" i="2" s="1"/>
  <c r="B1002" i="2"/>
  <c r="C1002" i="2" s="1"/>
  <c r="B1446" i="2"/>
  <c r="C1446" i="2" s="1"/>
  <c r="B880" i="2"/>
  <c r="C880" i="2" s="1"/>
  <c r="B1893" i="2"/>
  <c r="C1893" i="2" s="1"/>
  <c r="D711" i="2"/>
  <c r="D512" i="2"/>
  <c r="D659" i="2"/>
  <c r="B204" i="2"/>
  <c r="C204" i="2" s="1"/>
  <c r="B46" i="2"/>
  <c r="C46" i="2" s="1"/>
  <c r="B1201" i="2"/>
  <c r="C1201" i="2" s="1"/>
  <c r="D553" i="2"/>
  <c r="B1407" i="2"/>
  <c r="C1407" i="2" s="1"/>
  <c r="D600" i="2"/>
  <c r="B135" i="2"/>
  <c r="C135" i="2" s="1"/>
  <c r="D1374" i="2"/>
  <c r="B1268" i="2"/>
  <c r="C1268" i="2" s="1"/>
  <c r="D1590" i="2"/>
  <c r="B497" i="2"/>
  <c r="C497" i="2" s="1"/>
  <c r="B1682" i="2"/>
  <c r="C1682" i="2" s="1"/>
  <c r="D704" i="2"/>
  <c r="D1445" i="2"/>
  <c r="D995" i="2"/>
  <c r="D1110" i="2"/>
  <c r="B377" i="2"/>
  <c r="C377" i="2" s="1"/>
  <c r="D1424" i="2"/>
  <c r="B401" i="2"/>
  <c r="C401" i="2" s="1"/>
  <c r="B643" i="2"/>
  <c r="C643" i="2" s="1"/>
  <c r="B1474" i="2"/>
  <c r="C1474" i="2" s="1"/>
  <c r="B1616" i="2"/>
  <c r="C1616" i="2" s="1"/>
  <c r="D745" i="2"/>
  <c r="B1560" i="2"/>
  <c r="C1560" i="2" s="1"/>
  <c r="B1733" i="2"/>
  <c r="C1733" i="2" s="1"/>
  <c r="B1758" i="2"/>
  <c r="C1758" i="2" s="1"/>
  <c r="D1286" i="2"/>
  <c r="B1628" i="2"/>
  <c r="C1628" i="2" s="1"/>
  <c r="B209" i="2"/>
  <c r="C209" i="2" s="1"/>
  <c r="D1255" i="2"/>
  <c r="B601" i="2"/>
  <c r="C601" i="2" s="1"/>
  <c r="D1214" i="2"/>
  <c r="D1010" i="2"/>
  <c r="B748" i="2"/>
  <c r="C748" i="2" s="1"/>
  <c r="B1905" i="2"/>
  <c r="C1905" i="2" s="1"/>
  <c r="D1506" i="2"/>
  <c r="D873" i="2"/>
  <c r="D243" i="2"/>
  <c r="D887" i="2"/>
  <c r="B1802" i="2"/>
  <c r="C1802" i="2" s="1"/>
  <c r="B1432" i="2"/>
  <c r="C1432" i="2" s="1"/>
  <c r="B439" i="2"/>
  <c r="C439" i="2" s="1"/>
  <c r="D2025" i="2"/>
  <c r="B172" i="2"/>
  <c r="C172" i="2" s="1"/>
  <c r="B1821" i="2"/>
  <c r="C1821" i="2" s="1"/>
  <c r="D1761" i="2"/>
  <c r="B926" i="2"/>
  <c r="C926" i="2" s="1"/>
  <c r="B269" i="2"/>
  <c r="C269" i="2" s="1"/>
  <c r="B1716" i="2"/>
  <c r="C1716" i="2" s="1"/>
  <c r="D1343" i="2"/>
  <c r="B1440" i="2"/>
  <c r="C1440" i="2" s="1"/>
  <c r="D1335" i="2"/>
  <c r="B1038" i="2"/>
  <c r="C1038" i="2" s="1"/>
  <c r="B1414" i="2"/>
  <c r="C1414" i="2" s="1"/>
  <c r="B1171" i="2"/>
  <c r="C1171" i="2" s="1"/>
  <c r="B986" i="2"/>
  <c r="C986" i="2" s="1"/>
  <c r="D551" i="2"/>
  <c r="B1350" i="2"/>
  <c r="C1350" i="2" s="1"/>
  <c r="B983" i="2"/>
  <c r="C983" i="2" s="1"/>
  <c r="B128" i="2"/>
  <c r="C128" i="2" s="1"/>
  <c r="D305" i="2"/>
  <c r="B1994" i="2"/>
  <c r="C1994" i="2" s="1"/>
  <c r="B150" i="2"/>
  <c r="C150" i="2" s="1"/>
  <c r="D1600" i="2"/>
  <c r="B260" i="2"/>
  <c r="C260" i="2" s="1"/>
  <c r="D358" i="2"/>
  <c r="D322" i="2"/>
  <c r="B2115" i="2"/>
  <c r="C2115" i="2" s="1"/>
  <c r="D869" i="2"/>
  <c r="B1276" i="2"/>
  <c r="C1276" i="2" s="1"/>
  <c r="D1305" i="2"/>
  <c r="D1371" i="2"/>
  <c r="D56" i="2"/>
  <c r="B1047" i="2"/>
  <c r="C1047" i="2" s="1"/>
  <c r="B1814" i="2"/>
  <c r="C1814" i="2" s="1"/>
  <c r="B663" i="2"/>
  <c r="C663" i="2" s="1"/>
  <c r="D268" i="2"/>
  <c r="D1807" i="2"/>
  <c r="B1720" i="2"/>
  <c r="C1720" i="2" s="1"/>
  <c r="B1744" i="2"/>
  <c r="C1744" i="2" s="1"/>
  <c r="B1561" i="2"/>
  <c r="C1561" i="2" s="1"/>
  <c r="B906" i="2"/>
  <c r="C906" i="2" s="1"/>
  <c r="B901" i="2"/>
  <c r="C901" i="2" s="1"/>
  <c r="D182" i="2"/>
  <c r="B809" i="2"/>
  <c r="C809" i="2" s="1"/>
  <c r="B250" i="2"/>
  <c r="C250" i="2" s="1"/>
  <c r="D795" i="2"/>
  <c r="D233" i="2"/>
  <c r="B139" i="2"/>
  <c r="C139" i="2" s="1"/>
  <c r="B520" i="2"/>
  <c r="C520" i="2" s="1"/>
  <c r="D2014" i="2"/>
  <c r="B1216" i="2"/>
  <c r="C1216" i="2" s="1"/>
  <c r="B1950" i="2"/>
  <c r="C1950" i="2" s="1"/>
  <c r="B1501" i="2"/>
  <c r="C1501" i="2" s="1"/>
  <c r="D1717" i="2"/>
  <c r="B1699" i="2"/>
  <c r="C1699" i="2" s="1"/>
  <c r="B500" i="2"/>
  <c r="C500" i="2" s="1"/>
  <c r="D478" i="2"/>
  <c r="D865" i="2"/>
  <c r="D1822" i="2"/>
  <c r="D1423" i="2"/>
  <c r="D838" i="2"/>
  <c r="D940" i="2"/>
  <c r="D480" i="2"/>
  <c r="B1522" i="2"/>
  <c r="C1522" i="2" s="1"/>
  <c r="B1168" i="2"/>
  <c r="C1168" i="2" s="1"/>
  <c r="B1789" i="2"/>
  <c r="C1789" i="2" s="1"/>
  <c r="B749" i="2"/>
  <c r="C749" i="2" s="1"/>
  <c r="D571" i="2"/>
  <c r="B1796" i="2"/>
  <c r="C1796" i="2" s="1"/>
  <c r="D1283" i="2"/>
  <c r="D157" i="2"/>
  <c r="B1156" i="2"/>
  <c r="C1156" i="2" s="1"/>
  <c r="B256" i="2"/>
  <c r="C256" i="2" s="1"/>
  <c r="B1565" i="2"/>
  <c r="C1565" i="2" s="1"/>
  <c r="B279" i="2"/>
  <c r="C279" i="2" s="1"/>
  <c r="D1216" i="2"/>
  <c r="B769" i="2"/>
  <c r="C769" i="2" s="1"/>
  <c r="D825" i="2"/>
  <c r="B1690" i="2"/>
  <c r="C1690" i="2" s="1"/>
  <c r="B873" i="2"/>
  <c r="C873" i="2" s="1"/>
  <c r="B1019" i="2"/>
  <c r="C1019" i="2" s="1"/>
  <c r="D131" i="2"/>
  <c r="B1741" i="2"/>
  <c r="C1741" i="2" s="1"/>
  <c r="B257" i="2"/>
  <c r="C257" i="2" s="1"/>
  <c r="D967" i="2"/>
  <c r="B1568" i="2"/>
  <c r="C1568" i="2" s="1"/>
  <c r="B608" i="2"/>
  <c r="C608" i="2" s="1"/>
  <c r="D900" i="2"/>
  <c r="B1766" i="2"/>
  <c r="C1766" i="2" s="1"/>
  <c r="B659" i="2"/>
  <c r="C659" i="2" s="1"/>
  <c r="B1521" i="2"/>
  <c r="C1521" i="2" s="1"/>
  <c r="B1760" i="2"/>
  <c r="C1760" i="2" s="1"/>
  <c r="B1615" i="2"/>
  <c r="C1615" i="2" s="1"/>
  <c r="B1455" i="2"/>
  <c r="C1455" i="2" s="1"/>
  <c r="D607" i="2"/>
  <c r="D791" i="2"/>
  <c r="D117" i="2"/>
  <c r="B816" i="2"/>
  <c r="C816" i="2" s="1"/>
  <c r="B1316" i="2"/>
  <c r="C1316" i="2" s="1"/>
  <c r="B1462" i="2"/>
  <c r="C1462" i="2" s="1"/>
  <c r="B523" i="2"/>
  <c r="C523" i="2" s="1"/>
  <c r="B536" i="2"/>
  <c r="C536" i="2" s="1"/>
  <c r="B2067" i="2"/>
  <c r="C2067" i="2" s="1"/>
  <c r="B1235" i="2"/>
  <c r="C1235" i="2" s="1"/>
  <c r="D1002" i="2"/>
  <c r="B1410" i="2"/>
  <c r="C1410" i="2" s="1"/>
  <c r="D1658" i="2"/>
  <c r="D757" i="2"/>
  <c r="B775" i="2"/>
  <c r="C775" i="2" s="1"/>
  <c r="B874" i="2"/>
  <c r="C874" i="2" s="1"/>
  <c r="B339" i="2"/>
  <c r="C339" i="2" s="1"/>
  <c r="B1765" i="2"/>
  <c r="C1765" i="2" s="1"/>
  <c r="D1296" i="2"/>
  <c r="B2011" i="2"/>
  <c r="C2011" i="2" s="1"/>
  <c r="D1540" i="2"/>
  <c r="D1672" i="2"/>
  <c r="B649" i="2"/>
  <c r="C649" i="2" s="1"/>
  <c r="B138" i="2"/>
  <c r="C138" i="2" s="1"/>
  <c r="B806" i="2"/>
  <c r="C806" i="2" s="1"/>
  <c r="B515" i="2"/>
  <c r="C515" i="2" s="1"/>
  <c r="D770" i="2"/>
  <c r="D87" i="2"/>
  <c r="D81" i="2"/>
  <c r="B1264" i="2"/>
  <c r="C1264" i="2" s="1"/>
  <c r="D1429" i="2"/>
  <c r="D1732" i="2"/>
  <c r="B1259" i="2"/>
  <c r="C1259" i="2" s="1"/>
  <c r="D1953" i="2"/>
  <c r="D841" i="2"/>
  <c r="B1592" i="2"/>
  <c r="C1592" i="2" s="1"/>
  <c r="B674" i="2"/>
  <c r="C674" i="2" s="1"/>
  <c r="B449" i="2"/>
  <c r="C449" i="2" s="1"/>
  <c r="B890" i="2"/>
  <c r="C890" i="2" s="1"/>
  <c r="B842" i="2"/>
  <c r="C842" i="2" s="1"/>
  <c r="D334" i="2"/>
  <c r="D1789" i="2"/>
  <c r="B1912" i="2"/>
  <c r="C1912" i="2" s="1"/>
  <c r="B1816" i="2"/>
  <c r="C1816" i="2" s="1"/>
  <c r="D1792" i="2"/>
  <c r="B1183" i="2"/>
  <c r="C1183" i="2" s="1"/>
  <c r="B271" i="2"/>
  <c r="C271" i="2" s="1"/>
  <c r="B1318" i="2"/>
  <c r="C1318" i="2" s="1"/>
  <c r="B1767" i="2"/>
  <c r="C1767" i="2" s="1"/>
  <c r="D715" i="2"/>
  <c r="B907" i="2"/>
  <c r="C907" i="2" s="1"/>
  <c r="B1229" i="2"/>
  <c r="C1229" i="2" s="1"/>
  <c r="D958" i="2"/>
  <c r="D1077" i="2"/>
  <c r="D272" i="2"/>
  <c r="D93" i="2"/>
  <c r="B146" i="2"/>
  <c r="C146" i="2" s="1"/>
  <c r="D1155" i="2"/>
  <c r="B779" i="2"/>
  <c r="C779" i="2" s="1"/>
  <c r="D321" i="2"/>
  <c r="B1524" i="2"/>
  <c r="C1524" i="2" s="1"/>
  <c r="D1840" i="2"/>
  <c r="B1866" i="2"/>
  <c r="C1866" i="2" s="1"/>
  <c r="D1574" i="2"/>
  <c r="B828" i="2"/>
  <c r="C828" i="2" s="1"/>
  <c r="D339" i="2"/>
  <c r="B989" i="2"/>
  <c r="C989" i="2" s="1"/>
  <c r="D1062" i="2"/>
  <c r="D1516" i="2"/>
  <c r="B1543" i="2"/>
  <c r="C1543" i="2" s="1"/>
  <c r="D1078" i="2"/>
  <c r="D2102" i="2"/>
  <c r="B1341" i="2"/>
  <c r="C1341" i="2" s="1"/>
  <c r="D1032" i="2"/>
  <c r="B1621" i="2"/>
  <c r="C1621" i="2" s="1"/>
  <c r="B696" i="2"/>
  <c r="C696" i="2" s="1"/>
  <c r="B123" i="2"/>
  <c r="C123" i="2" s="1"/>
  <c r="B1879" i="2"/>
  <c r="C1879" i="2" s="1"/>
  <c r="B1923" i="2"/>
  <c r="C1923" i="2" s="1"/>
  <c r="D64" i="2"/>
  <c r="D1888" i="2"/>
  <c r="B700" i="2"/>
  <c r="C700" i="2" s="1"/>
  <c r="D185" i="2"/>
  <c r="D1528" i="2"/>
  <c r="B708" i="2"/>
  <c r="C708" i="2" s="1"/>
  <c r="B2057" i="2"/>
  <c r="C2057" i="2" s="1"/>
  <c r="B285" i="2"/>
  <c r="C285" i="2" s="1"/>
  <c r="B1423" i="2"/>
  <c r="C1423" i="2" s="1"/>
  <c r="B1655" i="2"/>
  <c r="C1655" i="2" s="1"/>
  <c r="D864" i="2"/>
  <c r="D2030" i="2"/>
  <c r="B1980" i="2"/>
  <c r="C1980" i="2" s="1"/>
  <c r="B1046" i="2"/>
  <c r="C1046" i="2" s="1"/>
  <c r="B766" i="2"/>
  <c r="C766" i="2" s="1"/>
  <c r="B1607" i="2"/>
  <c r="C1607" i="2" s="1"/>
  <c r="D1275" i="2"/>
  <c r="D1703" i="2"/>
  <c r="D655" i="2"/>
  <c r="B1742" i="2"/>
  <c r="C1742" i="2" s="1"/>
  <c r="D1652" i="2"/>
  <c r="B1467" i="2"/>
  <c r="C1467" i="2" s="1"/>
  <c r="B490" i="2"/>
  <c r="C490" i="2" s="1"/>
  <c r="B1693" i="2"/>
  <c r="C1693" i="2" s="1"/>
  <c r="D500" i="2"/>
  <c r="B992" i="2"/>
  <c r="C992" i="2" s="1"/>
  <c r="D1940" i="2"/>
  <c r="B1074" i="2"/>
  <c r="C1074" i="2" s="1"/>
  <c r="B1858" i="2"/>
  <c r="C1858" i="2" s="1"/>
  <c r="D1645" i="2"/>
  <c r="B484" i="2"/>
  <c r="C484" i="2" s="1"/>
  <c r="D326" i="2"/>
  <c r="B728" i="2"/>
  <c r="C728" i="2" s="1"/>
  <c r="B910" i="2"/>
  <c r="C910" i="2" s="1"/>
  <c r="D466" i="2"/>
  <c r="D2006" i="2"/>
  <c r="D1367" i="2"/>
  <c r="B1861" i="2"/>
  <c r="C1861" i="2" s="1"/>
  <c r="D1694" i="2"/>
  <c r="B1737" i="2"/>
  <c r="C1737" i="2" s="1"/>
  <c r="B824" i="2"/>
  <c r="C824" i="2" s="1"/>
  <c r="B1936" i="2"/>
  <c r="C1936" i="2" s="1"/>
  <c r="D1287" i="2"/>
  <c r="D779" i="2"/>
  <c r="D1890" i="2"/>
  <c r="D761" i="2"/>
  <c r="D1499" i="2"/>
  <c r="B870" i="2"/>
  <c r="C870" i="2" s="1"/>
  <c r="D658" i="2"/>
  <c r="D2103" i="2"/>
  <c r="B666" i="2"/>
  <c r="C666" i="2" s="1"/>
  <c r="D1875" i="2"/>
  <c r="D1894" i="2"/>
  <c r="B1627" i="2"/>
  <c r="C1627" i="2" s="1"/>
  <c r="D1941" i="2"/>
  <c r="B1393" i="2"/>
  <c r="C1393" i="2" s="1"/>
  <c r="D1458" i="2"/>
  <c r="B729" i="2"/>
  <c r="C729" i="2" s="1"/>
  <c r="B1885" i="2"/>
  <c r="C1885" i="2" s="1"/>
  <c r="B1759" i="2"/>
  <c r="C1759" i="2" s="1"/>
  <c r="B1806" i="2"/>
  <c r="C1806" i="2" s="1"/>
  <c r="B225" i="2"/>
  <c r="C225" i="2" s="1"/>
  <c r="B1177" i="2"/>
  <c r="C1177" i="2" s="1"/>
  <c r="D1988" i="2"/>
  <c r="B595" i="2"/>
  <c r="C595" i="2" s="1"/>
  <c r="D1389" i="2"/>
  <c r="D266" i="2"/>
  <c r="B2008" i="2"/>
  <c r="C2008" i="2" s="1"/>
  <c r="D840" i="2"/>
  <c r="D312" i="2"/>
  <c r="B796" i="2"/>
  <c r="C796" i="2" s="1"/>
  <c r="B2002" i="2"/>
  <c r="C2002" i="2" s="1"/>
  <c r="D1806" i="2"/>
  <c r="D1946" i="2"/>
  <c r="B2024" i="2"/>
  <c r="C2024" i="2" s="1"/>
  <c r="B556" i="2"/>
  <c r="C556" i="2" s="1"/>
  <c r="D1074" i="2"/>
  <c r="B644" i="2"/>
  <c r="C644" i="2" s="1"/>
  <c r="B1306" i="2"/>
  <c r="C1306" i="2" s="1"/>
  <c r="B1269" i="2"/>
  <c r="C1269" i="2" s="1"/>
  <c r="D364" i="2"/>
  <c r="D879" i="2"/>
  <c r="B1582" i="2"/>
  <c r="C1582" i="2" s="1"/>
  <c r="D1779" i="2"/>
  <c r="B1486" i="2"/>
  <c r="C1486" i="2" s="1"/>
  <c r="B951" i="2"/>
  <c r="C951" i="2" s="1"/>
  <c r="D247" i="2"/>
  <c r="B752" i="2"/>
  <c r="C752" i="2" s="1"/>
  <c r="B980" i="2"/>
  <c r="C980" i="2" s="1"/>
  <c r="D819" i="2"/>
  <c r="D1016" i="2"/>
  <c r="D415" i="2"/>
  <c r="B976" i="2"/>
  <c r="C976" i="2" s="1"/>
  <c r="D714" i="2"/>
  <c r="B1290" i="2"/>
  <c r="C1290" i="2" s="1"/>
  <c r="B1898" i="2"/>
  <c r="C1898" i="2" s="1"/>
  <c r="D464" i="2"/>
  <c r="D1468" i="2"/>
  <c r="B1970" i="2"/>
  <c r="C1970" i="2" s="1"/>
  <c r="B303" i="2"/>
  <c r="C303" i="2" s="1"/>
  <c r="B638" i="2"/>
  <c r="C638" i="2" s="1"/>
  <c r="B2031" i="2"/>
  <c r="C2031" i="2" s="1"/>
  <c r="B561" i="2"/>
  <c r="C561" i="2" s="1"/>
  <c r="B1372" i="2"/>
  <c r="C1372" i="2" s="1"/>
  <c r="B555" i="2"/>
  <c r="C555" i="2" s="1"/>
  <c r="D1736" i="2"/>
  <c r="B2018" i="2"/>
  <c r="C2018" i="2" s="1"/>
  <c r="B1291" i="2"/>
  <c r="C1291" i="2" s="1"/>
  <c r="B1378" i="2"/>
  <c r="C1378" i="2" s="1"/>
  <c r="B1135" i="2"/>
  <c r="C1135" i="2" s="1"/>
  <c r="D628" i="2"/>
  <c r="D1323" i="2"/>
  <c r="D181" i="2"/>
  <c r="B1566" i="2"/>
  <c r="C1566" i="2" s="1"/>
  <c r="B399" i="2"/>
  <c r="C399" i="2" s="1"/>
  <c r="D1995" i="2"/>
  <c r="B554" i="2"/>
  <c r="C554" i="2" s="1"/>
  <c r="D884" i="2"/>
  <c r="B140" i="2"/>
  <c r="C140" i="2" s="1"/>
  <c r="D1138" i="2"/>
  <c r="B1101" i="2"/>
  <c r="C1101" i="2" s="1"/>
  <c r="D421" i="2"/>
  <c r="B1439" i="2"/>
  <c r="C1439" i="2" s="1"/>
  <c r="B530" i="2"/>
  <c r="C530" i="2" s="1"/>
  <c r="B526" i="2"/>
  <c r="C526" i="2" s="1"/>
  <c r="D544" i="2"/>
  <c r="D2019" i="2"/>
  <c r="B468" i="2"/>
  <c r="C468" i="2" s="1"/>
  <c r="B1138" i="2"/>
  <c r="C1138" i="2" s="1"/>
  <c r="D1394" i="2"/>
  <c r="B1797" i="2"/>
  <c r="C1797" i="2" s="1"/>
  <c r="B1656" i="2"/>
  <c r="C1656" i="2" s="1"/>
  <c r="B199" i="2"/>
  <c r="C199" i="2" s="1"/>
  <c r="B1932" i="2"/>
  <c r="C1932" i="2" s="1"/>
  <c r="B720" i="2"/>
  <c r="C720" i="2" s="1"/>
  <c r="D1578" i="2"/>
  <c r="D1924" i="2"/>
  <c r="B1532" i="2"/>
  <c r="C1532" i="2" s="1"/>
  <c r="B210" i="2"/>
  <c r="C210" i="2" s="1"/>
  <c r="B997" i="2"/>
  <c r="C997" i="2" s="1"/>
  <c r="D1519" i="2"/>
  <c r="D1774" i="2"/>
  <c r="B795" i="2"/>
  <c r="C795" i="2" s="1"/>
  <c r="B306" i="2"/>
  <c r="C306" i="2" s="1"/>
  <c r="D448" i="2"/>
  <c r="O1532" i="2"/>
  <c r="P1532" i="2" s="1"/>
  <c r="R1532" i="2" s="1"/>
  <c r="U1532" i="2" s="1"/>
  <c r="B1771" i="2"/>
  <c r="C1771" i="2" s="1"/>
  <c r="D994" i="2"/>
  <c r="D1488" i="2"/>
  <c r="B1537" i="2"/>
  <c r="C1537" i="2" s="1"/>
  <c r="B1899" i="2"/>
  <c r="C1899" i="2" s="1"/>
  <c r="D1781" i="2"/>
  <c r="B1191" i="2"/>
  <c r="C1191" i="2" s="1"/>
  <c r="D1322" i="2"/>
  <c r="D137" i="2"/>
  <c r="D2013" i="2"/>
  <c r="D353" i="2"/>
  <c r="D671" i="2"/>
  <c r="B1484" i="2"/>
  <c r="C1484" i="2" s="1"/>
  <c r="D909" i="2"/>
  <c r="B1289" i="2"/>
  <c r="C1289" i="2" s="1"/>
  <c r="D1990" i="2"/>
  <c r="D128" i="2"/>
  <c r="D785" i="2"/>
  <c r="D1568" i="2"/>
  <c r="D1735" i="2"/>
  <c r="B398" i="2"/>
  <c r="C398" i="2" s="1"/>
  <c r="B100" i="2"/>
  <c r="C100" i="2" s="1"/>
  <c r="D1780" i="2"/>
  <c r="D665" i="2"/>
  <c r="B939" i="2"/>
  <c r="C939" i="2" s="1"/>
  <c r="D1103" i="2"/>
  <c r="D798" i="2"/>
  <c r="D306" i="2"/>
  <c r="D1435" i="2"/>
  <c r="B2117" i="2"/>
  <c r="C2117" i="2" s="1"/>
  <c r="D1405" i="2"/>
  <c r="B492" i="2"/>
  <c r="C492" i="2" s="1"/>
  <c r="B562" i="2"/>
  <c r="C562" i="2" s="1"/>
  <c r="D1387" i="2"/>
  <c r="B1472" i="2"/>
  <c r="C1472" i="2" s="1"/>
  <c r="D783" i="2"/>
  <c r="B482" i="2"/>
  <c r="C482" i="2" s="1"/>
  <c r="B1214" i="2"/>
  <c r="C1214" i="2" s="1"/>
  <c r="D1876" i="2"/>
  <c r="D1808" i="2"/>
  <c r="B318" i="2"/>
  <c r="C318" i="2" s="1"/>
  <c r="D351" i="2"/>
  <c r="B1329" i="2"/>
  <c r="C1329" i="2" s="1"/>
  <c r="D110" i="2"/>
  <c r="B2029" i="2"/>
  <c r="C2029" i="2" s="1"/>
  <c r="D1937" i="2"/>
  <c r="D1965" i="2"/>
  <c r="D1012" i="2"/>
  <c r="D1776" i="2"/>
  <c r="D1326" i="2"/>
  <c r="D802" i="2"/>
  <c r="D891" i="2"/>
  <c r="D1402" i="2"/>
  <c r="B861" i="2"/>
  <c r="C861" i="2" s="1"/>
  <c r="B1546" i="2"/>
  <c r="C1546" i="2" s="1"/>
  <c r="B1676" i="2"/>
  <c r="C1676" i="2" s="1"/>
  <c r="B1997" i="2"/>
  <c r="C1997" i="2" s="1"/>
  <c r="B1022" i="2"/>
  <c r="C1022" i="2" s="1"/>
  <c r="D1332" i="2"/>
  <c r="D1386" i="2"/>
  <c r="D2119" i="2"/>
  <c r="D118" i="2"/>
  <c r="D740" i="2"/>
  <c r="D329" i="2"/>
  <c r="D1404" i="2"/>
  <c r="D1594" i="2"/>
  <c r="D1829" i="2"/>
  <c r="B2074" i="2"/>
  <c r="C2074" i="2" s="1"/>
  <c r="D190" i="2"/>
  <c r="D885" i="2"/>
  <c r="B2048" i="2"/>
  <c r="C2048" i="2" s="1"/>
  <c r="D683" i="2"/>
  <c r="B1328" i="2"/>
  <c r="C1328" i="2" s="1"/>
  <c r="D1920" i="2"/>
  <c r="D163" i="2"/>
  <c r="D154" i="2"/>
  <c r="B1523" i="2"/>
  <c r="C1523" i="2" s="1"/>
  <c r="D2039" i="2"/>
  <c r="B564" i="2"/>
  <c r="C564" i="2" s="1"/>
  <c r="D150" i="2"/>
  <c r="D733" i="2"/>
  <c r="D1256" i="2"/>
  <c r="D897" i="2"/>
  <c r="D827" i="2"/>
  <c r="B2045" i="2"/>
  <c r="C2045" i="2" s="1"/>
  <c r="D793" i="2"/>
  <c r="B1401" i="2"/>
  <c r="C1401" i="2" s="1"/>
  <c r="B1202" i="2"/>
  <c r="C1202" i="2" s="1"/>
  <c r="B294" i="2"/>
  <c r="C294" i="2" s="1"/>
  <c r="B702" i="2"/>
  <c r="C702" i="2" s="1"/>
  <c r="B254" i="2"/>
  <c r="C254" i="2" s="1"/>
  <c r="D843" i="2"/>
  <c r="B2101" i="2"/>
  <c r="C2101" i="2" s="1"/>
  <c r="B560" i="2"/>
  <c r="C560" i="2" s="1"/>
  <c r="D1720" i="2"/>
  <c r="D2063" i="2"/>
  <c r="D2082" i="2"/>
  <c r="B830" i="2"/>
  <c r="C830" i="2" s="1"/>
  <c r="D618" i="2"/>
  <c r="B342" i="2"/>
  <c r="C342" i="2" s="1"/>
  <c r="D1317" i="2"/>
  <c r="D1168" i="2"/>
  <c r="D146" i="2"/>
  <c r="B1698" i="2"/>
  <c r="C1698" i="2" s="1"/>
  <c r="D1201" i="2"/>
  <c r="B2038" i="2"/>
  <c r="C2038" i="2" s="1"/>
  <c r="D593" i="2"/>
  <c r="D1981" i="2"/>
  <c r="D1850" i="2"/>
  <c r="B389" i="2"/>
  <c r="C389" i="2" s="1"/>
  <c r="D1758" i="2"/>
  <c r="D589" i="2"/>
  <c r="B938" i="2"/>
  <c r="C938" i="2" s="1"/>
  <c r="D52" i="2"/>
  <c r="D2034" i="2"/>
  <c r="B2107" i="2"/>
  <c r="C2107" i="2" s="1"/>
  <c r="D1745" i="2"/>
  <c r="D1886" i="2"/>
  <c r="B2080" i="2"/>
  <c r="C2080" i="2" s="1"/>
  <c r="D143" i="2"/>
  <c r="D962" i="2"/>
  <c r="D1344" i="2"/>
  <c r="B1475" i="2"/>
  <c r="C1475" i="2" s="1"/>
  <c r="B1051" i="2"/>
  <c r="C1051" i="2" s="1"/>
  <c r="D652" i="2"/>
  <c r="B2072" i="2"/>
  <c r="C2072" i="2" s="1"/>
  <c r="D2044" i="2"/>
  <c r="B539" i="2"/>
  <c r="C539" i="2" s="1"/>
  <c r="D2086" i="2"/>
  <c r="B159" i="2"/>
  <c r="C159" i="2" s="1"/>
  <c r="B427" i="2"/>
  <c r="C427" i="2" s="1"/>
  <c r="B1083" i="2"/>
  <c r="C1083" i="2" s="1"/>
  <c r="B1998" i="2"/>
  <c r="C1998" i="2" s="1"/>
  <c r="B1273" i="2"/>
  <c r="C1273" i="2" s="1"/>
  <c r="D965" i="2"/>
  <c r="D1164" i="2"/>
  <c r="B2131" i="2"/>
  <c r="C2131" i="2" s="1"/>
  <c r="B1815" i="2"/>
  <c r="C1815" i="2" s="1"/>
  <c r="D343" i="2"/>
  <c r="B48" i="2"/>
  <c r="C48" i="2" s="1"/>
  <c r="D159" i="2"/>
  <c r="B902" i="2"/>
  <c r="C902" i="2" s="1"/>
  <c r="B1108" i="2"/>
  <c r="C1108" i="2" s="1"/>
  <c r="B1922" i="2"/>
  <c r="C1922" i="2" s="1"/>
  <c r="B2098" i="2"/>
  <c r="C2098" i="2" s="1"/>
  <c r="D606" i="2"/>
  <c r="B47" i="2"/>
  <c r="C47" i="2" s="1"/>
  <c r="B878" i="2"/>
  <c r="C878" i="2" s="1"/>
  <c r="B525" i="2"/>
  <c r="C525" i="2" s="1"/>
  <c r="B177" i="2"/>
  <c r="C177" i="2" s="1"/>
  <c r="D387" i="2"/>
  <c r="B840" i="2"/>
  <c r="C840" i="2" s="1"/>
  <c r="D79" i="2"/>
  <c r="D1907" i="2"/>
  <c r="D1872" i="2"/>
  <c r="B351" i="2"/>
  <c r="C351" i="2" s="1"/>
  <c r="B957" i="2"/>
  <c r="C957" i="2" s="1"/>
  <c r="D2125" i="2"/>
  <c r="D2069" i="2"/>
  <c r="B313" i="2"/>
  <c r="C313" i="2" s="1"/>
  <c r="D2134" i="2"/>
  <c r="B817" i="2"/>
  <c r="C817" i="2" s="1"/>
  <c r="B118" i="2"/>
  <c r="C118" i="2" s="1"/>
  <c r="B1855" i="2"/>
  <c r="C1855" i="2" s="1"/>
  <c r="D527" i="2"/>
  <c r="D1202" i="2"/>
  <c r="D162" i="2"/>
  <c r="B93" i="2"/>
  <c r="C93" i="2" s="1"/>
  <c r="D624" i="2"/>
  <c r="B2096" i="2"/>
  <c r="C2096" i="2" s="1"/>
  <c r="B78" i="2"/>
  <c r="C78" i="2" s="1"/>
  <c r="D1072" i="2"/>
  <c r="D1245" i="2"/>
  <c r="D1050" i="2"/>
  <c r="D1324" i="2"/>
  <c r="D828" i="2"/>
  <c r="D1778" i="2"/>
  <c r="D648" i="2"/>
  <c r="D1175" i="2"/>
  <c r="D1433" i="2"/>
  <c r="D48" i="2"/>
  <c r="D1094" i="2"/>
  <c r="B2118" i="2"/>
  <c r="C2118" i="2" s="1"/>
  <c r="B2127" i="2"/>
  <c r="C2127" i="2" s="1"/>
  <c r="D1693" i="2"/>
  <c r="D109" i="2"/>
  <c r="D2122" i="2"/>
  <c r="D738" i="2"/>
  <c r="B661" i="2"/>
  <c r="C661" i="2" s="1"/>
  <c r="B2034" i="2"/>
  <c r="C2034" i="2" s="1"/>
  <c r="B61" i="2"/>
  <c r="C61" i="2" s="1"/>
  <c r="B1036" i="2"/>
  <c r="C1036" i="2" s="1"/>
  <c r="B388" i="2"/>
  <c r="C388" i="2" s="1"/>
  <c r="D920" i="2"/>
  <c r="D1354" i="2"/>
  <c r="B1585" i="2"/>
  <c r="C1585" i="2" s="1"/>
  <c r="D1407" i="2"/>
  <c r="B1773" i="2"/>
  <c r="C1773" i="2" s="1"/>
  <c r="D1129" i="2"/>
  <c r="B1992" i="2"/>
  <c r="C1992" i="2" s="1"/>
  <c r="B798" i="2"/>
  <c r="C798" i="2" s="1"/>
  <c r="B1115" i="2"/>
  <c r="C1115" i="2" s="1"/>
  <c r="B875" i="2"/>
  <c r="C875" i="2" s="1"/>
  <c r="D460" i="2"/>
  <c r="B1192" i="2"/>
  <c r="C1192" i="2" s="1"/>
  <c r="B175" i="2"/>
  <c r="C175" i="2" s="1"/>
  <c r="D1521" i="2"/>
  <c r="B1016" i="2"/>
  <c r="C1016" i="2" s="1"/>
  <c r="B95" i="2"/>
  <c r="C95" i="2" s="1"/>
  <c r="D371" i="2"/>
  <c r="D1158" i="2"/>
  <c r="B122" i="2"/>
  <c r="C122" i="2" s="1"/>
  <c r="D432" i="2"/>
  <c r="B1188" i="2"/>
  <c r="C1188" i="2" s="1"/>
  <c r="B1553" i="2"/>
  <c r="C1553" i="2" s="1"/>
  <c r="B1691" i="2"/>
  <c r="C1691" i="2" s="1"/>
  <c r="B355" i="2"/>
  <c r="C355" i="2" s="1"/>
  <c r="D592" i="2"/>
  <c r="D2116" i="2"/>
  <c r="D1684" i="2"/>
  <c r="D713" i="2"/>
  <c r="B328" i="2"/>
  <c r="C328" i="2" s="1"/>
  <c r="B230" i="2"/>
  <c r="C230" i="2" s="1"/>
  <c r="B964" i="2"/>
  <c r="C964" i="2" s="1"/>
  <c r="B1672" i="2"/>
  <c r="C1672" i="2" s="1"/>
  <c r="D1375" i="2"/>
  <c r="B2091" i="2"/>
  <c r="C2091" i="2" s="1"/>
  <c r="D2097" i="2"/>
  <c r="D1008" i="2"/>
  <c r="B125" i="2"/>
  <c r="C125" i="2" s="1"/>
  <c r="B566" i="2"/>
  <c r="C566" i="2" s="1"/>
  <c r="D103" i="2"/>
  <c r="D1111" i="2"/>
  <c r="D1800" i="2"/>
  <c r="B1944" i="2"/>
  <c r="C1944" i="2" s="1"/>
  <c r="D1957" i="2"/>
  <c r="B1170" i="2"/>
  <c r="C1170" i="2" s="1"/>
  <c r="D1514" i="2"/>
  <c r="D878" i="2"/>
  <c r="D1799" i="2"/>
  <c r="D861" i="2"/>
  <c r="B479" i="2"/>
  <c r="C479" i="2" s="1"/>
  <c r="D291" i="2"/>
  <c r="D678" i="2"/>
  <c r="B1206" i="2"/>
  <c r="C1206" i="2" s="1"/>
  <c r="B280" i="2"/>
  <c r="C280" i="2" s="1"/>
  <c r="D1711" i="2"/>
  <c r="D2053" i="2"/>
  <c r="D1655" i="2"/>
  <c r="B505" i="2"/>
  <c r="C505" i="2" s="1"/>
  <c r="D114" i="2"/>
  <c r="B356" i="2"/>
  <c r="C356" i="2" s="1"/>
  <c r="D1070" i="2"/>
  <c r="B1785" i="2"/>
  <c r="C1785" i="2" s="1"/>
  <c r="B633" i="2"/>
  <c r="C633" i="2" s="1"/>
  <c r="B1822" i="2"/>
  <c r="C1822" i="2" s="1"/>
  <c r="B949" i="2"/>
  <c r="C949" i="2" s="1"/>
  <c r="D2083" i="2"/>
  <c r="D1260" i="2"/>
  <c r="B1139" i="2"/>
  <c r="C1139" i="2" s="1"/>
  <c r="D1683" i="2"/>
  <c r="B64" i="2"/>
  <c r="C64" i="2" s="1"/>
  <c r="D1088" i="2"/>
  <c r="B1482" i="2"/>
  <c r="C1482" i="2" s="1"/>
  <c r="B995" i="2"/>
  <c r="C995" i="2" s="1"/>
  <c r="B1889" i="2"/>
  <c r="C1889" i="2" s="1"/>
  <c r="B1282" i="2"/>
  <c r="C1282" i="2" s="1"/>
  <c r="D842" i="2"/>
  <c r="B1391" i="2"/>
  <c r="C1391" i="2" s="1"/>
  <c r="D1000" i="2"/>
  <c r="D1874" i="2"/>
  <c r="B1118" i="2"/>
  <c r="C1118" i="2" s="1"/>
  <c r="D1089" i="2"/>
  <c r="B654" i="2"/>
  <c r="C654" i="2" s="1"/>
  <c r="B178" i="2"/>
  <c r="C178" i="2" s="1"/>
  <c r="B1338" i="2"/>
  <c r="C1338" i="2" s="1"/>
  <c r="D1056" i="2"/>
  <c r="B682" i="2"/>
  <c r="C682" i="2" s="1"/>
  <c r="D1466" i="2"/>
  <c r="B1402" i="2"/>
  <c r="C1402" i="2" s="1"/>
  <c r="B2063" i="2"/>
  <c r="C2063" i="2" s="1"/>
  <c r="B1050" i="2"/>
  <c r="C1050" i="2" s="1"/>
  <c r="D299" i="2"/>
  <c r="B613" i="2"/>
  <c r="C613" i="2" s="1"/>
  <c r="D636" i="2"/>
  <c r="D1437" i="2"/>
  <c r="D1849" i="2"/>
  <c r="D1584" i="2"/>
  <c r="D76" i="2"/>
  <c r="D1609" i="2"/>
  <c r="D446" i="2"/>
  <c r="D2054" i="2"/>
  <c r="B730" i="2"/>
  <c r="C730" i="2" s="1"/>
  <c r="D1190" i="2"/>
  <c r="D1934" i="2"/>
  <c r="B1246" i="2"/>
  <c r="C1246" i="2" s="1"/>
  <c r="B350" i="2"/>
  <c r="C350" i="2" s="1"/>
  <c r="D525" i="2"/>
  <c r="D1325" i="2"/>
  <c r="B1426" i="2"/>
  <c r="C1426" i="2" s="1"/>
  <c r="B1649" i="2"/>
  <c r="C1649" i="2" s="1"/>
  <c r="D2023" i="2"/>
  <c r="B1804" i="2"/>
  <c r="C1804" i="2" s="1"/>
  <c r="B1194" i="2"/>
  <c r="C1194" i="2" s="1"/>
  <c r="D1754" i="2"/>
  <c r="B942" i="2"/>
  <c r="C942" i="2" s="1"/>
  <c r="D1818" i="2"/>
  <c r="B1169" i="2"/>
  <c r="C1169" i="2" s="1"/>
  <c r="B1559" i="2"/>
  <c r="C1559" i="2" s="1"/>
  <c r="D1942" i="2"/>
  <c r="B1254" i="2"/>
  <c r="C1254" i="2" s="1"/>
  <c r="D248" i="2"/>
  <c r="D1125" i="2"/>
  <c r="B203" i="2"/>
  <c r="C203" i="2" s="1"/>
  <c r="D246" i="2"/>
  <c r="D547" i="2"/>
  <c r="D1906" i="2"/>
  <c r="B1160" i="2"/>
  <c r="C1160" i="2" s="1"/>
  <c r="B1891" i="2"/>
  <c r="C1891" i="2" s="1"/>
  <c r="B1147" i="2"/>
  <c r="C1147" i="2" s="1"/>
  <c r="D1619" i="2"/>
  <c r="D262" i="2"/>
  <c r="D1723" i="2"/>
  <c r="B1708" i="2"/>
  <c r="C1708" i="2" s="1"/>
  <c r="D340" i="2"/>
  <c r="B1360" i="2"/>
  <c r="C1360" i="2" s="1"/>
  <c r="B1728" i="2"/>
  <c r="C1728" i="2" s="1"/>
  <c r="D1602" i="2"/>
  <c r="D895" i="2"/>
  <c r="D1970" i="2"/>
  <c r="B1213" i="2"/>
  <c r="C1213" i="2" s="1"/>
  <c r="B229" i="2"/>
  <c r="C229" i="2" s="1"/>
  <c r="D1749" i="2"/>
  <c r="B1839" i="2"/>
  <c r="C1839" i="2" s="1"/>
  <c r="B1068" i="2"/>
  <c r="C1068" i="2" s="1"/>
  <c r="D769" i="2"/>
  <c r="B959" i="2"/>
  <c r="C959" i="2" s="1"/>
  <c r="D297" i="2"/>
  <c r="B1097" i="2"/>
  <c r="C1097" i="2" s="1"/>
  <c r="D744" i="2"/>
  <c r="D1403" i="2"/>
  <c r="D1915" i="2"/>
  <c r="B1283" i="2"/>
  <c r="C1283" i="2" s="1"/>
  <c r="B962" i="2"/>
  <c r="C962" i="2" s="1"/>
  <c r="B2013" i="2"/>
  <c r="C2013" i="2" s="1"/>
  <c r="B629" i="2"/>
  <c r="C629" i="2" s="1"/>
  <c r="D1884" i="2"/>
  <c r="D596" i="2"/>
  <c r="B361" i="2"/>
  <c r="C361" i="2" s="1"/>
  <c r="D1142" i="2"/>
  <c r="B524" i="2"/>
  <c r="C524" i="2" s="1"/>
  <c r="B251" i="2"/>
  <c r="C251" i="2" s="1"/>
  <c r="D1262" i="2"/>
  <c r="B1239" i="2"/>
  <c r="C1239" i="2" s="1"/>
  <c r="B865" i="2"/>
  <c r="C865" i="2" s="1"/>
  <c r="B429" i="2"/>
  <c r="C429" i="2" s="1"/>
  <c r="D1679" i="2"/>
  <c r="D260" i="2"/>
  <c r="D1258" i="2"/>
  <c r="B1247" i="2"/>
  <c r="C1247" i="2" s="1"/>
  <c r="D688" i="2"/>
  <c r="D1180" i="2"/>
  <c r="B1255" i="2"/>
  <c r="C1255" i="2" s="1"/>
  <c r="B394" i="2"/>
  <c r="C394" i="2" s="1"/>
  <c r="B2137" i="2"/>
  <c r="C2137" i="2" s="1"/>
  <c r="D2070" i="2"/>
  <c r="B440" i="2"/>
  <c r="C440" i="2" s="1"/>
  <c r="D2035" i="2"/>
  <c r="B1356" i="2"/>
  <c r="C1356" i="2" s="1"/>
  <c r="B405" i="2"/>
  <c r="C405" i="2" s="1"/>
  <c r="D414" i="2"/>
  <c r="B2068" i="2"/>
  <c r="C2068" i="2" s="1"/>
  <c r="D1676" i="2"/>
  <c r="B1105" i="2"/>
  <c r="C1105" i="2" s="1"/>
  <c r="B812" i="2"/>
  <c r="C812" i="2" s="1"/>
  <c r="B1434" i="2"/>
  <c r="C1434" i="2" s="1"/>
  <c r="B848" i="2"/>
  <c r="C848" i="2" s="1"/>
  <c r="B382" i="2"/>
  <c r="C382" i="2" s="1"/>
  <c r="B1824" i="2"/>
  <c r="C1824" i="2" s="1"/>
  <c r="B1819" i="2"/>
  <c r="C1819" i="2" s="1"/>
  <c r="D209" i="2"/>
  <c r="D1292" i="2"/>
  <c r="D1968" i="2"/>
  <c r="D1206" i="2"/>
  <c r="D792" i="2"/>
  <c r="D591" i="2"/>
  <c r="D1446" i="2"/>
  <c r="B1548" i="2"/>
  <c r="C1548" i="2" s="1"/>
  <c r="B1374" i="2"/>
  <c r="C1374" i="2" s="1"/>
  <c r="B1365" i="2"/>
  <c r="C1365" i="2" s="1"/>
  <c r="B433" i="2"/>
  <c r="C433" i="2" s="1"/>
  <c r="D1233" i="2"/>
  <c r="B1714" i="2"/>
  <c r="C1714" i="2" s="1"/>
  <c r="D992" i="2"/>
  <c r="D2038" i="2"/>
  <c r="B888" i="2"/>
  <c r="C888" i="2" s="1"/>
  <c r="D2088" i="2"/>
  <c r="B1512" i="2"/>
  <c r="C1512" i="2" s="1"/>
  <c r="D134" i="2"/>
  <c r="D1483" i="2"/>
  <c r="B1730" i="2"/>
  <c r="C1730" i="2" s="1"/>
  <c r="B62" i="2"/>
  <c r="C62" i="2" s="1"/>
  <c r="D484" i="2"/>
  <c r="B221" i="2"/>
  <c r="C221" i="2" s="1"/>
  <c r="D2061" i="2"/>
  <c r="B583" i="2"/>
  <c r="C583" i="2" s="1"/>
  <c r="D934" i="2"/>
  <c r="D2022" i="2"/>
  <c r="B2135" i="2"/>
  <c r="C2135" i="2" s="1"/>
  <c r="B1234" i="2"/>
  <c r="C1234" i="2" s="1"/>
  <c r="B744" i="2"/>
  <c r="C744" i="2" s="1"/>
  <c r="D1366" i="2"/>
  <c r="D1455" i="2"/>
  <c r="D1100" i="2"/>
  <c r="B1430" i="2"/>
  <c r="C1430" i="2" s="1"/>
  <c r="D2081" i="2"/>
  <c r="D816" i="2"/>
  <c r="D1581" i="2"/>
  <c r="B853" i="2"/>
  <c r="C853" i="2" s="1"/>
  <c r="B883" i="2"/>
  <c r="C883" i="2" s="1"/>
  <c r="D2079" i="2"/>
  <c r="D1964" i="2"/>
  <c r="D2074" i="2"/>
  <c r="B241" i="2"/>
  <c r="C241" i="2" s="1"/>
  <c r="D548" i="2"/>
  <c r="B826" i="2"/>
  <c r="C826" i="2" s="1"/>
  <c r="D2045" i="2"/>
  <c r="D2098" i="2"/>
  <c r="B308" i="2"/>
  <c r="C308" i="2" s="1"/>
  <c r="D187" i="2"/>
  <c r="B200" i="2"/>
  <c r="C200" i="2" s="1"/>
  <c r="D1254" i="2"/>
  <c r="D947" i="2"/>
  <c r="D957" i="2"/>
  <c r="D1733" i="2"/>
  <c r="B424" i="2"/>
  <c r="C424" i="2" s="1"/>
  <c r="D1617" i="2"/>
  <c r="B2105" i="2"/>
  <c r="C2105" i="2" s="1"/>
  <c r="D772" i="2"/>
  <c r="B612" i="2"/>
  <c r="C612" i="2" s="1"/>
  <c r="B1984" i="2"/>
  <c r="C1984" i="2" s="1"/>
  <c r="B310" i="2"/>
  <c r="C310" i="2" s="1"/>
  <c r="B301" i="2"/>
  <c r="C301" i="2" s="1"/>
  <c r="D1697" i="2"/>
  <c r="B364" i="2"/>
  <c r="C364" i="2" s="1"/>
  <c r="B169" i="2"/>
  <c r="C169" i="2" s="1"/>
  <c r="D1350" i="2"/>
  <c r="B1761" i="2"/>
  <c r="C1761" i="2" s="1"/>
  <c r="B2122" i="2"/>
  <c r="C2122" i="2" s="1"/>
  <c r="D777" i="2"/>
  <c r="D614" i="2"/>
  <c r="B1751" i="2"/>
  <c r="C1751" i="2" s="1"/>
  <c r="B2089" i="2"/>
  <c r="C2089" i="2" s="1"/>
  <c r="D1873" i="2"/>
  <c r="B1096" i="2"/>
  <c r="C1096" i="2" s="1"/>
  <c r="D106" i="2"/>
  <c r="B340" i="2"/>
  <c r="C340" i="2" s="1"/>
  <c r="D889" i="2"/>
  <c r="B1971" i="2"/>
  <c r="C1971" i="2" s="1"/>
  <c r="B417" i="2"/>
  <c r="C417" i="2" s="1"/>
  <c r="B1686" i="2"/>
  <c r="C1686" i="2" s="1"/>
  <c r="D1917" i="2"/>
  <c r="B1671" i="2"/>
  <c r="C1671" i="2" s="1"/>
  <c r="B684" i="2"/>
  <c r="C684" i="2" s="1"/>
  <c r="D1855" i="2"/>
  <c r="B293" i="2"/>
  <c r="C293" i="2" s="1"/>
  <c r="D521" i="2"/>
  <c r="D528" i="2"/>
  <c r="B158" i="2"/>
  <c r="C158" i="2" s="1"/>
  <c r="B504" i="2"/>
  <c r="C504" i="2" s="1"/>
  <c r="D1719" i="2"/>
  <c r="D443" i="2"/>
  <c r="D2071" i="2"/>
  <c r="D2112" i="2"/>
  <c r="D1577" i="2"/>
  <c r="B201" i="2"/>
  <c r="C201" i="2" s="1"/>
  <c r="B1491" i="2"/>
  <c r="C1491" i="2" s="1"/>
  <c r="D1474" i="2"/>
  <c r="D1566" i="2"/>
  <c r="D767" i="2"/>
  <c r="B365" i="2"/>
  <c r="C365" i="2" s="1"/>
  <c r="B1670" i="2"/>
  <c r="C1670" i="2" s="1"/>
  <c r="D1666" i="2"/>
  <c r="B1351" i="2"/>
  <c r="C1351" i="2" s="1"/>
  <c r="B337" i="2"/>
  <c r="C337" i="2" s="1"/>
  <c r="D1613" i="2"/>
  <c r="D662" i="2"/>
  <c r="D1680" i="2"/>
  <c r="D1569" i="2"/>
  <c r="D1298" i="2"/>
  <c r="D1901" i="2"/>
  <c r="B893" i="2"/>
  <c r="C893" i="2" s="1"/>
  <c r="D981" i="2"/>
  <c r="B1230" i="2"/>
  <c r="C1230" i="2" s="1"/>
  <c r="D696" i="2"/>
  <c r="B2043" i="2"/>
  <c r="C2043" i="2" s="1"/>
  <c r="D597" i="2"/>
  <c r="B438" i="2"/>
  <c r="C438" i="2" s="1"/>
  <c r="D2120" i="2"/>
  <c r="D303" i="2"/>
  <c r="D625" i="2"/>
  <c r="D205" i="2"/>
  <c r="D1636" i="2"/>
  <c r="B1438" i="2"/>
  <c r="C1438" i="2" s="1"/>
  <c r="B274" i="2"/>
  <c r="C274" i="2" s="1"/>
  <c r="B185" i="2"/>
  <c r="C185" i="2" s="1"/>
  <c r="B1841" i="2"/>
  <c r="C1841" i="2" s="1"/>
  <c r="B1510" i="2"/>
  <c r="C1510" i="2" s="1"/>
  <c r="D951" i="2"/>
  <c r="B719" i="2"/>
  <c r="C719" i="2" s="1"/>
  <c r="D641" i="2"/>
  <c r="D1470" i="2"/>
  <c r="B503" i="2"/>
  <c r="C503" i="2" s="1"/>
  <c r="D960" i="2"/>
  <c r="D1495" i="2"/>
  <c r="D1816" i="2"/>
  <c r="D682" i="2"/>
  <c r="B783" i="2"/>
  <c r="C783" i="2" s="1"/>
  <c r="B1580" i="2"/>
  <c r="C1580" i="2" s="1"/>
  <c r="B1006" i="2"/>
  <c r="C1006" i="2" s="1"/>
  <c r="D881" i="2"/>
  <c r="D345" i="2"/>
  <c r="D1622" i="2"/>
  <c r="B1538" i="2"/>
  <c r="C1538" i="2" s="1"/>
  <c r="B1827" i="2"/>
  <c r="C1827" i="2" s="1"/>
  <c r="D1224" i="2"/>
  <c r="D440" i="2"/>
  <c r="D1272" i="2"/>
  <c r="D1534" i="2"/>
  <c r="D68" i="2"/>
  <c r="B161" i="2"/>
  <c r="C161" i="2" s="1"/>
  <c r="B1570" i="2"/>
  <c r="C1570" i="2" s="1"/>
  <c r="B53" i="2"/>
  <c r="C53" i="2" s="1"/>
  <c r="D100" i="2"/>
  <c r="B677" i="2"/>
  <c r="C677" i="2" s="1"/>
  <c r="D1741" i="2"/>
  <c r="B2125" i="2"/>
  <c r="C2125" i="2" s="1"/>
  <c r="B618" i="2"/>
  <c r="C618" i="2" s="1"/>
  <c r="B1870" i="2"/>
  <c r="C1870" i="2" s="1"/>
  <c r="B1606" i="2"/>
  <c r="C1606" i="2" s="1"/>
  <c r="B1688" i="2"/>
  <c r="C1688" i="2" s="1"/>
  <c r="B2113" i="2"/>
  <c r="C2113" i="2" s="1"/>
  <c r="B384" i="2"/>
  <c r="C384" i="2" s="1"/>
  <c r="D1848" i="2"/>
  <c r="D142" i="2"/>
  <c r="D935" i="2"/>
  <c r="B1519" i="2"/>
  <c r="C1519" i="2" s="1"/>
  <c r="D1291" i="2"/>
  <c r="B1193" i="2"/>
  <c r="C1193" i="2" s="1"/>
  <c r="B714" i="2"/>
  <c r="C714" i="2" s="1"/>
  <c r="D1814" i="2"/>
  <c r="D1182" i="2"/>
  <c r="B687" i="2"/>
  <c r="C687" i="2" s="1"/>
  <c r="D426" i="2"/>
  <c r="B667" i="2"/>
  <c r="C667" i="2" s="1"/>
  <c r="B52" i="2"/>
  <c r="C52" i="2" s="1"/>
  <c r="B2133" i="2"/>
  <c r="C2133" i="2" s="1"/>
  <c r="B2076" i="2"/>
  <c r="C2076" i="2" s="1"/>
  <c r="D2123" i="2"/>
  <c r="B137" i="2"/>
  <c r="C137" i="2" s="1"/>
  <c r="D2056" i="2"/>
  <c r="B1312" i="2"/>
  <c r="C1312" i="2" s="1"/>
  <c r="D560" i="2"/>
  <c r="D2135" i="2"/>
  <c r="B68" i="2"/>
  <c r="C68" i="2" s="1"/>
  <c r="D2137" i="2"/>
  <c r="D1308" i="2"/>
  <c r="B1024" i="2"/>
  <c r="C1024" i="2" s="1"/>
  <c r="B1850" i="2"/>
  <c r="C1850" i="2" s="1"/>
  <c r="B483" i="2"/>
  <c r="C483" i="2" s="1"/>
  <c r="B546" i="2"/>
  <c r="C546" i="2" s="1"/>
  <c r="B820" i="2"/>
  <c r="C820" i="2" s="1"/>
  <c r="B1157" i="2"/>
  <c r="C1157" i="2" s="1"/>
  <c r="D2001" i="2"/>
  <c r="D195" i="2"/>
  <c r="B572" i="2"/>
  <c r="C572" i="2" s="1"/>
  <c r="B753" i="2"/>
  <c r="C753" i="2" s="1"/>
  <c r="B934" i="2"/>
  <c r="C934" i="2" s="1"/>
  <c r="D1949" i="2"/>
  <c r="B850" i="2"/>
  <c r="C850" i="2" s="1"/>
  <c r="B2104" i="2"/>
  <c r="C2104" i="2" s="1"/>
  <c r="B162" i="2"/>
  <c r="C162" i="2" s="1"/>
  <c r="D249" i="2"/>
  <c r="B420" i="2"/>
  <c r="C420" i="2" s="1"/>
  <c r="D888" i="2"/>
  <c r="D1084" i="2"/>
  <c r="B400" i="2"/>
  <c r="C400" i="2" s="1"/>
  <c r="B2049" i="2"/>
  <c r="C2049" i="2" s="1"/>
  <c r="B833" i="2"/>
  <c r="C833" i="2" s="1"/>
  <c r="B1650" i="2"/>
  <c r="C1650" i="2" s="1"/>
  <c r="B547" i="2"/>
  <c r="C547" i="2" s="1"/>
  <c r="D927" i="2"/>
  <c r="D1320" i="2"/>
  <c r="D524" i="2"/>
  <c r="D2008" i="2"/>
  <c r="B1355" i="2"/>
  <c r="C1355" i="2" s="1"/>
  <c r="D904" i="2"/>
  <c r="B488" i="2"/>
  <c r="C488" i="2" s="1"/>
  <c r="B1831" i="2"/>
  <c r="C1831" i="2" s="1"/>
  <c r="B799" i="2"/>
  <c r="C799" i="2" s="1"/>
  <c r="B1694" i="2"/>
  <c r="C1694" i="2" s="1"/>
  <c r="D1728" i="2"/>
  <c r="D1181" i="2"/>
  <c r="D168" i="2"/>
  <c r="D1066" i="2"/>
  <c r="B1299" i="2"/>
  <c r="C1299" i="2" s="1"/>
  <c r="B1412" i="2"/>
  <c r="C1412" i="2" s="1"/>
  <c r="D863" i="2"/>
  <c r="D588" i="2"/>
  <c r="B1878" i="2"/>
  <c r="C1878" i="2" s="1"/>
  <c r="B1763" i="2"/>
  <c r="C1763" i="2" s="1"/>
  <c r="D626" i="2"/>
  <c r="B1151" i="2"/>
  <c r="C1151" i="2" s="1"/>
  <c r="D341" i="2"/>
  <c r="B711" i="2"/>
  <c r="C711" i="2" s="1"/>
  <c r="B1065" i="2"/>
  <c r="C1065" i="2" s="1"/>
  <c r="D1051" i="2"/>
  <c r="D1211" i="2"/>
  <c r="B1791" i="2"/>
  <c r="C1791" i="2" s="1"/>
  <c r="D590" i="2"/>
  <c r="B1429" i="2"/>
  <c r="C1429" i="2" s="1"/>
  <c r="D219" i="2"/>
  <c r="B1843" i="2"/>
  <c r="C1843" i="2" s="1"/>
  <c r="D1232" i="2"/>
  <c r="B967" i="2"/>
  <c r="C967" i="2" s="1"/>
  <c r="B1520" i="2"/>
  <c r="C1520" i="2" s="1"/>
  <c r="B979" i="2"/>
  <c r="C979" i="2" s="1"/>
  <c r="B1860" i="2"/>
  <c r="C1860" i="2" s="1"/>
  <c r="D2136" i="2"/>
  <c r="D661" i="2"/>
  <c r="B227" i="2"/>
  <c r="C227" i="2" s="1"/>
  <c r="B1680" i="2"/>
  <c r="C1680" i="2" s="1"/>
  <c r="B1740" i="2"/>
  <c r="C1740" i="2" s="1"/>
  <c r="B927" i="2"/>
  <c r="C927" i="2" s="1"/>
  <c r="B1915" i="2"/>
  <c r="C1915" i="2" s="1"/>
  <c r="D1476" i="2"/>
  <c r="D1960" i="2"/>
  <c r="B156" i="2"/>
  <c r="C156" i="2" s="1"/>
  <c r="B712" i="2"/>
  <c r="C712" i="2" s="1"/>
  <c r="B614" i="2"/>
  <c r="C614" i="2" s="1"/>
  <c r="B510" i="2"/>
  <c r="C510" i="2" s="1"/>
  <c r="D1049" i="2"/>
  <c r="D441" i="2"/>
  <c r="B1500" i="2"/>
  <c r="C1500" i="2" s="1"/>
  <c r="B2112" i="2"/>
  <c r="C2112" i="2" s="1"/>
  <c r="B1696" i="2"/>
  <c r="C1696" i="2" s="1"/>
  <c r="D1582" i="2"/>
  <c r="B2138" i="2"/>
  <c r="C2138" i="2" s="1"/>
  <c r="D932" i="2"/>
  <c r="B1042" i="2"/>
  <c r="C1042" i="2" s="1"/>
  <c r="D602" i="2"/>
  <c r="D1739" i="2"/>
  <c r="B1427" i="2"/>
  <c r="C1427" i="2" s="1"/>
  <c r="B1093" i="2"/>
  <c r="C1093" i="2" s="1"/>
  <c r="B602" i="2"/>
  <c r="C602" i="2" s="1"/>
  <c r="D1353" i="2"/>
  <c r="D479" i="2"/>
  <c r="D1382" i="2"/>
  <c r="B338" i="2"/>
  <c r="C338" i="2" s="1"/>
  <c r="B2047" i="2"/>
  <c r="C2047" i="2" s="1"/>
  <c r="D2007" i="2"/>
  <c r="B487" i="2"/>
  <c r="C487" i="2" s="1"/>
  <c r="D1459" i="2"/>
  <c r="B1417" i="2"/>
  <c r="C1417" i="2" s="1"/>
  <c r="D1663" i="2"/>
  <c r="D919" i="2"/>
  <c r="B1830" i="2"/>
  <c r="C1830" i="2" s="1"/>
  <c r="D237" i="2"/>
  <c r="B647" i="2"/>
  <c r="C647" i="2" s="1"/>
  <c r="B541" i="2"/>
  <c r="C541" i="2" s="1"/>
  <c r="D1675" i="2"/>
  <c r="B1925" i="2"/>
  <c r="C1925" i="2" s="1"/>
  <c r="B186" i="2"/>
  <c r="C186" i="2" s="1"/>
  <c r="B1295" i="2"/>
  <c r="C1295" i="2" s="1"/>
  <c r="D53" i="2"/>
  <c r="B2041" i="2"/>
  <c r="C2041" i="2" s="1"/>
  <c r="D67" i="2"/>
  <c r="B1718" i="2"/>
  <c r="C1718" i="2" s="1"/>
  <c r="B1280" i="2"/>
  <c r="C1280" i="2" s="1"/>
  <c r="D679" i="2"/>
  <c r="D1527" i="2"/>
  <c r="B593" i="2"/>
  <c r="C593" i="2" s="1"/>
  <c r="D1642" i="2"/>
  <c r="B45" i="2"/>
  <c r="C45" i="2" s="1"/>
  <c r="D1674" i="2"/>
  <c r="D1480" i="2"/>
  <c r="B621" i="2"/>
  <c r="C621" i="2" s="1"/>
  <c r="D130" i="2"/>
  <c r="B2062" i="2"/>
  <c r="C2062" i="2" s="1"/>
  <c r="D1170" i="2"/>
  <c r="D1547" i="2"/>
  <c r="B1084" i="2"/>
  <c r="C1084" i="2" s="1"/>
  <c r="D241" i="2"/>
  <c r="B1471" i="2"/>
  <c r="C1471" i="2" s="1"/>
  <c r="D451" i="2"/>
  <c r="D2104" i="2"/>
  <c r="B1594" i="2"/>
  <c r="C1594" i="2" s="1"/>
  <c r="B1007" i="2"/>
  <c r="C1007" i="2" s="1"/>
  <c r="D1587" i="2"/>
  <c r="B1209" i="2"/>
  <c r="C1209" i="2" s="1"/>
  <c r="D931" i="2"/>
  <c r="B1111" i="2"/>
  <c r="C1111" i="2" s="1"/>
  <c r="D2096" i="2"/>
  <c r="B2056" i="2"/>
  <c r="C2056" i="2" s="1"/>
  <c r="B1077" i="2"/>
  <c r="C1077" i="2" s="1"/>
  <c r="D1689" i="2"/>
  <c r="B195" i="2"/>
  <c r="C195" i="2" s="1"/>
  <c r="D1472" i="2"/>
  <c r="B334" i="2"/>
  <c r="C334" i="2" s="1"/>
  <c r="D529" i="2"/>
  <c r="B1237" i="2"/>
  <c r="C1237" i="2" s="1"/>
  <c r="D436" i="2"/>
  <c r="B1505" i="2"/>
  <c r="C1505" i="2" s="1"/>
  <c r="D1096" i="2"/>
  <c r="D996" i="2"/>
  <c r="D915" i="2"/>
  <c r="D1452" i="2"/>
  <c r="B2054" i="2"/>
  <c r="C2054" i="2" s="1"/>
  <c r="B689" i="2"/>
  <c r="C689" i="2" s="1"/>
  <c r="D402" i="2"/>
  <c r="D224" i="2"/>
  <c r="B872" i="2"/>
  <c r="C872" i="2" s="1"/>
  <c r="D1722" i="2"/>
  <c r="D506" i="2"/>
  <c r="B2119" i="2"/>
  <c r="C2119" i="2" s="1"/>
  <c r="B877" i="2"/>
  <c r="C877" i="2" s="1"/>
  <c r="B1127" i="2"/>
  <c r="C1127" i="2" s="1"/>
  <c r="D794" i="2"/>
  <c r="B419" i="2"/>
  <c r="C419" i="2" s="1"/>
  <c r="D1039" i="2"/>
  <c r="D1439" i="2"/>
  <c r="B600" i="2"/>
  <c r="C600" i="2" s="1"/>
  <c r="B1702" i="2"/>
  <c r="C1702" i="2" s="1"/>
  <c r="D1300" i="2"/>
  <c r="D845" i="2"/>
  <c r="B1729" i="2"/>
  <c r="C1729" i="2" s="1"/>
  <c r="B1513" i="2"/>
  <c r="C1513" i="2" s="1"/>
  <c r="D2095" i="2"/>
  <c r="B265" i="2"/>
  <c r="C265" i="2" s="1"/>
  <c r="D2066" i="2"/>
  <c r="B693" i="2"/>
  <c r="C693" i="2" s="1"/>
  <c r="D1159" i="2"/>
  <c r="D284" i="2"/>
  <c r="B2108" i="2"/>
  <c r="C2108" i="2" s="1"/>
  <c r="D1832" i="2"/>
  <c r="B1890" i="2"/>
  <c r="C1890" i="2" s="1"/>
  <c r="B575" i="2"/>
  <c r="C575" i="2" s="1"/>
  <c r="B55" i="2"/>
  <c r="C55" i="2" s="1"/>
  <c r="B1528" i="2"/>
  <c r="C1528" i="2" s="1"/>
  <c r="B107" i="2"/>
  <c r="C107" i="2" s="1"/>
  <c r="D225" i="2"/>
  <c r="B167" i="2"/>
  <c r="C167" i="2" s="1"/>
  <c r="B1529" i="2"/>
  <c r="C1529" i="2" s="1"/>
  <c r="B527" i="2"/>
  <c r="C527" i="2" s="1"/>
  <c r="B1844" i="2"/>
  <c r="C1844" i="2" s="1"/>
  <c r="B1211" i="2"/>
  <c r="C1211" i="2" s="1"/>
  <c r="D452" i="2"/>
  <c r="B932" i="2"/>
  <c r="C932" i="2" s="1"/>
  <c r="B1811" i="2"/>
  <c r="C1811" i="2" s="1"/>
  <c r="D905" i="2"/>
  <c r="B2055" i="2"/>
  <c r="C2055" i="2" s="1"/>
  <c r="D1041" i="2"/>
  <c r="D1851" i="2"/>
  <c r="D124" i="2"/>
  <c r="B1122" i="2"/>
  <c r="C1122" i="2" s="1"/>
  <c r="B1928" i="2"/>
  <c r="C1928" i="2" s="1"/>
  <c r="D675" i="2"/>
  <c r="D1557" i="2"/>
  <c r="B1227" i="2"/>
  <c r="C1227" i="2" s="1"/>
  <c r="B402" i="2"/>
  <c r="C402" i="2" s="1"/>
  <c r="B1872" i="2"/>
  <c r="C1872" i="2" s="1"/>
  <c r="D493" i="2"/>
  <c r="D2087" i="2"/>
  <c r="B157" i="2"/>
  <c r="C157" i="2" s="1"/>
  <c r="D2043" i="2"/>
  <c r="B166" i="2"/>
  <c r="C166" i="2" s="1"/>
  <c r="D538" i="2"/>
  <c r="D1542" i="2"/>
  <c r="B1219" i="2"/>
  <c r="C1219" i="2" s="1"/>
  <c r="D2051" i="2"/>
  <c r="B1583" i="2"/>
  <c r="C1583" i="2" s="1"/>
  <c r="B1812" i="2"/>
  <c r="C1812" i="2" s="1"/>
  <c r="B386" i="2"/>
  <c r="C386" i="2" s="1"/>
  <c r="D978" i="2"/>
  <c r="B534" i="2"/>
  <c r="C534" i="2" s="1"/>
  <c r="D1687" i="2"/>
  <c r="D330" i="2"/>
  <c r="B1337" i="2"/>
  <c r="C1337" i="2" s="1"/>
  <c r="D2139" i="2"/>
  <c r="B1445" i="2"/>
  <c r="C1445" i="2" s="1"/>
  <c r="D1210" i="2"/>
  <c r="D1220" i="2"/>
  <c r="B1545" i="2"/>
  <c r="C1545" i="2" s="1"/>
  <c r="D2089" i="2"/>
  <c r="D2109" i="2"/>
  <c r="D1430" i="2"/>
  <c r="B671" i="2"/>
  <c r="C671" i="2" s="1"/>
  <c r="B275" i="2"/>
  <c r="C275" i="2" s="1"/>
  <c r="B1103" i="2"/>
  <c r="C1103" i="2" s="1"/>
  <c r="B67" i="2"/>
  <c r="C67" i="2" s="1"/>
  <c r="B735" i="2"/>
  <c r="C735" i="2" s="1"/>
  <c r="B1366" i="2"/>
  <c r="C1366" i="2" s="1"/>
  <c r="B79" i="2"/>
  <c r="C79" i="2" s="1"/>
  <c r="D1575" i="2"/>
  <c r="B1813" i="2"/>
  <c r="C1813" i="2" s="1"/>
  <c r="D2111" i="2"/>
  <c r="B954" i="2"/>
  <c r="C954" i="2" s="1"/>
  <c r="D227" i="2"/>
  <c r="D774" i="2"/>
  <c r="D1664" i="2"/>
  <c r="B557" i="2"/>
  <c r="C557" i="2" s="1"/>
  <c r="B113" i="2"/>
  <c r="C113" i="2" s="1"/>
  <c r="D516" i="2"/>
  <c r="D1919" i="2"/>
  <c r="D1227" i="2"/>
  <c r="B1363" i="2"/>
  <c r="C1363" i="2" s="1"/>
  <c r="D1812" i="2"/>
  <c r="D228" i="2"/>
  <c r="D817" i="2"/>
  <c r="B509" i="2"/>
  <c r="C509" i="2" s="1"/>
  <c r="B1443" i="2"/>
  <c r="C1443" i="2" s="1"/>
  <c r="B1611" i="2"/>
  <c r="C1611" i="2" s="1"/>
  <c r="B268" i="2"/>
  <c r="C268" i="2" s="1"/>
  <c r="D1492" i="2"/>
  <c r="D492" i="2"/>
  <c r="B1223" i="2"/>
  <c r="C1223" i="2" s="1"/>
  <c r="B383" i="2"/>
  <c r="C383" i="2" s="1"/>
  <c r="B664" i="2"/>
  <c r="C664" i="2" s="1"/>
  <c r="B1132" i="2"/>
  <c r="C1132" i="2" s="1"/>
  <c r="D1365" i="2"/>
  <c r="D1546" i="2"/>
  <c r="B81" i="2"/>
  <c r="C81" i="2" s="1"/>
  <c r="B73" i="2"/>
  <c r="C73" i="2" s="1"/>
  <c r="D796" i="2"/>
  <c r="B1901" i="2"/>
  <c r="C1901" i="2" s="1"/>
  <c r="D129" i="2"/>
  <c r="D893" i="2"/>
  <c r="D1625" i="2"/>
  <c r="D1274" i="2"/>
  <c r="B507" i="2"/>
  <c r="C507" i="2" s="1"/>
  <c r="B456" i="2"/>
  <c r="C456" i="2" s="1"/>
  <c r="D570" i="2"/>
  <c r="D1063" i="2"/>
  <c r="D1265" i="2"/>
  <c r="D145" i="2"/>
  <c r="B2092" i="2"/>
  <c r="C2092" i="2" s="1"/>
  <c r="B616" i="2"/>
  <c r="C616" i="2" s="1"/>
  <c r="D1895" i="2"/>
  <c r="D941" i="2"/>
  <c r="B897" i="2"/>
  <c r="C897" i="2" s="1"/>
  <c r="B1908" i="2"/>
  <c r="C1908" i="2" s="1"/>
  <c r="B772" i="2"/>
  <c r="C772" i="2" s="1"/>
  <c r="B345" i="2"/>
  <c r="C345" i="2" s="1"/>
  <c r="D1830" i="2"/>
  <c r="B2065" i="2"/>
  <c r="C2065" i="2" s="1"/>
  <c r="D424" i="2"/>
  <c r="B1632" i="2"/>
  <c r="C1632" i="2" s="1"/>
  <c r="D1161" i="2"/>
  <c r="D831" i="2"/>
  <c r="D579" i="2"/>
  <c r="D1618" i="2"/>
  <c r="B1159" i="2"/>
  <c r="C1159" i="2" s="1"/>
  <c r="D85" i="2"/>
  <c r="D1380" i="2"/>
  <c r="D2084" i="2"/>
  <c r="D1473" i="2"/>
  <c r="D2127" i="2"/>
  <c r="B831" i="2"/>
  <c r="C831" i="2" s="1"/>
  <c r="B914" i="2"/>
  <c r="C914" i="2" s="1"/>
  <c r="D1080" i="2"/>
  <c r="D333" i="2"/>
  <c r="D883" i="2"/>
  <c r="B551" i="2"/>
  <c r="C551" i="2" s="1"/>
  <c r="B703" i="2"/>
  <c r="C703" i="2" s="1"/>
  <c r="B72" i="2"/>
  <c r="C72" i="2" s="1"/>
  <c r="D1119" i="2"/>
  <c r="B1478" i="2"/>
  <c r="C1478" i="2" s="1"/>
  <c r="B685" i="2"/>
  <c r="C685" i="2" s="1"/>
  <c r="D183" i="2"/>
  <c r="B65" i="2"/>
  <c r="C65" i="2" s="1"/>
  <c r="B176" i="2"/>
  <c r="C176" i="2" s="1"/>
  <c r="D2064" i="2"/>
  <c r="B357" i="2"/>
  <c r="C357" i="2" s="1"/>
  <c r="D295" i="2"/>
  <c r="B1225" i="2"/>
  <c r="C1225" i="2" s="1"/>
  <c r="B1307" i="2"/>
  <c r="C1307" i="2" s="1"/>
  <c r="D1902" i="2"/>
  <c r="D732" i="2"/>
  <c r="B300" i="2"/>
  <c r="C300" i="2" s="1"/>
  <c r="D730" i="2"/>
  <c r="B1567" i="2"/>
  <c r="C1567" i="2" s="1"/>
  <c r="D1409" i="2"/>
  <c r="D1614" i="2"/>
  <c r="D1197" i="2"/>
  <c r="B1577" i="2"/>
  <c r="C1577" i="2" s="1"/>
  <c r="B516" i="2"/>
  <c r="C516" i="2" s="1"/>
  <c r="D1163" i="2"/>
  <c r="D667" i="2"/>
  <c r="D98" i="2"/>
  <c r="D577" i="2"/>
  <c r="D1172" i="2"/>
  <c r="D1616" i="2"/>
  <c r="D1583" i="2"/>
  <c r="B331" i="2"/>
  <c r="C331" i="2" s="1"/>
  <c r="B1551" i="2"/>
  <c r="C1551" i="2" s="1"/>
  <c r="D140" i="2"/>
  <c r="B1618" i="2"/>
  <c r="C1618" i="2" s="1"/>
  <c r="D515" i="2"/>
  <c r="D1909" i="2"/>
  <c r="D1548" i="2"/>
  <c r="D520" i="2"/>
  <c r="D385" i="2"/>
  <c r="D488" i="2"/>
  <c r="B1820" i="2"/>
  <c r="C1820" i="2" s="1"/>
  <c r="D347" i="2"/>
  <c r="B905" i="2"/>
  <c r="C905" i="2" s="1"/>
  <c r="B1960" i="2"/>
  <c r="C1960" i="2" s="1"/>
  <c r="B1769" i="2"/>
  <c r="C1769" i="2" s="1"/>
  <c r="B1562" i="2"/>
  <c r="C1562" i="2" s="1"/>
  <c r="D721" i="2"/>
  <c r="D1434" i="2"/>
  <c r="D1504" i="2"/>
  <c r="D1346" i="2"/>
  <c r="B1150" i="2"/>
  <c r="C1150" i="2" s="1"/>
  <c r="D1681" i="2"/>
  <c r="B1297" i="2"/>
  <c r="C1297" i="2" s="1"/>
  <c r="D1085" i="2"/>
  <c r="B1045" i="2"/>
  <c r="C1045" i="2" s="1"/>
  <c r="B639" i="2"/>
  <c r="C639" i="2" s="1"/>
  <c r="D695" i="2"/>
  <c r="B725" i="2"/>
  <c r="C725" i="2" s="1"/>
  <c r="B416" i="2"/>
  <c r="C416" i="2" s="1"/>
  <c r="D1975" i="2"/>
  <c r="D1784" i="2"/>
  <c r="B1400" i="2"/>
  <c r="C1400" i="2" s="1"/>
  <c r="D133" i="2"/>
  <c r="D1560" i="2"/>
  <c r="D300" i="2"/>
  <c r="D175" i="2"/>
  <c r="B1963" i="2"/>
  <c r="C1963" i="2" s="1"/>
  <c r="D450" i="2"/>
  <c r="D1598" i="2"/>
  <c r="B1502" i="2"/>
  <c r="C1502" i="2" s="1"/>
  <c r="B428" i="2"/>
  <c r="C428" i="2" s="1"/>
  <c r="B299" i="2"/>
  <c r="C299" i="2" s="1"/>
  <c r="D1559" i="2"/>
  <c r="B1493" i="2"/>
  <c r="C1493" i="2" s="1"/>
  <c r="D1567" i="2"/>
  <c r="D1972" i="2"/>
  <c r="B717" i="2"/>
  <c r="C717" i="2" s="1"/>
  <c r="D327" i="2"/>
  <c r="B1114" i="2"/>
  <c r="C1114" i="2" s="1"/>
  <c r="B1666" i="2"/>
  <c r="C1666" i="2" s="1"/>
  <c r="B153" i="2"/>
  <c r="C153" i="2" s="1"/>
  <c r="D1656" i="2"/>
  <c r="B657" i="2"/>
  <c r="C657" i="2" s="1"/>
  <c r="D179" i="2"/>
  <c r="D251" i="2"/>
  <c r="D1319" i="2"/>
  <c r="D1698" i="2"/>
  <c r="B1333" i="2"/>
  <c r="C1333" i="2" s="1"/>
  <c r="D350" i="2"/>
  <c r="D1634" i="2"/>
  <c r="D456" i="2"/>
  <c r="D1230" i="2"/>
  <c r="B1263" i="2"/>
  <c r="C1263" i="2" s="1"/>
  <c r="B396" i="2"/>
  <c r="C396" i="2" s="1"/>
  <c r="B272" i="2"/>
  <c r="C272" i="2" s="1"/>
  <c r="B1979" i="2"/>
  <c r="C1979" i="2" s="1"/>
  <c r="D1859" i="2"/>
  <c r="D914" i="2"/>
  <c r="D1632" i="2"/>
  <c r="B1735" i="2"/>
  <c r="C1735" i="2" s="1"/>
  <c r="D234" i="2"/>
  <c r="B1651" i="2"/>
  <c r="C1651" i="2" s="1"/>
  <c r="B1335" i="2"/>
  <c r="C1335" i="2" s="1"/>
  <c r="D1442" i="2"/>
  <c r="D239" i="2"/>
  <c r="B2136" i="2"/>
  <c r="C2136" i="2" s="1"/>
  <c r="B1001" i="2"/>
  <c r="C1001" i="2" s="1"/>
  <c r="B2099" i="2"/>
  <c r="C2099" i="2" s="1"/>
  <c r="D1035" i="2"/>
  <c r="D309" i="2"/>
  <c r="B1413" i="2"/>
  <c r="C1413" i="2" s="1"/>
  <c r="B2121" i="2"/>
  <c r="C2121" i="2" s="1"/>
  <c r="B788" i="2"/>
  <c r="C788" i="2" s="1"/>
  <c r="D1263" i="2"/>
  <c r="B2085" i="2"/>
  <c r="C2085" i="2" s="1"/>
  <c r="B2132" i="2"/>
  <c r="C2132" i="2" s="1"/>
  <c r="B1976" i="2"/>
  <c r="C1976" i="2" s="1"/>
  <c r="B387" i="2"/>
  <c r="C387" i="2" s="1"/>
  <c r="D1713" i="2"/>
  <c r="B895" i="2"/>
  <c r="C895" i="2" s="1"/>
  <c r="B836" i="2"/>
  <c r="C836" i="2" s="1"/>
  <c r="D1971" i="2"/>
  <c r="B168" i="2"/>
  <c r="C168" i="2" s="1"/>
  <c r="D223" i="2"/>
  <c r="B367" i="2"/>
  <c r="C367" i="2" s="1"/>
  <c r="D2068" i="2"/>
  <c r="D1044" i="2"/>
  <c r="B821" i="2"/>
  <c r="C821" i="2" s="1"/>
  <c r="B782" i="2"/>
  <c r="C782" i="2" s="1"/>
  <c r="B319" i="2"/>
  <c r="C319" i="2" s="1"/>
  <c r="B270" i="2"/>
  <c r="C270" i="2" s="1"/>
  <c r="B529" i="2"/>
  <c r="C529" i="2" s="1"/>
  <c r="D413" i="2"/>
  <c r="D96" i="2"/>
  <c r="D605" i="2"/>
  <c r="B1752" i="2"/>
  <c r="C1752" i="2" s="1"/>
  <c r="D1381" i="2"/>
  <c r="B727" i="2"/>
  <c r="C727" i="2" s="1"/>
  <c r="D1989" i="2"/>
  <c r="D1093" i="2"/>
  <c r="D1413" i="2"/>
  <c r="D813" i="2"/>
  <c r="D46" i="2"/>
  <c r="B837" i="2"/>
  <c r="C837" i="2" s="1"/>
  <c r="D113" i="2"/>
  <c r="D1604" i="2"/>
  <c r="B692" i="2"/>
  <c r="C692" i="2" s="1"/>
  <c r="B54" i="2"/>
  <c r="C54" i="2" s="1"/>
  <c r="B1515" i="2"/>
  <c r="C1515" i="2" s="1"/>
  <c r="B2060" i="2"/>
  <c r="C2060" i="2" s="1"/>
  <c r="B1846" i="2"/>
  <c r="C1846" i="2" s="1"/>
  <c r="D1268" i="2"/>
  <c r="B480" i="2"/>
  <c r="C480" i="2" s="1"/>
  <c r="B1331" i="2"/>
  <c r="C1331" i="2" s="1"/>
  <c r="D564" i="2"/>
  <c r="B496" i="2"/>
  <c r="C496" i="2" s="1"/>
  <c r="D453" i="2"/>
  <c r="B1883" i="2"/>
  <c r="C1883" i="2" s="1"/>
  <c r="D748" i="2"/>
  <c r="D1485" i="2"/>
  <c r="D989" i="2"/>
  <c r="D1790" i="2"/>
  <c r="B2050" i="2"/>
  <c r="C2050" i="2" s="1"/>
  <c r="D939" i="2"/>
  <c r="D788" i="2"/>
  <c r="B1534" i="2"/>
  <c r="C1534" i="2" s="1"/>
  <c r="D871" i="2"/>
  <c r="B811" i="2"/>
  <c r="C811" i="2" s="1"/>
  <c r="D1551" i="2"/>
  <c r="B737" i="2"/>
  <c r="C737" i="2" s="1"/>
  <c r="D2092" i="2"/>
  <c r="B317" i="2"/>
  <c r="C317" i="2" s="1"/>
  <c r="O1531" i="2"/>
  <c r="P1531" i="2" s="1"/>
  <c r="R1531" i="2" s="1"/>
  <c r="U1531" i="2" s="1"/>
  <c r="B694" i="2"/>
  <c r="C694" i="2" s="1"/>
  <c r="D199" i="2"/>
  <c r="B2120" i="2"/>
  <c r="C2120" i="2" s="1"/>
  <c r="B1792" i="2"/>
  <c r="C1792" i="2" s="1"/>
  <c r="D1239" i="2"/>
  <c r="D1911" i="2"/>
  <c r="D62" i="2"/>
  <c r="B432" i="2"/>
  <c r="C432" i="2" s="1"/>
  <c r="D486" i="2"/>
  <c r="D320" i="2"/>
  <c r="B234" i="2"/>
  <c r="C234" i="2" s="1"/>
  <c r="D1846" i="2"/>
  <c r="D123" i="2"/>
  <c r="B1377" i="2"/>
  <c r="C1377" i="2" s="1"/>
  <c r="B1197" i="2"/>
  <c r="C1197" i="2" s="1"/>
  <c r="B2097" i="2"/>
  <c r="C2097" i="2" s="1"/>
  <c r="B154" i="2"/>
  <c r="C154" i="2" s="1"/>
  <c r="B1692" i="2"/>
  <c r="C1692" i="2" s="1"/>
  <c r="B206" i="2"/>
  <c r="C206" i="2" s="1"/>
  <c r="D1943" i="2"/>
  <c r="B884" i="2"/>
  <c r="C884" i="2" s="1"/>
  <c r="B261" i="2"/>
  <c r="C261" i="2" s="1"/>
  <c r="B1057" i="2"/>
  <c r="C1057" i="2" s="1"/>
  <c r="B1204" i="2"/>
  <c r="C1204" i="2" s="1"/>
  <c r="B1798" i="2"/>
  <c r="C1798" i="2" s="1"/>
  <c r="D1777" i="2"/>
  <c r="D1440" i="2"/>
  <c r="D814" i="2"/>
  <c r="D835" i="2"/>
  <c r="D373" i="2"/>
  <c r="D1505" i="2"/>
  <c r="D829" i="2"/>
  <c r="B1518" i="2"/>
  <c r="C1518" i="2" s="1"/>
  <c r="D315" i="2"/>
  <c r="B1727" i="2"/>
  <c r="C1727" i="2" s="1"/>
  <c r="B1697" i="2"/>
  <c r="C1697" i="2" s="1"/>
  <c r="B2046" i="2"/>
  <c r="C2046" i="2" s="1"/>
  <c r="B813" i="2"/>
  <c r="C813" i="2" s="1"/>
  <c r="D1477" i="2"/>
  <c r="D2080" i="2"/>
  <c r="D69" i="2"/>
  <c r="D2075" i="2"/>
  <c r="B1456" i="2"/>
  <c r="C1456" i="2" s="1"/>
  <c r="D1479" i="2"/>
  <c r="D1246" i="2"/>
  <c r="B1274" i="2"/>
  <c r="C1274" i="2" s="1"/>
  <c r="B1876" i="2"/>
  <c r="C1876" i="2" s="1"/>
  <c r="D86" i="2"/>
  <c r="B514" i="2"/>
  <c r="C514" i="2" s="1"/>
  <c r="B887" i="2"/>
  <c r="C887" i="2" s="1"/>
  <c r="D1503" i="2"/>
  <c r="D2003" i="2"/>
  <c r="B573" i="2"/>
  <c r="C573" i="2" s="1"/>
  <c r="D1866" i="2"/>
  <c r="D584" i="2"/>
  <c r="D837" i="2"/>
  <c r="D749" i="2"/>
  <c r="B1588" i="2"/>
  <c r="C1588" i="2" s="1"/>
  <c r="B2109" i="2"/>
  <c r="C2109" i="2" s="1"/>
  <c r="D2126" i="2"/>
  <c r="D673" i="2"/>
  <c r="D1003" i="2"/>
  <c r="B1340" i="2"/>
  <c r="C1340" i="2" s="1"/>
  <c r="B1581" i="2"/>
  <c r="C1581" i="2" s="1"/>
  <c r="D698" i="2"/>
  <c r="D357" i="2"/>
  <c r="D1029" i="2"/>
  <c r="B358" i="2"/>
  <c r="C358" i="2" s="1"/>
  <c r="B1293" i="2"/>
  <c r="C1293" i="2" s="1"/>
  <c r="D222" i="2"/>
  <c r="D1612" i="2"/>
  <c r="B763" i="2"/>
  <c r="C763" i="2" s="1"/>
  <c r="B321" i="2"/>
  <c r="C321" i="2" s="1"/>
  <c r="D1764" i="2"/>
  <c r="D397" i="2"/>
  <c r="D1192" i="2"/>
  <c r="B1375" i="2"/>
  <c r="C1375" i="2" s="1"/>
  <c r="D1379" i="2"/>
  <c r="B736" i="2"/>
  <c r="C736" i="2" s="1"/>
  <c r="B425" i="2"/>
  <c r="C425" i="2" s="1"/>
  <c r="D496" i="2"/>
  <c r="D396" i="2"/>
  <c r="B1662" i="2"/>
  <c r="C1662" i="2" s="1"/>
  <c r="B582" i="2"/>
  <c r="C582" i="2" s="1"/>
  <c r="B346" i="2"/>
  <c r="C346" i="2" s="1"/>
  <c r="B437" i="2"/>
  <c r="C437" i="2" s="1"/>
  <c r="D2009" i="2"/>
  <c r="D379" i="2"/>
  <c r="B110" i="2"/>
  <c r="C110" i="2" s="1"/>
  <c r="D1198" i="2"/>
  <c r="B1711" i="2"/>
  <c r="C1711" i="2" s="1"/>
  <c r="B1865" i="2"/>
  <c r="C1865" i="2" s="1"/>
  <c r="B1076" i="2"/>
  <c r="C1076" i="2" s="1"/>
  <c r="B1004" i="2"/>
  <c r="C1004" i="2" s="1"/>
  <c r="D2059" i="2"/>
  <c r="D1772" i="2"/>
  <c r="B1296" i="2"/>
  <c r="C1296" i="2" s="1"/>
  <c r="B1507" i="2"/>
  <c r="C1507" i="2" s="1"/>
  <c r="B472" i="2"/>
  <c r="C472" i="2" s="1"/>
  <c r="D1025" i="2"/>
  <c r="D171" i="2"/>
  <c r="D763" i="2"/>
  <c r="D539" i="2"/>
  <c r="B1829" i="2"/>
  <c r="C1829" i="2" s="1"/>
  <c r="B49" i="2"/>
  <c r="C49" i="2" s="1"/>
  <c r="D708" i="2"/>
  <c r="B1397" i="2"/>
  <c r="C1397" i="2" s="1"/>
  <c r="B1104" i="2"/>
  <c r="C1104" i="2" s="1"/>
  <c r="B348" i="2"/>
  <c r="C348" i="2" s="1"/>
  <c r="B475" i="2"/>
  <c r="C475" i="2" s="1"/>
  <c r="B1972" i="2"/>
  <c r="C1972" i="2" s="1"/>
  <c r="B506" i="2"/>
  <c r="C506" i="2" s="1"/>
  <c r="B1079" i="2"/>
  <c r="C1079" i="2" s="1"/>
  <c r="B1357" i="2"/>
  <c r="C1357" i="2" s="1"/>
  <c r="B673" i="2"/>
  <c r="C673" i="2" s="1"/>
  <c r="B1128" i="2"/>
  <c r="C1128" i="2" s="1"/>
  <c r="D2017" i="2"/>
  <c r="D903" i="2"/>
  <c r="D1315" i="2"/>
  <c r="B2007" i="2"/>
  <c r="C2007" i="2" s="1"/>
  <c r="D1945" i="2"/>
  <c r="B1687" i="2"/>
  <c r="C1687" i="2" s="1"/>
  <c r="B295" i="2"/>
  <c r="C295" i="2" s="1"/>
  <c r="D1171" i="2"/>
  <c r="D2073" i="2"/>
  <c r="D637" i="2"/>
  <c r="B2012" i="2"/>
  <c r="C2012" i="2" s="1"/>
  <c r="D507" i="2"/>
  <c r="B2075" i="2"/>
  <c r="C2075" i="2" s="1"/>
  <c r="B2030" i="2"/>
  <c r="C2030" i="2" s="1"/>
  <c r="D489" i="2"/>
  <c r="B1587" i="2"/>
  <c r="C1587" i="2" s="1"/>
  <c r="B1835" i="2"/>
  <c r="C1835" i="2" s="1"/>
  <c r="B2058" i="2"/>
  <c r="C2058" i="2" s="1"/>
  <c r="B85" i="2"/>
  <c r="C85" i="2" s="1"/>
  <c r="D407" i="2"/>
  <c r="D1631" i="2"/>
  <c r="B51" i="2"/>
  <c r="C51" i="2" s="1"/>
  <c r="B851" i="2"/>
  <c r="C851" i="2" s="1"/>
  <c r="B130" i="2"/>
  <c r="C130" i="2" s="1"/>
  <c r="B1754" i="2"/>
  <c r="C1754" i="2" s="1"/>
  <c r="B60" i="2"/>
  <c r="C60" i="2" s="1"/>
  <c r="B59" i="2"/>
  <c r="C59" i="2" s="1"/>
  <c r="B945" i="2"/>
  <c r="C945" i="2" s="1"/>
  <c r="B289" i="2"/>
  <c r="C289" i="2" s="1"/>
  <c r="B1772" i="2"/>
  <c r="C1772" i="2" s="1"/>
  <c r="D1518" i="2"/>
  <c r="D1796" i="2"/>
  <c r="D1756" i="2"/>
  <c r="D151" i="2"/>
  <c r="D712" i="2"/>
  <c r="B1199" i="2"/>
  <c r="C1199" i="2" s="1"/>
  <c r="B1935" i="2"/>
  <c r="C1935" i="2" s="1"/>
  <c r="B391" i="2"/>
  <c r="C391" i="2" s="1"/>
  <c r="D1329" i="2"/>
  <c r="D734" i="2"/>
  <c r="B1245" i="2"/>
  <c r="C1245" i="2" s="1"/>
  <c r="D1134" i="2"/>
  <c r="B2095" i="2"/>
  <c r="C2095" i="2" s="1"/>
  <c r="D430" i="2"/>
  <c r="B374" i="2"/>
  <c r="C374" i="2" s="1"/>
  <c r="B1250" i="2"/>
  <c r="C1250" i="2" s="1"/>
  <c r="B814" i="2"/>
  <c r="C814" i="2" s="1"/>
  <c r="D1668" i="2"/>
  <c r="B1753" i="2"/>
  <c r="C1753" i="2" s="1"/>
  <c r="D518" i="2"/>
  <c r="B1895" i="2"/>
  <c r="C1895" i="2" s="1"/>
  <c r="D1932" i="2"/>
  <c r="D393" i="2"/>
  <c r="B2079" i="2"/>
  <c r="C2079" i="2" s="1"/>
  <c r="B1709" i="2"/>
  <c r="C1709" i="2" s="1"/>
  <c r="D2132" i="2"/>
  <c r="D274" i="2"/>
  <c r="B1221" i="2"/>
  <c r="C1221" i="2" s="1"/>
  <c r="B1869" i="2"/>
  <c r="C1869" i="2" s="1"/>
  <c r="D72" i="2"/>
  <c r="B1608" i="2"/>
  <c r="C1608" i="2" s="1"/>
  <c r="B1327" i="2"/>
  <c r="C1327" i="2" s="1"/>
  <c r="D71" i="2"/>
  <c r="D826" i="2"/>
  <c r="D1475" i="2"/>
  <c r="B599" i="2"/>
  <c r="C599" i="2" s="1"/>
  <c r="B508" i="2"/>
  <c r="C508" i="2" s="1"/>
  <c r="D1526" i="2"/>
  <c r="B594" i="2"/>
  <c r="C594" i="2" s="1"/>
  <c r="B1775" i="2"/>
  <c r="C1775" i="2" s="1"/>
  <c r="D1753" i="2"/>
  <c r="D781" i="2"/>
  <c r="D1001" i="2"/>
  <c r="D184" i="2"/>
  <c r="D1065" i="2"/>
  <c r="B2126" i="2"/>
  <c r="C2126" i="2" s="1"/>
  <c r="D2065" i="2"/>
  <c r="D805" i="2"/>
  <c r="D1212" i="2"/>
  <c r="B495" i="2"/>
  <c r="C495" i="2" s="1"/>
  <c r="B731" i="2"/>
  <c r="C731" i="2" s="1"/>
  <c r="D1701" i="2"/>
  <c r="B1757" i="2"/>
  <c r="C1757" i="2" s="1"/>
  <c r="B359" i="2"/>
  <c r="C359" i="2" s="1"/>
  <c r="D147" i="2"/>
  <c r="D1031" i="2"/>
  <c r="B120" i="2"/>
  <c r="C120" i="2" s="1"/>
  <c r="D778" i="2"/>
  <c r="D2055" i="2"/>
  <c r="B1552" i="2"/>
  <c r="C1552" i="2" s="1"/>
  <c r="D108" i="2"/>
  <c r="D1465" i="2"/>
  <c r="B371" i="2"/>
  <c r="C371" i="2" s="1"/>
  <c r="B1683" i="2"/>
  <c r="C1683" i="2" s="1"/>
  <c r="B955" i="2"/>
  <c r="C955" i="2" s="1"/>
  <c r="D2057" i="2"/>
  <c r="B71" i="2"/>
  <c r="C71" i="2" s="1"/>
  <c r="D2085" i="2"/>
  <c r="D1400" i="2"/>
  <c r="D164" i="2"/>
  <c r="B571" i="2"/>
  <c r="C571" i="2" s="1"/>
  <c r="D201" i="2"/>
  <c r="D804" i="2"/>
  <c r="B912" i="2"/>
  <c r="C912" i="2" s="1"/>
  <c r="B1931" i="2"/>
  <c r="C1931" i="2" s="1"/>
  <c r="D1860" i="2"/>
  <c r="B486" i="2"/>
  <c r="C486" i="2" s="1"/>
  <c r="D226" i="2"/>
  <c r="D874" i="2"/>
  <c r="B1488" i="2"/>
  <c r="C1488" i="2" s="1"/>
  <c r="B1794" i="2"/>
  <c r="C1794" i="2" s="1"/>
  <c r="B1864" i="2"/>
  <c r="C1864" i="2" s="1"/>
  <c r="B517" i="2"/>
  <c r="C517" i="2" s="1"/>
  <c r="D1502" i="2"/>
  <c r="D1128" i="2"/>
  <c r="B1198" i="2"/>
  <c r="C1198" i="2" s="1"/>
  <c r="D1042" i="2"/>
  <c r="D1028" i="2"/>
  <c r="B341" i="2"/>
  <c r="C341" i="2" s="1"/>
  <c r="D1388" i="2"/>
  <c r="B57" i="2"/>
  <c r="C57" i="2" s="1"/>
  <c r="D990" i="2"/>
  <c r="B994" i="2"/>
  <c r="C994" i="2" s="1"/>
  <c r="D59" i="2"/>
  <c r="B838" i="2"/>
  <c r="C838" i="2" s="1"/>
  <c r="D1462" i="2"/>
  <c r="B290" i="2"/>
  <c r="C290" i="2" s="1"/>
  <c r="D360" i="2"/>
  <c r="D572" i="2"/>
  <c r="D174" i="2"/>
  <c r="D810" i="2"/>
  <c r="B1668" i="2"/>
  <c r="C1668" i="2" s="1"/>
  <c r="D475" i="2"/>
  <c r="B781" i="2"/>
  <c r="C781" i="2" s="1"/>
  <c r="D822" i="2"/>
  <c r="D1162" i="2"/>
  <c r="B1451" i="2"/>
  <c r="C1451" i="2" s="1"/>
  <c r="D2108" i="2"/>
  <c r="B485" i="2"/>
  <c r="C485" i="2" s="1"/>
  <c r="D55" i="2"/>
  <c r="D1611" i="2"/>
  <c r="B726" i="2"/>
  <c r="C726" i="2" s="1"/>
  <c r="D83" i="2"/>
  <c r="D908" i="2"/>
  <c r="D1987" i="2"/>
  <c r="B528" i="2"/>
  <c r="C528" i="2" s="1"/>
  <c r="B1048" i="2"/>
  <c r="C1048" i="2" s="1"/>
  <c r="D1019" i="2"/>
  <c r="B2053" i="2"/>
  <c r="C2053" i="2" s="1"/>
  <c r="B1460" i="2"/>
  <c r="C1460" i="2" s="1"/>
  <c r="B435" i="2"/>
  <c r="C435" i="2" s="1"/>
  <c r="B404" i="2"/>
  <c r="C404" i="2" s="1"/>
  <c r="B147" i="2"/>
  <c r="C147" i="2" s="1"/>
  <c r="D1356" i="2"/>
  <c r="B1480" i="2"/>
  <c r="C1480" i="2" s="1"/>
  <c r="B1184" i="2"/>
  <c r="C1184" i="2" s="1"/>
  <c r="D1481" i="2"/>
  <c r="D1809" i="2"/>
  <c r="D431" i="2"/>
  <c r="D1750" i="2"/>
  <c r="D639" i="2"/>
  <c r="B1162" i="2"/>
  <c r="C1162" i="2" s="1"/>
  <c r="D1114" i="2"/>
  <c r="D1738" i="2"/>
  <c r="B1595" i="2"/>
  <c r="C1595" i="2" s="1"/>
  <c r="B1569" i="2"/>
  <c r="C1569" i="2" s="1"/>
  <c r="D410" i="2"/>
  <c r="B860" i="2"/>
  <c r="C860" i="2" s="1"/>
  <c r="D428" i="2"/>
  <c r="D119" i="2"/>
  <c r="D369" i="2"/>
  <c r="B1717" i="2"/>
  <c r="C1717" i="2" s="1"/>
  <c r="B1892" i="2"/>
  <c r="C1892" i="2" s="1"/>
  <c r="B2017" i="2"/>
  <c r="C2017" i="2" s="1"/>
  <c r="D250" i="2"/>
  <c r="B89" i="2"/>
  <c r="C89" i="2" s="1"/>
  <c r="B1755" i="2"/>
  <c r="C1755" i="2" s="1"/>
  <c r="B183" i="2"/>
  <c r="C183" i="2" s="1"/>
  <c r="D429" i="2"/>
  <c r="B413" i="2"/>
  <c r="C413" i="2" s="1"/>
  <c r="B390" i="2"/>
  <c r="C390" i="2" s="1"/>
  <c r="D1686" i="2"/>
  <c r="B1525" i="2"/>
  <c r="C1525" i="2" s="1"/>
  <c r="D298" i="2"/>
  <c r="D1869" i="2"/>
  <c r="B1382" i="2"/>
  <c r="C1382" i="2" s="1"/>
  <c r="D65" i="2"/>
  <c r="B768" i="2"/>
  <c r="C768" i="2" s="1"/>
  <c r="D1537" i="2"/>
  <c r="D1654" i="2"/>
  <c r="B1218" i="2"/>
  <c r="C1218" i="2" s="1"/>
  <c r="D594" i="2"/>
  <c r="B1107" i="2"/>
  <c r="C1107" i="2" s="1"/>
  <c r="D1244" i="2"/>
  <c r="D1141" i="2"/>
  <c r="D1742" i="2"/>
  <c r="D167" i="2"/>
  <c r="B1710" i="2"/>
  <c r="C1710" i="2" s="1"/>
  <c r="B565" i="2"/>
  <c r="C565" i="2" s="1"/>
  <c r="B1029" i="2"/>
  <c r="C1029" i="2" s="1"/>
  <c r="D2052" i="2"/>
  <c r="D2067" i="2"/>
  <c r="B114" i="2"/>
  <c r="C114" i="2" s="1"/>
  <c r="B2088" i="2"/>
  <c r="C2088" i="2" s="1"/>
  <c r="B533" i="2"/>
  <c r="C533" i="2" s="1"/>
  <c r="B1195" i="2"/>
  <c r="C1195" i="2" s="1"/>
  <c r="D1576" i="2"/>
  <c r="D1223" i="2"/>
  <c r="B375" i="2"/>
  <c r="C375" i="2" s="1"/>
  <c r="B2044" i="2"/>
  <c r="C2044" i="2" s="1"/>
  <c r="D1660" i="2"/>
  <c r="B1353" i="2"/>
  <c r="C1353" i="2" s="1"/>
  <c r="B457" i="2"/>
  <c r="C457" i="2" s="1"/>
  <c r="D1191" i="2"/>
  <c r="D356" i="2"/>
  <c r="B518" i="2"/>
  <c r="C518" i="2" s="1"/>
  <c r="D94" i="2"/>
  <c r="B758" i="2"/>
  <c r="C758" i="2" s="1"/>
  <c r="B988" i="2"/>
  <c r="C988" i="2" s="1"/>
  <c r="D977" i="2"/>
  <c r="B1848" i="2"/>
  <c r="C1848" i="2" s="1"/>
  <c r="B656" i="2"/>
  <c r="C656" i="2" s="1"/>
  <c r="D1712" i="2"/>
  <c r="B1574" i="2"/>
  <c r="C1574" i="2" s="1"/>
  <c r="D1156" i="2"/>
  <c r="D609" i="2"/>
  <c r="B372" i="2"/>
  <c r="C372" i="2" s="1"/>
  <c r="B1832" i="2"/>
  <c r="C1832" i="2" s="1"/>
  <c r="B1584" i="2"/>
  <c r="C1584" i="2" s="1"/>
  <c r="B1220" i="2"/>
  <c r="C1220" i="2" s="1"/>
  <c r="B802" i="2"/>
  <c r="C802" i="2" s="1"/>
  <c r="B993" i="2"/>
  <c r="C993" i="2" s="1"/>
  <c r="D216" i="2"/>
  <c r="D2047" i="2"/>
  <c r="D2090" i="2"/>
  <c r="B70" i="2"/>
  <c r="C70" i="2" s="1"/>
  <c r="D676" i="2"/>
  <c r="B1324" i="2"/>
  <c r="C1324" i="2" s="1"/>
  <c r="B521" i="2"/>
  <c r="C521" i="2" s="1"/>
  <c r="B1930" i="2"/>
  <c r="C1930" i="2" s="1"/>
  <c r="B2052" i="2"/>
  <c r="C2052" i="2" s="1"/>
  <c r="B825" i="2"/>
  <c r="C825" i="2" s="1"/>
  <c r="B1087" i="2"/>
  <c r="C1087" i="2" s="1"/>
  <c r="B216" i="2"/>
  <c r="C216" i="2" s="1"/>
  <c r="B1626" i="2"/>
  <c r="C1626" i="2" s="1"/>
  <c r="B1399" i="2"/>
  <c r="C1399" i="2" s="1"/>
  <c r="B1418" i="2"/>
  <c r="C1418" i="2" s="1"/>
  <c r="B982" i="2"/>
  <c r="C982" i="2" s="1"/>
  <c r="D2040" i="2"/>
  <c r="D1328" i="2"/>
  <c r="B793" i="2"/>
  <c r="C793" i="2" s="1"/>
  <c r="B899" i="2"/>
  <c r="C899" i="2" s="1"/>
  <c r="D418" i="2"/>
  <c r="B277" i="2"/>
  <c r="C277" i="2" s="1"/>
  <c r="B755" i="2"/>
  <c r="C755" i="2" s="1"/>
  <c r="D1414" i="2"/>
  <c r="B1067" i="2"/>
  <c r="C1067" i="2" s="1"/>
  <c r="D278" i="2"/>
  <c r="B889" i="2"/>
  <c r="C889" i="2" s="1"/>
  <c r="B411" i="2"/>
  <c r="C411" i="2" s="1"/>
  <c r="B1874" i="2"/>
  <c r="C1874" i="2" s="1"/>
  <c r="D1984" i="2"/>
  <c r="B2081" i="2"/>
  <c r="C2081" i="2" s="1"/>
  <c r="D707" i="2"/>
  <c r="D359" i="2"/>
  <c r="D1662" i="2"/>
  <c r="D1215" i="2"/>
  <c r="D63" i="2"/>
  <c r="D1116" i="2"/>
  <c r="D1977" i="2"/>
  <c r="B844" i="2"/>
  <c r="C844" i="2" s="1"/>
  <c r="D2031" i="2"/>
  <c r="D552" i="2"/>
  <c r="D285" i="2"/>
  <c r="B292" i="2"/>
  <c r="C292" i="2" s="1"/>
  <c r="D1605" i="2"/>
  <c r="B787" i="2"/>
  <c r="C787" i="2" s="1"/>
  <c r="B580" i="2"/>
  <c r="C580" i="2" s="1"/>
  <c r="B1951" i="2"/>
  <c r="C1951" i="2" s="1"/>
  <c r="B975" i="2"/>
  <c r="C975" i="2" s="1"/>
  <c r="D535" i="2"/>
  <c r="D1643" i="2"/>
  <c r="D1341" i="2"/>
  <c r="D1360" i="2"/>
  <c r="B2114" i="2"/>
  <c r="C2114" i="2" s="1"/>
  <c r="D1690" i="2"/>
  <c r="D789" i="2"/>
  <c r="B1305" i="2"/>
  <c r="C1305" i="2" s="1"/>
  <c r="D1948" i="2"/>
  <c r="B1303" i="2"/>
  <c r="C1303" i="2" s="1"/>
  <c r="D975" i="2"/>
  <c r="D1891" i="2"/>
  <c r="B1431" i="2"/>
  <c r="C1431" i="2" s="1"/>
  <c r="B347" i="2"/>
  <c r="C347" i="2" s="1"/>
  <c r="D543" i="2"/>
  <c r="D319" i="2"/>
  <c r="B1659" i="2"/>
  <c r="C1659" i="2" s="1"/>
  <c r="D860" i="2"/>
  <c r="D1392" i="2"/>
  <c r="D697" i="2"/>
  <c r="B1367" i="2"/>
  <c r="C1367" i="2" s="1"/>
  <c r="D1013" i="2"/>
  <c r="B1986" i="2"/>
  <c r="C1986" i="2" s="1"/>
  <c r="D1229" i="2"/>
  <c r="B764" i="2"/>
  <c r="C764" i="2" s="1"/>
  <c r="D760" i="2"/>
  <c r="D280" i="2"/>
  <c r="D1411" i="2"/>
  <c r="B452" i="2"/>
  <c r="C452" i="2" s="1"/>
  <c r="B1805" i="2"/>
  <c r="C1805" i="2" s="1"/>
  <c r="D1512" i="2"/>
  <c r="B697" i="2"/>
  <c r="C697" i="2" s="1"/>
  <c r="B1635" i="2"/>
  <c r="C1635" i="2" s="1"/>
  <c r="D963" i="2"/>
  <c r="D1205" i="2"/>
  <c r="D1034" i="2"/>
  <c r="D342" i="2"/>
  <c r="D910" i="2"/>
  <c r="D286" i="2"/>
  <c r="B810" i="2"/>
  <c r="C810" i="2" s="1"/>
  <c r="B676" i="2"/>
  <c r="C676" i="2" s="1"/>
  <c r="D1194" i="2"/>
  <c r="B607" i="2"/>
  <c r="C607" i="2" s="1"/>
  <c r="B84" i="2"/>
  <c r="C84" i="2" s="1"/>
  <c r="B1636" i="2"/>
  <c r="C1636" i="2" s="1"/>
  <c r="D1558" i="2"/>
  <c r="D954" i="2"/>
  <c r="D1259" i="2"/>
  <c r="D720" i="2"/>
  <c r="D533" i="2"/>
  <c r="D213" i="2"/>
  <c r="D1267" i="2"/>
  <c r="D1705" i="2"/>
  <c r="B1509" i="2"/>
  <c r="C1509" i="2" s="1"/>
  <c r="D1513" i="2"/>
  <c r="D1709" i="2"/>
  <c r="D323" i="2"/>
  <c r="B818" i="2"/>
  <c r="C818" i="2" s="1"/>
  <c r="D191" i="2"/>
  <c r="B740" i="2"/>
  <c r="C740" i="2" s="1"/>
  <c r="B1783" i="2"/>
  <c r="C1783" i="2" s="1"/>
  <c r="B805" i="2"/>
  <c r="C805" i="2" s="1"/>
  <c r="D1897" i="2"/>
  <c r="B620" i="2"/>
  <c r="C620" i="2" s="1"/>
  <c r="B1308" i="2"/>
  <c r="C1308" i="2" s="1"/>
  <c r="D736" i="2"/>
  <c r="D756" i="2"/>
  <c r="D1185" i="2"/>
  <c r="D1708" i="2"/>
  <c r="D1196" i="2"/>
  <c r="B1056" i="2"/>
  <c r="C1056" i="2" s="1"/>
  <c r="B1130" i="2"/>
  <c r="C1130" i="2" s="1"/>
  <c r="D2029" i="2"/>
  <c r="D1497" i="2"/>
  <c r="B426" i="2"/>
  <c r="C426" i="2" s="1"/>
  <c r="D938" i="2"/>
  <c r="B2035" i="2"/>
  <c r="C2035" i="2" s="1"/>
  <c r="B917" i="2"/>
  <c r="C917" i="2" s="1"/>
  <c r="D1269" i="2"/>
  <c r="D907" i="2"/>
  <c r="D1550" i="2"/>
  <c r="B1148" i="2"/>
  <c r="C1148" i="2" s="1"/>
  <c r="D1349" i="2"/>
  <c r="B803" i="2"/>
  <c r="C803" i="2" s="1"/>
  <c r="B1999" i="2"/>
  <c r="C1999" i="2" s="1"/>
  <c r="B1112" i="2"/>
  <c r="C1112" i="2" s="1"/>
  <c r="B1612" i="2"/>
  <c r="C1612" i="2" s="1"/>
  <c r="D1573" i="2"/>
  <c r="B1828" i="2"/>
  <c r="C1828" i="2" s="1"/>
  <c r="B1654" i="2"/>
  <c r="C1654" i="2" s="1"/>
  <c r="B774" i="2"/>
  <c r="C774" i="2" s="1"/>
  <c r="B1544" i="2"/>
  <c r="C1544" i="2" s="1"/>
  <c r="B326" i="2"/>
  <c r="C326" i="2" s="1"/>
  <c r="B1496" i="2"/>
  <c r="C1496" i="2" s="1"/>
  <c r="B501" i="2"/>
  <c r="C501" i="2" s="1"/>
  <c r="D1294" i="2"/>
  <c r="D1837" i="2"/>
  <c r="D848" i="2"/>
  <c r="B847" i="2"/>
  <c r="C847" i="2" s="1"/>
  <c r="B273" i="2"/>
  <c r="C273" i="2" s="1"/>
  <c r="D189" i="2"/>
  <c r="D1593" i="2"/>
  <c r="D650" i="2"/>
  <c r="B1064" i="2"/>
  <c r="C1064" i="2" s="1"/>
  <c r="D57" i="2"/>
  <c r="B97" i="2"/>
  <c r="C97" i="2" s="1"/>
  <c r="D1905" i="2"/>
  <c r="D310" i="2"/>
  <c r="B668" i="2"/>
  <c r="C668" i="2" s="1"/>
  <c r="B1080" i="2"/>
  <c r="C1080" i="2" s="1"/>
  <c r="D503" i="2"/>
  <c r="D2010" i="2"/>
  <c r="B1684" i="2"/>
  <c r="C1684" i="2" s="1"/>
  <c r="D809" i="2"/>
  <c r="B651" i="2"/>
  <c r="C651" i="2" s="1"/>
  <c r="D2110" i="2"/>
  <c r="B1261" i="2"/>
  <c r="C1261" i="2" s="1"/>
  <c r="D386" i="2"/>
  <c r="B213" i="2"/>
  <c r="C213" i="2" s="1"/>
  <c r="D906" i="2"/>
  <c r="D261" i="2"/>
  <c r="D847" i="2"/>
  <c r="B701" i="2"/>
  <c r="C701" i="2" s="1"/>
  <c r="D1370" i="2"/>
  <c r="D156" i="2"/>
  <c r="B721" i="2"/>
  <c r="C721" i="2" s="1"/>
  <c r="D265" i="2"/>
  <c r="B1043" i="2"/>
  <c r="C1043" i="2" s="1"/>
  <c r="D2091" i="2"/>
  <c r="B635" i="2"/>
  <c r="C635" i="2" s="1"/>
  <c r="B924" i="2"/>
  <c r="C924" i="2" s="1"/>
  <c r="D1878" i="2"/>
  <c r="B184" i="2"/>
  <c r="C184" i="2" s="1"/>
  <c r="B773" i="2"/>
  <c r="C773" i="2" s="1"/>
  <c r="D541" i="2"/>
  <c r="B1000" i="2"/>
  <c r="C1000" i="2" s="1"/>
  <c r="D1406" i="2"/>
  <c r="B1124" i="2"/>
  <c r="C1124" i="2" s="1"/>
  <c r="D485" i="2"/>
  <c r="B1642" i="2"/>
  <c r="C1642" i="2" s="1"/>
  <c r="B415" i="2"/>
  <c r="C415" i="2" s="1"/>
  <c r="B56" i="2"/>
  <c r="C56" i="2" s="1"/>
  <c r="B1706" i="2"/>
  <c r="C1706" i="2" s="1"/>
  <c r="D812" i="2"/>
  <c r="B2086" i="2"/>
  <c r="C2086" i="2" s="1"/>
  <c r="B1349" i="2"/>
  <c r="C1349" i="2" s="1"/>
  <c r="D1226" i="2"/>
  <c r="D1443" i="2"/>
  <c r="B1713" i="2"/>
  <c r="C1713" i="2" s="1"/>
  <c r="D2062" i="2"/>
  <c r="B1364" i="2"/>
  <c r="C1364" i="2" s="1"/>
  <c r="B1539" i="2"/>
  <c r="C1539" i="2" s="1"/>
  <c r="B1033" i="2"/>
  <c r="C1033" i="2" s="1"/>
  <c r="D173" i="2"/>
  <c r="D136" i="2"/>
  <c r="D1870" i="2"/>
  <c r="B132" i="2"/>
  <c r="C132" i="2" s="1"/>
  <c r="B108" i="2"/>
  <c r="C108" i="2" s="1"/>
  <c r="D991" i="2"/>
  <c r="D608" i="2"/>
  <c r="D165" i="2"/>
  <c r="B174" i="2"/>
  <c r="C174" i="2" s="1"/>
  <c r="B913" i="2"/>
  <c r="C913" i="2" s="1"/>
  <c r="B1354" i="2"/>
  <c r="C1354" i="2" s="1"/>
  <c r="B1685" i="2"/>
  <c r="C1685" i="2" s="1"/>
  <c r="D1331" i="2"/>
  <c r="D839" i="2"/>
  <c r="B921" i="2"/>
  <c r="C921" i="2" s="1"/>
  <c r="B369" i="2"/>
  <c r="C369" i="2" s="1"/>
  <c r="B1012" i="2"/>
  <c r="C1012" i="2" s="1"/>
  <c r="B224" i="2"/>
  <c r="C224" i="2" s="1"/>
  <c r="B1631" i="2"/>
  <c r="C1631" i="2" s="1"/>
  <c r="B695" i="2"/>
  <c r="C695" i="2" s="1"/>
  <c r="D49" i="2"/>
  <c r="D968" i="2"/>
  <c r="B1738" i="2"/>
  <c r="C1738" i="2" s="1"/>
  <c r="D2124" i="2"/>
  <c r="B1334" i="2"/>
  <c r="C1334" i="2" s="1"/>
  <c r="B1140" i="2"/>
  <c r="C1140" i="2" s="1"/>
  <c r="D80" i="2"/>
  <c r="D1252" i="2"/>
  <c r="B218" i="2"/>
  <c r="C218" i="2" s="1"/>
  <c r="B1541" i="2"/>
  <c r="C1541" i="2" s="1"/>
  <c r="B2087" i="2"/>
  <c r="C2087" i="2" s="1"/>
  <c r="D61" i="2"/>
  <c r="B1180" i="2"/>
  <c r="C1180" i="2" s="1"/>
  <c r="B1648" i="2"/>
  <c r="C1648" i="2" s="1"/>
  <c r="D390" i="2"/>
  <c r="D1336" i="2"/>
  <c r="D207" i="2"/>
  <c r="D1706" i="2"/>
  <c r="D88" i="2"/>
  <c r="D1457" i="2"/>
  <c r="D1037" i="2"/>
  <c r="B2090" i="2"/>
  <c r="C2090" i="2" s="1"/>
  <c r="B1314" i="2"/>
  <c r="C1314" i="2" s="1"/>
  <c r="B543" i="2"/>
  <c r="C543" i="2" s="1"/>
  <c r="D1597" i="2"/>
  <c r="B1623" i="2"/>
  <c r="C1623" i="2" s="1"/>
  <c r="D1055" i="2"/>
  <c r="D2128" i="2"/>
  <c r="D92" i="2"/>
  <c r="B1176" i="2"/>
  <c r="C1176" i="2" s="1"/>
  <c r="B1278" i="2"/>
  <c r="C1278" i="2" s="1"/>
  <c r="B127" i="2"/>
  <c r="C127" i="2" s="1"/>
  <c r="D2113" i="2"/>
  <c r="D115" i="2"/>
  <c r="B133" i="2"/>
  <c r="C133" i="2" s="1"/>
  <c r="D1525" i="2"/>
  <c r="D643" i="2"/>
  <c r="B2051" i="2"/>
  <c r="C2051" i="2" s="1"/>
  <c r="D2129" i="2"/>
  <c r="D198" i="2"/>
  <c r="D1464" i="2"/>
  <c r="D2094" i="2"/>
  <c r="D107" i="2"/>
  <c r="B885" i="2"/>
  <c r="C885" i="2" s="1"/>
  <c r="B379" i="2"/>
  <c r="C379" i="2" s="1"/>
  <c r="B180" i="2"/>
  <c r="C180" i="2" s="1"/>
  <c r="B431" i="2"/>
  <c r="C431" i="2" s="1"/>
  <c r="D1023" i="2"/>
  <c r="B1039" i="2"/>
  <c r="C1039" i="2" s="1"/>
  <c r="B242" i="2"/>
  <c r="C242" i="2" s="1"/>
  <c r="B586" i="2"/>
  <c r="C586" i="2" s="1"/>
  <c r="D2093" i="2"/>
  <c r="B1573" i="2"/>
  <c r="C1573" i="2" s="1"/>
  <c r="D1561" i="2"/>
  <c r="B1527" i="2"/>
  <c r="C1527" i="2" s="1"/>
  <c r="B248" i="2"/>
  <c r="C248" i="2" s="1"/>
  <c r="B1603" i="2"/>
  <c r="C1603" i="2" s="1"/>
  <c r="B63" i="2"/>
  <c r="C63" i="2" s="1"/>
  <c r="D567" i="2"/>
  <c r="B918" i="2"/>
  <c r="C918" i="2" s="1"/>
  <c r="D116" i="2"/>
  <c r="D1238" i="2"/>
  <c r="B226" i="2"/>
  <c r="C226" i="2" s="1"/>
  <c r="D294" i="2"/>
  <c r="D1444" i="2"/>
  <c r="B1133" i="2"/>
  <c r="C1133" i="2" s="1"/>
  <c r="B1409" i="2"/>
  <c r="C1409" i="2" s="1"/>
  <c r="B2037" i="2"/>
  <c r="C2037" i="2" s="1"/>
  <c r="B1059" i="2"/>
  <c r="C1059" i="2" s="1"/>
  <c r="D1509" i="2"/>
  <c r="B2129" i="2"/>
  <c r="C2129" i="2" s="1"/>
  <c r="B603" i="2"/>
  <c r="C603" i="2" s="1"/>
  <c r="B1703" i="2"/>
  <c r="C1703" i="2" s="1"/>
  <c r="B1383" i="2"/>
  <c r="C1383" i="2" s="1"/>
  <c r="D1938" i="2"/>
  <c r="B1005" i="2"/>
  <c r="C1005" i="2" s="1"/>
  <c r="D2133" i="2"/>
  <c r="B1358" i="2"/>
  <c r="C1358" i="2" s="1"/>
  <c r="B1072" i="2"/>
  <c r="C1072" i="2" s="1"/>
  <c r="B190" i="2"/>
  <c r="C190" i="2" s="1"/>
  <c r="B2077" i="2"/>
  <c r="C2077" i="2" s="1"/>
  <c r="B1540" i="2"/>
  <c r="C1540" i="2" s="1"/>
  <c r="B972" i="2"/>
  <c r="C972" i="2" s="1"/>
  <c r="B937" i="2"/>
  <c r="C937" i="2" s="1"/>
  <c r="D1167" i="2"/>
  <c r="D1250" i="2"/>
  <c r="D943" i="2"/>
  <c r="D1562" i="2"/>
  <c r="B1555" i="2"/>
  <c r="C1555" i="2" s="1"/>
  <c r="B1463" i="2"/>
  <c r="C1463" i="2" s="1"/>
  <c r="B2064" i="2"/>
  <c r="C2064" i="2" s="1"/>
  <c r="B611" i="2"/>
  <c r="C611" i="2" s="1"/>
  <c r="D1311" i="2"/>
  <c r="D354" i="2"/>
  <c r="D1591" i="2"/>
  <c r="B2069" i="2"/>
  <c r="C2069" i="2" s="1"/>
  <c r="B1955" i="2"/>
  <c r="C1955" i="2" s="1"/>
  <c r="F445" i="1" l="1"/>
  <c r="E445" i="1" s="1"/>
  <c r="F467" i="1"/>
  <c r="E467" i="1" s="1"/>
  <c r="O1766" i="2" s="1"/>
  <c r="P1766" i="2" s="1"/>
  <c r="R1766" i="2" s="1"/>
  <c r="U1766" i="2" s="1"/>
  <c r="O2112" i="2"/>
  <c r="P2112" i="2" s="1"/>
  <c r="R2112" i="2" s="1"/>
  <c r="U2112" i="2" s="1"/>
  <c r="F482" i="1"/>
  <c r="E482" i="1" s="1"/>
  <c r="O258" i="2"/>
  <c r="P258" i="2" s="1"/>
  <c r="R258" i="2" s="1"/>
  <c r="F554" i="1"/>
  <c r="E554" i="1" s="1"/>
  <c r="F526" i="1"/>
  <c r="E526" i="1" s="1"/>
  <c r="F477" i="1"/>
  <c r="E477" i="1" s="1"/>
  <c r="O1812" i="2" s="1"/>
  <c r="P1812" i="2" s="1"/>
  <c r="R1812" i="2" s="1"/>
  <c r="U1812" i="2" s="1"/>
  <c r="F423" i="1"/>
  <c r="E423" i="1" s="1"/>
  <c r="O1646" i="2" s="1"/>
  <c r="P1646" i="2" s="1"/>
  <c r="R1646" i="2" s="1"/>
  <c r="U1646" i="2" s="1"/>
  <c r="F432" i="1"/>
  <c r="E432" i="1" s="1"/>
  <c r="O1634" i="2" s="1"/>
  <c r="P1634" i="2" s="1"/>
  <c r="R1634" i="2" s="1"/>
  <c r="U1634" i="2" s="1"/>
  <c r="F415" i="1"/>
  <c r="E415" i="1" s="1"/>
  <c r="F405" i="1"/>
  <c r="F369" i="1"/>
  <c r="E369" i="1" s="1"/>
  <c r="O1388" i="2" s="1"/>
  <c r="P1388" i="2" s="1"/>
  <c r="R1388" i="2" s="1"/>
  <c r="U1388" i="2" s="1"/>
  <c r="F33" i="1"/>
  <c r="E33" i="1" s="1"/>
  <c r="F243" i="1"/>
  <c r="E243" i="1" s="1"/>
  <c r="F226" i="1"/>
  <c r="E226" i="1" s="1"/>
  <c r="O779" i="2"/>
  <c r="P779" i="2" s="1"/>
  <c r="R779" i="2" s="1"/>
  <c r="F217" i="1"/>
  <c r="E217" i="1" s="1"/>
  <c r="F564" i="1"/>
  <c r="E564" i="1" s="1"/>
  <c r="F440" i="1"/>
  <c r="E440" i="1" s="1"/>
  <c r="F389" i="1"/>
  <c r="E389" i="1" s="1"/>
  <c r="O1298" i="2"/>
  <c r="P1298" i="2" s="1"/>
  <c r="R1298" i="2" s="1"/>
  <c r="U1298" i="2" s="1"/>
  <c r="F345" i="1"/>
  <c r="E345" i="1" s="1"/>
  <c r="F334" i="1"/>
  <c r="E334" i="1" s="1"/>
  <c r="O1221" i="2" s="1"/>
  <c r="P1221" i="2" s="1"/>
  <c r="R1221" i="2" s="1"/>
  <c r="F291" i="1"/>
  <c r="E291" i="1" s="1"/>
  <c r="O1041" i="2" s="1"/>
  <c r="P1041" i="2" s="1"/>
  <c r="F264" i="1"/>
  <c r="E264" i="1" s="1"/>
  <c r="O927" i="2" s="1"/>
  <c r="P927" i="2" s="1"/>
  <c r="R927" i="2" s="1"/>
  <c r="O412" i="2"/>
  <c r="P412" i="2" s="1"/>
  <c r="R412" i="2" s="1"/>
  <c r="F199" i="1"/>
  <c r="E199" i="1" s="1"/>
  <c r="O711" i="2" s="1"/>
  <c r="P711" i="2" s="1"/>
  <c r="R711" i="2" s="1"/>
  <c r="P1609" i="2"/>
  <c r="H428" i="1" s="1"/>
  <c r="O1205" i="2"/>
  <c r="P1205" i="2" s="1"/>
  <c r="R1205" i="2" s="1"/>
  <c r="O938" i="2"/>
  <c r="P938" i="2" s="1"/>
  <c r="R938" i="2" s="1"/>
  <c r="F90" i="1"/>
  <c r="E90" i="1" s="1"/>
  <c r="O210" i="2"/>
  <c r="P210" i="2" s="1"/>
  <c r="F315" i="1"/>
  <c r="E315" i="1" s="1"/>
  <c r="P2183" i="2"/>
  <c r="R2183" i="2" s="1"/>
  <c r="U2183" i="2" s="1"/>
  <c r="P2177" i="2"/>
  <c r="R2177" i="2" s="1"/>
  <c r="U2177" i="2" s="1"/>
  <c r="O407" i="2"/>
  <c r="P407" i="2" s="1"/>
  <c r="O1202" i="2"/>
  <c r="P1202" i="2" s="1"/>
  <c r="R1202" i="2" s="1"/>
  <c r="U1202" i="2" s="1"/>
  <c r="O776" i="2"/>
  <c r="G221" i="1" s="1"/>
  <c r="O1201" i="2"/>
  <c r="P1201" i="2" s="1"/>
  <c r="R1201" i="2" s="1"/>
  <c r="U1201" i="2" s="1"/>
  <c r="F168" i="1"/>
  <c r="E168" i="1" s="1"/>
  <c r="O1466" i="2"/>
  <c r="P1466" i="2" s="1"/>
  <c r="R1466" i="2" s="1"/>
  <c r="U1466" i="2" s="1"/>
  <c r="O1462" i="2"/>
  <c r="P1462" i="2" s="1"/>
  <c r="R1462" i="2" s="1"/>
  <c r="V1462" i="2" s="1"/>
  <c r="F488" i="1"/>
  <c r="E488" i="1" s="1"/>
  <c r="F31" i="1"/>
  <c r="E31" i="1" s="1"/>
  <c r="F441" i="1"/>
  <c r="E441" i="1" s="1"/>
  <c r="O1655" i="2" s="1"/>
  <c r="P1655" i="2" s="1"/>
  <c r="R1655" i="2" s="1"/>
  <c r="U1655" i="2" s="1"/>
  <c r="O1460" i="2"/>
  <c r="P1460" i="2" s="1"/>
  <c r="R1460" i="2" s="1"/>
  <c r="V1460" i="2" s="1"/>
  <c r="F288" i="1"/>
  <c r="E288" i="1" s="1"/>
  <c r="F309" i="1"/>
  <c r="E309" i="1" s="1"/>
  <c r="F301" i="1"/>
  <c r="E301" i="1" s="1"/>
  <c r="F53" i="1"/>
  <c r="E53" i="1" s="1"/>
  <c r="O159" i="2" s="1"/>
  <c r="P159" i="2" s="1"/>
  <c r="R159" i="2" s="1"/>
  <c r="F326" i="1"/>
  <c r="E326" i="1" s="1"/>
  <c r="F314" i="1"/>
  <c r="E314" i="1" s="1"/>
  <c r="O1154" i="2" s="1"/>
  <c r="P1154" i="2" s="1"/>
  <c r="F313" i="1"/>
  <c r="E313" i="1" s="1"/>
  <c r="O1147" i="2" s="1"/>
  <c r="P1147" i="2" s="1"/>
  <c r="R1147" i="2" s="1"/>
  <c r="F311" i="1"/>
  <c r="E311" i="1" s="1"/>
  <c r="F282" i="1"/>
  <c r="E282" i="1" s="1"/>
  <c r="F552" i="1"/>
  <c r="F485" i="1"/>
  <c r="E485" i="1" s="1"/>
  <c r="F191" i="1"/>
  <c r="E191" i="1" s="1"/>
  <c r="F173" i="1"/>
  <c r="E173" i="1" s="1"/>
  <c r="O558" i="2"/>
  <c r="P558" i="2" s="1"/>
  <c r="R558" i="2" s="1"/>
  <c r="F109" i="1"/>
  <c r="E109" i="1" s="1"/>
  <c r="O392" i="2" s="1"/>
  <c r="P392" i="2" s="1"/>
  <c r="R392" i="2" s="1"/>
  <c r="F104" i="1"/>
  <c r="E104" i="1" s="1"/>
  <c r="F87" i="1"/>
  <c r="E87" i="1" s="1"/>
  <c r="O260" i="2"/>
  <c r="P260" i="2" s="1"/>
  <c r="R260" i="2" s="1"/>
  <c r="F65" i="1"/>
  <c r="E65" i="1" s="1"/>
  <c r="F58" i="1"/>
  <c r="E58" i="1" s="1"/>
  <c r="F23" i="1"/>
  <c r="E23" i="1" s="1"/>
  <c r="O69" i="2" s="1"/>
  <c r="P69" i="2" s="1"/>
  <c r="F14" i="1"/>
  <c r="E14" i="1" s="1"/>
  <c r="F10" i="1"/>
  <c r="E10" i="1" s="1"/>
  <c r="F29" i="1"/>
  <c r="E29" i="1" s="1"/>
  <c r="O259" i="2"/>
  <c r="P259" i="2" s="1"/>
  <c r="R259" i="2" s="1"/>
  <c r="P2167" i="2"/>
  <c r="R2167" i="2" s="1"/>
  <c r="U2167" i="2" s="1"/>
  <c r="P2179" i="2"/>
  <c r="R2179" i="2" s="1"/>
  <c r="U2179" i="2" s="1"/>
  <c r="F434" i="1"/>
  <c r="E434" i="1" s="1"/>
  <c r="F403" i="1"/>
  <c r="E403" i="1" s="1"/>
  <c r="O1524" i="2" s="1"/>
  <c r="F497" i="1"/>
  <c r="E497" i="1" s="1"/>
  <c r="P2171" i="2"/>
  <c r="R2171" i="2" s="1"/>
  <c r="U2171" i="2" s="1"/>
  <c r="F493" i="1"/>
  <c r="E493" i="1" s="1"/>
  <c r="O1864" i="2" s="1"/>
  <c r="P1864" i="2" s="1"/>
  <c r="R1864" i="2" s="1"/>
  <c r="U1864" i="2" s="1"/>
  <c r="F246" i="1"/>
  <c r="E246" i="1" s="1"/>
  <c r="O860" i="2" s="1"/>
  <c r="P860" i="2" s="1"/>
  <c r="R860" i="2" s="1"/>
  <c r="F399" i="1"/>
  <c r="F155" i="1"/>
  <c r="E155" i="1" s="1"/>
  <c r="F77" i="1"/>
  <c r="E77" i="1" s="1"/>
  <c r="F34" i="1"/>
  <c r="E34" i="1" s="1"/>
  <c r="P2166" i="2"/>
  <c r="R2166" i="2" s="1"/>
  <c r="U2166" i="2" s="1"/>
  <c r="P2165" i="2"/>
  <c r="R2165" i="2" s="1"/>
  <c r="U2165" i="2" s="1"/>
  <c r="K694" i="6"/>
  <c r="K786" i="6"/>
  <c r="K774" i="6"/>
  <c r="K512" i="6"/>
  <c r="K349" i="6"/>
  <c r="K402" i="6"/>
  <c r="K507" i="6"/>
  <c r="K523" i="6"/>
  <c r="K469" i="6"/>
  <c r="K468" i="6"/>
  <c r="K472" i="6"/>
  <c r="K488" i="6"/>
  <c r="K480" i="6"/>
  <c r="K478" i="6"/>
  <c r="K483" i="6"/>
  <c r="K467" i="6"/>
  <c r="K471" i="6"/>
  <c r="K710" i="6"/>
  <c r="K601" i="6"/>
  <c r="K13" i="6"/>
  <c r="K24" i="6"/>
  <c r="K26" i="6"/>
  <c r="K31" i="6"/>
  <c r="K33" i="6"/>
  <c r="K35" i="6"/>
  <c r="K43" i="6"/>
  <c r="K45" i="6"/>
  <c r="K47" i="6"/>
  <c r="K49" i="6"/>
  <c r="K51" i="6"/>
  <c r="K53" i="6"/>
  <c r="K59" i="6"/>
  <c r="K63" i="6"/>
  <c r="K65" i="6"/>
  <c r="K67" i="6"/>
  <c r="K71" i="6"/>
  <c r="K75" i="6"/>
  <c r="K77" i="6"/>
  <c r="K79" i="6"/>
  <c r="K81" i="6"/>
  <c r="K91" i="6"/>
  <c r="K93" i="6"/>
  <c r="K95" i="6"/>
  <c r="K97" i="6"/>
  <c r="K99" i="6"/>
  <c r="K105" i="6"/>
  <c r="K107" i="6"/>
  <c r="K109" i="6"/>
  <c r="K111" i="6"/>
  <c r="K113" i="6"/>
  <c r="K121" i="6"/>
  <c r="K123" i="6"/>
  <c r="K125" i="6"/>
  <c r="K129" i="6"/>
  <c r="K133" i="6"/>
  <c r="K139" i="6"/>
  <c r="K141" i="6"/>
  <c r="K156" i="6"/>
  <c r="K761" i="6"/>
  <c r="K673" i="6"/>
  <c r="K687" i="6"/>
  <c r="K648" i="6"/>
  <c r="K714" i="6"/>
  <c r="K861" i="6"/>
  <c r="K885" i="6"/>
  <c r="K604" i="6"/>
  <c r="K3" i="6"/>
  <c r="K5" i="6"/>
  <c r="K9" i="6"/>
  <c r="K12" i="6"/>
  <c r="K36" i="6"/>
  <c r="K42" i="6"/>
  <c r="K48" i="6"/>
  <c r="K58" i="6"/>
  <c r="K64" i="6"/>
  <c r="K70" i="6"/>
  <c r="K72" i="6"/>
  <c r="K84" i="6"/>
  <c r="K88" i="6"/>
  <c r="K90" i="6"/>
  <c r="K92" i="6"/>
  <c r="K94" i="6"/>
  <c r="K102" i="6"/>
  <c r="K104" i="6"/>
  <c r="K106" i="6"/>
  <c r="K108" i="6"/>
  <c r="K114" i="6"/>
  <c r="K116" i="6"/>
  <c r="K118" i="6"/>
  <c r="K120" i="6"/>
  <c r="K122" i="6"/>
  <c r="K124" i="6"/>
  <c r="K128" i="6"/>
  <c r="K132" i="6"/>
  <c r="K134" i="6"/>
  <c r="K138" i="6"/>
  <c r="K140" i="6"/>
  <c r="K142" i="6"/>
  <c r="K144" i="6"/>
  <c r="K151" i="6"/>
  <c r="K157" i="6"/>
  <c r="K159" i="6"/>
  <c r="K161" i="6"/>
  <c r="K175" i="6"/>
  <c r="K183" i="6"/>
  <c r="K189" i="6"/>
  <c r="K191" i="6"/>
  <c r="K199" i="6"/>
  <c r="K201" i="6"/>
  <c r="K210" i="6"/>
  <c r="K223" i="6"/>
  <c r="K229" i="6"/>
  <c r="K240" i="6"/>
  <c r="K233" i="6"/>
  <c r="K246" i="6"/>
  <c r="K243" i="6"/>
  <c r="K259" i="6"/>
  <c r="K250" i="6"/>
  <c r="K263" i="6"/>
  <c r="K300" i="6"/>
  <c r="K301" i="6"/>
  <c r="K382" i="6"/>
  <c r="K386" i="6"/>
  <c r="K376" i="6"/>
  <c r="K378" i="6"/>
  <c r="K387" i="6"/>
  <c r="K353" i="6"/>
  <c r="K619" i="6"/>
  <c r="K618" i="6"/>
  <c r="K612" i="6"/>
  <c r="K614" i="6"/>
  <c r="K608" i="6"/>
  <c r="K615" i="6"/>
  <c r="K623" i="6"/>
  <c r="K568" i="6"/>
  <c r="K597" i="6"/>
  <c r="K595" i="6"/>
  <c r="K526" i="6"/>
  <c r="K518" i="6"/>
  <c r="K517" i="6"/>
  <c r="K524" i="6"/>
  <c r="K516" i="6"/>
  <c r="K538" i="6"/>
  <c r="K539" i="6"/>
  <c r="K537" i="6"/>
  <c r="K554" i="6"/>
  <c r="K582" i="6"/>
  <c r="K576" i="6"/>
  <c r="K158" i="6"/>
  <c r="K160" i="6"/>
  <c r="K164" i="6"/>
  <c r="K166" i="6"/>
  <c r="K170" i="6"/>
  <c r="K176" i="6"/>
  <c r="K178" i="6"/>
  <c r="K182" i="6"/>
  <c r="K188" i="6"/>
  <c r="K190" i="6"/>
  <c r="K194" i="6"/>
  <c r="K200" i="6"/>
  <c r="K198" i="6"/>
  <c r="K205" i="6"/>
  <c r="K206" i="6"/>
  <c r="K207" i="6"/>
  <c r="K217" i="6"/>
  <c r="K216" i="6"/>
  <c r="K218" i="6"/>
  <c r="K232" i="6"/>
  <c r="K227" i="6"/>
  <c r="K228" i="6"/>
  <c r="K239" i="6"/>
  <c r="K238" i="6"/>
  <c r="K234" i="6"/>
  <c r="K256" i="6"/>
  <c r="K242" i="6"/>
  <c r="K255" i="6"/>
  <c r="K247" i="6"/>
  <c r="K245" i="6"/>
  <c r="K261" i="6"/>
  <c r="K262" i="6"/>
  <c r="K258" i="6"/>
  <c r="K253" i="6"/>
  <c r="K270" i="6"/>
  <c r="K269" i="6"/>
  <c r="K272" i="6"/>
  <c r="K266" i="6"/>
  <c r="K284" i="6"/>
  <c r="K279" i="6"/>
  <c r="K283" i="6"/>
  <c r="K292" i="6"/>
  <c r="K287" i="6"/>
  <c r="K289" i="6"/>
  <c r="K291" i="6"/>
  <c r="K295" i="6"/>
  <c r="K302" i="6"/>
  <c r="K305" i="6"/>
  <c r="K308" i="6"/>
  <c r="K313" i="6"/>
  <c r="K315" i="6"/>
  <c r="K312" i="6"/>
  <c r="K304" i="6"/>
  <c r="K407" i="6"/>
  <c r="K380" i="6"/>
  <c r="K381" i="6"/>
  <c r="K374" i="6"/>
  <c r="K375" i="6"/>
  <c r="K383" i="6"/>
  <c r="K384" i="6"/>
  <c r="K369" i="6"/>
  <c r="K371" i="6"/>
  <c r="K370" i="6"/>
  <c r="K363" i="6"/>
  <c r="K368" i="6"/>
  <c r="K385" i="6"/>
  <c r="K319" i="6"/>
  <c r="K323" i="6"/>
  <c r="K318" i="6"/>
  <c r="K329" i="6"/>
  <c r="K336" i="6"/>
  <c r="K334" i="6"/>
  <c r="K331" i="6"/>
  <c r="K337" i="6"/>
  <c r="K332" i="6"/>
  <c r="K340" i="6"/>
  <c r="K357" i="6"/>
  <c r="K346" i="6"/>
  <c r="K359" i="6"/>
  <c r="K343" i="6"/>
  <c r="K360" i="6"/>
  <c r="K355" i="6"/>
  <c r="K352" i="6"/>
  <c r="K354" i="6"/>
  <c r="K408" i="6"/>
  <c r="K405" i="6"/>
  <c r="K414" i="6"/>
  <c r="K413" i="6"/>
  <c r="K391" i="6"/>
  <c r="K390" i="6"/>
  <c r="K399" i="6"/>
  <c r="K398" i="6"/>
  <c r="K392" i="6"/>
  <c r="K394" i="6"/>
  <c r="K401" i="6"/>
  <c r="K514" i="6"/>
  <c r="K505" i="6"/>
  <c r="K473" i="6"/>
  <c r="K476" i="6"/>
  <c r="K482" i="6"/>
  <c r="K481" i="6"/>
  <c r="K486" i="6"/>
  <c r="K484" i="6"/>
  <c r="K479" i="6"/>
  <c r="F549" i="1"/>
  <c r="E549" i="1" s="1"/>
  <c r="F545" i="1"/>
  <c r="E545" i="1" s="1"/>
  <c r="F543" i="1"/>
  <c r="E543" i="1" s="1"/>
  <c r="F529" i="1"/>
  <c r="E529" i="1" s="1"/>
  <c r="F520" i="1"/>
  <c r="E520" i="1" s="1"/>
  <c r="F514" i="1"/>
  <c r="E514" i="1" s="1"/>
  <c r="O1961" i="2" s="1"/>
  <c r="P1961" i="2" s="1"/>
  <c r="R1961" i="2" s="1"/>
  <c r="U1961" i="2" s="1"/>
  <c r="F510" i="1"/>
  <c r="E510" i="1" s="1"/>
  <c r="O1939" i="2" s="1"/>
  <c r="P1939" i="2" s="1"/>
  <c r="R1939" i="2" s="1"/>
  <c r="U1939" i="2" s="1"/>
  <c r="F504" i="1"/>
  <c r="E504" i="1" s="1"/>
  <c r="O1909" i="2" s="1"/>
  <c r="P1909" i="2" s="1"/>
  <c r="R1909" i="2" s="1"/>
  <c r="U1909" i="2" s="1"/>
  <c r="F492" i="1"/>
  <c r="E492" i="1" s="1"/>
  <c r="O1860" i="2" s="1"/>
  <c r="P1860" i="2" s="1"/>
  <c r="R1860" i="2" s="1"/>
  <c r="U1860" i="2" s="1"/>
  <c r="F172" i="1"/>
  <c r="E172" i="1" s="1"/>
  <c r="F171" i="1"/>
  <c r="E171" i="1" s="1"/>
  <c r="F165" i="1"/>
  <c r="E165" i="1" s="1"/>
  <c r="P2178" i="2"/>
  <c r="R2178" i="2" s="1"/>
  <c r="U2178" i="2" s="1"/>
  <c r="F378" i="1"/>
  <c r="E378" i="1" s="1"/>
  <c r="F317" i="1"/>
  <c r="E317" i="1" s="1"/>
  <c r="O1197" i="2" s="1"/>
  <c r="P1197" i="2" s="1"/>
  <c r="R1197" i="2" s="1"/>
  <c r="P2168" i="2"/>
  <c r="R2168" i="2" s="1"/>
  <c r="U2168" i="2" s="1"/>
  <c r="F458" i="1"/>
  <c r="F431" i="1"/>
  <c r="E431" i="1" s="1"/>
  <c r="O1627" i="2" s="1"/>
  <c r="P1627" i="2" s="1"/>
  <c r="R1627" i="2" s="1"/>
  <c r="U1627" i="2" s="1"/>
  <c r="F327" i="1"/>
  <c r="E327" i="1" s="1"/>
  <c r="O1578" i="2" s="1"/>
  <c r="F377" i="1"/>
  <c r="E377" i="1" s="1"/>
  <c r="O1410" i="2" s="1"/>
  <c r="P1410" i="2" s="1"/>
  <c r="R1410" i="2" s="1"/>
  <c r="U1410" i="2" s="1"/>
  <c r="O939" i="2"/>
  <c r="P939" i="2" s="1"/>
  <c r="R939" i="2" s="1"/>
  <c r="F484" i="1"/>
  <c r="E484" i="1" s="1"/>
  <c r="F511" i="1"/>
  <c r="E511" i="1" s="1"/>
  <c r="F500" i="1"/>
  <c r="E500" i="1" s="1"/>
  <c r="F496" i="1"/>
  <c r="E496" i="1" s="1"/>
  <c r="O1881" i="2" s="1"/>
  <c r="P1881" i="2" s="1"/>
  <c r="R1881" i="2" s="1"/>
  <c r="U1881" i="2" s="1"/>
  <c r="F320" i="1"/>
  <c r="E320" i="1" s="1"/>
  <c r="F316" i="1"/>
  <c r="O1636" i="2"/>
  <c r="P1636" i="2" s="1"/>
  <c r="R1636" i="2" s="1"/>
  <c r="U1636" i="2" s="1"/>
  <c r="F411" i="1"/>
  <c r="E411" i="1" s="1"/>
  <c r="O1562" i="2" s="1"/>
  <c r="F393" i="1"/>
  <c r="E393" i="1" s="1"/>
  <c r="O1492" i="2" s="1"/>
  <c r="P1492" i="2" s="1"/>
  <c r="R1492" i="2" s="1"/>
  <c r="U1492" i="2" s="1"/>
  <c r="F357" i="1"/>
  <c r="E357" i="1" s="1"/>
  <c r="O1328" i="2" s="1"/>
  <c r="F349" i="1"/>
  <c r="O740" i="2"/>
  <c r="P740" i="2" s="1"/>
  <c r="R740" i="2" s="1"/>
  <c r="F197" i="1"/>
  <c r="E197" i="1" s="1"/>
  <c r="F183" i="1"/>
  <c r="E183" i="1" s="1"/>
  <c r="O654" i="2" s="1"/>
  <c r="P654" i="2" s="1"/>
  <c r="R654" i="2" s="1"/>
  <c r="P2175" i="2"/>
  <c r="R2175" i="2" s="1"/>
  <c r="U2175" i="2" s="1"/>
  <c r="P2169" i="2"/>
  <c r="R2169" i="2" s="1"/>
  <c r="U2169" i="2" s="1"/>
  <c r="P2163" i="2"/>
  <c r="R2163" i="2" s="1"/>
  <c r="U2163" i="2" s="1"/>
  <c r="O932" i="2"/>
  <c r="F267" i="1"/>
  <c r="E267" i="1" s="1"/>
  <c r="P930" i="2"/>
  <c r="P907" i="2"/>
  <c r="O1026" i="2"/>
  <c r="P1026" i="2" s="1"/>
  <c r="R1026" i="2" s="1"/>
  <c r="F266" i="1"/>
  <c r="E266" i="1" s="1"/>
  <c r="O1024" i="2"/>
  <c r="P1024" i="2" s="1"/>
  <c r="F391" i="1"/>
  <c r="E391" i="1" s="1"/>
  <c r="F343" i="1"/>
  <c r="E343" i="1" s="1"/>
  <c r="F225" i="1"/>
  <c r="E225" i="1" s="1"/>
  <c r="F421" i="1"/>
  <c r="E421" i="1" s="1"/>
  <c r="F418" i="1"/>
  <c r="E418" i="1" s="1"/>
  <c r="O1573" i="2" s="1"/>
  <c r="P1573" i="2" s="1"/>
  <c r="R1573" i="2" s="1"/>
  <c r="U1573" i="2" s="1"/>
  <c r="F409" i="1"/>
  <c r="E409" i="1" s="1"/>
  <c r="F380" i="1"/>
  <c r="E380" i="1" s="1"/>
  <c r="O1419" i="2" s="1"/>
  <c r="P1419" i="2" s="1"/>
  <c r="R1419" i="2" s="1"/>
  <c r="F350" i="1"/>
  <c r="E350" i="1" s="1"/>
  <c r="F336" i="1"/>
  <c r="E336" i="1" s="1"/>
  <c r="O1310" i="2" s="1"/>
  <c r="P1310" i="2" s="1"/>
  <c r="R1310" i="2" s="1"/>
  <c r="U1310" i="2" s="1"/>
  <c r="F321" i="1"/>
  <c r="E321" i="1" s="1"/>
  <c r="O1184" i="2" s="1"/>
  <c r="F319" i="1"/>
  <c r="E319" i="1" s="1"/>
  <c r="O1173" i="2" s="1"/>
  <c r="P1173" i="2" s="1"/>
  <c r="F307" i="1"/>
  <c r="E307" i="1" s="1"/>
  <c r="F306" i="1"/>
  <c r="E306" i="1" s="1"/>
  <c r="F305" i="1"/>
  <c r="E305" i="1" s="1"/>
  <c r="F268" i="1"/>
  <c r="E268" i="1" s="1"/>
  <c r="O1080" i="2" s="1"/>
  <c r="P1080" i="2" s="1"/>
  <c r="R1080" i="2" s="1"/>
  <c r="F279" i="1"/>
  <c r="E279" i="1" s="1"/>
  <c r="F248" i="1"/>
  <c r="E248" i="1" s="1"/>
  <c r="F244" i="1"/>
  <c r="E244" i="1" s="1"/>
  <c r="F242" i="1"/>
  <c r="E242" i="1" s="1"/>
  <c r="O798" i="2"/>
  <c r="P798" i="2" s="1"/>
  <c r="F205" i="1"/>
  <c r="E205" i="1" s="1"/>
  <c r="F149" i="1"/>
  <c r="E149" i="1" s="1"/>
  <c r="F413" i="1"/>
  <c r="E413" i="1" s="1"/>
  <c r="O2162" i="2"/>
  <c r="P2162" i="2" s="1"/>
  <c r="F166" i="1"/>
  <c r="E166" i="1" s="1"/>
  <c r="F163" i="1"/>
  <c r="E163" i="1" s="1"/>
  <c r="O600" i="2" s="1"/>
  <c r="P600" i="2" s="1"/>
  <c r="R600" i="2" s="1"/>
  <c r="O371" i="2"/>
  <c r="P371" i="2" s="1"/>
  <c r="F433" i="1"/>
  <c r="O1156" i="2"/>
  <c r="P1156" i="2" s="1"/>
  <c r="R1156" i="2" s="1"/>
  <c r="O2161" i="2"/>
  <c r="P2161" i="2" s="1"/>
  <c r="R2161" i="2" s="1"/>
  <c r="U2161" i="2" s="1"/>
  <c r="O652" i="2"/>
  <c r="P652" i="2" s="1"/>
  <c r="R652" i="2" s="1"/>
  <c r="O653" i="2"/>
  <c r="P653" i="2" s="1"/>
  <c r="R653" i="2" s="1"/>
  <c r="O651" i="2"/>
  <c r="P651" i="2" s="1"/>
  <c r="O2160" i="2"/>
  <c r="P2160" i="2" s="1"/>
  <c r="R2160" i="2" s="1"/>
  <c r="U2160" i="2" s="1"/>
  <c r="O2158" i="2"/>
  <c r="O2157" i="2"/>
  <c r="O409" i="2"/>
  <c r="P409" i="2" s="1"/>
  <c r="R409" i="2" s="1"/>
  <c r="O1148" i="2"/>
  <c r="P1148" i="2" s="1"/>
  <c r="R1148" i="2" s="1"/>
  <c r="O68" i="2"/>
  <c r="P68" i="2" s="1"/>
  <c r="R68" i="2" s="1"/>
  <c r="O1273" i="2"/>
  <c r="P1273" i="2" s="1"/>
  <c r="R1273" i="2" s="1"/>
  <c r="U1273" i="2" s="1"/>
  <c r="K888" i="6"/>
  <c r="K797" i="6"/>
  <c r="K432" i="6"/>
  <c r="K420" i="6"/>
  <c r="K429" i="6"/>
  <c r="K434" i="6"/>
  <c r="K418" i="6"/>
  <c r="K424" i="6"/>
  <c r="K421" i="6"/>
  <c r="K431" i="6"/>
  <c r="K442" i="6"/>
  <c r="K440" i="6"/>
  <c r="K446" i="6"/>
  <c r="K438" i="6"/>
  <c r="K447" i="6"/>
  <c r="K452" i="6"/>
  <c r="K455" i="6"/>
  <c r="K457" i="6"/>
  <c r="K454" i="6"/>
  <c r="K460" i="6"/>
  <c r="K458" i="6"/>
  <c r="K463" i="6"/>
  <c r="K466" i="6"/>
  <c r="K522" i="6"/>
  <c r="K489" i="6"/>
  <c r="K496" i="6"/>
  <c r="K506" i="6"/>
  <c r="K500" i="6"/>
  <c r="K501" i="6"/>
  <c r="K620" i="6"/>
  <c r="K609" i="6"/>
  <c r="K610" i="6"/>
  <c r="K617" i="6"/>
  <c r="K607" i="6"/>
  <c r="K606" i="6"/>
  <c r="K569" i="6"/>
  <c r="K737" i="6"/>
  <c r="K804" i="6"/>
  <c r="K736" i="6"/>
  <c r="K742" i="6"/>
  <c r="K487" i="6"/>
  <c r="K510" i="6"/>
  <c r="K527" i="6"/>
  <c r="K515" i="6"/>
  <c r="K494" i="6"/>
  <c r="K492" i="6"/>
  <c r="K504" i="6"/>
  <c r="K581" i="6"/>
  <c r="K571" i="6"/>
  <c r="K585" i="6"/>
  <c r="K588" i="6"/>
  <c r="K586" i="6"/>
  <c r="K594" i="6"/>
  <c r="K531" i="6"/>
  <c r="K530" i="6"/>
  <c r="K535" i="6"/>
  <c r="K551" i="6"/>
  <c r="K584" i="6"/>
  <c r="K575" i="6"/>
  <c r="K565" i="6"/>
  <c r="K563" i="6"/>
  <c r="K558" i="6"/>
  <c r="K549" i="6"/>
  <c r="K543" i="6"/>
  <c r="K691" i="6"/>
  <c r="K675" i="6"/>
  <c r="K641" i="6"/>
  <c r="K659" i="6"/>
  <c r="K721" i="6"/>
  <c r="K757" i="6"/>
  <c r="K798" i="6"/>
  <c r="K758" i="6"/>
  <c r="K752" i="6"/>
  <c r="K706" i="6"/>
  <c r="K840" i="6"/>
  <c r="K851" i="6"/>
  <c r="K767" i="6"/>
  <c r="K807" i="6"/>
  <c r="K821" i="6"/>
  <c r="K777" i="6"/>
  <c r="K406" i="6"/>
  <c r="K268" i="6"/>
  <c r="K696" i="6"/>
  <c r="K499" i="6"/>
  <c r="K724" i="6"/>
  <c r="K646" i="6"/>
  <c r="K788" i="6"/>
  <c r="K733" i="6"/>
  <c r="K743" i="6"/>
  <c r="K703" i="6"/>
  <c r="K702" i="6"/>
  <c r="K726" i="6"/>
  <c r="K700" i="6"/>
  <c r="K497" i="6"/>
  <c r="K513" i="6"/>
  <c r="K503" i="6"/>
  <c r="K656" i="6"/>
  <c r="K655" i="6"/>
  <c r="K739" i="6"/>
  <c r="K751" i="6"/>
  <c r="K806" i="6"/>
  <c r="K818" i="6"/>
  <c r="K639" i="6"/>
  <c r="K704" i="6"/>
  <c r="K740" i="6"/>
  <c r="K760" i="6"/>
  <c r="K776" i="6"/>
  <c r="K847" i="6"/>
  <c r="K636" i="6"/>
  <c r="K803" i="6"/>
  <c r="K858" i="6"/>
  <c r="K837" i="6"/>
  <c r="K870" i="6"/>
  <c r="K882" i="6"/>
  <c r="K652" i="6"/>
  <c r="K833" i="6"/>
  <c r="K866" i="6"/>
  <c r="K878" i="6"/>
  <c r="K722" i="6"/>
  <c r="K872" i="6"/>
  <c r="K884" i="6"/>
  <c r="K831" i="6"/>
  <c r="K857" i="6"/>
  <c r="K773" i="6"/>
  <c r="K800" i="6"/>
  <c r="K817" i="6"/>
  <c r="K764" i="6"/>
  <c r="K674" i="6"/>
  <c r="K711" i="6"/>
  <c r="K762" i="6"/>
  <c r="K738" i="6"/>
  <c r="K717" i="6"/>
  <c r="K699" i="6"/>
  <c r="K819" i="6"/>
  <c r="K754" i="6"/>
  <c r="K653" i="6"/>
  <c r="K731" i="6"/>
  <c r="K755" i="6"/>
  <c r="K708" i="6"/>
  <c r="K746" i="6"/>
  <c r="K657" i="6"/>
  <c r="K750" i="6"/>
  <c r="K735" i="6"/>
  <c r="K759" i="6"/>
  <c r="K748" i="6"/>
  <c r="O414" i="2"/>
  <c r="P414" i="2" s="1"/>
  <c r="R414" i="2" s="1"/>
  <c r="O1887" i="2"/>
  <c r="P1887" i="2" s="1"/>
  <c r="R1887" i="2" s="1"/>
  <c r="U1887" i="2" s="1"/>
  <c r="F429" i="1"/>
  <c r="E429" i="1" s="1"/>
  <c r="O1042" i="2"/>
  <c r="P1042" i="2" s="1"/>
  <c r="R1042" i="2" s="1"/>
  <c r="O1633" i="2"/>
  <c r="P1633" i="2" s="1"/>
  <c r="R1633" i="2" s="1"/>
  <c r="U1633" i="2" s="1"/>
  <c r="O1645" i="2"/>
  <c r="O1457" i="2"/>
  <c r="P1457" i="2" s="1"/>
  <c r="R1457" i="2" s="1"/>
  <c r="O796" i="2"/>
  <c r="P796" i="2" s="1"/>
  <c r="R796" i="2" s="1"/>
  <c r="O413" i="2"/>
  <c r="P413" i="2" s="1"/>
  <c r="R413" i="2" s="1"/>
  <c r="O1456" i="2"/>
  <c r="P1456" i="2" s="1"/>
  <c r="R1456" i="2" s="1"/>
  <c r="F518" i="1"/>
  <c r="E518" i="1" s="1"/>
  <c r="F551" i="1"/>
  <c r="E551" i="1" s="1"/>
  <c r="F508" i="1"/>
  <c r="E508" i="1" s="1"/>
  <c r="O1930" i="2" s="1"/>
  <c r="P1930" i="2" s="1"/>
  <c r="R1930" i="2" s="1"/>
  <c r="U1930" i="2" s="1"/>
  <c r="F505" i="1"/>
  <c r="E505" i="1" s="1"/>
  <c r="F479" i="1"/>
  <c r="E479" i="1" s="1"/>
  <c r="O1822" i="2" s="1"/>
  <c r="P1822" i="2" s="1"/>
  <c r="R1822" i="2" s="1"/>
  <c r="F385" i="1"/>
  <c r="F335" i="1"/>
  <c r="E335" i="1" s="1"/>
  <c r="O1238" i="2" s="1"/>
  <c r="P1238" i="2" s="1"/>
  <c r="R1238" i="2" s="1"/>
  <c r="U1238" i="2" s="1"/>
  <c r="O482" i="2"/>
  <c r="P482" i="2" s="1"/>
  <c r="R482" i="2" s="1"/>
  <c r="O391" i="2"/>
  <c r="P391" i="2" s="1"/>
  <c r="O1632" i="2"/>
  <c r="P1632" i="2" s="1"/>
  <c r="R1632" i="2" s="1"/>
  <c r="U1632" i="2" s="1"/>
  <c r="O1626" i="2"/>
  <c r="P1626" i="2" s="1"/>
  <c r="R1626" i="2" s="1"/>
  <c r="U1626" i="2" s="1"/>
  <c r="G537" i="1"/>
  <c r="G575" i="1"/>
  <c r="P2155" i="2"/>
  <c r="R2155" i="2" s="1"/>
  <c r="U2155" i="2" s="1"/>
  <c r="O1171" i="2"/>
  <c r="P1171" i="2" s="1"/>
  <c r="R1171" i="2" s="1"/>
  <c r="O1164" i="2"/>
  <c r="P1164" i="2" s="1"/>
  <c r="R1164" i="2" s="1"/>
  <c r="O1813" i="2"/>
  <c r="P1813" i="2" s="1"/>
  <c r="R1813" i="2" s="1"/>
  <c r="P2156" i="2"/>
  <c r="G576" i="1"/>
  <c r="O1968" i="2"/>
  <c r="P1968" i="2" s="1"/>
  <c r="R1968" i="2" s="1"/>
  <c r="U1968" i="2" s="1"/>
  <c r="O1967" i="2"/>
  <c r="P1967" i="2" s="1"/>
  <c r="R1967" i="2" s="1"/>
  <c r="O1840" i="2"/>
  <c r="P1840" i="2" s="1"/>
  <c r="R1840" i="2" s="1"/>
  <c r="U1840" i="2" s="1"/>
  <c r="F494" i="1"/>
  <c r="E494" i="1" s="1"/>
  <c r="O1867" i="2" s="1"/>
  <c r="P1867" i="2" s="1"/>
  <c r="R1867" i="2" s="1"/>
  <c r="U1867" i="2" s="1"/>
  <c r="F491" i="1"/>
  <c r="E491" i="1" s="1"/>
  <c r="F461" i="1"/>
  <c r="E461" i="1" s="1"/>
  <c r="F430" i="1"/>
  <c r="E430" i="1" s="1"/>
  <c r="F386" i="1"/>
  <c r="E386" i="1" s="1"/>
  <c r="O1479" i="2" s="1"/>
  <c r="P1479" i="2" s="1"/>
  <c r="R1479" i="2" s="1"/>
  <c r="U1479" i="2" s="1"/>
  <c r="O1463" i="2"/>
  <c r="P1463" i="2" s="1"/>
  <c r="R1463" i="2" s="1"/>
  <c r="V1463" i="2" s="1"/>
  <c r="F383" i="1"/>
  <c r="E383" i="1" s="1"/>
  <c r="O1451" i="2" s="1"/>
  <c r="P1451" i="2" s="1"/>
  <c r="R1451" i="2" s="1"/>
  <c r="U1451" i="2" s="1"/>
  <c r="F381" i="1"/>
  <c r="E381" i="1" s="1"/>
  <c r="F356" i="1"/>
  <c r="E356" i="1" s="1"/>
  <c r="O1324" i="2" s="1"/>
  <c r="P1324" i="2" s="1"/>
  <c r="R1324" i="2" s="1"/>
  <c r="V1324" i="2" s="1"/>
  <c r="F339" i="1"/>
  <c r="E339" i="1" s="1"/>
  <c r="O1199" i="2"/>
  <c r="P1199" i="2" s="1"/>
  <c r="F324" i="1"/>
  <c r="E324" i="1" s="1"/>
  <c r="O1194" i="2" s="1"/>
  <c r="P1194" i="2" s="1"/>
  <c r="R1194" i="2" s="1"/>
  <c r="O1178" i="2"/>
  <c r="P1178" i="2" s="1"/>
  <c r="R1178" i="2" s="1"/>
  <c r="O1158" i="2"/>
  <c r="P1158" i="2" s="1"/>
  <c r="O1153" i="2"/>
  <c r="P1153" i="2" s="1"/>
  <c r="R1153" i="2" s="1"/>
  <c r="F280" i="1"/>
  <c r="E280" i="1" s="1"/>
  <c r="F161" i="1"/>
  <c r="E161" i="1" s="1"/>
  <c r="O593" i="2" s="1"/>
  <c r="P593" i="2" s="1"/>
  <c r="R593" i="2" s="1"/>
  <c r="F159" i="1"/>
  <c r="E159" i="1" s="1"/>
  <c r="O576" i="2" s="1"/>
  <c r="P576" i="2" s="1"/>
  <c r="R576" i="2" s="1"/>
  <c r="F147" i="1"/>
  <c r="E147" i="1" s="1"/>
  <c r="F145" i="1"/>
  <c r="E145" i="1" s="1"/>
  <c r="F140" i="1"/>
  <c r="E140" i="1" s="1"/>
  <c r="F128" i="1"/>
  <c r="E128" i="1" s="1"/>
  <c r="F126" i="1"/>
  <c r="E126" i="1" s="1"/>
  <c r="O476" i="2"/>
  <c r="P476" i="2" s="1"/>
  <c r="R476" i="2" s="1"/>
  <c r="F101" i="1"/>
  <c r="E101" i="1" s="1"/>
  <c r="F26" i="1"/>
  <c r="E26" i="1" s="1"/>
  <c r="O202" i="2"/>
  <c r="P202" i="2" s="1"/>
  <c r="R202" i="2" s="1"/>
  <c r="F54" i="1"/>
  <c r="E54" i="1" s="1"/>
  <c r="O710" i="2"/>
  <c r="P710" i="2" s="1"/>
  <c r="R710" i="2" s="1"/>
  <c r="F143" i="1"/>
  <c r="E143" i="1" s="1"/>
  <c r="F139" i="1"/>
  <c r="E139" i="1" s="1"/>
  <c r="F379" i="1"/>
  <c r="E379" i="1" s="1"/>
  <c r="O1415" i="2" s="1"/>
  <c r="P1415" i="2" s="1"/>
  <c r="R1415" i="2" s="1"/>
  <c r="U1415" i="2" s="1"/>
  <c r="F471" i="1"/>
  <c r="E471" i="1" s="1"/>
  <c r="F325" i="1"/>
  <c r="F333" i="1"/>
  <c r="E333" i="1" s="1"/>
  <c r="O1228" i="2" s="1"/>
  <c r="P1228" i="2" s="1"/>
  <c r="R1228" i="2" s="1"/>
  <c r="U1228" i="2" s="1"/>
  <c r="V1310" i="2"/>
  <c r="O596" i="2"/>
  <c r="P596" i="2" s="1"/>
  <c r="R596" i="2" s="1"/>
  <c r="O687" i="2"/>
  <c r="P687" i="2" s="1"/>
  <c r="R687" i="2" s="1"/>
  <c r="O685" i="2"/>
  <c r="P685" i="2" s="1"/>
  <c r="O686" i="2"/>
  <c r="P686" i="2" s="1"/>
  <c r="R686" i="2" s="1"/>
  <c r="O756" i="2"/>
  <c r="P756" i="2" s="1"/>
  <c r="O757" i="2"/>
  <c r="P757" i="2" s="1"/>
  <c r="R757" i="2" s="1"/>
  <c r="O1417" i="2"/>
  <c r="P1417" i="2" s="1"/>
  <c r="R1417" i="2" s="1"/>
  <c r="U1417" i="2" s="1"/>
  <c r="O1172" i="2"/>
  <c r="P1172" i="2" s="1"/>
  <c r="R1172" i="2" s="1"/>
  <c r="O1575" i="2"/>
  <c r="P1575" i="2" s="1"/>
  <c r="R1575" i="2" s="1"/>
  <c r="U1575" i="2" s="1"/>
  <c r="O1175" i="2"/>
  <c r="P1175" i="2" s="1"/>
  <c r="R1175" i="2" s="1"/>
  <c r="O1421" i="2"/>
  <c r="P1421" i="2" s="1"/>
  <c r="R1421" i="2" s="1"/>
  <c r="V1421" i="2" s="1"/>
  <c r="O1219" i="2"/>
  <c r="P1219" i="2" s="1"/>
  <c r="R1219" i="2" s="1"/>
  <c r="O1177" i="2"/>
  <c r="P1177" i="2" s="1"/>
  <c r="R1177" i="2" s="1"/>
  <c r="O1670" i="2"/>
  <c r="P1670" i="2" s="1"/>
  <c r="R1670" i="2" s="1"/>
  <c r="U1670" i="2" s="1"/>
  <c r="O1299" i="2"/>
  <c r="P1299" i="2" s="1"/>
  <c r="R1299" i="2" s="1"/>
  <c r="U1299" i="2" s="1"/>
  <c r="O1149" i="2"/>
  <c r="P1149" i="2" s="1"/>
  <c r="R1149" i="2" s="1"/>
  <c r="O1163" i="2"/>
  <c r="P1163" i="2" s="1"/>
  <c r="R1163" i="2" s="1"/>
  <c r="O1297" i="2"/>
  <c r="P1297" i="2" s="1"/>
  <c r="R1297" i="2" s="1"/>
  <c r="U1297" i="2" s="1"/>
  <c r="O1533" i="2"/>
  <c r="G406" i="1" s="1"/>
  <c r="F424" i="1"/>
  <c r="E424" i="1" s="1"/>
  <c r="F419" i="1"/>
  <c r="E419" i="1" s="1"/>
  <c r="O1580" i="2" s="1"/>
  <c r="P1580" i="2" s="1"/>
  <c r="R1580" i="2" s="1"/>
  <c r="U1580" i="2" s="1"/>
  <c r="F397" i="1"/>
  <c r="E397" i="1" s="1"/>
  <c r="O1508" i="2" s="1"/>
  <c r="P1508" i="2" s="1"/>
  <c r="R1508" i="2" s="1"/>
  <c r="U1508" i="2" s="1"/>
  <c r="F366" i="1"/>
  <c r="E366" i="1" s="1"/>
  <c r="O1357" i="2" s="1"/>
  <c r="F359" i="1"/>
  <c r="E359" i="1" s="1"/>
  <c r="O1331" i="2" s="1"/>
  <c r="P1331" i="2" s="1"/>
  <c r="O780" i="2"/>
  <c r="P780" i="2" s="1"/>
  <c r="F274" i="1"/>
  <c r="E274" i="1" s="1"/>
  <c r="F254" i="1"/>
  <c r="E254" i="1" s="1"/>
  <c r="F193" i="1"/>
  <c r="E193" i="1" s="1"/>
  <c r="F187" i="1"/>
  <c r="E187" i="1" s="1"/>
  <c r="O667" i="2" s="1"/>
  <c r="P667" i="2" s="1"/>
  <c r="R667" i="2" s="1"/>
  <c r="F185" i="1"/>
  <c r="E185" i="1" s="1"/>
  <c r="O659" i="2" s="1"/>
  <c r="F153" i="1"/>
  <c r="E153" i="1" s="1"/>
  <c r="O549" i="2" s="1"/>
  <c r="O1468" i="2"/>
  <c r="P1468" i="2" s="1"/>
  <c r="R1468" i="2" s="1"/>
  <c r="U1468" i="2" s="1"/>
  <c r="O1161" i="2"/>
  <c r="P1161" i="2" s="1"/>
  <c r="R1161" i="2" s="1"/>
  <c r="F513" i="1"/>
  <c r="E513" i="1" s="1"/>
  <c r="O1946" i="2" s="1"/>
  <c r="F501" i="1"/>
  <c r="E501" i="1" s="1"/>
  <c r="F499" i="1"/>
  <c r="E499" i="1" s="1"/>
  <c r="O1892" i="2" s="1"/>
  <c r="P1892" i="2" s="1"/>
  <c r="R1892" i="2" s="1"/>
  <c r="U1892" i="2" s="1"/>
  <c r="F495" i="1"/>
  <c r="E495" i="1" s="1"/>
  <c r="O1877" i="2" s="1"/>
  <c r="P1877" i="2" s="1"/>
  <c r="R1877" i="2" s="1"/>
  <c r="U1877" i="2" s="1"/>
  <c r="F476" i="1"/>
  <c r="E476" i="1" s="1"/>
  <c r="O1784" i="2" s="1"/>
  <c r="P1784" i="2" s="1"/>
  <c r="R1784" i="2" s="1"/>
  <c r="U1784" i="2" s="1"/>
  <c r="F465" i="1"/>
  <c r="E465" i="1" s="1"/>
  <c r="O1744" i="2" s="1"/>
  <c r="P1744" i="2" s="1"/>
  <c r="R1744" i="2" s="1"/>
  <c r="U1744" i="2" s="1"/>
  <c r="F347" i="1"/>
  <c r="E347" i="1" s="1"/>
  <c r="O1293" i="2" s="1"/>
  <c r="F337" i="1"/>
  <c r="E337" i="1" s="1"/>
  <c r="O1260" i="2" s="1"/>
  <c r="P1260" i="2" s="1"/>
  <c r="R1260" i="2" s="1"/>
  <c r="O1545" i="2"/>
  <c r="P1545" i="2" s="1"/>
  <c r="R1545" i="2" s="1"/>
  <c r="U1545" i="2" s="1"/>
  <c r="F404" i="1"/>
  <c r="E404" i="1" s="1"/>
  <c r="O1525" i="2" s="1"/>
  <c r="P1525" i="2" s="1"/>
  <c r="R1525" i="2" s="1"/>
  <c r="U1525" i="2" s="1"/>
  <c r="F303" i="1"/>
  <c r="E303" i="1" s="1"/>
  <c r="O1628" i="2"/>
  <c r="P1628" i="2" s="1"/>
  <c r="R1628" i="2" s="1"/>
  <c r="U1628" i="2" s="1"/>
  <c r="O1420" i="2"/>
  <c r="P1420" i="2" s="1"/>
  <c r="R1420" i="2" s="1"/>
  <c r="O1206" i="2"/>
  <c r="P1206" i="2" s="1"/>
  <c r="R1206" i="2" s="1"/>
  <c r="O1464" i="2"/>
  <c r="P1464" i="2" s="1"/>
  <c r="R1464" i="2" s="1"/>
  <c r="V1464" i="2" s="1"/>
  <c r="O1631" i="2"/>
  <c r="P1631" i="2" s="1"/>
  <c r="R1631" i="2" s="1"/>
  <c r="U1631" i="2" s="1"/>
  <c r="O1625" i="2"/>
  <c r="P1625" i="2" s="1"/>
  <c r="O1476" i="2"/>
  <c r="P1476" i="2" s="1"/>
  <c r="R1476" i="2" s="1"/>
  <c r="O1150" i="2"/>
  <c r="P1150" i="2" s="1"/>
  <c r="R1150" i="2" s="1"/>
  <c r="O1480" i="2"/>
  <c r="P1480" i="2" s="1"/>
  <c r="R1480" i="2" s="1"/>
  <c r="V1480" i="2" s="1"/>
  <c r="O1170" i="2"/>
  <c r="P1170" i="2" s="1"/>
  <c r="O1577" i="2"/>
  <c r="P1577" i="2" s="1"/>
  <c r="R1577" i="2" s="1"/>
  <c r="U1577" i="2" s="1"/>
  <c r="O1151" i="2"/>
  <c r="P1151" i="2" s="1"/>
  <c r="R1151" i="2" s="1"/>
  <c r="O1478" i="2"/>
  <c r="P1478" i="2" s="1"/>
  <c r="R1478" i="2" s="1"/>
  <c r="U1478" i="2" s="1"/>
  <c r="O1152" i="2"/>
  <c r="P1152" i="2" s="1"/>
  <c r="R1152" i="2" s="1"/>
  <c r="O1174" i="2"/>
  <c r="P1174" i="2" s="1"/>
  <c r="R1174" i="2" s="1"/>
  <c r="O1162" i="2"/>
  <c r="P1162" i="2" s="1"/>
  <c r="R1162" i="2" s="1"/>
  <c r="O1461" i="2"/>
  <c r="P1461" i="2" s="1"/>
  <c r="R1461" i="2" s="1"/>
  <c r="V1461" i="2" s="1"/>
  <c r="O1204" i="2"/>
  <c r="P1204" i="2" s="1"/>
  <c r="R1204" i="2" s="1"/>
  <c r="O1767" i="2"/>
  <c r="P1767" i="2" s="1"/>
  <c r="R1767" i="2" s="1"/>
  <c r="U1767" i="2" s="1"/>
  <c r="O1251" i="2"/>
  <c r="P1251" i="2" s="1"/>
  <c r="R1251" i="2" s="1"/>
  <c r="V1251" i="2" s="1"/>
  <c r="F535" i="1"/>
  <c r="E535" i="1" s="1"/>
  <c r="F416" i="1"/>
  <c r="E416" i="1" s="1"/>
  <c r="F407" i="1"/>
  <c r="E407" i="1" s="1"/>
  <c r="O1536" i="2" s="1"/>
  <c r="P1536" i="2" s="1"/>
  <c r="R1536" i="2" s="1"/>
  <c r="U1536" i="2" s="1"/>
  <c r="F396" i="1"/>
  <c r="E396" i="1" s="1"/>
  <c r="O1505" i="2" s="1"/>
  <c r="P1505" i="2" s="1"/>
  <c r="R1505" i="2" s="1"/>
  <c r="U1505" i="2" s="1"/>
  <c r="O1639" i="2"/>
  <c r="P1639" i="2" s="1"/>
  <c r="R1639" i="2" s="1"/>
  <c r="U1639" i="2" s="1"/>
  <c r="O1475" i="2"/>
  <c r="P1475" i="2" s="1"/>
  <c r="O1511" i="2"/>
  <c r="P1511" i="2" s="1"/>
  <c r="R1511" i="2" s="1"/>
  <c r="U1511" i="2" s="1"/>
  <c r="O1447" i="2"/>
  <c r="P1447" i="2" s="1"/>
  <c r="R1447" i="2" s="1"/>
  <c r="U1447" i="2" s="1"/>
  <c r="O1927" i="2"/>
  <c r="P1927" i="2" s="1"/>
  <c r="R1927" i="2" s="1"/>
  <c r="U1927" i="2" s="1"/>
  <c r="O1470" i="2"/>
  <c r="P1470" i="2" s="1"/>
  <c r="R1470" i="2" s="1"/>
  <c r="U1470" i="2" s="1"/>
  <c r="O1474" i="2"/>
  <c r="P1474" i="2" s="1"/>
  <c r="R1474" i="2" s="1"/>
  <c r="V1474" i="2" s="1"/>
  <c r="O1176" i="2"/>
  <c r="P1176" i="2" s="1"/>
  <c r="R1176" i="2" s="1"/>
  <c r="O1935" i="2"/>
  <c r="P1935" i="2" s="1"/>
  <c r="R1935" i="2" s="1"/>
  <c r="U1935" i="2" s="1"/>
  <c r="O534" i="2"/>
  <c r="P534" i="2" s="1"/>
  <c r="R534" i="2" s="1"/>
  <c r="O1635" i="2"/>
  <c r="P1635" i="2" s="1"/>
  <c r="O1839" i="2"/>
  <c r="P1839" i="2" s="1"/>
  <c r="O1207" i="2"/>
  <c r="P1207" i="2" s="1"/>
  <c r="R1207" i="2" s="1"/>
  <c r="O1200" i="2"/>
  <c r="P1200" i="2" s="1"/>
  <c r="R1200" i="2" s="1"/>
  <c r="F472" i="1"/>
  <c r="E472" i="1" s="1"/>
  <c r="O1780" i="2" s="1"/>
  <c r="P1780" i="2" s="1"/>
  <c r="R1780" i="2" s="1"/>
  <c r="F442" i="1"/>
  <c r="E442" i="1" s="1"/>
  <c r="O1659" i="2" s="1"/>
  <c r="P1659" i="2" s="1"/>
  <c r="R1659" i="2" s="1"/>
  <c r="U1659" i="2" s="1"/>
  <c r="F332" i="1"/>
  <c r="E332" i="1" s="1"/>
  <c r="O1227" i="2" s="1"/>
  <c r="P1227" i="2" s="1"/>
  <c r="R1227" i="2" s="1"/>
  <c r="U1227" i="2" s="1"/>
  <c r="F318" i="1"/>
  <c r="E318" i="1" s="1"/>
  <c r="O1166" i="2" s="1"/>
  <c r="P1166" i="2" s="1"/>
  <c r="R1166" i="2" s="1"/>
  <c r="F272" i="1"/>
  <c r="E272" i="1" s="1"/>
  <c r="O945" i="2" s="1"/>
  <c r="P945" i="2" s="1"/>
  <c r="R945" i="2" s="1"/>
  <c r="F284" i="1"/>
  <c r="E284" i="1" s="1"/>
  <c r="O1028" i="2" s="1"/>
  <c r="P1028" i="2" s="1"/>
  <c r="R1028" i="2" s="1"/>
  <c r="O1315" i="2"/>
  <c r="P1315" i="2" s="1"/>
  <c r="R1315" i="2" s="1"/>
  <c r="V1315" i="2" s="1"/>
  <c r="O1439" i="2"/>
  <c r="P1439" i="2" s="1"/>
  <c r="R1439" i="2" s="1"/>
  <c r="O1481" i="2"/>
  <c r="P1481" i="2" s="1"/>
  <c r="R1481" i="2" s="1"/>
  <c r="O1507" i="2"/>
  <c r="P1507" i="2" s="1"/>
  <c r="R1507" i="2" s="1"/>
  <c r="U1507" i="2" s="1"/>
  <c r="O1472" i="2"/>
  <c r="P1472" i="2" s="1"/>
  <c r="R1472" i="2" s="1"/>
  <c r="U1472" i="2" s="1"/>
  <c r="O1469" i="2"/>
  <c r="P1469" i="2" s="1"/>
  <c r="R1469" i="2" s="1"/>
  <c r="U1469" i="2" s="1"/>
  <c r="O1905" i="2"/>
  <c r="P1905" i="2" s="1"/>
  <c r="R1905" i="2" s="1"/>
  <c r="U1905" i="2" s="1"/>
  <c r="O1186" i="2"/>
  <c r="P1186" i="2" s="1"/>
  <c r="R1186" i="2" s="1"/>
  <c r="O937" i="2"/>
  <c r="P937" i="2" s="1"/>
  <c r="O1637" i="2"/>
  <c r="P1637" i="2" s="1"/>
  <c r="R1637" i="2" s="1"/>
  <c r="U1637" i="2" s="1"/>
  <c r="F490" i="1"/>
  <c r="E490" i="1" s="1"/>
  <c r="F480" i="1"/>
  <c r="E480" i="1" s="1"/>
  <c r="U1460" i="2"/>
  <c r="V1466" i="2"/>
  <c r="O1329" i="2"/>
  <c r="P1329" i="2" s="1"/>
  <c r="R1329" i="2" s="1"/>
  <c r="V1329" i="2" s="1"/>
  <c r="O1327" i="2"/>
  <c r="P1327" i="2" s="1"/>
  <c r="R1327" i="2" s="1"/>
  <c r="V1327" i="2" s="1"/>
  <c r="I357" i="1" s="1"/>
  <c r="O1101" i="2"/>
  <c r="P1101" i="2" s="1"/>
  <c r="R1101" i="2" s="1"/>
  <c r="O1102" i="2"/>
  <c r="P1102" i="2" s="1"/>
  <c r="R1102" i="2" s="1"/>
  <c r="O1103" i="2"/>
  <c r="P1103" i="2" s="1"/>
  <c r="R1103" i="2" s="1"/>
  <c r="O1106" i="2"/>
  <c r="P1106" i="2" s="1"/>
  <c r="R1106" i="2" s="1"/>
  <c r="O709" i="2"/>
  <c r="P709" i="2" s="1"/>
  <c r="R709" i="2" s="1"/>
  <c r="O691" i="2"/>
  <c r="P691" i="2" s="1"/>
  <c r="R691" i="2" s="1"/>
  <c r="O622" i="2"/>
  <c r="P622" i="2" s="1"/>
  <c r="R622" i="2" s="1"/>
  <c r="O627" i="2"/>
  <c r="P627" i="2" s="1"/>
  <c r="R627" i="2" s="1"/>
  <c r="O628" i="2"/>
  <c r="P628" i="2" s="1"/>
  <c r="O551" i="2"/>
  <c r="P551" i="2" s="1"/>
  <c r="R551" i="2" s="1"/>
  <c r="O556" i="2"/>
  <c r="P556" i="2" s="1"/>
  <c r="R556" i="2" s="1"/>
  <c r="O555" i="2"/>
  <c r="P555" i="2" s="1"/>
  <c r="O912" i="2"/>
  <c r="P912" i="2" s="1"/>
  <c r="R912" i="2" s="1"/>
  <c r="O911" i="2"/>
  <c r="P911" i="2" s="1"/>
  <c r="R911" i="2" s="1"/>
  <c r="O524" i="2"/>
  <c r="P524" i="2" s="1"/>
  <c r="R524" i="2" s="1"/>
  <c r="O525" i="2"/>
  <c r="P525" i="2" s="1"/>
  <c r="R525" i="2" s="1"/>
  <c r="O426" i="2"/>
  <c r="P426" i="2" s="1"/>
  <c r="R426" i="2" s="1"/>
  <c r="O425" i="2"/>
  <c r="P425" i="2" s="1"/>
  <c r="R425" i="2" s="1"/>
  <c r="O424" i="2"/>
  <c r="O1558" i="2"/>
  <c r="P1558" i="2" s="1"/>
  <c r="R1558" i="2" s="1"/>
  <c r="O1528" i="2"/>
  <c r="P1528" i="2" s="1"/>
  <c r="R1528" i="2" s="1"/>
  <c r="U1528" i="2" s="1"/>
  <c r="O1121" i="2"/>
  <c r="P1121" i="2" s="1"/>
  <c r="R1121" i="2" s="1"/>
  <c r="O1119" i="2"/>
  <c r="P1119" i="2" s="1"/>
  <c r="O1120" i="2"/>
  <c r="P1120" i="2" s="1"/>
  <c r="R1120" i="2" s="1"/>
  <c r="O854" i="2"/>
  <c r="P854" i="2" s="1"/>
  <c r="O855" i="2"/>
  <c r="P855" i="2" s="1"/>
  <c r="R855" i="2" s="1"/>
  <c r="O856" i="2"/>
  <c r="P856" i="2" s="1"/>
  <c r="R856" i="2" s="1"/>
  <c r="O857" i="2"/>
  <c r="P857" i="2" s="1"/>
  <c r="R857" i="2" s="1"/>
  <c r="O858" i="2"/>
  <c r="P858" i="2" s="1"/>
  <c r="R858" i="2" s="1"/>
  <c r="O847" i="2"/>
  <c r="P847" i="2" s="1"/>
  <c r="R847" i="2" s="1"/>
  <c r="O849" i="2"/>
  <c r="P849" i="2" s="1"/>
  <c r="R849" i="2" s="1"/>
  <c r="O848" i="2"/>
  <c r="P848" i="2" s="1"/>
  <c r="O844" i="2"/>
  <c r="P844" i="2" s="1"/>
  <c r="R844" i="2" s="1"/>
  <c r="O846" i="2"/>
  <c r="P846" i="2" s="1"/>
  <c r="R846" i="2" s="1"/>
  <c r="O850" i="2"/>
  <c r="P850" i="2" s="1"/>
  <c r="R850" i="2" s="1"/>
  <c r="O845" i="2"/>
  <c r="P845" i="2" s="1"/>
  <c r="R845" i="2" s="1"/>
  <c r="O1116" i="2"/>
  <c r="P1116" i="2" s="1"/>
  <c r="R1116" i="2" s="1"/>
  <c r="O1117" i="2"/>
  <c r="P1117" i="2" s="1"/>
  <c r="R1117" i="2" s="1"/>
  <c r="O1115" i="2"/>
  <c r="P1115" i="2" s="1"/>
  <c r="R1115" i="2" s="1"/>
  <c r="O1118" i="2"/>
  <c r="P1118" i="2" s="1"/>
  <c r="O786" i="2"/>
  <c r="P786" i="2" s="1"/>
  <c r="R786" i="2" s="1"/>
  <c r="O787" i="2"/>
  <c r="P787" i="2" s="1"/>
  <c r="R787" i="2" s="1"/>
  <c r="O785" i="2"/>
  <c r="P785" i="2" s="1"/>
  <c r="R785" i="2" s="1"/>
  <c r="O690" i="2"/>
  <c r="P690" i="2" s="1"/>
  <c r="R690" i="2" s="1"/>
  <c r="O724" i="2"/>
  <c r="P724" i="2" s="1"/>
  <c r="R724" i="2" s="1"/>
  <c r="O722" i="2"/>
  <c r="P722" i="2" s="1"/>
  <c r="O689" i="2"/>
  <c r="P689" i="2" s="1"/>
  <c r="R689" i="2" s="1"/>
  <c r="O725" i="2"/>
  <c r="P725" i="2" s="1"/>
  <c r="R725" i="2" s="1"/>
  <c r="O736" i="2"/>
  <c r="P736" i="2" s="1"/>
  <c r="R736" i="2" s="1"/>
  <c r="O723" i="2"/>
  <c r="P723" i="2" s="1"/>
  <c r="R723" i="2" s="1"/>
  <c r="O688" i="2"/>
  <c r="P688" i="2" s="1"/>
  <c r="R688" i="2" s="1"/>
  <c r="O726" i="2"/>
  <c r="P726" i="2" s="1"/>
  <c r="R726" i="2" s="1"/>
  <c r="O727" i="2"/>
  <c r="P727" i="2" s="1"/>
  <c r="R727" i="2" s="1"/>
  <c r="O721" i="2"/>
  <c r="P721" i="2" s="1"/>
  <c r="R721" i="2" s="1"/>
  <c r="O662" i="2"/>
  <c r="P662" i="2" s="1"/>
  <c r="R662" i="2" s="1"/>
  <c r="O660" i="2"/>
  <c r="P660" i="2" s="1"/>
  <c r="R660" i="2" s="1"/>
  <c r="O656" i="2"/>
  <c r="P656" i="2" s="1"/>
  <c r="R656" i="2" s="1"/>
  <c r="O657" i="2"/>
  <c r="P657" i="2" s="1"/>
  <c r="R657" i="2" s="1"/>
  <c r="O658" i="2"/>
  <c r="P658" i="2" s="1"/>
  <c r="O661" i="2"/>
  <c r="P661" i="2" s="1"/>
  <c r="R661" i="2" s="1"/>
  <c r="O1326" i="2"/>
  <c r="P1326" i="2" s="1"/>
  <c r="R1326" i="2" s="1"/>
  <c r="V1326" i="2" s="1"/>
  <c r="O1287" i="2"/>
  <c r="P1287" i="2" s="1"/>
  <c r="O909" i="2"/>
  <c r="P909" i="2" s="1"/>
  <c r="R909" i="2" s="1"/>
  <c r="O870" i="2"/>
  <c r="P870" i="2" s="1"/>
  <c r="R870" i="2" s="1"/>
  <c r="O910" i="2"/>
  <c r="P910" i="2" s="1"/>
  <c r="R910" i="2" s="1"/>
  <c r="O908" i="2"/>
  <c r="P908" i="2" s="1"/>
  <c r="O853" i="2"/>
  <c r="P853" i="2" s="1"/>
  <c r="O852" i="2"/>
  <c r="O851" i="2"/>
  <c r="P851" i="2" s="1"/>
  <c r="R851" i="2" s="1"/>
  <c r="O611" i="2"/>
  <c r="P611" i="2" s="1"/>
  <c r="R611" i="2" s="1"/>
  <c r="O610" i="2"/>
  <c r="P610" i="2" s="1"/>
  <c r="R610" i="2" s="1"/>
  <c r="O612" i="2"/>
  <c r="P612" i="2" s="1"/>
  <c r="R612" i="2" s="1"/>
  <c r="O615" i="2"/>
  <c r="P615" i="2" s="1"/>
  <c r="R615" i="2" s="1"/>
  <c r="O530" i="2"/>
  <c r="P530" i="2" s="1"/>
  <c r="R530" i="2" s="1"/>
  <c r="O531" i="2"/>
  <c r="P531" i="2" s="1"/>
  <c r="R531" i="2" s="1"/>
  <c r="O431" i="2"/>
  <c r="P431" i="2" s="1"/>
  <c r="R431" i="2" s="1"/>
  <c r="O430" i="2"/>
  <c r="P430" i="2" s="1"/>
  <c r="R430" i="2" s="1"/>
  <c r="O1304" i="2"/>
  <c r="P1304" i="2" s="1"/>
  <c r="R1304" i="2" s="1"/>
  <c r="U1304" i="2" s="1"/>
  <c r="O1302" i="2"/>
  <c r="P1302" i="2" s="1"/>
  <c r="O1305" i="2"/>
  <c r="P1305" i="2" s="1"/>
  <c r="R1305" i="2" s="1"/>
  <c r="V1305" i="2" s="1"/>
  <c r="O1303" i="2"/>
  <c r="P1303" i="2" s="1"/>
  <c r="R1303" i="2" s="1"/>
  <c r="U1303" i="2" s="1"/>
  <c r="O1301" i="2"/>
  <c r="P1301" i="2" s="1"/>
  <c r="R1301" i="2" s="1"/>
  <c r="V1301" i="2" s="1"/>
  <c r="O1300" i="2"/>
  <c r="P1300" i="2" s="1"/>
  <c r="R1300" i="2" s="1"/>
  <c r="O890" i="2"/>
  <c r="P890" i="2" s="1"/>
  <c r="R890" i="2" s="1"/>
  <c r="O885" i="2"/>
  <c r="P885" i="2" s="1"/>
  <c r="R885" i="2" s="1"/>
  <c r="O889" i="2"/>
  <c r="P889" i="2" s="1"/>
  <c r="R889" i="2" s="1"/>
  <c r="O892" i="2"/>
  <c r="P892" i="2" s="1"/>
  <c r="R892" i="2" s="1"/>
  <c r="O888" i="2"/>
  <c r="P888" i="2" s="1"/>
  <c r="R888" i="2" s="1"/>
  <c r="O883" i="2"/>
  <c r="P883" i="2" s="1"/>
  <c r="R883" i="2" s="1"/>
  <c r="O886" i="2"/>
  <c r="P886" i="2" s="1"/>
  <c r="R886" i="2" s="1"/>
  <c r="O891" i="2"/>
  <c r="P891" i="2" s="1"/>
  <c r="R891" i="2" s="1"/>
  <c r="O884" i="2"/>
  <c r="P884" i="2" s="1"/>
  <c r="R884" i="2" s="1"/>
  <c r="O887" i="2"/>
  <c r="P887" i="2" s="1"/>
  <c r="R887" i="2" s="1"/>
  <c r="O882" i="2"/>
  <c r="P882" i="2" s="1"/>
  <c r="R882" i="2" s="1"/>
  <c r="O666" i="2"/>
  <c r="P666" i="2" s="1"/>
  <c r="R666" i="2" s="1"/>
  <c r="O665" i="2"/>
  <c r="P665" i="2" s="1"/>
  <c r="R665" i="2" s="1"/>
  <c r="O668" i="2"/>
  <c r="P668" i="2" s="1"/>
  <c r="R668" i="2" s="1"/>
  <c r="O679" i="2"/>
  <c r="P679" i="2" s="1"/>
  <c r="O671" i="2"/>
  <c r="P671" i="2" s="1"/>
  <c r="R671" i="2" s="1"/>
  <c r="O669" i="2"/>
  <c r="P669" i="2" s="1"/>
  <c r="R669" i="2" s="1"/>
  <c r="O621" i="2"/>
  <c r="P621" i="2" s="1"/>
  <c r="R621" i="2" s="1"/>
  <c r="O620" i="2"/>
  <c r="P620" i="2" s="1"/>
  <c r="O537" i="2"/>
  <c r="P537" i="2" s="1"/>
  <c r="R537" i="2" s="1"/>
  <c r="O536" i="2"/>
  <c r="P536" i="2" s="1"/>
  <c r="R536" i="2" s="1"/>
  <c r="O535" i="2"/>
  <c r="P535" i="2" s="1"/>
  <c r="H405" i="1"/>
  <c r="O1904" i="2"/>
  <c r="P1904" i="2" s="1"/>
  <c r="R1904" i="2" s="1"/>
  <c r="U1904" i="2" s="1"/>
  <c r="F188" i="1"/>
  <c r="E188" i="1" s="1"/>
  <c r="O608" i="2"/>
  <c r="P608" i="2" s="1"/>
  <c r="R608" i="2" s="1"/>
  <c r="O781" i="2"/>
  <c r="P781" i="2" s="1"/>
  <c r="R781" i="2" s="1"/>
  <c r="O1970" i="2"/>
  <c r="P1970" i="2" s="1"/>
  <c r="R1970" i="2" s="1"/>
  <c r="U1970" i="2" s="1"/>
  <c r="O1948" i="2"/>
  <c r="P1948" i="2" s="1"/>
  <c r="R1948" i="2" s="1"/>
  <c r="U1948" i="2" s="1"/>
  <c r="O1953" i="2"/>
  <c r="P1953" i="2" s="1"/>
  <c r="R1953" i="2" s="1"/>
  <c r="U1953" i="2" s="1"/>
  <c r="O1906" i="2"/>
  <c r="P1906" i="2" s="1"/>
  <c r="R1906" i="2" s="1"/>
  <c r="U1906" i="2" s="1"/>
  <c r="O1951" i="2"/>
  <c r="P1951" i="2" s="1"/>
  <c r="R1951" i="2" s="1"/>
  <c r="U1951" i="2" s="1"/>
  <c r="O1902" i="2"/>
  <c r="P1902" i="2" s="1"/>
  <c r="R1902" i="2" s="1"/>
  <c r="U1902" i="2" s="1"/>
  <c r="O1890" i="2"/>
  <c r="P1890" i="2" s="1"/>
  <c r="R1890" i="2" s="1"/>
  <c r="U1890" i="2" s="1"/>
  <c r="O1966" i="2"/>
  <c r="P1966" i="2" s="1"/>
  <c r="F224" i="1"/>
  <c r="E224" i="1" s="1"/>
  <c r="O1957" i="2"/>
  <c r="P1957" i="2" s="1"/>
  <c r="R1957" i="2" s="1"/>
  <c r="U1957" i="2" s="1"/>
  <c r="O1863" i="2"/>
  <c r="P1863" i="2" s="1"/>
  <c r="O1897" i="2"/>
  <c r="P1897" i="2" s="1"/>
  <c r="R1897" i="2" s="1"/>
  <c r="U1897" i="2" s="1"/>
  <c r="O1891" i="2"/>
  <c r="P1891" i="2" s="1"/>
  <c r="R1891" i="2" s="1"/>
  <c r="U1891" i="2" s="1"/>
  <c r="O1235" i="2"/>
  <c r="P1235" i="2" s="1"/>
  <c r="R1235" i="2" s="1"/>
  <c r="U1235" i="2" s="1"/>
  <c r="F353" i="1"/>
  <c r="E353" i="1" s="1"/>
  <c r="F122" i="1"/>
  <c r="E122" i="1" s="1"/>
  <c r="U1462" i="2"/>
  <c r="O1933" i="2"/>
  <c r="P1933" i="2" s="1"/>
  <c r="R1933" i="2" s="1"/>
  <c r="U1933" i="2" s="1"/>
  <c r="O1926" i="2"/>
  <c r="P1926" i="2" s="1"/>
  <c r="R1926" i="2" s="1"/>
  <c r="U1926" i="2" s="1"/>
  <c r="O1929" i="2"/>
  <c r="P1929" i="2" s="1"/>
  <c r="R1929" i="2" s="1"/>
  <c r="U1929" i="2" s="1"/>
  <c r="O1865" i="2"/>
  <c r="P1865" i="2" s="1"/>
  <c r="O1189" i="2"/>
  <c r="P1189" i="2" s="1"/>
  <c r="R1189" i="2" s="1"/>
  <c r="O1884" i="2"/>
  <c r="P1884" i="2" s="1"/>
  <c r="R1884" i="2" s="1"/>
  <c r="U1884" i="2" s="1"/>
  <c r="O1190" i="2"/>
  <c r="P1190" i="2" s="1"/>
  <c r="R1190" i="2" s="1"/>
  <c r="O1932" i="2"/>
  <c r="P1932" i="2" s="1"/>
  <c r="R1932" i="2" s="1"/>
  <c r="U1932" i="2" s="1"/>
  <c r="O1209" i="2"/>
  <c r="P1209" i="2" s="1"/>
  <c r="R1209" i="2" s="1"/>
  <c r="U1209" i="2" s="1"/>
  <c r="O1250" i="2"/>
  <c r="P1250" i="2" s="1"/>
  <c r="R1250" i="2" s="1"/>
  <c r="O1247" i="2"/>
  <c r="P1247" i="2" s="1"/>
  <c r="R1247" i="2" s="1"/>
  <c r="V1247" i="2" s="1"/>
  <c r="O1875" i="2"/>
  <c r="P1875" i="2" s="1"/>
  <c r="R1875" i="2" s="1"/>
  <c r="U1875" i="2" s="1"/>
  <c r="O1183" i="2"/>
  <c r="P1183" i="2" s="1"/>
  <c r="R1183" i="2" s="1"/>
  <c r="O1249" i="2"/>
  <c r="P1249" i="2" s="1"/>
  <c r="R1249" i="2" s="1"/>
  <c r="U1249" i="2" s="1"/>
  <c r="O1873" i="2"/>
  <c r="P1873" i="2" s="1"/>
  <c r="R1873" i="2" s="1"/>
  <c r="U1873" i="2" s="1"/>
  <c r="O1928" i="2"/>
  <c r="P1928" i="2" s="1"/>
  <c r="R1928" i="2" s="1"/>
  <c r="U1928" i="2" s="1"/>
  <c r="O1925" i="2"/>
  <c r="P1925" i="2" s="1"/>
  <c r="R1925" i="2" s="1"/>
  <c r="U1925" i="2" s="1"/>
  <c r="O1811" i="2"/>
  <c r="P1811" i="2" s="1"/>
  <c r="R1811" i="2" s="1"/>
  <c r="O1155" i="2"/>
  <c r="P1155" i="2" s="1"/>
  <c r="R1155" i="2" s="1"/>
  <c r="O605" i="2"/>
  <c r="P605" i="2" s="1"/>
  <c r="R605" i="2" s="1"/>
  <c r="U1251" i="2"/>
  <c r="O1964" i="2"/>
  <c r="P1964" i="2" s="1"/>
  <c r="R1964" i="2" s="1"/>
  <c r="U1964" i="2" s="1"/>
  <c r="O784" i="2"/>
  <c r="P784" i="2" s="1"/>
  <c r="R784" i="2" s="1"/>
  <c r="O1941" i="2"/>
  <c r="P1941" i="2" s="1"/>
  <c r="R1941" i="2" s="1"/>
  <c r="U1941" i="2" s="1"/>
  <c r="O1854" i="2"/>
  <c r="P1854" i="2" s="1"/>
  <c r="R1854" i="2" s="1"/>
  <c r="U1854" i="2" s="1"/>
  <c r="O1962" i="2"/>
  <c r="P1962" i="2" s="1"/>
  <c r="O1868" i="2"/>
  <c r="P1868" i="2" s="1"/>
  <c r="R1868" i="2" s="1"/>
  <c r="U1868" i="2" s="1"/>
  <c r="O1910" i="2"/>
  <c r="P1910" i="2" s="1"/>
  <c r="O1936" i="2"/>
  <c r="P1936" i="2" s="1"/>
  <c r="R1936" i="2" s="1"/>
  <c r="U1936" i="2" s="1"/>
  <c r="O1871" i="2"/>
  <c r="P1871" i="2" s="1"/>
  <c r="R1871" i="2" s="1"/>
  <c r="U1871" i="2" s="1"/>
  <c r="O1861" i="2"/>
  <c r="P1861" i="2" s="1"/>
  <c r="R1861" i="2" s="1"/>
  <c r="U1861" i="2" s="1"/>
  <c r="O1212" i="2"/>
  <c r="P1212" i="2" s="1"/>
  <c r="R1212" i="2" s="1"/>
  <c r="U1212" i="2" s="1"/>
  <c r="O1911" i="2"/>
  <c r="P1911" i="2" s="1"/>
  <c r="R1911" i="2" s="1"/>
  <c r="U1911" i="2" s="1"/>
  <c r="O1193" i="2"/>
  <c r="P1193" i="2" s="1"/>
  <c r="R1193" i="2" s="1"/>
  <c r="O1563" i="2"/>
  <c r="P1563" i="2" s="1"/>
  <c r="R1563" i="2" s="1"/>
  <c r="U1563" i="2" s="1"/>
  <c r="O1165" i="2"/>
  <c r="P1165" i="2" s="1"/>
  <c r="R1165" i="2" s="1"/>
  <c r="O1921" i="2"/>
  <c r="P1921" i="2" s="1"/>
  <c r="R1921" i="2" s="1"/>
  <c r="U1921" i="2" s="1"/>
  <c r="O1882" i="2"/>
  <c r="P1882" i="2" s="1"/>
  <c r="R1882" i="2" s="1"/>
  <c r="U1882" i="2" s="1"/>
  <c r="O1931" i="2"/>
  <c r="P1931" i="2" s="1"/>
  <c r="R1931" i="2" s="1"/>
  <c r="U1931" i="2" s="1"/>
  <c r="O1208" i="2"/>
  <c r="P1208" i="2" s="1"/>
  <c r="R1208" i="2" s="1"/>
  <c r="U1208" i="2" s="1"/>
  <c r="O1195" i="2"/>
  <c r="P1195" i="2" s="1"/>
  <c r="R1195" i="2" s="1"/>
  <c r="O1210" i="2"/>
  <c r="P1210" i="2" s="1"/>
  <c r="R1210" i="2" s="1"/>
  <c r="O1196" i="2"/>
  <c r="P1196" i="2" s="1"/>
  <c r="R1196" i="2" s="1"/>
  <c r="U1196" i="2" s="1"/>
  <c r="O1192" i="2"/>
  <c r="P1192" i="2" s="1"/>
  <c r="R1192" i="2" s="1"/>
  <c r="O1252" i="2"/>
  <c r="P1252" i="2" s="1"/>
  <c r="R1252" i="2" s="1"/>
  <c r="V1252" i="2" s="1"/>
  <c r="U1329" i="2"/>
  <c r="O1490" i="2"/>
  <c r="P1490" i="2" s="1"/>
  <c r="R1490" i="2" s="1"/>
  <c r="U1490" i="2" s="1"/>
  <c r="O1452" i="2"/>
  <c r="P1452" i="2" s="1"/>
  <c r="R1452" i="2" s="1"/>
  <c r="V1452" i="2" s="1"/>
  <c r="O1453" i="2"/>
  <c r="P1453" i="2" s="1"/>
  <c r="R1453" i="2" s="1"/>
  <c r="U1453" i="2" s="1"/>
  <c r="O1489" i="2"/>
  <c r="P1489" i="2" s="1"/>
  <c r="R1489" i="2" s="1"/>
  <c r="U1489" i="2" s="1"/>
  <c r="O1471" i="2"/>
  <c r="P1471" i="2" s="1"/>
  <c r="R1471" i="2" s="1"/>
  <c r="V1471" i="2" s="1"/>
  <c r="O1455" i="2"/>
  <c r="P1455" i="2" s="1"/>
  <c r="R1455" i="2" s="1"/>
  <c r="U1455" i="2" s="1"/>
  <c r="O1823" i="2"/>
  <c r="P1823" i="2" s="1"/>
  <c r="R1823" i="2" s="1"/>
  <c r="U1823" i="2" s="1"/>
  <c r="O1826" i="2"/>
  <c r="P1826" i="2" s="1"/>
  <c r="R1826" i="2" s="1"/>
  <c r="U1826" i="2" s="1"/>
  <c r="O1105" i="2"/>
  <c r="P1105" i="2" s="1"/>
  <c r="R1105" i="2" s="1"/>
  <c r="O1450" i="2"/>
  <c r="P1450" i="2" s="1"/>
  <c r="R1450" i="2" s="1"/>
  <c r="U1450" i="2" s="1"/>
  <c r="O1104" i="2"/>
  <c r="P1104" i="2" s="1"/>
  <c r="R1104" i="2" s="1"/>
  <c r="O1473" i="2"/>
  <c r="P1473" i="2" s="1"/>
  <c r="R1473" i="2" s="1"/>
  <c r="O1825" i="2"/>
  <c r="P1825" i="2" s="1"/>
  <c r="R1825" i="2" s="1"/>
  <c r="O1821" i="2"/>
  <c r="P1821" i="2" s="1"/>
  <c r="R1821" i="2" s="1"/>
  <c r="V1821" i="2" s="1"/>
  <c r="O1438" i="2"/>
  <c r="P1438" i="2" s="1"/>
  <c r="R1438" i="2" s="1"/>
  <c r="V1438" i="2" s="1"/>
  <c r="O1656" i="2"/>
  <c r="P1656" i="2" s="1"/>
  <c r="R1656" i="2" s="1"/>
  <c r="U1656" i="2" s="1"/>
  <c r="O1829" i="2"/>
  <c r="P1829" i="2" s="1"/>
  <c r="R1829" i="2" s="1"/>
  <c r="U1829" i="2" s="1"/>
  <c r="O1824" i="2"/>
  <c r="P1824" i="2" s="1"/>
  <c r="R1824" i="2" s="1"/>
  <c r="V1824" i="2" s="1"/>
  <c r="O1491" i="2"/>
  <c r="P1491" i="2" s="1"/>
  <c r="R1491" i="2" s="1"/>
  <c r="U1491" i="2" s="1"/>
  <c r="O1446" i="2"/>
  <c r="P1446" i="2" s="1"/>
  <c r="R1446" i="2" s="1"/>
  <c r="O1449" i="2"/>
  <c r="P1449" i="2" s="1"/>
  <c r="R1449" i="2" s="1"/>
  <c r="U1449" i="2" s="1"/>
  <c r="F478" i="1"/>
  <c r="E478" i="1" s="1"/>
  <c r="F470" i="1"/>
  <c r="E470" i="1" s="1"/>
  <c r="G255" i="1"/>
  <c r="O2153" i="2"/>
  <c r="U1463" i="2"/>
  <c r="G291" i="1"/>
  <c r="G405" i="1"/>
  <c r="O1535" i="2"/>
  <c r="P1535" i="2" s="1"/>
  <c r="R1535" i="2" s="1"/>
  <c r="U1535" i="2" s="1"/>
  <c r="O1537" i="2"/>
  <c r="P1537" i="2" s="1"/>
  <c r="R1537" i="2" s="1"/>
  <c r="U1537" i="2" s="1"/>
  <c r="O1266" i="2"/>
  <c r="P1266" i="2" s="1"/>
  <c r="R1266" i="2" s="1"/>
  <c r="U1266" i="2" s="1"/>
  <c r="O1523" i="2"/>
  <c r="P1523" i="2" s="1"/>
  <c r="R1523" i="2" s="1"/>
  <c r="U1523" i="2" s="1"/>
  <c r="O156" i="2"/>
  <c r="P156" i="2" s="1"/>
  <c r="R156" i="2" s="1"/>
  <c r="H488" i="1"/>
  <c r="O1572" i="2"/>
  <c r="P1572" i="2" s="1"/>
  <c r="R1572" i="2" s="1"/>
  <c r="O1261" i="2"/>
  <c r="P1261" i="2" s="1"/>
  <c r="R1261" i="2" s="1"/>
  <c r="U1261" i="2" s="1"/>
  <c r="O1538" i="2"/>
  <c r="P1538" i="2" s="1"/>
  <c r="R1538" i="2" s="1"/>
  <c r="U1538" i="2" s="1"/>
  <c r="O1314" i="2"/>
  <c r="P1314" i="2" s="1"/>
  <c r="R1314" i="2" s="1"/>
  <c r="V1314" i="2" s="1"/>
  <c r="I356" i="1" s="1"/>
  <c r="O1029" i="2"/>
  <c r="P1029" i="2" s="1"/>
  <c r="R1029" i="2" s="1"/>
  <c r="O1541" i="2"/>
  <c r="P1541" i="2" s="1"/>
  <c r="R1541" i="2" s="1"/>
  <c r="U1541" i="2" s="1"/>
  <c r="O1337" i="2"/>
  <c r="P1337" i="2" s="1"/>
  <c r="R1337" i="2" s="1"/>
  <c r="U1337" i="2" s="1"/>
  <c r="O1571" i="2"/>
  <c r="P1571" i="2" s="1"/>
  <c r="R1571" i="2" s="1"/>
  <c r="U1571" i="2" s="1"/>
  <c r="O1336" i="2"/>
  <c r="P1336" i="2" s="1"/>
  <c r="R1336" i="2" s="1"/>
  <c r="O212" i="2"/>
  <c r="P212" i="2" s="1"/>
  <c r="R212" i="2" s="1"/>
  <c r="O1263" i="2"/>
  <c r="P1263" i="2" s="1"/>
  <c r="R1263" i="2" s="1"/>
  <c r="U1263" i="2" s="1"/>
  <c r="O1034" i="2"/>
  <c r="P1034" i="2" s="1"/>
  <c r="R1034" i="2" s="1"/>
  <c r="O1334" i="2"/>
  <c r="P1334" i="2" s="1"/>
  <c r="R1334" i="2" s="1"/>
  <c r="O1265" i="2"/>
  <c r="P1265" i="2" s="1"/>
  <c r="R1265" i="2" s="1"/>
  <c r="U1265" i="2" s="1"/>
  <c r="O1387" i="2"/>
  <c r="P1387" i="2" s="1"/>
  <c r="R1387" i="2" s="1"/>
  <c r="O1316" i="2"/>
  <c r="P1316" i="2" s="1"/>
  <c r="R1316" i="2" s="1"/>
  <c r="O1256" i="2"/>
  <c r="P1256" i="2" s="1"/>
  <c r="R1256" i="2" s="1"/>
  <c r="U1256" i="2" s="1"/>
  <c r="O1333" i="2"/>
  <c r="P1333" i="2" s="1"/>
  <c r="R1333" i="2" s="1"/>
  <c r="V1333" i="2" s="1"/>
  <c r="O1539" i="2"/>
  <c r="P1539" i="2" s="1"/>
  <c r="R1539" i="2" s="1"/>
  <c r="U1539" i="2" s="1"/>
  <c r="O1332" i="2"/>
  <c r="P1332" i="2" s="1"/>
  <c r="R1332" i="2" s="1"/>
  <c r="U1332" i="2" s="1"/>
  <c r="O1264" i="2"/>
  <c r="P1264" i="2" s="1"/>
  <c r="R1264" i="2" s="1"/>
  <c r="O1031" i="2"/>
  <c r="P1031" i="2" s="1"/>
  <c r="R1031" i="2" s="1"/>
  <c r="O211" i="2"/>
  <c r="P211" i="2" s="1"/>
  <c r="R211" i="2" s="1"/>
  <c r="O1321" i="2"/>
  <c r="P1321" i="2" s="1"/>
  <c r="R1321" i="2" s="1"/>
  <c r="O1412" i="2"/>
  <c r="P1412" i="2" s="1"/>
  <c r="R1412" i="2" s="1"/>
  <c r="V1412" i="2" s="1"/>
  <c r="I379" i="1" s="1"/>
  <c r="O1574" i="2"/>
  <c r="P1574" i="2" s="1"/>
  <c r="R1574" i="2" s="1"/>
  <c r="U1574" i="2" s="1"/>
  <c r="O1255" i="2"/>
  <c r="P1255" i="2" s="1"/>
  <c r="R1255" i="2" s="1"/>
  <c r="U1255" i="2" s="1"/>
  <c r="O1416" i="2"/>
  <c r="P1416" i="2" s="1"/>
  <c r="R1416" i="2" s="1"/>
  <c r="O1254" i="2"/>
  <c r="P1254" i="2" s="1"/>
  <c r="O1259" i="2"/>
  <c r="P1259" i="2" s="1"/>
  <c r="R1259" i="2" s="1"/>
  <c r="U1259" i="2" s="1"/>
  <c r="O2152" i="2"/>
  <c r="H481" i="1"/>
  <c r="P776" i="2"/>
  <c r="R776" i="2" s="1"/>
  <c r="U1461" i="2"/>
  <c r="G481" i="1"/>
  <c r="G316" i="1"/>
  <c r="G26" i="1"/>
  <c r="D15" i="7"/>
  <c r="K658" i="6"/>
  <c r="K874" i="6"/>
  <c r="K729" i="6"/>
  <c r="K741" i="6"/>
  <c r="K753" i="6"/>
  <c r="K863" i="6"/>
  <c r="K690" i="6"/>
  <c r="K39" i="6"/>
  <c r="K665" i="6"/>
  <c r="K820" i="6"/>
  <c r="K647" i="6"/>
  <c r="K667" i="6"/>
  <c r="K811" i="6"/>
  <c r="K684" i="6"/>
  <c r="K666" i="6"/>
  <c r="K640" i="6"/>
  <c r="K830" i="6"/>
  <c r="K845" i="6"/>
  <c r="K715" i="6"/>
  <c r="K681" i="6"/>
  <c r="K790" i="6"/>
  <c r="K826" i="6"/>
  <c r="K672" i="6"/>
  <c r="K634" i="6"/>
  <c r="K744" i="6"/>
  <c r="K784" i="6"/>
  <c r="K642" i="6"/>
  <c r="K841" i="6"/>
  <c r="K651" i="6"/>
  <c r="K685" i="6"/>
  <c r="K698" i="6"/>
  <c r="K630" i="6"/>
  <c r="K10" i="6"/>
  <c r="K792" i="6"/>
  <c r="K865" i="6"/>
  <c r="K877" i="6"/>
  <c r="K660" i="6"/>
  <c r="K794" i="6"/>
  <c r="K633" i="6"/>
  <c r="K815" i="6"/>
  <c r="K635" i="6"/>
  <c r="K796" i="6"/>
  <c r="K832" i="6"/>
  <c r="K148" i="6"/>
  <c r="K152" i="6"/>
  <c r="K154" i="6"/>
  <c r="K162" i="6"/>
  <c r="K168" i="6"/>
  <c r="K172" i="6"/>
  <c r="K174" i="6"/>
  <c r="K184" i="6"/>
  <c r="K186" i="6"/>
  <c r="K225" i="6"/>
  <c r="K220" i="6"/>
  <c r="K219" i="6"/>
  <c r="K770" i="6"/>
  <c r="K723" i="6"/>
  <c r="K679" i="6"/>
  <c r="K886" i="6"/>
  <c r="K30" i="6"/>
  <c r="K32" i="6"/>
  <c r="K34" i="6"/>
  <c r="K38" i="6"/>
  <c r="K40" i="6"/>
  <c r="K44" i="6"/>
  <c r="K46" i="6"/>
  <c r="K50" i="6"/>
  <c r="K52" i="6"/>
  <c r="K54" i="6"/>
  <c r="K56" i="6"/>
  <c r="K60" i="6"/>
  <c r="K62" i="6"/>
  <c r="K66" i="6"/>
  <c r="K74" i="6"/>
  <c r="K76" i="6"/>
  <c r="K78" i="6"/>
  <c r="K80" i="6"/>
  <c r="K82" i="6"/>
  <c r="K86" i="6"/>
  <c r="K96" i="6"/>
  <c r="K98" i="6"/>
  <c r="K100" i="6"/>
  <c r="K110" i="6"/>
  <c r="K112" i="6"/>
  <c r="K126" i="6"/>
  <c r="K130" i="6"/>
  <c r="K732" i="6"/>
  <c r="K650" i="6"/>
  <c r="K631" i="6"/>
  <c r="K676" i="6"/>
  <c r="K654" i="6"/>
  <c r="K686" i="6"/>
  <c r="K766" i="6"/>
  <c r="K801" i="6"/>
  <c r="K849" i="6"/>
  <c r="K778" i="6"/>
  <c r="K697" i="6"/>
  <c r="K705" i="6"/>
  <c r="K707" i="6"/>
  <c r="K780" i="6"/>
  <c r="K827" i="6"/>
  <c r="K853" i="6"/>
  <c r="K769" i="6"/>
  <c r="K781" i="6"/>
  <c r="K812" i="6"/>
  <c r="K785" i="6"/>
  <c r="K799" i="6"/>
  <c r="K643" i="6"/>
  <c r="K661" i="6"/>
  <c r="K20" i="6"/>
  <c r="K147" i="6"/>
  <c r="K149" i="6"/>
  <c r="K153" i="6"/>
  <c r="K155" i="6"/>
  <c r="K163" i="6"/>
  <c r="K165" i="6"/>
  <c r="K167" i="6"/>
  <c r="K169" i="6"/>
  <c r="K171" i="6"/>
  <c r="K177" i="6"/>
  <c r="K179" i="6"/>
  <c r="K185" i="6"/>
  <c r="K187" i="6"/>
  <c r="K193" i="6"/>
  <c r="K197" i="6"/>
  <c r="K211" i="6"/>
  <c r="K208" i="6"/>
  <c r="K202" i="6"/>
  <c r="K214" i="6"/>
  <c r="K212" i="6"/>
  <c r="K226" i="6"/>
  <c r="K222" i="6"/>
  <c r="K221" i="6"/>
  <c r="K224" i="6"/>
  <c r="K215" i="6"/>
  <c r="K241" i="6"/>
  <c r="K230" i="6"/>
  <c r="K235" i="6"/>
  <c r="K237" i="6"/>
  <c r="K260" i="6"/>
  <c r="K244" i="6"/>
  <c r="K252" i="6"/>
  <c r="K251" i="6"/>
  <c r="K248" i="6"/>
  <c r="K254" i="6"/>
  <c r="K257" i="6"/>
  <c r="K273" i="6"/>
  <c r="K271" i="6"/>
  <c r="K274" i="6"/>
  <c r="K286" i="6"/>
  <c r="K662" i="6"/>
  <c r="K712" i="6"/>
  <c r="K664" i="6"/>
  <c r="K842" i="6"/>
  <c r="K860" i="6"/>
  <c r="K747" i="6"/>
  <c r="K645" i="6"/>
  <c r="K692" i="6"/>
  <c r="K828" i="6"/>
  <c r="K671" i="6"/>
  <c r="K808" i="6"/>
  <c r="K852" i="6"/>
  <c r="K7" i="6"/>
  <c r="K22" i="6"/>
  <c r="K37" i="6"/>
  <c r="K41" i="6"/>
  <c r="K55" i="6"/>
  <c r="K57" i="6"/>
  <c r="K69" i="6"/>
  <c r="K73" i="6"/>
  <c r="K85" i="6"/>
  <c r="K87" i="6"/>
  <c r="K89" i="6"/>
  <c r="K101" i="6"/>
  <c r="K103" i="6"/>
  <c r="K115" i="6"/>
  <c r="K117" i="6"/>
  <c r="K127" i="6"/>
  <c r="K131" i="6"/>
  <c r="K688" i="6"/>
  <c r="K725" i="6"/>
  <c r="K810" i="6"/>
  <c r="K727" i="6"/>
  <c r="K749" i="6"/>
  <c r="K816" i="6"/>
  <c r="K663" i="6"/>
  <c r="K668" i="6"/>
  <c r="K682" i="6"/>
  <c r="K730" i="6"/>
  <c r="K709" i="6"/>
  <c r="K822" i="6"/>
  <c r="K677" i="6"/>
  <c r="K772" i="6"/>
  <c r="K137" i="6"/>
  <c r="K143" i="6"/>
  <c r="K145" i="6"/>
  <c r="K720" i="6"/>
  <c r="K670" i="6"/>
  <c r="K854" i="6"/>
  <c r="K771" i="6"/>
  <c r="K783" i="6"/>
  <c r="K829" i="6"/>
  <c r="K2" i="6"/>
  <c r="K4" i="6"/>
  <c r="K6" i="6"/>
  <c r="K8" i="6"/>
  <c r="K23" i="6"/>
  <c r="K25" i="6"/>
  <c r="K27" i="6"/>
  <c r="K873" i="6"/>
  <c r="K693" i="6"/>
  <c r="K678" i="6"/>
  <c r="K869" i="6"/>
  <c r="K814" i="6"/>
  <c r="K689" i="6"/>
  <c r="K850" i="6"/>
  <c r="K626" i="6"/>
  <c r="K805" i="6"/>
  <c r="K844" i="6"/>
  <c r="K862" i="6"/>
  <c r="V1472" i="2"/>
  <c r="U1474" i="2"/>
  <c r="U1421" i="2"/>
  <c r="F463" i="1"/>
  <c r="E463" i="1" s="1"/>
  <c r="O1733" i="2" s="1"/>
  <c r="P1733" i="2" s="1"/>
  <c r="R1733" i="2" s="1"/>
  <c r="O1703" i="2"/>
  <c r="P1703" i="2" s="1"/>
  <c r="R1703" i="2" s="1"/>
  <c r="U1703" i="2" s="1"/>
  <c r="F451" i="1"/>
  <c r="E451" i="1" s="1"/>
  <c r="O1638" i="2"/>
  <c r="F420" i="1"/>
  <c r="E420" i="1" s="1"/>
  <c r="O1774" i="2"/>
  <c r="F219" i="1"/>
  <c r="E219" i="1" s="1"/>
  <c r="F256" i="1"/>
  <c r="E256" i="1" s="1"/>
  <c r="F64" i="1"/>
  <c r="E64" i="1" s="1"/>
  <c r="F57" i="1"/>
  <c r="E57" i="1" s="1"/>
  <c r="F47" i="1"/>
  <c r="E47" i="1" s="1"/>
  <c r="F43" i="1"/>
  <c r="E43" i="1" s="1"/>
  <c r="F42" i="1"/>
  <c r="E42" i="1" s="1"/>
  <c r="O1984" i="2"/>
  <c r="P1984" i="2" s="1"/>
  <c r="R1984" i="2" s="1"/>
  <c r="U1984" i="2" s="1"/>
  <c r="F148" i="1"/>
  <c r="E148" i="1" s="1"/>
  <c r="F138" i="1"/>
  <c r="E138" i="1" s="1"/>
  <c r="F135" i="1"/>
  <c r="E135" i="1" s="1"/>
  <c r="F130" i="1"/>
  <c r="E130" i="1" s="1"/>
  <c r="F129" i="1"/>
  <c r="E129" i="1" s="1"/>
  <c r="F119" i="1"/>
  <c r="E119" i="1" s="1"/>
  <c r="O480" i="2"/>
  <c r="P480" i="2" s="1"/>
  <c r="R480" i="2" s="1"/>
  <c r="O475" i="2"/>
  <c r="P475" i="2" s="1"/>
  <c r="R475" i="2" s="1"/>
  <c r="F121" i="1"/>
  <c r="E121" i="1" s="1"/>
  <c r="F120" i="1"/>
  <c r="E120" i="1" s="1"/>
  <c r="F116" i="1"/>
  <c r="E116" i="1" s="1"/>
  <c r="F44" i="1"/>
  <c r="E44" i="1" s="1"/>
  <c r="F21" i="1"/>
  <c r="E21" i="1" s="1"/>
  <c r="O1567" i="2"/>
  <c r="P1567" i="2" s="1"/>
  <c r="R1567" i="2" s="1"/>
  <c r="U1567" i="2" s="1"/>
  <c r="F410" i="1"/>
  <c r="E410" i="1" s="1"/>
  <c r="O1550" i="2" s="1"/>
  <c r="P1550" i="2" s="1"/>
  <c r="R1550" i="2" s="1"/>
  <c r="O1145" i="2"/>
  <c r="P1145" i="2" s="1"/>
  <c r="R1145" i="2" s="1"/>
  <c r="O1143" i="2"/>
  <c r="P1143" i="2" s="1"/>
  <c r="R1143" i="2" s="1"/>
  <c r="O1140" i="2"/>
  <c r="P1140" i="2" s="1"/>
  <c r="R1140" i="2" s="1"/>
  <c r="O1144" i="2"/>
  <c r="P1144" i="2" s="1"/>
  <c r="R1144" i="2" s="1"/>
  <c r="O1142" i="2"/>
  <c r="P1142" i="2" s="1"/>
  <c r="R1142" i="2" s="1"/>
  <c r="O1985" i="2"/>
  <c r="P1985" i="2" s="1"/>
  <c r="R1985" i="2" s="1"/>
  <c r="U1985" i="2" s="1"/>
  <c r="M1" i="2"/>
  <c r="P1278" i="2"/>
  <c r="H344" i="1" s="1"/>
  <c r="G344" i="1"/>
  <c r="G573" i="1"/>
  <c r="P2151" i="2"/>
  <c r="P1569" i="2"/>
  <c r="G416" i="1"/>
  <c r="P1038" i="2"/>
  <c r="G288" i="1"/>
  <c r="P2145" i="2"/>
  <c r="G570" i="1"/>
  <c r="F475" i="1"/>
  <c r="E475" i="1" s="1"/>
  <c r="F466" i="1"/>
  <c r="E466" i="1" s="1"/>
  <c r="O1758" i="2" s="1"/>
  <c r="P1758" i="2" s="1"/>
  <c r="R1758" i="2" s="1"/>
  <c r="U1758" i="2" s="1"/>
  <c r="F454" i="1"/>
  <c r="E454" i="1" s="1"/>
  <c r="O1694" i="2" s="1"/>
  <c r="P1694" i="2" s="1"/>
  <c r="R1694" i="2" s="1"/>
  <c r="U1694" i="2" s="1"/>
  <c r="F453" i="1"/>
  <c r="E453" i="1" s="1"/>
  <c r="F398" i="1"/>
  <c r="E398" i="1" s="1"/>
  <c r="F394" i="1"/>
  <c r="E394" i="1" s="1"/>
  <c r="O1465" i="2"/>
  <c r="P1465" i="2" s="1"/>
  <c r="R1465" i="2" s="1"/>
  <c r="U1465" i="2" s="1"/>
  <c r="F382" i="1"/>
  <c r="E382" i="1" s="1"/>
  <c r="F370" i="1"/>
  <c r="E370" i="1" s="1"/>
  <c r="F368" i="1"/>
  <c r="E368" i="1" s="1"/>
  <c r="F367" i="1"/>
  <c r="E367" i="1" s="1"/>
  <c r="O1363" i="2" s="1"/>
  <c r="P1363" i="2" s="1"/>
  <c r="R1363" i="2" s="1"/>
  <c r="F361" i="1"/>
  <c r="E361" i="1" s="1"/>
  <c r="F346" i="1"/>
  <c r="E346" i="1" s="1"/>
  <c r="F338" i="1"/>
  <c r="E338" i="1" s="1"/>
  <c r="O1280" i="2" s="1"/>
  <c r="P1280" i="2" s="1"/>
  <c r="R1280" i="2" s="1"/>
  <c r="U1280" i="2" s="1"/>
  <c r="O1203" i="2"/>
  <c r="F308" i="1"/>
  <c r="E308" i="1" s="1"/>
  <c r="F304" i="1"/>
  <c r="E304" i="1" s="1"/>
  <c r="F300" i="1"/>
  <c r="E300" i="1" s="1"/>
  <c r="O1089" i="2" s="1"/>
  <c r="P1089" i="2" s="1"/>
  <c r="R1089" i="2" s="1"/>
  <c r="F295" i="1"/>
  <c r="E295" i="1" s="1"/>
  <c r="F296" i="1"/>
  <c r="E296" i="1" s="1"/>
  <c r="F294" i="1"/>
  <c r="E294" i="1" s="1"/>
  <c r="F566" i="1"/>
  <c r="E566" i="1" s="1"/>
  <c r="F563" i="1"/>
  <c r="E563" i="1" s="1"/>
  <c r="F562" i="1"/>
  <c r="E562" i="1" s="1"/>
  <c r="F556" i="1"/>
  <c r="E556" i="1" s="1"/>
  <c r="F548" i="1"/>
  <c r="E548" i="1" s="1"/>
  <c r="F546" i="1"/>
  <c r="E546" i="1" s="1"/>
  <c r="F544" i="1"/>
  <c r="E544" i="1" s="1"/>
  <c r="O2072" i="2" s="1"/>
  <c r="P2072" i="2" s="1"/>
  <c r="R2072" i="2" s="1"/>
  <c r="U2072" i="2" s="1"/>
  <c r="F542" i="1"/>
  <c r="E542" i="1" s="1"/>
  <c r="F540" i="1"/>
  <c r="E540" i="1" s="1"/>
  <c r="O2046" i="2" s="1"/>
  <c r="P2046" i="2" s="1"/>
  <c r="R2046" i="2" s="1"/>
  <c r="U2046" i="2" s="1"/>
  <c r="F532" i="1"/>
  <c r="E532" i="1" s="1"/>
  <c r="F530" i="1"/>
  <c r="E530" i="1" s="1"/>
  <c r="F528" i="1"/>
  <c r="E528" i="1" s="1"/>
  <c r="O1977" i="2"/>
  <c r="P1977" i="2" s="1"/>
  <c r="R1977" i="2" s="1"/>
  <c r="U1977" i="2" s="1"/>
  <c r="F481" i="1"/>
  <c r="F263" i="1"/>
  <c r="E263" i="1" s="1"/>
  <c r="O1593" i="2" s="1"/>
  <c r="P1593" i="2" s="1"/>
  <c r="R1593" i="2" s="1"/>
  <c r="O1547" i="2"/>
  <c r="P1547" i="2" s="1"/>
  <c r="R1547" i="2" s="1"/>
  <c r="U1547" i="2" s="1"/>
  <c r="F60" i="1"/>
  <c r="E60" i="1" s="1"/>
  <c r="O194" i="2" s="1"/>
  <c r="P194" i="2" s="1"/>
  <c r="R194" i="2" s="1"/>
  <c r="F55" i="1"/>
  <c r="E55" i="1" s="1"/>
  <c r="F50" i="1"/>
  <c r="E50" i="1" s="1"/>
  <c r="F41" i="1"/>
  <c r="E41" i="1" s="1"/>
  <c r="F40" i="1"/>
  <c r="E40" i="1" s="1"/>
  <c r="O2098" i="2"/>
  <c r="P2098" i="2" s="1"/>
  <c r="R2098" i="2" s="1"/>
  <c r="U2098" i="2" s="1"/>
  <c r="O1975" i="2"/>
  <c r="P1975" i="2" s="1"/>
  <c r="Q1" i="2"/>
  <c r="F123" i="1"/>
  <c r="E123" i="1" s="1"/>
  <c r="F71" i="1"/>
  <c r="E71" i="1" s="1"/>
  <c r="F117" i="1"/>
  <c r="E117" i="1" s="1"/>
  <c r="F114" i="1"/>
  <c r="E114" i="1" s="1"/>
  <c r="F111" i="1"/>
  <c r="E111" i="1" s="1"/>
  <c r="F110" i="1"/>
  <c r="E110" i="1" s="1"/>
  <c r="F107" i="1"/>
  <c r="E107" i="1" s="1"/>
  <c r="F106" i="1"/>
  <c r="E106" i="1" s="1"/>
  <c r="F105" i="1"/>
  <c r="E105" i="1" s="1"/>
  <c r="F102" i="1"/>
  <c r="E102" i="1" s="1"/>
  <c r="F100" i="1"/>
  <c r="E100" i="1" s="1"/>
  <c r="F98" i="1"/>
  <c r="E98" i="1" s="1"/>
  <c r="F97" i="1"/>
  <c r="E97" i="1" s="1"/>
  <c r="O338" i="2" s="1"/>
  <c r="P338" i="2" s="1"/>
  <c r="R338" i="2" s="1"/>
  <c r="F96" i="1"/>
  <c r="E96" i="1" s="1"/>
  <c r="F93" i="1"/>
  <c r="E93" i="1" s="1"/>
  <c r="F92" i="1"/>
  <c r="E92" i="1" s="1"/>
  <c r="F89" i="1"/>
  <c r="E89" i="1" s="1"/>
  <c r="F88" i="1"/>
  <c r="E88" i="1" s="1"/>
  <c r="F84" i="1"/>
  <c r="E84" i="1" s="1"/>
  <c r="F83" i="1"/>
  <c r="E83" i="1" s="1"/>
  <c r="F82" i="1"/>
  <c r="E82" i="1" s="1"/>
  <c r="F81" i="1"/>
  <c r="E81" i="1" s="1"/>
  <c r="F80" i="1"/>
  <c r="E80" i="1" s="1"/>
  <c r="F78" i="1"/>
  <c r="E78" i="1" s="1"/>
  <c r="F79" i="1"/>
  <c r="E79" i="1" s="1"/>
  <c r="F76" i="1"/>
  <c r="E76" i="1" s="1"/>
  <c r="F72" i="1"/>
  <c r="E72" i="1" s="1"/>
  <c r="F70" i="1"/>
  <c r="E70" i="1" s="1"/>
  <c r="F69" i="1"/>
  <c r="E69" i="1" s="1"/>
  <c r="F67" i="1"/>
  <c r="E67" i="1" s="1"/>
  <c r="F4" i="1"/>
  <c r="E4" i="1" s="1"/>
  <c r="F3" i="1"/>
  <c r="E3" i="1" s="1"/>
  <c r="F2" i="1"/>
  <c r="E2" i="1" s="1"/>
  <c r="F235" i="1"/>
  <c r="E235" i="1" s="1"/>
  <c r="F237" i="1"/>
  <c r="E237" i="1" s="1"/>
  <c r="F236" i="1"/>
  <c r="E236" i="1" s="1"/>
  <c r="O824" i="2" s="1"/>
  <c r="P824" i="2" s="1"/>
  <c r="R824" i="2" s="1"/>
  <c r="F234" i="1"/>
  <c r="E234" i="1" s="1"/>
  <c r="F231" i="1"/>
  <c r="E231" i="1" s="1"/>
  <c r="F223" i="1"/>
  <c r="E223" i="1" s="1"/>
  <c r="O799" i="2"/>
  <c r="P799" i="2" s="1"/>
  <c r="R799" i="2" s="1"/>
  <c r="F227" i="1"/>
  <c r="E227" i="1" s="1"/>
  <c r="F220" i="1"/>
  <c r="E220" i="1" s="1"/>
  <c r="F218" i="1"/>
  <c r="E218" i="1" s="1"/>
  <c r="O765" i="2" s="1"/>
  <c r="P765" i="2" s="1"/>
  <c r="R765" i="2" s="1"/>
  <c r="F192" i="1"/>
  <c r="E192" i="1" s="1"/>
  <c r="O760" i="2" s="1"/>
  <c r="P760" i="2" s="1"/>
  <c r="R760" i="2" s="1"/>
  <c r="F216" i="1"/>
  <c r="E216" i="1" s="1"/>
  <c r="O741" i="2"/>
  <c r="F208" i="1"/>
  <c r="E208" i="1" s="1"/>
  <c r="O735" i="2" s="1"/>
  <c r="P735" i="2" s="1"/>
  <c r="R735" i="2" s="1"/>
  <c r="F206" i="1"/>
  <c r="E206" i="1" s="1"/>
  <c r="O730" i="2" s="1"/>
  <c r="P730" i="2" s="1"/>
  <c r="R730" i="2" s="1"/>
  <c r="F200" i="1"/>
  <c r="E200" i="1" s="1"/>
  <c r="O716" i="2" s="1"/>
  <c r="P716" i="2" s="1"/>
  <c r="R716" i="2" s="1"/>
  <c r="F194" i="1"/>
  <c r="E194" i="1" s="1"/>
  <c r="F190" i="1"/>
  <c r="E190" i="1" s="1"/>
  <c r="F182" i="1"/>
  <c r="E182" i="1" s="1"/>
  <c r="F178" i="1"/>
  <c r="E178" i="1" s="1"/>
  <c r="F176" i="1"/>
  <c r="E176" i="1" s="1"/>
  <c r="O635" i="2" s="1"/>
  <c r="P635" i="2" s="1"/>
  <c r="R635" i="2" s="1"/>
  <c r="F170" i="1"/>
  <c r="E170" i="1" s="1"/>
  <c r="O607" i="2"/>
  <c r="P607" i="2" s="1"/>
  <c r="F164" i="1"/>
  <c r="E164" i="1" s="1"/>
  <c r="F158" i="1"/>
  <c r="E158" i="1" s="1"/>
  <c r="O569" i="2" s="1"/>
  <c r="P569" i="2" s="1"/>
  <c r="R569" i="2" s="1"/>
  <c r="F156" i="1"/>
  <c r="E156" i="1" s="1"/>
  <c r="O559" i="2"/>
  <c r="P559" i="2" s="1"/>
  <c r="O1986" i="2"/>
  <c r="P1986" i="2" s="1"/>
  <c r="R1986" i="2" s="1"/>
  <c r="U1986" i="2" s="1"/>
  <c r="F251" i="1"/>
  <c r="E251" i="1" s="1"/>
  <c r="F17" i="1"/>
  <c r="E17" i="1" s="1"/>
  <c r="O52" i="2" s="1"/>
  <c r="P52" i="2" s="1"/>
  <c r="R52" i="2" s="1"/>
  <c r="F16" i="1"/>
  <c r="E16" i="1" s="1"/>
  <c r="F292" i="1"/>
  <c r="E292" i="1" s="1"/>
  <c r="F273" i="1"/>
  <c r="E273" i="1" s="1"/>
  <c r="O978" i="2" s="1"/>
  <c r="P978" i="2" s="1"/>
  <c r="R978" i="2" s="1"/>
  <c r="F271" i="1"/>
  <c r="F262" i="1"/>
  <c r="E262" i="1" s="1"/>
  <c r="O919" i="2" s="1"/>
  <c r="P919" i="2" s="1"/>
  <c r="R919" i="2" s="1"/>
  <c r="F257" i="1"/>
  <c r="E257" i="1" s="1"/>
  <c r="F32" i="1"/>
  <c r="E32" i="1" s="1"/>
  <c r="F25" i="1"/>
  <c r="E25" i="1" s="1"/>
  <c r="F24" i="1"/>
  <c r="E24" i="1" s="1"/>
  <c r="F20" i="1"/>
  <c r="E20" i="1" s="1"/>
  <c r="O1323" i="2"/>
  <c r="P1323" i="2" s="1"/>
  <c r="R1323" i="2" s="1"/>
  <c r="O1317" i="2"/>
  <c r="P1317" i="2" s="1"/>
  <c r="R1317" i="2" s="1"/>
  <c r="U1480" i="2"/>
  <c r="G103" i="1"/>
  <c r="P2150" i="2"/>
  <c r="G572" i="1"/>
  <c r="G140" i="1"/>
  <c r="P87" i="2"/>
  <c r="R87" i="2" s="1"/>
  <c r="G349" i="1"/>
  <c r="G423" i="1"/>
  <c r="G490" i="1"/>
  <c r="G441" i="1"/>
  <c r="O1422" i="2"/>
  <c r="P1422" i="2" s="1"/>
  <c r="R1422" i="2" s="1"/>
  <c r="U1422" i="2" s="1"/>
  <c r="O1432" i="2"/>
  <c r="P1432" i="2" s="1"/>
  <c r="R1432" i="2" s="1"/>
  <c r="O1423" i="2"/>
  <c r="P1423" i="2" s="1"/>
  <c r="R1423" i="2" s="1"/>
  <c r="V1423" i="2" s="1"/>
  <c r="O1428" i="2"/>
  <c r="P1428" i="2" s="1"/>
  <c r="R1428" i="2" s="1"/>
  <c r="O1424" i="2"/>
  <c r="P1424" i="2" s="1"/>
  <c r="R1424" i="2" s="1"/>
  <c r="O1436" i="2"/>
  <c r="P1436" i="2" s="1"/>
  <c r="R1436" i="2" s="1"/>
  <c r="U1436" i="2" s="1"/>
  <c r="O1431" i="2"/>
  <c r="P1431" i="2" s="1"/>
  <c r="R1431" i="2" s="1"/>
  <c r="O1434" i="2"/>
  <c r="P1434" i="2" s="1"/>
  <c r="O1430" i="2"/>
  <c r="P1430" i="2" s="1"/>
  <c r="R1430" i="2" s="1"/>
  <c r="V1430" i="2" s="1"/>
  <c r="O1433" i="2"/>
  <c r="P1433" i="2" s="1"/>
  <c r="R1433" i="2" s="1"/>
  <c r="V1433" i="2" s="1"/>
  <c r="O1427" i="2"/>
  <c r="P1427" i="2" s="1"/>
  <c r="R1427" i="2" s="1"/>
  <c r="U1427" i="2" s="1"/>
  <c r="O1437" i="2"/>
  <c r="P1437" i="2" s="1"/>
  <c r="R1437" i="2" s="1"/>
  <c r="O1429" i="2"/>
  <c r="P1429" i="2" s="1"/>
  <c r="R1429" i="2" s="1"/>
  <c r="O1426" i="2"/>
  <c r="P1426" i="2" s="1"/>
  <c r="R1426" i="2" s="1"/>
  <c r="O1425" i="2"/>
  <c r="P1425" i="2" s="1"/>
  <c r="R1425" i="2" s="1"/>
  <c r="O1435" i="2"/>
  <c r="P1435" i="2" s="1"/>
  <c r="R1435" i="2" s="1"/>
  <c r="U1435" i="2" s="1"/>
  <c r="O1561" i="2"/>
  <c r="P1561" i="2" s="1"/>
  <c r="R1561" i="2" s="1"/>
  <c r="U1561" i="2" s="1"/>
  <c r="O1551" i="2"/>
  <c r="P1551" i="2" s="1"/>
  <c r="R1551" i="2" s="1"/>
  <c r="U1551" i="2" s="1"/>
  <c r="O1253" i="2"/>
  <c r="P1253" i="2" s="1"/>
  <c r="R1253" i="2" s="1"/>
  <c r="V1253" i="2" s="1"/>
  <c r="O1220" i="2"/>
  <c r="P1220" i="2" s="1"/>
  <c r="R1220" i="2" s="1"/>
  <c r="O1167" i="2"/>
  <c r="P1167" i="2" s="1"/>
  <c r="R1167" i="2" s="1"/>
  <c r="U1167" i="2" s="1"/>
  <c r="P1578" i="2"/>
  <c r="R1578" i="2" s="1"/>
  <c r="U1578" i="2" s="1"/>
  <c r="P1524" i="2"/>
  <c r="R1524" i="2" s="1"/>
  <c r="U1524" i="2" s="1"/>
  <c r="G403" i="1"/>
  <c r="O1540" i="2"/>
  <c r="P1540" i="2" s="1"/>
  <c r="O1937" i="2"/>
  <c r="P1937" i="2" s="1"/>
  <c r="R1937" i="2" s="1"/>
  <c r="U1937" i="2" s="1"/>
  <c r="H109" i="1"/>
  <c r="O1874" i="2"/>
  <c r="P1874" i="2" s="1"/>
  <c r="R1874" i="2" s="1"/>
  <c r="U1874" i="2" s="1"/>
  <c r="O861" i="2"/>
  <c r="P861" i="2" s="1"/>
  <c r="O1657" i="2"/>
  <c r="P1657" i="2" s="1"/>
  <c r="R1657" i="2" s="1"/>
  <c r="U1657" i="2" s="1"/>
  <c r="O1661" i="2"/>
  <c r="P1661" i="2" s="1"/>
  <c r="R1661" i="2" s="1"/>
  <c r="U1661" i="2" s="1"/>
  <c r="O692" i="2"/>
  <c r="O708" i="2"/>
  <c r="P708" i="2" s="1"/>
  <c r="R708" i="2" s="1"/>
  <c r="O702" i="2"/>
  <c r="P702" i="2" s="1"/>
  <c r="R702" i="2" s="1"/>
  <c r="O1870" i="2"/>
  <c r="P1870" i="2" s="1"/>
  <c r="R1870" i="2" s="1"/>
  <c r="U1870" i="2" s="1"/>
  <c r="O869" i="2"/>
  <c r="O871" i="2"/>
  <c r="P871" i="2" s="1"/>
  <c r="R871" i="2" s="1"/>
  <c r="O1239" i="2"/>
  <c r="P1239" i="2" s="1"/>
  <c r="R1239" i="2" s="1"/>
  <c r="U1239" i="2" s="1"/>
  <c r="O1237" i="2"/>
  <c r="P1237" i="2" s="1"/>
  <c r="R1237" i="2" s="1"/>
  <c r="U1237" i="2" s="1"/>
  <c r="O1243" i="2"/>
  <c r="P1243" i="2" s="1"/>
  <c r="R1243" i="2" s="1"/>
  <c r="U1243" i="2" s="1"/>
  <c r="O1157" i="2"/>
  <c r="O1160" i="2"/>
  <c r="P1160" i="2" s="1"/>
  <c r="R1160" i="2" s="1"/>
  <c r="O928" i="2"/>
  <c r="O929" i="2"/>
  <c r="P929" i="2" s="1"/>
  <c r="R929" i="2" s="1"/>
  <c r="H291" i="1"/>
  <c r="P424" i="2"/>
  <c r="R424" i="2" s="1"/>
  <c r="G172" i="1"/>
  <c r="O1542" i="2"/>
  <c r="P1542" i="2" s="1"/>
  <c r="R1542" i="2" s="1"/>
  <c r="U1542" i="2" s="1"/>
  <c r="O1581" i="2"/>
  <c r="P1581" i="2" s="1"/>
  <c r="R1581" i="2" s="1"/>
  <c r="O1244" i="2"/>
  <c r="P1244" i="2" s="1"/>
  <c r="R1244" i="2" s="1"/>
  <c r="U1244" i="2" s="1"/>
  <c r="O1217" i="2"/>
  <c r="P1217" i="2" s="1"/>
  <c r="R1217" i="2" s="1"/>
  <c r="U1217" i="2" s="1"/>
  <c r="O1231" i="2"/>
  <c r="P1231" i="2" s="1"/>
  <c r="R1231" i="2" s="1"/>
  <c r="U1231" i="2" s="1"/>
  <c r="O1081" i="2"/>
  <c r="P1081" i="2" s="1"/>
  <c r="R1081" i="2" s="1"/>
  <c r="O1077" i="2"/>
  <c r="P1077" i="2" s="1"/>
  <c r="R1077" i="2" s="1"/>
  <c r="O1076" i="2"/>
  <c r="P1076" i="2" s="1"/>
  <c r="R1076" i="2" s="1"/>
  <c r="P1052" i="2"/>
  <c r="R1052" i="2" s="1"/>
  <c r="G293" i="1"/>
  <c r="O1869" i="2"/>
  <c r="P1869" i="2" s="1"/>
  <c r="R1869" i="2" s="1"/>
  <c r="U1869" i="2" s="1"/>
  <c r="O1159" i="2"/>
  <c r="P1159" i="2" s="1"/>
  <c r="R1159" i="2" s="1"/>
  <c r="O1859" i="2"/>
  <c r="P1859" i="2" s="1"/>
  <c r="R1859" i="2" s="1"/>
  <c r="U1859" i="2" s="1"/>
  <c r="O1386" i="2"/>
  <c r="O1855" i="2"/>
  <c r="P1855" i="2" s="1"/>
  <c r="R1855" i="2" s="1"/>
  <c r="U1855" i="2" s="1"/>
  <c r="O944" i="2"/>
  <c r="P944" i="2" s="1"/>
  <c r="R944" i="2" s="1"/>
  <c r="O942" i="2"/>
  <c r="P942" i="2" s="1"/>
  <c r="R942" i="2" s="1"/>
  <c r="O1883" i="2"/>
  <c r="P1883" i="2" s="1"/>
  <c r="R1883" i="2" s="1"/>
  <c r="U1883" i="2" s="1"/>
  <c r="O862" i="2"/>
  <c r="P862" i="2" s="1"/>
  <c r="R862" i="2" s="1"/>
  <c r="O1952" i="2"/>
  <c r="P1952" i="2" s="1"/>
  <c r="R1952" i="2" s="1"/>
  <c r="U1952" i="2" s="1"/>
  <c r="O1969" i="2"/>
  <c r="P1969" i="2" s="1"/>
  <c r="R1969" i="2" s="1"/>
  <c r="U1969" i="2" s="1"/>
  <c r="O1781" i="2"/>
  <c r="P1781" i="2" s="1"/>
  <c r="R1781" i="2" s="1"/>
  <c r="O1779" i="2"/>
  <c r="O1757" i="2"/>
  <c r="P1757" i="2" s="1"/>
  <c r="R1757" i="2" s="1"/>
  <c r="O1765" i="2"/>
  <c r="P1765" i="2" s="1"/>
  <c r="R1765" i="2" s="1"/>
  <c r="O1732" i="2"/>
  <c r="P1732" i="2" s="1"/>
  <c r="O1664" i="2"/>
  <c r="P1664" i="2" s="1"/>
  <c r="R1664" i="2" s="1"/>
  <c r="U1664" i="2" s="1"/>
  <c r="O1549" i="2"/>
  <c r="O1268" i="2"/>
  <c r="P1268" i="2" s="1"/>
  <c r="R1268" i="2" s="1"/>
  <c r="U1268" i="2" s="1"/>
  <c r="O1240" i="2"/>
  <c r="P1240" i="2" s="1"/>
  <c r="R1240" i="2" s="1"/>
  <c r="U1240" i="2" s="1"/>
  <c r="O1552" i="2"/>
  <c r="P1552" i="2" s="1"/>
  <c r="R1552" i="2" s="1"/>
  <c r="U1552" i="2" s="1"/>
  <c r="O1831" i="2"/>
  <c r="P1831" i="2" s="1"/>
  <c r="R1831" i="2" s="1"/>
  <c r="U1831" i="2" s="1"/>
  <c r="O1560" i="2"/>
  <c r="P1560" i="2" s="1"/>
  <c r="R1560" i="2" s="1"/>
  <c r="V1560" i="2" s="1"/>
  <c r="O1467" i="2"/>
  <c r="P1467" i="2" s="1"/>
  <c r="R1467" i="2" s="1"/>
  <c r="O1734" i="2"/>
  <c r="P1734" i="2" s="1"/>
  <c r="R1734" i="2" s="1"/>
  <c r="V1734" i="2" s="1"/>
  <c r="O1169" i="2"/>
  <c r="P1169" i="2" s="1"/>
  <c r="R1169" i="2" s="1"/>
  <c r="O1866" i="2"/>
  <c r="P1866" i="2" s="1"/>
  <c r="R1866" i="2" s="1"/>
  <c r="U1866" i="2" s="1"/>
  <c r="O940" i="2"/>
  <c r="P940" i="2" s="1"/>
  <c r="R940" i="2" s="1"/>
  <c r="O1553" i="2"/>
  <c r="P1553" i="2" s="1"/>
  <c r="R1553" i="2" s="1"/>
  <c r="U1553" i="2" s="1"/>
  <c r="O1737" i="2"/>
  <c r="P1737" i="2" s="1"/>
  <c r="R1737" i="2" s="1"/>
  <c r="V1737" i="2" s="1"/>
  <c r="O1704" i="2"/>
  <c r="P1704" i="2" s="1"/>
  <c r="R1704" i="2" s="1"/>
  <c r="U1704" i="2" s="1"/>
  <c r="O1527" i="2"/>
  <c r="P1527" i="2" s="1"/>
  <c r="R1527" i="2" s="1"/>
  <c r="U1527" i="2" s="1"/>
  <c r="M2184" i="2"/>
  <c r="O201" i="2"/>
  <c r="P201" i="2" s="1"/>
  <c r="R201" i="2" s="1"/>
  <c r="O481" i="2"/>
  <c r="P481" i="2" s="1"/>
  <c r="O803" i="2"/>
  <c r="P803" i="2" s="1"/>
  <c r="R803" i="2" s="1"/>
  <c r="O609" i="2"/>
  <c r="P609" i="2" s="1"/>
  <c r="R609" i="2" s="1"/>
  <c r="O1775" i="2"/>
  <c r="G471" i="1" s="1"/>
  <c r="O2097" i="2"/>
  <c r="P2097" i="2" s="1"/>
  <c r="R2097" i="2" s="1"/>
  <c r="U2097" i="2" s="1"/>
  <c r="O1544" i="2"/>
  <c r="P1544" i="2" s="1"/>
  <c r="R1544" i="2" s="1"/>
  <c r="U1544" i="2" s="1"/>
  <c r="O547" i="2"/>
  <c r="P547" i="2" s="1"/>
  <c r="O208" i="2"/>
  <c r="G62" i="1" s="1"/>
  <c r="O95" i="2"/>
  <c r="G38" i="1" s="1"/>
  <c r="O44" i="2"/>
  <c r="P44" i="2" s="1"/>
  <c r="R44" i="2" s="1"/>
  <c r="O40" i="2"/>
  <c r="P2153" i="2"/>
  <c r="R2153" i="2" s="1"/>
  <c r="U2153" i="2" s="1"/>
  <c r="F125" i="1"/>
  <c r="E125" i="1" s="1"/>
  <c r="F45" i="1"/>
  <c r="E45" i="1" s="1"/>
  <c r="O1568" i="2"/>
  <c r="P1568" i="2" s="1"/>
  <c r="R1568" i="2" s="1"/>
  <c r="U1568" i="2" s="1"/>
  <c r="O478" i="2"/>
  <c r="P478" i="2" s="1"/>
  <c r="R478" i="2" s="1"/>
  <c r="O411" i="2"/>
  <c r="P411" i="2" s="1"/>
  <c r="O236" i="2"/>
  <c r="P236" i="2" s="1"/>
  <c r="R236" i="2" s="1"/>
  <c r="O1976" i="2"/>
  <c r="P1976" i="2" s="1"/>
  <c r="R1976" i="2" s="1"/>
  <c r="U1976" i="2" s="1"/>
  <c r="O1225" i="2"/>
  <c r="P1225" i="2" s="1"/>
  <c r="R1225" i="2" s="1"/>
  <c r="U1225" i="2" s="1"/>
  <c r="O1442" i="2"/>
  <c r="P1442" i="2" s="1"/>
  <c r="R1442" i="2" s="1"/>
  <c r="U1442" i="2" s="1"/>
  <c r="O1459" i="2"/>
  <c r="P1459" i="2" s="1"/>
  <c r="R1459" i="2" s="1"/>
  <c r="U1459" i="2" s="1"/>
  <c r="O1393" i="2"/>
  <c r="P1393" i="2" s="1"/>
  <c r="R1393" i="2" s="1"/>
  <c r="F567" i="1"/>
  <c r="E567" i="1" s="1"/>
  <c r="F446" i="1"/>
  <c r="E446" i="1" s="1"/>
  <c r="O483" i="2"/>
  <c r="P483" i="2" s="1"/>
  <c r="R483" i="2" s="1"/>
  <c r="O237" i="2"/>
  <c r="P237" i="2" s="1"/>
  <c r="R237" i="2" s="1"/>
  <c r="O802" i="2"/>
  <c r="P802" i="2" s="1"/>
  <c r="R802" i="2" s="1"/>
  <c r="O477" i="2"/>
  <c r="P477" i="2" s="1"/>
  <c r="R477" i="2" s="1"/>
  <c r="O474" i="2"/>
  <c r="P474" i="2" s="1"/>
  <c r="R474" i="2" s="1"/>
  <c r="O238" i="2"/>
  <c r="P238" i="2" s="1"/>
  <c r="R238" i="2" s="1"/>
  <c r="F249" i="1"/>
  <c r="E249" i="1" s="1"/>
  <c r="F212" i="1"/>
  <c r="E212" i="1" s="1"/>
  <c r="F198" i="1"/>
  <c r="E198" i="1" s="1"/>
  <c r="O479" i="2"/>
  <c r="P479" i="2" s="1"/>
  <c r="R479" i="2" s="1"/>
  <c r="O801" i="2"/>
  <c r="P801" i="2" s="1"/>
  <c r="R801" i="2" s="1"/>
  <c r="O800" i="2"/>
  <c r="P800" i="2" s="1"/>
  <c r="R800" i="2" s="1"/>
  <c r="O200" i="2"/>
  <c r="P200" i="2" s="1"/>
  <c r="R200" i="2" s="1"/>
  <c r="O1526" i="2"/>
  <c r="P1526" i="2" s="1"/>
  <c r="R1526" i="2" s="1"/>
  <c r="U1526" i="2" s="1"/>
  <c r="O1554" i="2"/>
  <c r="P1554" i="2" s="1"/>
  <c r="R1554" i="2" s="1"/>
  <c r="U1554" i="2" s="1"/>
  <c r="F124" i="1"/>
  <c r="E124" i="1" s="1"/>
  <c r="P2089" i="2"/>
  <c r="G400" i="1"/>
  <c r="P1645" i="2"/>
  <c r="R1645" i="2" s="1"/>
  <c r="U1645" i="2" s="1"/>
  <c r="G226" i="1"/>
  <c r="G52" i="1"/>
  <c r="U1324" i="2"/>
  <c r="U1301" i="2"/>
  <c r="G199" i="1"/>
  <c r="H147" i="1"/>
  <c r="U1471" i="2"/>
  <c r="U1824" i="2"/>
  <c r="G166" i="1"/>
  <c r="G145" i="1"/>
  <c r="P1533" i="2"/>
  <c r="H406" i="1" s="1"/>
  <c r="U1464" i="2"/>
  <c r="G109" i="1"/>
  <c r="V1468" i="2"/>
  <c r="G418" i="1"/>
  <c r="G171" i="1"/>
  <c r="G432" i="1"/>
  <c r="G363" i="1"/>
  <c r="P1352" i="2"/>
  <c r="P931" i="2"/>
  <c r="R931" i="2" s="1"/>
  <c r="G266" i="1"/>
  <c r="P814" i="2"/>
  <c r="G232" i="1"/>
  <c r="G122" i="1"/>
  <c r="P465" i="2"/>
  <c r="R465" i="2" s="1"/>
  <c r="P86" i="2"/>
  <c r="H29" i="1" s="1"/>
  <c r="G29" i="1"/>
  <c r="P1835" i="2"/>
  <c r="H487" i="1" s="1"/>
  <c r="G487" i="1"/>
  <c r="P1411" i="2"/>
  <c r="G378" i="1"/>
  <c r="P1198" i="2"/>
  <c r="G326" i="1"/>
  <c r="G309" i="1"/>
  <c r="P1138" i="2"/>
  <c r="R1138" i="2" s="1"/>
  <c r="G249" i="1"/>
  <c r="P872" i="2"/>
  <c r="R872" i="2" s="1"/>
  <c r="P136" i="2"/>
  <c r="G45" i="1"/>
  <c r="P2141" i="2"/>
  <c r="G567" i="1"/>
  <c r="P2037" i="2"/>
  <c r="R2037" i="2" s="1"/>
  <c r="U2037" i="2" s="1"/>
  <c r="G535" i="1"/>
  <c r="P1674" i="2"/>
  <c r="R1674" i="2" s="1"/>
  <c r="U1674" i="2" s="1"/>
  <c r="G446" i="1"/>
  <c r="O190" i="2"/>
  <c r="P190" i="2" s="1"/>
  <c r="R190" i="2" s="1"/>
  <c r="O187" i="2"/>
  <c r="P187" i="2" s="1"/>
  <c r="R187" i="2" s="1"/>
  <c r="O197" i="2"/>
  <c r="P197" i="2" s="1"/>
  <c r="R197" i="2" s="1"/>
  <c r="O191" i="2"/>
  <c r="P191" i="2" s="1"/>
  <c r="R191" i="2" s="1"/>
  <c r="O196" i="2"/>
  <c r="P196" i="2" s="1"/>
  <c r="R196" i="2" s="1"/>
  <c r="O189" i="2"/>
  <c r="P189" i="2" s="1"/>
  <c r="R189" i="2" s="1"/>
  <c r="O195" i="2"/>
  <c r="P195" i="2" s="1"/>
  <c r="R195" i="2" s="1"/>
  <c r="O188" i="2"/>
  <c r="P188" i="2" s="1"/>
  <c r="R188" i="2" s="1"/>
  <c r="O186" i="2"/>
  <c r="P186" i="2" s="1"/>
  <c r="R186" i="2" s="1"/>
  <c r="P1885" i="2"/>
  <c r="G497" i="1"/>
  <c r="R1673" i="2"/>
  <c r="U1673" i="2" s="1"/>
  <c r="H445" i="1"/>
  <c r="P1488" i="2"/>
  <c r="R1488" i="2" s="1"/>
  <c r="G392" i="1"/>
  <c r="P1482" i="2"/>
  <c r="G387" i="1"/>
  <c r="P27" i="2"/>
  <c r="G6" i="1"/>
  <c r="O1622" i="2"/>
  <c r="P1622" i="2" s="1"/>
  <c r="R1622" i="2" s="1"/>
  <c r="U1622" i="2" s="1"/>
  <c r="O1615" i="2"/>
  <c r="P1615" i="2" s="1"/>
  <c r="R1615" i="2" s="1"/>
  <c r="U1615" i="2" s="1"/>
  <c r="O1612" i="2"/>
  <c r="P1612" i="2" s="1"/>
  <c r="R1612" i="2" s="1"/>
  <c r="U1612" i="2" s="1"/>
  <c r="O1624" i="2"/>
  <c r="P1624" i="2" s="1"/>
  <c r="R1624" i="2" s="1"/>
  <c r="U1624" i="2" s="1"/>
  <c r="O1641" i="2"/>
  <c r="P1641" i="2" s="1"/>
  <c r="R1641" i="2" s="1"/>
  <c r="U1641" i="2" s="1"/>
  <c r="O1610" i="2"/>
  <c r="O1611" i="2"/>
  <c r="P1611" i="2" s="1"/>
  <c r="R1611" i="2" s="1"/>
  <c r="U1611" i="2" s="1"/>
  <c r="O1642" i="2"/>
  <c r="P1642" i="2" s="1"/>
  <c r="R1642" i="2" s="1"/>
  <c r="U1642" i="2" s="1"/>
  <c r="O1614" i="2"/>
  <c r="P1614" i="2" s="1"/>
  <c r="R1614" i="2" s="1"/>
  <c r="U1614" i="2" s="1"/>
  <c r="O1640" i="2"/>
  <c r="P1640" i="2" s="1"/>
  <c r="R1640" i="2" s="1"/>
  <c r="U1640" i="2" s="1"/>
  <c r="O1613" i="2"/>
  <c r="P1613" i="2" s="1"/>
  <c r="R1613" i="2" s="1"/>
  <c r="U1613" i="2" s="1"/>
  <c r="O1623" i="2"/>
  <c r="P1623" i="2" s="1"/>
  <c r="R1623" i="2" s="1"/>
  <c r="U1623" i="2" s="1"/>
  <c r="P2113" i="2"/>
  <c r="R2113" i="2" s="1"/>
  <c r="U2113" i="2" s="1"/>
  <c r="G561" i="1"/>
  <c r="P1843" i="2"/>
  <c r="R1843" i="2" s="1"/>
  <c r="U1843" i="2" s="1"/>
  <c r="G484" i="1"/>
  <c r="P1833" i="2"/>
  <c r="G485" i="1"/>
  <c r="P1714" i="2"/>
  <c r="R1714" i="2" s="1"/>
  <c r="U1714" i="2" s="1"/>
  <c r="G460" i="1"/>
  <c r="P1570" i="2"/>
  <c r="G417" i="1"/>
  <c r="P1565" i="2"/>
  <c r="R1565" i="2" s="1"/>
  <c r="U1565" i="2" s="1"/>
  <c r="G413" i="1"/>
  <c r="P1487" i="2"/>
  <c r="H391" i="1" s="1"/>
  <c r="G391" i="1"/>
  <c r="P325" i="2"/>
  <c r="R325" i="2" s="1"/>
  <c r="G95" i="1"/>
  <c r="P1562" i="2"/>
  <c r="R1562" i="2" s="1"/>
  <c r="U1562" i="2" s="1"/>
  <c r="P1605" i="2"/>
  <c r="R1605" i="2" s="1"/>
  <c r="U1605" i="2" s="1"/>
  <c r="G424" i="1"/>
  <c r="P1277" i="2"/>
  <c r="G343" i="1"/>
  <c r="G267" i="1"/>
  <c r="P932" i="2"/>
  <c r="P616" i="2"/>
  <c r="R616" i="2" s="1"/>
  <c r="G168" i="1"/>
  <c r="G141" i="1"/>
  <c r="P526" i="2"/>
  <c r="R526" i="2" s="1"/>
  <c r="G34" i="1"/>
  <c r="P92" i="2"/>
  <c r="R92" i="2" s="1"/>
  <c r="P1832" i="2"/>
  <c r="R1832" i="2" s="1"/>
  <c r="U1832" i="2" s="1"/>
  <c r="G480" i="1"/>
  <c r="R1773" i="2"/>
  <c r="U1773" i="2" s="1"/>
  <c r="H471" i="1"/>
  <c r="O473" i="2"/>
  <c r="P473" i="2" s="1"/>
  <c r="R473" i="2" s="1"/>
  <c r="O470" i="2"/>
  <c r="P470" i="2" s="1"/>
  <c r="R470" i="2" s="1"/>
  <c r="O459" i="2"/>
  <c r="P459" i="2" s="1"/>
  <c r="R459" i="2" s="1"/>
  <c r="O457" i="2"/>
  <c r="P457" i="2" s="1"/>
  <c r="R457" i="2" s="1"/>
  <c r="O471" i="2"/>
  <c r="P471" i="2" s="1"/>
  <c r="R471" i="2" s="1"/>
  <c r="O460" i="2"/>
  <c r="P460" i="2" s="1"/>
  <c r="R460" i="2" s="1"/>
  <c r="O472" i="2"/>
  <c r="P472" i="2" s="1"/>
  <c r="R472" i="2" s="1"/>
  <c r="O461" i="2"/>
  <c r="P461" i="2" s="1"/>
  <c r="R461" i="2" s="1"/>
  <c r="O458" i="2"/>
  <c r="P458" i="2" s="1"/>
  <c r="O462" i="2"/>
  <c r="P462" i="2" s="1"/>
  <c r="R462" i="2" s="1"/>
  <c r="P1276" i="2"/>
  <c r="H342" i="1" s="1"/>
  <c r="G342" i="1"/>
  <c r="O2096" i="2"/>
  <c r="P2152" i="2"/>
  <c r="P2158" i="2"/>
  <c r="R2158" i="2" s="1"/>
  <c r="U2158" i="2" s="1"/>
  <c r="P2159" i="2"/>
  <c r="R2159" i="2" s="1"/>
  <c r="U2159" i="2" s="1"/>
  <c r="P2040" i="2"/>
  <c r="R2040" i="2" s="1"/>
  <c r="U2040" i="2" s="1"/>
  <c r="O1367" i="2"/>
  <c r="O1546" i="2"/>
  <c r="P1546" i="2" s="1"/>
  <c r="R1546" i="2" s="1"/>
  <c r="U1546" i="2" s="1"/>
  <c r="O1548" i="2"/>
  <c r="P1548" i="2" s="1"/>
  <c r="R1548" i="2" s="1"/>
  <c r="U1548" i="2" s="1"/>
  <c r="O1963" i="2"/>
  <c r="P1963" i="2" s="1"/>
  <c r="R1963" i="2" s="1"/>
  <c r="U1963" i="2" s="1"/>
  <c r="O1940" i="2"/>
  <c r="K2184" i="2"/>
  <c r="R2145" i="2"/>
  <c r="U2145" i="2" s="1"/>
  <c r="H570" i="1"/>
  <c r="G19" i="1"/>
  <c r="G33" i="1"/>
  <c r="O1500" i="2"/>
  <c r="P1500" i="2" s="1"/>
  <c r="R1500" i="2" s="1"/>
  <c r="U1500" i="2" s="1"/>
  <c r="O1498" i="2"/>
  <c r="P1498" i="2" s="1"/>
  <c r="R1498" i="2" s="1"/>
  <c r="U1498" i="2" s="1"/>
  <c r="O1496" i="2"/>
  <c r="P1496" i="2" s="1"/>
  <c r="R1496" i="2" s="1"/>
  <c r="U1496" i="2" s="1"/>
  <c r="O1493" i="2"/>
  <c r="P1493" i="2" s="1"/>
  <c r="R1493" i="2" s="1"/>
  <c r="U1493" i="2" s="1"/>
  <c r="O1499" i="2"/>
  <c r="P1499" i="2" s="1"/>
  <c r="R1499" i="2" s="1"/>
  <c r="U1499" i="2" s="1"/>
  <c r="O1495" i="2"/>
  <c r="P1495" i="2" s="1"/>
  <c r="R1495" i="2" s="1"/>
  <c r="U1495" i="2" s="1"/>
  <c r="O1497" i="2"/>
  <c r="P1497" i="2" s="1"/>
  <c r="R1497" i="2" s="1"/>
  <c r="U1497" i="2" s="1"/>
  <c r="O1494" i="2"/>
  <c r="P1494" i="2" s="1"/>
  <c r="R1494" i="2" s="1"/>
  <c r="U1494" i="2" s="1"/>
  <c r="O1485" i="2"/>
  <c r="P1485" i="2" s="1"/>
  <c r="R1485" i="2" s="1"/>
  <c r="U1485" i="2" s="1"/>
  <c r="O1484" i="2"/>
  <c r="P1484" i="2" s="1"/>
  <c r="O521" i="2"/>
  <c r="P521" i="2" s="1"/>
  <c r="R521" i="2" s="1"/>
  <c r="O520" i="2"/>
  <c r="O519" i="2"/>
  <c r="P519" i="2" s="1"/>
  <c r="R519" i="2" s="1"/>
  <c r="O517" i="2"/>
  <c r="P517" i="2" s="1"/>
  <c r="R517" i="2" s="1"/>
  <c r="O518" i="2"/>
  <c r="P518" i="2" s="1"/>
  <c r="R518" i="2" s="1"/>
  <c r="O1402" i="2"/>
  <c r="P1402" i="2" s="1"/>
  <c r="O1403" i="2"/>
  <c r="P1403" i="2" s="1"/>
  <c r="R1403" i="2" s="1"/>
  <c r="U1403" i="2" s="1"/>
  <c r="O1404" i="2"/>
  <c r="P1404" i="2" s="1"/>
  <c r="R1404" i="2" s="1"/>
  <c r="O625" i="2"/>
  <c r="P625" i="2" s="1"/>
  <c r="R625" i="2" s="1"/>
  <c r="O613" i="2"/>
  <c r="P613" i="2" s="1"/>
  <c r="R613" i="2" s="1"/>
  <c r="O623" i="2"/>
  <c r="P623" i="2" s="1"/>
  <c r="R623" i="2" s="1"/>
  <c r="O624" i="2"/>
  <c r="P624" i="2" s="1"/>
  <c r="R624" i="2" s="1"/>
  <c r="O614" i="2"/>
  <c r="P614" i="2" s="1"/>
  <c r="O1643" i="2"/>
  <c r="O1672" i="2"/>
  <c r="P1672" i="2" s="1"/>
  <c r="R1672" i="2" s="1"/>
  <c r="U1672" i="2" s="1"/>
  <c r="O1644" i="2"/>
  <c r="P1644" i="2" s="1"/>
  <c r="R1644" i="2" s="1"/>
  <c r="U1644" i="2" s="1"/>
  <c r="O131" i="2"/>
  <c r="P131" i="2" s="1"/>
  <c r="R131" i="2" s="1"/>
  <c r="O130" i="2"/>
  <c r="P130" i="2" s="1"/>
  <c r="R130" i="2" s="1"/>
  <c r="O132" i="2"/>
  <c r="P132" i="2" s="1"/>
  <c r="R132" i="2" s="1"/>
  <c r="O128" i="2"/>
  <c r="P128" i="2" s="1"/>
  <c r="R128" i="2" s="1"/>
  <c r="O129" i="2"/>
  <c r="P129" i="2" s="1"/>
  <c r="R129" i="2" s="1"/>
  <c r="O1872" i="2"/>
  <c r="P1872" i="2" s="1"/>
  <c r="R1872" i="2" s="1"/>
  <c r="U1872" i="2" s="1"/>
  <c r="O2148" i="2"/>
  <c r="P2148" i="2" s="1"/>
  <c r="R2148" i="2" s="1"/>
  <c r="U2148" i="2" s="1"/>
  <c r="O2149" i="2"/>
  <c r="P2149" i="2" s="1"/>
  <c r="R2149" i="2" s="1"/>
  <c r="U2149" i="2" s="1"/>
  <c r="R1154" i="2"/>
  <c r="H431" i="1"/>
  <c r="G504" i="1"/>
  <c r="U1315" i="2"/>
  <c r="O1141" i="2"/>
  <c r="P1141" i="2" s="1"/>
  <c r="R1141" i="2" s="1"/>
  <c r="G213" i="1"/>
  <c r="H504" i="1"/>
  <c r="G224" i="1"/>
  <c r="H86" i="1"/>
  <c r="P1090" i="2"/>
  <c r="R1090" i="2" s="1"/>
  <c r="H515" i="1"/>
  <c r="G86" i="1"/>
  <c r="Q1276" i="2"/>
  <c r="G302" i="1"/>
  <c r="H149" i="1"/>
  <c r="G217" i="1"/>
  <c r="G282" i="1"/>
  <c r="G149" i="1"/>
  <c r="O468" i="2"/>
  <c r="P468" i="2" s="1"/>
  <c r="R468" i="2" s="1"/>
  <c r="O469" i="2"/>
  <c r="P469" i="2" s="1"/>
  <c r="R469" i="2" s="1"/>
  <c r="O463" i="2"/>
  <c r="P463" i="2" s="1"/>
  <c r="R463" i="2" s="1"/>
  <c r="O464" i="2"/>
  <c r="P464" i="2" s="1"/>
  <c r="O466" i="2"/>
  <c r="P466" i="2" s="1"/>
  <c r="R466" i="2" s="1"/>
  <c r="O280" i="2"/>
  <c r="P280" i="2" s="1"/>
  <c r="R280" i="2" s="1"/>
  <c r="O279" i="2"/>
  <c r="P279" i="2" s="1"/>
  <c r="R279" i="2" s="1"/>
  <c r="O278" i="2"/>
  <c r="P278" i="2" s="1"/>
  <c r="R278" i="2" s="1"/>
  <c r="O277" i="2"/>
  <c r="P277" i="2" s="1"/>
  <c r="O224" i="2"/>
  <c r="P224" i="2" s="1"/>
  <c r="R224" i="2" s="1"/>
  <c r="O227" i="2"/>
  <c r="P227" i="2" s="1"/>
  <c r="R227" i="2" s="1"/>
  <c r="O233" i="2"/>
  <c r="P233" i="2" s="1"/>
  <c r="R233" i="2" s="1"/>
  <c r="O230" i="2"/>
  <c r="P230" i="2" s="1"/>
  <c r="R230" i="2" s="1"/>
  <c r="O226" i="2"/>
  <c r="P226" i="2" s="1"/>
  <c r="R226" i="2" s="1"/>
  <c r="O235" i="2"/>
  <c r="P235" i="2" s="1"/>
  <c r="R235" i="2" s="1"/>
  <c r="O228" i="2"/>
  <c r="P228" i="2" s="1"/>
  <c r="R228" i="2" s="1"/>
  <c r="O234" i="2"/>
  <c r="P234" i="2" s="1"/>
  <c r="R234" i="2" s="1"/>
  <c r="O225" i="2"/>
  <c r="P225" i="2" s="1"/>
  <c r="R225" i="2" s="1"/>
  <c r="O232" i="2"/>
  <c r="P232" i="2" s="1"/>
  <c r="R232" i="2" s="1"/>
  <c r="O229" i="2"/>
  <c r="P229" i="2" s="1"/>
  <c r="R229" i="2" s="1"/>
  <c r="O231" i="2"/>
  <c r="P231" i="2" s="1"/>
  <c r="R231" i="2" s="1"/>
  <c r="O497" i="2"/>
  <c r="P497" i="2" s="1"/>
  <c r="R497" i="2" s="1"/>
  <c r="O496" i="2"/>
  <c r="P496" i="2" s="1"/>
  <c r="R496" i="2" s="1"/>
  <c r="O499" i="2"/>
  <c r="P499" i="2" s="1"/>
  <c r="R499" i="2" s="1"/>
  <c r="O498" i="2"/>
  <c r="P498" i="2" s="1"/>
  <c r="R498" i="2" s="1"/>
  <c r="O495" i="2"/>
  <c r="P495" i="2" s="1"/>
  <c r="R495" i="2" s="1"/>
  <c r="O160" i="2"/>
  <c r="O161" i="2"/>
  <c r="P161" i="2" s="1"/>
  <c r="P2038" i="2"/>
  <c r="R2038" i="2" s="1"/>
  <c r="U2038" i="2" s="1"/>
  <c r="G536" i="1"/>
  <c r="O1019" i="2"/>
  <c r="P1019" i="2" s="1"/>
  <c r="R1019" i="2" s="1"/>
  <c r="O1009" i="2"/>
  <c r="P1009" i="2" s="1"/>
  <c r="R1009" i="2" s="1"/>
  <c r="O1012" i="2"/>
  <c r="P1012" i="2" s="1"/>
  <c r="R1012" i="2" s="1"/>
  <c r="O1010" i="2"/>
  <c r="P1010" i="2" s="1"/>
  <c r="R1010" i="2" s="1"/>
  <c r="O1007" i="2"/>
  <c r="P1007" i="2" s="1"/>
  <c r="R1007" i="2" s="1"/>
  <c r="O1016" i="2"/>
  <c r="P1016" i="2" s="1"/>
  <c r="R1016" i="2" s="1"/>
  <c r="O1008" i="2"/>
  <c r="P1008" i="2" s="1"/>
  <c r="R1008" i="2" s="1"/>
  <c r="O1022" i="2"/>
  <c r="P1022" i="2" s="1"/>
  <c r="R1022" i="2" s="1"/>
  <c r="O1017" i="2"/>
  <c r="P1017" i="2" s="1"/>
  <c r="R1017" i="2" s="1"/>
  <c r="O1018" i="2"/>
  <c r="P1018" i="2" s="1"/>
  <c r="R1018" i="2" s="1"/>
  <c r="O1015" i="2"/>
  <c r="P1015" i="2" s="1"/>
  <c r="R1015" i="2" s="1"/>
  <c r="O1014" i="2"/>
  <c r="P1014" i="2" s="1"/>
  <c r="R1014" i="2" s="1"/>
  <c r="O1021" i="2"/>
  <c r="P1021" i="2" s="1"/>
  <c r="R1021" i="2" s="1"/>
  <c r="O1011" i="2"/>
  <c r="P1011" i="2" s="1"/>
  <c r="R1011" i="2" s="1"/>
  <c r="O1020" i="2"/>
  <c r="P1020" i="2" s="1"/>
  <c r="R1020" i="2" s="1"/>
  <c r="O1013" i="2"/>
  <c r="P1013" i="2" s="1"/>
  <c r="O805" i="2"/>
  <c r="P805" i="2" s="1"/>
  <c r="R805" i="2" s="1"/>
  <c r="O806" i="2"/>
  <c r="P806" i="2" s="1"/>
  <c r="R806" i="2" s="1"/>
  <c r="O807" i="2"/>
  <c r="P807" i="2" s="1"/>
  <c r="R807" i="2" s="1"/>
  <c r="O804" i="2"/>
  <c r="P804" i="2" s="1"/>
  <c r="R804" i="2" s="1"/>
  <c r="O778" i="2"/>
  <c r="P778" i="2" s="1"/>
  <c r="R778" i="2" s="1"/>
  <c r="O631" i="2"/>
  <c r="P631" i="2" s="1"/>
  <c r="O633" i="2"/>
  <c r="P633" i="2" s="1"/>
  <c r="R633" i="2" s="1"/>
  <c r="O632" i="2"/>
  <c r="P632" i="2" s="1"/>
  <c r="R632" i="2" s="1"/>
  <c r="O353" i="2"/>
  <c r="P353" i="2" s="1"/>
  <c r="R353" i="2" s="1"/>
  <c r="O348" i="2"/>
  <c r="P348" i="2" s="1"/>
  <c r="R348" i="2" s="1"/>
  <c r="O350" i="2"/>
  <c r="P350" i="2" s="1"/>
  <c r="R350" i="2" s="1"/>
  <c r="O354" i="2"/>
  <c r="P354" i="2" s="1"/>
  <c r="R354" i="2" s="1"/>
  <c r="O346" i="2"/>
  <c r="P346" i="2" s="1"/>
  <c r="R346" i="2" s="1"/>
  <c r="O347" i="2"/>
  <c r="P347" i="2" s="1"/>
  <c r="R347" i="2" s="1"/>
  <c r="O344" i="2"/>
  <c r="P344" i="2" s="1"/>
  <c r="R344" i="2" s="1"/>
  <c r="O342" i="2"/>
  <c r="P342" i="2" s="1"/>
  <c r="R342" i="2" s="1"/>
  <c r="O345" i="2"/>
  <c r="P345" i="2" s="1"/>
  <c r="R345" i="2" s="1"/>
  <c r="O343" i="2"/>
  <c r="P343" i="2" s="1"/>
  <c r="R343" i="2" s="1"/>
  <c r="O352" i="2"/>
  <c r="P352" i="2" s="1"/>
  <c r="R352" i="2" s="1"/>
  <c r="O355" i="2"/>
  <c r="P355" i="2" s="1"/>
  <c r="R355" i="2" s="1"/>
  <c r="O351" i="2"/>
  <c r="P351" i="2" s="1"/>
  <c r="R351" i="2" s="1"/>
  <c r="O349" i="2"/>
  <c r="P349" i="2" s="1"/>
  <c r="R349" i="2" s="1"/>
  <c r="O341" i="2"/>
  <c r="P341" i="2" s="1"/>
  <c r="O340" i="2"/>
  <c r="P340" i="2" s="1"/>
  <c r="R340" i="2" s="1"/>
  <c r="O35" i="2"/>
  <c r="P35" i="2" s="1"/>
  <c r="R35" i="2" s="1"/>
  <c r="O33" i="2"/>
  <c r="P33" i="2" s="1"/>
  <c r="R33" i="2" s="1"/>
  <c r="O1601" i="2"/>
  <c r="P1601" i="2" s="1"/>
  <c r="R1601" i="2" s="1"/>
  <c r="U1601" i="2" s="1"/>
  <c r="O1600" i="2"/>
  <c r="P1600" i="2" s="1"/>
  <c r="R1600" i="2" s="1"/>
  <c r="U1600" i="2" s="1"/>
  <c r="O1597" i="2"/>
  <c r="O1598" i="2"/>
  <c r="P1598" i="2" s="1"/>
  <c r="R1598" i="2" s="1"/>
  <c r="U1598" i="2" s="1"/>
  <c r="O1599" i="2"/>
  <c r="P1599" i="2" s="1"/>
  <c r="R1599" i="2" s="1"/>
  <c r="U1599" i="2" s="1"/>
  <c r="O1095" i="2"/>
  <c r="P1095" i="2" s="1"/>
  <c r="R1095" i="2" s="1"/>
  <c r="O1093" i="2"/>
  <c r="P1093" i="2" s="1"/>
  <c r="R1093" i="2" s="1"/>
  <c r="O1097" i="2"/>
  <c r="P1097" i="2" s="1"/>
  <c r="R1097" i="2" s="1"/>
  <c r="O1092" i="2"/>
  <c r="P1092" i="2" s="1"/>
  <c r="R1092" i="2" s="1"/>
  <c r="O1099" i="2"/>
  <c r="P1099" i="2" s="1"/>
  <c r="R1099" i="2" s="1"/>
  <c r="O1094" i="2"/>
  <c r="P1094" i="2" s="1"/>
  <c r="R1094" i="2" s="1"/>
  <c r="O1098" i="2"/>
  <c r="P1098" i="2" s="1"/>
  <c r="R1098" i="2" s="1"/>
  <c r="O1096" i="2"/>
  <c r="P1096" i="2" s="1"/>
  <c r="R1096" i="2" s="1"/>
  <c r="O1091" i="2"/>
  <c r="P1091" i="2" s="1"/>
  <c r="R1091" i="2" s="1"/>
  <c r="O1100" i="2"/>
  <c r="P1100" i="2" s="1"/>
  <c r="R1100" i="2" s="1"/>
  <c r="O305" i="2"/>
  <c r="P305" i="2" s="1"/>
  <c r="R305" i="2" s="1"/>
  <c r="O308" i="2"/>
  <c r="P308" i="2" s="1"/>
  <c r="R308" i="2" s="1"/>
  <c r="O306" i="2"/>
  <c r="P306" i="2" s="1"/>
  <c r="R306" i="2" s="1"/>
  <c r="O307" i="2"/>
  <c r="P307" i="2" s="1"/>
  <c r="R307" i="2" s="1"/>
  <c r="O304" i="2"/>
  <c r="P304" i="2" s="1"/>
  <c r="R304" i="2" s="1"/>
  <c r="G242" i="1"/>
  <c r="H52" i="1"/>
  <c r="R1865" i="2"/>
  <c r="U1865" i="2" s="1"/>
  <c r="G319" i="1"/>
  <c r="R535" i="2"/>
  <c r="H477" i="1"/>
  <c r="G431" i="1"/>
  <c r="G112" i="1"/>
  <c r="G244" i="1"/>
  <c r="H112" i="1"/>
  <c r="R1910" i="2"/>
  <c r="U1910" i="2" s="1"/>
  <c r="H101" i="1"/>
  <c r="R1199" i="2"/>
  <c r="U1199" i="2" s="1"/>
  <c r="U1811" i="2"/>
  <c r="V1811" i="2"/>
  <c r="I477" i="1" s="1"/>
  <c r="H146" i="1"/>
  <c r="R533" i="2"/>
  <c r="R210" i="2"/>
  <c r="H66" i="1"/>
  <c r="H345" i="1"/>
  <c r="R1287" i="2"/>
  <c r="V1287" i="2" s="1"/>
  <c r="I345" i="1" s="1"/>
  <c r="G191" i="1"/>
  <c r="G305" i="1"/>
  <c r="G228" i="1"/>
  <c r="G146" i="1"/>
  <c r="U1430" i="2"/>
  <c r="U1333" i="2"/>
  <c r="H259" i="1"/>
  <c r="R1732" i="2"/>
  <c r="V1732" i="2" s="1"/>
  <c r="I463" i="1" s="1"/>
  <c r="H349" i="1"/>
  <c r="H191" i="1"/>
  <c r="H140" i="1"/>
  <c r="G66" i="1"/>
  <c r="G345" i="1"/>
  <c r="V1447" i="2"/>
  <c r="O637" i="2"/>
  <c r="P637" i="2" s="1"/>
  <c r="R637" i="2" s="1"/>
  <c r="G254" i="1"/>
  <c r="R1625" i="2"/>
  <c r="U1625" i="2" s="1"/>
  <c r="H496" i="1"/>
  <c r="H432" i="1"/>
  <c r="G18" i="1"/>
  <c r="G205" i="1"/>
  <c r="G147" i="1"/>
  <c r="R1966" i="2"/>
  <c r="U1966" i="2" s="1"/>
  <c r="G496" i="1"/>
  <c r="R1863" i="2"/>
  <c r="U1863" i="2" s="1"/>
  <c r="R756" i="2"/>
  <c r="H217" i="1"/>
  <c r="R651" i="2"/>
  <c r="H183" i="1"/>
  <c r="R1296" i="2"/>
  <c r="H348" i="1"/>
  <c r="O1722" i="2"/>
  <c r="P1722" i="2" s="1"/>
  <c r="R1722" i="2" s="1"/>
  <c r="O1720" i="2"/>
  <c r="P1720" i="2" s="1"/>
  <c r="R1720" i="2" s="1"/>
  <c r="U1720" i="2" s="1"/>
  <c r="O1719" i="2"/>
  <c r="P1719" i="2" s="1"/>
  <c r="R1719" i="2" s="1"/>
  <c r="O1723" i="2"/>
  <c r="P1723" i="2" s="1"/>
  <c r="R1723" i="2" s="1"/>
  <c r="V1723" i="2" s="1"/>
  <c r="O1717" i="2"/>
  <c r="P1717" i="2" s="1"/>
  <c r="R1717" i="2" s="1"/>
  <c r="O1725" i="2"/>
  <c r="P1725" i="2" s="1"/>
  <c r="R1725" i="2" s="1"/>
  <c r="O1724" i="2"/>
  <c r="P1724" i="2" s="1"/>
  <c r="R1724" i="2" s="1"/>
  <c r="O1727" i="2"/>
  <c r="P1727" i="2" s="1"/>
  <c r="R1727" i="2" s="1"/>
  <c r="V1727" i="2" s="1"/>
  <c r="O1730" i="2"/>
  <c r="P1730" i="2" s="1"/>
  <c r="R1730" i="2" s="1"/>
  <c r="O1731" i="2"/>
  <c r="P1731" i="2" s="1"/>
  <c r="R1731" i="2" s="1"/>
  <c r="O1718" i="2"/>
  <c r="P1718" i="2" s="1"/>
  <c r="R1718" i="2" s="1"/>
  <c r="O1726" i="2"/>
  <c r="P1726" i="2" s="1"/>
  <c r="R1726" i="2" s="1"/>
  <c r="O1721" i="2"/>
  <c r="P1721" i="2" s="1"/>
  <c r="R1721" i="2" s="1"/>
  <c r="O1716" i="2"/>
  <c r="P1716" i="2" s="1"/>
  <c r="R1716" i="2" s="1"/>
  <c r="O1715" i="2"/>
  <c r="R782" i="2"/>
  <c r="H225" i="1"/>
  <c r="R680" i="2"/>
  <c r="H188" i="1"/>
  <c r="V1446" i="2"/>
  <c r="I383" i="1" s="1"/>
  <c r="U1446" i="2"/>
  <c r="O1916" i="2"/>
  <c r="P1916" i="2" s="1"/>
  <c r="R1916" i="2" s="1"/>
  <c r="U1916" i="2" s="1"/>
  <c r="O1912" i="2"/>
  <c r="O1913" i="2"/>
  <c r="P1913" i="2" s="1"/>
  <c r="R1913" i="2" s="1"/>
  <c r="U1913" i="2" s="1"/>
  <c r="O1919" i="2"/>
  <c r="P1919" i="2" s="1"/>
  <c r="R1919" i="2" s="1"/>
  <c r="U1919" i="2" s="1"/>
  <c r="O1918" i="2"/>
  <c r="P1918" i="2" s="1"/>
  <c r="R1918" i="2" s="1"/>
  <c r="U1918" i="2" s="1"/>
  <c r="O1915" i="2"/>
  <c r="P1915" i="2" s="1"/>
  <c r="R1915" i="2" s="1"/>
  <c r="U1915" i="2" s="1"/>
  <c r="O1922" i="2"/>
  <c r="P1922" i="2" s="1"/>
  <c r="R1922" i="2" s="1"/>
  <c r="U1922" i="2" s="1"/>
  <c r="O1917" i="2"/>
  <c r="P1917" i="2" s="1"/>
  <c r="R1917" i="2" s="1"/>
  <c r="U1917" i="2" s="1"/>
  <c r="O1920" i="2"/>
  <c r="P1920" i="2" s="1"/>
  <c r="R1920" i="2" s="1"/>
  <c r="U1920" i="2" s="1"/>
  <c r="O1914" i="2"/>
  <c r="P1914" i="2" s="1"/>
  <c r="R1914" i="2" s="1"/>
  <c r="U1914" i="2" s="1"/>
  <c r="O1712" i="2"/>
  <c r="P1712" i="2" s="1"/>
  <c r="R1712" i="2" s="1"/>
  <c r="U1712" i="2" s="1"/>
  <c r="O1683" i="2"/>
  <c r="P1683" i="2" s="1"/>
  <c r="R1683" i="2" s="1"/>
  <c r="U1683" i="2" s="1"/>
  <c r="O1682" i="2"/>
  <c r="P1682" i="2" s="1"/>
  <c r="O1687" i="2"/>
  <c r="P1687" i="2" s="1"/>
  <c r="R1687" i="2" s="1"/>
  <c r="U1687" i="2" s="1"/>
  <c r="O1686" i="2"/>
  <c r="P1686" i="2" s="1"/>
  <c r="R1686" i="2" s="1"/>
  <c r="O1710" i="2"/>
  <c r="O1690" i="2"/>
  <c r="P1690" i="2" s="1"/>
  <c r="R1690" i="2" s="1"/>
  <c r="U1690" i="2" s="1"/>
  <c r="O1708" i="2"/>
  <c r="P1708" i="2" s="1"/>
  <c r="R1708" i="2" s="1"/>
  <c r="U1708" i="2" s="1"/>
  <c r="O1711" i="2"/>
  <c r="P1711" i="2" s="1"/>
  <c r="R1711" i="2" s="1"/>
  <c r="U1711" i="2" s="1"/>
  <c r="O1685" i="2"/>
  <c r="P1685" i="2" s="1"/>
  <c r="R1685" i="2" s="1"/>
  <c r="O1707" i="2"/>
  <c r="P1707" i="2" s="1"/>
  <c r="R1707" i="2" s="1"/>
  <c r="U1707" i="2" s="1"/>
  <c r="O1709" i="2"/>
  <c r="P1709" i="2" s="1"/>
  <c r="R1709" i="2" s="1"/>
  <c r="U1709" i="2" s="1"/>
  <c r="O1691" i="2"/>
  <c r="P1691" i="2" s="1"/>
  <c r="R1691" i="2" s="1"/>
  <c r="U1691" i="2" s="1"/>
  <c r="O1689" i="2"/>
  <c r="P1689" i="2" s="1"/>
  <c r="R1689" i="2" s="1"/>
  <c r="U1689" i="2" s="1"/>
  <c r="O1706" i="2"/>
  <c r="P1706" i="2" s="1"/>
  <c r="R1706" i="2" s="1"/>
  <c r="U1706" i="2" s="1"/>
  <c r="O1688" i="2"/>
  <c r="P1688" i="2" s="1"/>
  <c r="R1688" i="2" s="1"/>
  <c r="U1688" i="2" s="1"/>
  <c r="O1684" i="2"/>
  <c r="P1684" i="2" s="1"/>
  <c r="R1684" i="2" s="1"/>
  <c r="H226" i="1"/>
  <c r="G306" i="1"/>
  <c r="G317" i="1"/>
  <c r="G377" i="1"/>
  <c r="O1793" i="2"/>
  <c r="H255" i="1"/>
  <c r="G225" i="1"/>
  <c r="G61" i="1"/>
  <c r="H26" i="1"/>
  <c r="R1962" i="2"/>
  <c r="U1962" i="2" s="1"/>
  <c r="G23" i="1"/>
  <c r="G183" i="1"/>
  <c r="G348" i="1"/>
  <c r="G181" i="1"/>
  <c r="H377" i="1"/>
  <c r="G515" i="1"/>
  <c r="H302" i="1"/>
  <c r="G188" i="1"/>
  <c r="R391" i="2"/>
  <c r="H313" i="1"/>
  <c r="G313" i="1"/>
  <c r="G350" i="1"/>
  <c r="O2002" i="2"/>
  <c r="P2002" i="2" s="1"/>
  <c r="R2002" i="2" s="1"/>
  <c r="U2002" i="2" s="1"/>
  <c r="O1997" i="2"/>
  <c r="O1998" i="2"/>
  <c r="P1998" i="2" s="1"/>
  <c r="R1998" i="2" s="1"/>
  <c r="U1998" i="2" s="1"/>
  <c r="O2003" i="2"/>
  <c r="P2003" i="2" s="1"/>
  <c r="R2003" i="2" s="1"/>
  <c r="U2003" i="2" s="1"/>
  <c r="O2000" i="2"/>
  <c r="P2000" i="2" s="1"/>
  <c r="R2000" i="2" s="1"/>
  <c r="U2000" i="2" s="1"/>
  <c r="O1999" i="2"/>
  <c r="P1999" i="2" s="1"/>
  <c r="R1999" i="2" s="1"/>
  <c r="U1999" i="2" s="1"/>
  <c r="O2001" i="2"/>
  <c r="P2001" i="2" s="1"/>
  <c r="R2001" i="2" s="1"/>
  <c r="U2001" i="2" s="1"/>
  <c r="O1853" i="2"/>
  <c r="P1853" i="2" s="1"/>
  <c r="R1853" i="2" s="1"/>
  <c r="U1853" i="2" s="1"/>
  <c r="O1848" i="2"/>
  <c r="P1848" i="2" s="1"/>
  <c r="R1848" i="2" s="1"/>
  <c r="U1848" i="2" s="1"/>
  <c r="O1846" i="2"/>
  <c r="P1846" i="2" s="1"/>
  <c r="R1846" i="2" s="1"/>
  <c r="U1846" i="2" s="1"/>
  <c r="O1845" i="2"/>
  <c r="P1845" i="2" s="1"/>
  <c r="R1845" i="2" s="1"/>
  <c r="U1845" i="2" s="1"/>
  <c r="O1851" i="2"/>
  <c r="P1851" i="2" s="1"/>
  <c r="R1851" i="2" s="1"/>
  <c r="U1851" i="2" s="1"/>
  <c r="O1847" i="2"/>
  <c r="P1847" i="2" s="1"/>
  <c r="R1847" i="2" s="1"/>
  <c r="U1847" i="2" s="1"/>
  <c r="O1849" i="2"/>
  <c r="P1849" i="2" s="1"/>
  <c r="R1849" i="2" s="1"/>
  <c r="U1849" i="2" s="1"/>
  <c r="O1850" i="2"/>
  <c r="P1850" i="2" s="1"/>
  <c r="R1850" i="2" s="1"/>
  <c r="U1850" i="2" s="1"/>
  <c r="O1844" i="2"/>
  <c r="O1852" i="2"/>
  <c r="P1852" i="2" s="1"/>
  <c r="R1852" i="2" s="1"/>
  <c r="U1852" i="2" s="1"/>
  <c r="O1380" i="2"/>
  <c r="P1380" i="2" s="1"/>
  <c r="R1380" i="2" s="1"/>
  <c r="U1380" i="2" s="1"/>
  <c r="O1385" i="2"/>
  <c r="P1385" i="2" s="1"/>
  <c r="R1385" i="2" s="1"/>
  <c r="O1384" i="2"/>
  <c r="P1384" i="2" s="1"/>
  <c r="R1384" i="2" s="1"/>
  <c r="O1383" i="2"/>
  <c r="P1383" i="2" s="1"/>
  <c r="R1383" i="2" s="1"/>
  <c r="O1382" i="2"/>
  <c r="P1382" i="2" s="1"/>
  <c r="R1382" i="2" s="1"/>
  <c r="O1381" i="2"/>
  <c r="P1381" i="2" s="1"/>
  <c r="O1379" i="2"/>
  <c r="P1379" i="2" s="1"/>
  <c r="R1379" i="2" s="1"/>
  <c r="O1378" i="2"/>
  <c r="O1350" i="2"/>
  <c r="P1350" i="2" s="1"/>
  <c r="R1350" i="2" s="1"/>
  <c r="U1350" i="2" s="1"/>
  <c r="O1345" i="2"/>
  <c r="P1345" i="2" s="1"/>
  <c r="R1345" i="2" s="1"/>
  <c r="U1345" i="2" s="1"/>
  <c r="O1341" i="2"/>
  <c r="P1341" i="2" s="1"/>
  <c r="R1341" i="2" s="1"/>
  <c r="O1346" i="2"/>
  <c r="P1346" i="2" s="1"/>
  <c r="R1346" i="2" s="1"/>
  <c r="O1340" i="2"/>
  <c r="P1340" i="2" s="1"/>
  <c r="R1340" i="2" s="1"/>
  <c r="O1347" i="2"/>
  <c r="P1347" i="2" s="1"/>
  <c r="R1347" i="2" s="1"/>
  <c r="O1343" i="2"/>
  <c r="P1343" i="2" s="1"/>
  <c r="R1343" i="2" s="1"/>
  <c r="O1339" i="2"/>
  <c r="O1342" i="2"/>
  <c r="P1342" i="2" s="1"/>
  <c r="R1342" i="2" s="1"/>
  <c r="O1348" i="2"/>
  <c r="P1348" i="2" s="1"/>
  <c r="R1348" i="2" s="1"/>
  <c r="U1348" i="2" s="1"/>
  <c r="O1349" i="2"/>
  <c r="P1349" i="2" s="1"/>
  <c r="R1349" i="2" s="1"/>
  <c r="O1344" i="2"/>
  <c r="P1344" i="2" s="1"/>
  <c r="R1344" i="2" s="1"/>
  <c r="O522" i="2"/>
  <c r="P522" i="2" s="1"/>
  <c r="R522" i="2" s="1"/>
  <c r="O523" i="2"/>
  <c r="P523" i="2" s="1"/>
  <c r="O387" i="2"/>
  <c r="O388" i="2"/>
  <c r="P388" i="2" s="1"/>
  <c r="R388" i="2" s="1"/>
  <c r="O389" i="2"/>
  <c r="P389" i="2" s="1"/>
  <c r="R389" i="2" s="1"/>
  <c r="G541" i="1"/>
  <c r="P2058" i="2"/>
  <c r="O1893" i="2"/>
  <c r="O1896" i="2"/>
  <c r="P1896" i="2" s="1"/>
  <c r="R1896" i="2" s="1"/>
  <c r="U1896" i="2" s="1"/>
  <c r="O1895" i="2"/>
  <c r="P1895" i="2" s="1"/>
  <c r="R1895" i="2" s="1"/>
  <c r="U1895" i="2" s="1"/>
  <c r="O1894" i="2"/>
  <c r="P1894" i="2" s="1"/>
  <c r="R1894" i="2" s="1"/>
  <c r="U1894" i="2" s="1"/>
  <c r="O1182" i="2"/>
  <c r="P1182" i="2" s="1"/>
  <c r="R1182" i="2" s="1"/>
  <c r="O1181" i="2"/>
  <c r="P1181" i="2" s="1"/>
  <c r="R1181" i="2" s="1"/>
  <c r="O1180" i="2"/>
  <c r="P1180" i="2" s="1"/>
  <c r="R1180" i="2" s="1"/>
  <c r="O1179" i="2"/>
  <c r="O935" i="2"/>
  <c r="P935" i="2" s="1"/>
  <c r="R935" i="2" s="1"/>
  <c r="O904" i="2"/>
  <c r="P904" i="2" s="1"/>
  <c r="R904" i="2" s="1"/>
  <c r="O897" i="2"/>
  <c r="O903" i="2"/>
  <c r="P903" i="2" s="1"/>
  <c r="R903" i="2" s="1"/>
  <c r="O898" i="2"/>
  <c r="P898" i="2" s="1"/>
  <c r="R898" i="2" s="1"/>
  <c r="O902" i="2"/>
  <c r="P902" i="2" s="1"/>
  <c r="R902" i="2" s="1"/>
  <c r="O906" i="2"/>
  <c r="P906" i="2" s="1"/>
  <c r="R906" i="2" s="1"/>
  <c r="O905" i="2"/>
  <c r="P905" i="2" s="1"/>
  <c r="R905" i="2" s="1"/>
  <c r="O901" i="2"/>
  <c r="P901" i="2" s="1"/>
  <c r="R901" i="2" s="1"/>
  <c r="O899" i="2"/>
  <c r="P899" i="2" s="1"/>
  <c r="R899" i="2" s="1"/>
  <c r="O900" i="2"/>
  <c r="P900" i="2" s="1"/>
  <c r="R900" i="2" s="1"/>
  <c r="O913" i="2"/>
  <c r="P913" i="2" s="1"/>
  <c r="R913" i="2" s="1"/>
  <c r="O707" i="2"/>
  <c r="P707" i="2" s="1"/>
  <c r="R707" i="2" s="1"/>
  <c r="O705" i="2"/>
  <c r="O706" i="2"/>
  <c r="P706" i="2" s="1"/>
  <c r="R706" i="2" s="1"/>
  <c r="O503" i="2"/>
  <c r="P503" i="2" s="1"/>
  <c r="R503" i="2" s="1"/>
  <c r="O501" i="2"/>
  <c r="P501" i="2" s="1"/>
  <c r="R501" i="2" s="1"/>
  <c r="O502" i="2"/>
  <c r="P502" i="2" s="1"/>
  <c r="R502" i="2" s="1"/>
  <c r="O500" i="2"/>
  <c r="O262" i="2"/>
  <c r="P262" i="2" s="1"/>
  <c r="R262" i="2" s="1"/>
  <c r="O271" i="2"/>
  <c r="P271" i="2" s="1"/>
  <c r="R271" i="2" s="1"/>
  <c r="O264" i="2"/>
  <c r="P264" i="2" s="1"/>
  <c r="R264" i="2" s="1"/>
  <c r="O263" i="2"/>
  <c r="P263" i="2" s="1"/>
  <c r="R263" i="2" s="1"/>
  <c r="O254" i="2"/>
  <c r="P254" i="2" s="1"/>
  <c r="R254" i="2" s="1"/>
  <c r="O256" i="2"/>
  <c r="P256" i="2" s="1"/>
  <c r="O272" i="2"/>
  <c r="P272" i="2" s="1"/>
  <c r="R272" i="2" s="1"/>
  <c r="O255" i="2"/>
  <c r="P255" i="2" s="1"/>
  <c r="R255" i="2" s="1"/>
  <c r="O239" i="2"/>
  <c r="O240" i="2"/>
  <c r="P240" i="2" s="1"/>
  <c r="R240" i="2" s="1"/>
  <c r="O182" i="2"/>
  <c r="P182" i="2" s="1"/>
  <c r="R182" i="2" s="1"/>
  <c r="O181" i="2"/>
  <c r="G450" i="1"/>
  <c r="O1654" i="2"/>
  <c r="P1654" i="2" s="1"/>
  <c r="R1654" i="2" s="1"/>
  <c r="U1654" i="2" s="1"/>
  <c r="O1653" i="2"/>
  <c r="P1653" i="2" s="1"/>
  <c r="R1653" i="2" s="1"/>
  <c r="U1653" i="2" s="1"/>
  <c r="O1652" i="2"/>
  <c r="O1005" i="2"/>
  <c r="P1005" i="2" s="1"/>
  <c r="R1005" i="2" s="1"/>
  <c r="O1004" i="2"/>
  <c r="P1004" i="2" s="1"/>
  <c r="R1004" i="2" s="1"/>
  <c r="O1006" i="2"/>
  <c r="P1006" i="2" s="1"/>
  <c r="R1006" i="2" s="1"/>
  <c r="O1003" i="2"/>
  <c r="P1003" i="2" s="1"/>
  <c r="R1003" i="2" s="1"/>
  <c r="O1002" i="2"/>
  <c r="P1002" i="2" s="1"/>
  <c r="R1002" i="2" s="1"/>
  <c r="O1001" i="2"/>
  <c r="P1001" i="2" s="1"/>
  <c r="R1001" i="2" s="1"/>
  <c r="O204" i="2"/>
  <c r="P204" i="2" s="1"/>
  <c r="R204" i="2" s="1"/>
  <c r="O206" i="2"/>
  <c r="P206" i="2" s="1"/>
  <c r="R206" i="2" s="1"/>
  <c r="O205" i="2"/>
  <c r="P205" i="2" s="1"/>
  <c r="R205" i="2" s="1"/>
  <c r="O207" i="2"/>
  <c r="P207" i="2" s="1"/>
  <c r="R207" i="2" s="1"/>
  <c r="O203" i="2"/>
  <c r="P203" i="2" s="1"/>
  <c r="R203" i="2" s="1"/>
  <c r="G48" i="1"/>
  <c r="P143" i="2"/>
  <c r="O1617" i="2"/>
  <c r="P1617" i="2" s="1"/>
  <c r="R1617" i="2" s="1"/>
  <c r="U1617" i="2" s="1"/>
  <c r="O1619" i="2"/>
  <c r="P1619" i="2" s="1"/>
  <c r="R1619" i="2" s="1"/>
  <c r="U1619" i="2" s="1"/>
  <c r="O1620" i="2"/>
  <c r="P1620" i="2" s="1"/>
  <c r="R1620" i="2" s="1"/>
  <c r="U1620" i="2" s="1"/>
  <c r="O1618" i="2"/>
  <c r="P1618" i="2" s="1"/>
  <c r="R1618" i="2" s="1"/>
  <c r="U1618" i="2" s="1"/>
  <c r="O1616" i="2"/>
  <c r="O1630" i="2"/>
  <c r="P1630" i="2" s="1"/>
  <c r="R1630" i="2" s="1"/>
  <c r="U1630" i="2" s="1"/>
  <c r="O1621" i="2"/>
  <c r="P1621" i="2" s="1"/>
  <c r="R1621" i="2" s="1"/>
  <c r="U1621" i="2" s="1"/>
  <c r="O1629" i="2"/>
  <c r="P1629" i="2" s="1"/>
  <c r="R1629" i="2" s="1"/>
  <c r="U1629" i="2" s="1"/>
  <c r="G286" i="1"/>
  <c r="P1036" i="2"/>
  <c r="H286" i="1" s="1"/>
  <c r="O769" i="2"/>
  <c r="P769" i="2" s="1"/>
  <c r="R769" i="2" s="1"/>
  <c r="O770" i="2"/>
  <c r="P770" i="2" s="1"/>
  <c r="R770" i="2" s="1"/>
  <c r="O768" i="2"/>
  <c r="O771" i="2"/>
  <c r="P771" i="2" s="1"/>
  <c r="R771" i="2" s="1"/>
  <c r="O373" i="2"/>
  <c r="O374" i="2"/>
  <c r="P374" i="2" s="1"/>
  <c r="R374" i="2" s="1"/>
  <c r="O296" i="2"/>
  <c r="P296" i="2" s="1"/>
  <c r="R296" i="2" s="1"/>
  <c r="O295" i="2"/>
  <c r="P295" i="2" s="1"/>
  <c r="R295" i="2" s="1"/>
  <c r="O294" i="2"/>
  <c r="O10" i="2"/>
  <c r="P10" i="2" s="1"/>
  <c r="R10" i="2" s="1"/>
  <c r="O11" i="2"/>
  <c r="P11" i="2" s="1"/>
  <c r="R11" i="2" s="1"/>
  <c r="O8" i="2"/>
  <c r="P8" i="2" s="1"/>
  <c r="R8" i="2" s="1"/>
  <c r="O1289" i="2"/>
  <c r="P1289" i="2" s="1"/>
  <c r="R1289" i="2" s="1"/>
  <c r="U1289" i="2" s="1"/>
  <c r="O1292" i="2"/>
  <c r="P1292" i="2" s="1"/>
  <c r="R1292" i="2" s="1"/>
  <c r="U1292" i="2" s="1"/>
  <c r="O1290" i="2"/>
  <c r="P1290" i="2" s="1"/>
  <c r="R1290" i="2" s="1"/>
  <c r="U1290" i="2" s="1"/>
  <c r="O1288" i="2"/>
  <c r="O1291" i="2"/>
  <c r="P1291" i="2" s="1"/>
  <c r="R1291" i="2" s="1"/>
  <c r="U1291" i="2" s="1"/>
  <c r="O1284" i="2"/>
  <c r="P1284" i="2" s="1"/>
  <c r="R1284" i="2" s="1"/>
  <c r="U1284" i="2" s="1"/>
  <c r="O1270" i="2"/>
  <c r="P1270" i="2" s="1"/>
  <c r="R1270" i="2" s="1"/>
  <c r="U1270" i="2" s="1"/>
  <c r="O1269" i="2"/>
  <c r="O1286" i="2"/>
  <c r="P1286" i="2" s="1"/>
  <c r="R1286" i="2" s="1"/>
  <c r="U1286" i="2" s="1"/>
  <c r="O1309" i="2"/>
  <c r="P1309" i="2" s="1"/>
  <c r="R1309" i="2" s="1"/>
  <c r="O1285" i="2"/>
  <c r="P1285" i="2" s="1"/>
  <c r="R1285" i="2" s="1"/>
  <c r="U1285" i="2" s="1"/>
  <c r="O1275" i="2"/>
  <c r="P1275" i="2" s="1"/>
  <c r="R1275" i="2" s="1"/>
  <c r="U1275" i="2" s="1"/>
  <c r="O618" i="2"/>
  <c r="O619" i="2"/>
  <c r="P619" i="2" s="1"/>
  <c r="R619" i="2" s="1"/>
  <c r="O174" i="2"/>
  <c r="O178" i="2"/>
  <c r="P178" i="2" s="1"/>
  <c r="R178" i="2" s="1"/>
  <c r="O177" i="2"/>
  <c r="P177" i="2" s="1"/>
  <c r="R177" i="2" s="1"/>
  <c r="O175" i="2"/>
  <c r="P175" i="2" s="1"/>
  <c r="R175" i="2" s="1"/>
  <c r="O179" i="2"/>
  <c r="P179" i="2" s="1"/>
  <c r="O176" i="2"/>
  <c r="P176" i="2" s="1"/>
  <c r="R176" i="2" s="1"/>
  <c r="O180" i="2"/>
  <c r="P180" i="2" s="1"/>
  <c r="R180" i="2" s="1"/>
  <c r="O1944" i="2"/>
  <c r="O1945" i="2"/>
  <c r="P1945" i="2" s="1"/>
  <c r="R1945" i="2" s="1"/>
  <c r="O1062" i="2"/>
  <c r="P1062" i="2" s="1"/>
  <c r="R1062" i="2" s="1"/>
  <c r="O1063" i="2"/>
  <c r="P1063" i="2" s="1"/>
  <c r="R1063" i="2" s="1"/>
  <c r="O1061" i="2"/>
  <c r="P1061" i="2" s="1"/>
  <c r="R1061" i="2" s="1"/>
  <c r="O1072" i="2"/>
  <c r="P1072" i="2" s="1"/>
  <c r="R1072" i="2" s="1"/>
  <c r="O996" i="2"/>
  <c r="O1066" i="2"/>
  <c r="P1066" i="2" s="1"/>
  <c r="R1066" i="2" s="1"/>
  <c r="O1068" i="2"/>
  <c r="P1068" i="2" s="1"/>
  <c r="R1068" i="2" s="1"/>
  <c r="O1065" i="2"/>
  <c r="P1065" i="2" s="1"/>
  <c r="R1065" i="2" s="1"/>
  <c r="O1070" i="2"/>
  <c r="P1070" i="2" s="1"/>
  <c r="R1070" i="2" s="1"/>
  <c r="O1064" i="2"/>
  <c r="P1064" i="2" s="1"/>
  <c r="R1064" i="2" s="1"/>
  <c r="O1069" i="2"/>
  <c r="P1069" i="2" s="1"/>
  <c r="R1069" i="2" s="1"/>
  <c r="O1073" i="2"/>
  <c r="P1073" i="2" s="1"/>
  <c r="R1073" i="2" s="1"/>
  <c r="O1071" i="2"/>
  <c r="P1071" i="2" s="1"/>
  <c r="R1071" i="2" s="1"/>
  <c r="O1067" i="2"/>
  <c r="P1067" i="2" s="1"/>
  <c r="R1067" i="2" s="1"/>
  <c r="O984" i="2"/>
  <c r="P984" i="2" s="1"/>
  <c r="R984" i="2" s="1"/>
  <c r="O993" i="2"/>
  <c r="P993" i="2" s="1"/>
  <c r="R993" i="2" s="1"/>
  <c r="O988" i="2"/>
  <c r="P988" i="2" s="1"/>
  <c r="R988" i="2" s="1"/>
  <c r="O985" i="2"/>
  <c r="P985" i="2" s="1"/>
  <c r="R985" i="2" s="1"/>
  <c r="O986" i="2"/>
  <c r="P986" i="2" s="1"/>
  <c r="R986" i="2" s="1"/>
  <c r="O982" i="2"/>
  <c r="P982" i="2" s="1"/>
  <c r="R982" i="2" s="1"/>
  <c r="O994" i="2"/>
  <c r="P994" i="2" s="1"/>
  <c r="R994" i="2" s="1"/>
  <c r="O990" i="2"/>
  <c r="P990" i="2" s="1"/>
  <c r="R990" i="2" s="1"/>
  <c r="O983" i="2"/>
  <c r="P983" i="2" s="1"/>
  <c r="R983" i="2" s="1"/>
  <c r="O981" i="2"/>
  <c r="O992" i="2"/>
  <c r="P992" i="2" s="1"/>
  <c r="R992" i="2" s="1"/>
  <c r="O989" i="2"/>
  <c r="P989" i="2" s="1"/>
  <c r="R989" i="2" s="1"/>
  <c r="O995" i="2"/>
  <c r="P995" i="2" s="1"/>
  <c r="R995" i="2" s="1"/>
  <c r="O991" i="2"/>
  <c r="P991" i="2" s="1"/>
  <c r="R991" i="2" s="1"/>
  <c r="O987" i="2"/>
  <c r="P987" i="2" s="1"/>
  <c r="R987" i="2" s="1"/>
  <c r="O821" i="2"/>
  <c r="P821" i="2" s="1"/>
  <c r="R821" i="2" s="1"/>
  <c r="O868" i="2"/>
  <c r="P868" i="2" s="1"/>
  <c r="R868" i="2" s="1"/>
  <c r="O865" i="2"/>
  <c r="P865" i="2" s="1"/>
  <c r="R865" i="2" s="1"/>
  <c r="O838" i="2"/>
  <c r="P838" i="2" s="1"/>
  <c r="R838" i="2" s="1"/>
  <c r="O820" i="2"/>
  <c r="O866" i="2"/>
  <c r="P866" i="2" s="1"/>
  <c r="R866" i="2" s="1"/>
  <c r="O843" i="2"/>
  <c r="P843" i="2" s="1"/>
  <c r="R843" i="2" s="1"/>
  <c r="O864" i="2"/>
  <c r="P864" i="2" s="1"/>
  <c r="R864" i="2" s="1"/>
  <c r="O867" i="2"/>
  <c r="P867" i="2" s="1"/>
  <c r="R867" i="2" s="1"/>
  <c r="O863" i="2"/>
  <c r="P863" i="2" s="1"/>
  <c r="R863" i="2" s="1"/>
  <c r="O822" i="2"/>
  <c r="P822" i="2" s="1"/>
  <c r="R822" i="2" s="1"/>
  <c r="O683" i="2"/>
  <c r="P683" i="2" s="1"/>
  <c r="R683" i="2" s="1"/>
  <c r="O682" i="2"/>
  <c r="O684" i="2"/>
  <c r="P684" i="2" s="1"/>
  <c r="R684" i="2" s="1"/>
  <c r="O490" i="2"/>
  <c r="P490" i="2" s="1"/>
  <c r="R490" i="2" s="1"/>
  <c r="O489" i="2"/>
  <c r="P489" i="2" s="1"/>
  <c r="O55" i="2"/>
  <c r="P55" i="2" s="1"/>
  <c r="R55" i="2" s="1"/>
  <c r="O57" i="2"/>
  <c r="P57" i="2" s="1"/>
  <c r="R57" i="2" s="1"/>
  <c r="O56" i="2"/>
  <c r="P56" i="2" s="1"/>
  <c r="R56" i="2" s="1"/>
  <c r="O54" i="2"/>
  <c r="P54" i="2" s="1"/>
  <c r="R54" i="2" s="1"/>
  <c r="O53" i="2"/>
  <c r="P53" i="2" s="1"/>
  <c r="R53" i="2" s="1"/>
  <c r="O37" i="2"/>
  <c r="P37" i="2" s="1"/>
  <c r="R37" i="2" s="1"/>
  <c r="H30" i="1"/>
  <c r="U1300" i="2"/>
  <c r="V1300" i="2"/>
  <c r="I350" i="1" s="1"/>
  <c r="H443" i="1"/>
  <c r="H467" i="1"/>
  <c r="R1331" i="2"/>
  <c r="U1331" i="2" s="1"/>
  <c r="R1254" i="2"/>
  <c r="U1254" i="2" s="1"/>
  <c r="R1530" i="2"/>
  <c r="U1530" i="2" s="1"/>
  <c r="H393" i="1"/>
  <c r="H221" i="1"/>
  <c r="R1278" i="2"/>
  <c r="U1278" i="2" s="1"/>
  <c r="H403" i="1"/>
  <c r="U1287" i="2"/>
  <c r="R1041" i="2"/>
  <c r="B15" i="9"/>
  <c r="B10" i="9"/>
  <c r="B13" i="9"/>
  <c r="B3" i="9"/>
  <c r="B12" i="9"/>
  <c r="B11" i="9"/>
  <c r="C4" i="9"/>
  <c r="C3" i="9"/>
  <c r="B4" i="9"/>
  <c r="B17" i="9"/>
  <c r="B8" i="9"/>
  <c r="R1434" i="2"/>
  <c r="H536" i="1"/>
  <c r="R1839" i="2"/>
  <c r="U1839" i="2" s="1"/>
  <c r="R685" i="2"/>
  <c r="H316" i="1"/>
  <c r="H145" i="1"/>
  <c r="R161" i="2"/>
  <c r="R407" i="2"/>
  <c r="R1728" i="2"/>
  <c r="U1728" i="2" s="1"/>
  <c r="H423" i="1"/>
  <c r="H18" i="1"/>
  <c r="H334" i="1"/>
  <c r="G248" i="1"/>
  <c r="H441" i="1"/>
  <c r="H199" i="1"/>
  <c r="H228" i="1"/>
  <c r="U1327" i="2"/>
  <c r="H141" i="1"/>
  <c r="G77" i="1"/>
  <c r="H537" i="1"/>
  <c r="R620" i="2"/>
  <c r="H171" i="1"/>
  <c r="B9" i="9"/>
  <c r="B5" i="9"/>
  <c r="O2146" i="2"/>
  <c r="F608" i="1"/>
  <c r="R1635" i="2"/>
  <c r="U1635" i="2" s="1"/>
  <c r="O2091" i="2"/>
  <c r="P2091" i="2" s="1"/>
  <c r="R2091" i="2" s="1"/>
  <c r="U2091" i="2" s="1"/>
  <c r="O2093" i="2"/>
  <c r="P2093" i="2" s="1"/>
  <c r="O2094" i="2"/>
  <c r="P2094" i="2" s="1"/>
  <c r="R2094" i="2" s="1"/>
  <c r="U2094" i="2" s="1"/>
  <c r="O1943" i="2"/>
  <c r="P1943" i="2" s="1"/>
  <c r="R1943" i="2" s="1"/>
  <c r="U1943" i="2" s="1"/>
  <c r="O1942" i="2"/>
  <c r="R937" i="2"/>
  <c r="V1417" i="2"/>
  <c r="I380" i="1" s="1"/>
  <c r="U1423" i="2"/>
  <c r="H411" i="1"/>
  <c r="R854" i="2"/>
  <c r="R1484" i="2"/>
  <c r="U1484" i="2" s="1"/>
  <c r="P852" i="2"/>
  <c r="R852" i="2" s="1"/>
  <c r="G243" i="1"/>
  <c r="U1572" i="2"/>
  <c r="V1572" i="2"/>
  <c r="B6" i="9"/>
  <c r="B16" i="9"/>
  <c r="B7" i="9"/>
  <c r="B18" i="9"/>
  <c r="B14" i="9"/>
  <c r="C5" i="9"/>
  <c r="P520" i="2"/>
  <c r="R520" i="2" s="1"/>
  <c r="O2114" i="2"/>
  <c r="P2114" i="2" s="1"/>
  <c r="R2114" i="2" s="1"/>
  <c r="U2114" i="2" s="1"/>
  <c r="O2115" i="2"/>
  <c r="O2116" i="2"/>
  <c r="P2116" i="2" s="1"/>
  <c r="R2116" i="2" s="1"/>
  <c r="U2116" i="2" s="1"/>
  <c r="O2050" i="2"/>
  <c r="P2050" i="2" s="1"/>
  <c r="R2050" i="2" s="1"/>
  <c r="U2050" i="2" s="1"/>
  <c r="O2056" i="2"/>
  <c r="P2056" i="2" s="1"/>
  <c r="R2056" i="2" s="1"/>
  <c r="U2056" i="2" s="1"/>
  <c r="O2045" i="2"/>
  <c r="P2045" i="2" s="1"/>
  <c r="R2045" i="2" s="1"/>
  <c r="U2045" i="2" s="1"/>
  <c r="O2054" i="2"/>
  <c r="P2054" i="2" s="1"/>
  <c r="R2054" i="2" s="1"/>
  <c r="U2054" i="2" s="1"/>
  <c r="O2055" i="2"/>
  <c r="P2055" i="2" s="1"/>
  <c r="R2055" i="2" s="1"/>
  <c r="U2055" i="2" s="1"/>
  <c r="O2052" i="2"/>
  <c r="P2052" i="2" s="1"/>
  <c r="R2052" i="2" s="1"/>
  <c r="U2052" i="2" s="1"/>
  <c r="O2044" i="2"/>
  <c r="P2044" i="2" s="1"/>
  <c r="R2044" i="2" s="1"/>
  <c r="U2044" i="2" s="1"/>
  <c r="O2057" i="2"/>
  <c r="P2057" i="2" s="1"/>
  <c r="R2057" i="2" s="1"/>
  <c r="U2057" i="2" s="1"/>
  <c r="O2049" i="2"/>
  <c r="P2049" i="2" s="1"/>
  <c r="R2049" i="2" s="1"/>
  <c r="U2049" i="2" s="1"/>
  <c r="O2043" i="2"/>
  <c r="O2051" i="2"/>
  <c r="P2051" i="2" s="1"/>
  <c r="R2051" i="2" s="1"/>
  <c r="U2051" i="2" s="1"/>
  <c r="O2047" i="2"/>
  <c r="P2047" i="2" s="1"/>
  <c r="R2047" i="2" s="1"/>
  <c r="U2047" i="2" s="1"/>
  <c r="O2053" i="2"/>
  <c r="P2053" i="2" s="1"/>
  <c r="R2053" i="2" s="1"/>
  <c r="U2053" i="2" s="1"/>
  <c r="O2048" i="2"/>
  <c r="P2048" i="2" s="1"/>
  <c r="R2048" i="2" s="1"/>
  <c r="U2048" i="2" s="1"/>
  <c r="O1990" i="2"/>
  <c r="P1990" i="2" s="1"/>
  <c r="R1990" i="2" s="1"/>
  <c r="U1990" i="2" s="1"/>
  <c r="O1993" i="2"/>
  <c r="P1993" i="2" s="1"/>
  <c r="R1993" i="2" s="1"/>
  <c r="U1993" i="2" s="1"/>
  <c r="O1996" i="2"/>
  <c r="P1996" i="2" s="1"/>
  <c r="R1996" i="2" s="1"/>
  <c r="U1996" i="2" s="1"/>
  <c r="O1992" i="2"/>
  <c r="P1992" i="2" s="1"/>
  <c r="R1992" i="2" s="1"/>
  <c r="U1992" i="2" s="1"/>
  <c r="O1989" i="2"/>
  <c r="O1994" i="2"/>
  <c r="P1994" i="2" s="1"/>
  <c r="R1994" i="2" s="1"/>
  <c r="U1994" i="2" s="1"/>
  <c r="O1995" i="2"/>
  <c r="P1995" i="2" s="1"/>
  <c r="R1995" i="2" s="1"/>
  <c r="U1995" i="2" s="1"/>
  <c r="O1991" i="2"/>
  <c r="P1991" i="2" s="1"/>
  <c r="R1991" i="2" s="1"/>
  <c r="U1991" i="2" s="1"/>
  <c r="O1698" i="2"/>
  <c r="P1698" i="2" s="1"/>
  <c r="R1698" i="2" s="1"/>
  <c r="U1698" i="2" s="1"/>
  <c r="O1695" i="2"/>
  <c r="O1696" i="2"/>
  <c r="P1696" i="2" s="1"/>
  <c r="R1696" i="2" s="1"/>
  <c r="U1696" i="2" s="1"/>
  <c r="O1697" i="2"/>
  <c r="P1697" i="2" s="1"/>
  <c r="R1697" i="2" s="1"/>
  <c r="U1697" i="2" s="1"/>
  <c r="O1322" i="2"/>
  <c r="P1322" i="2" s="1"/>
  <c r="R1322" i="2" s="1"/>
  <c r="O1325" i="2"/>
  <c r="P1325" i="2" s="1"/>
  <c r="R1325" i="2" s="1"/>
  <c r="O1319" i="2"/>
  <c r="G229" i="1"/>
  <c r="P808" i="2"/>
  <c r="H229" i="1" s="1"/>
  <c r="R1838" i="2"/>
  <c r="U1838" i="2" s="1"/>
  <c r="H490" i="1"/>
  <c r="R1038" i="2"/>
  <c r="H288" i="1"/>
  <c r="O2137" i="2"/>
  <c r="P2137" i="2" s="1"/>
  <c r="O2140" i="2"/>
  <c r="P2140" i="2" s="1"/>
  <c r="R2140" i="2" s="1"/>
  <c r="U2140" i="2" s="1"/>
  <c r="O2135" i="2"/>
  <c r="P2135" i="2" s="1"/>
  <c r="R2135" i="2" s="1"/>
  <c r="U2135" i="2" s="1"/>
  <c r="P1037" i="2"/>
  <c r="H287" i="1" s="1"/>
  <c r="G287" i="1"/>
  <c r="O1078" i="2"/>
  <c r="O1079" i="2"/>
  <c r="P1079" i="2" s="1"/>
  <c r="R1079" i="2" s="1"/>
  <c r="O2130" i="2"/>
  <c r="P2130" i="2" s="1"/>
  <c r="R2130" i="2" s="1"/>
  <c r="U2130" i="2" s="1"/>
  <c r="O2129" i="2"/>
  <c r="P2129" i="2" s="1"/>
  <c r="R2129" i="2" s="1"/>
  <c r="U2129" i="2" s="1"/>
  <c r="G553" i="1"/>
  <c r="P2105" i="2"/>
  <c r="R2105" i="2" s="1"/>
  <c r="U2105" i="2" s="1"/>
  <c r="O650" i="2"/>
  <c r="P650" i="2" s="1"/>
  <c r="R650" i="2" s="1"/>
  <c r="O649" i="2"/>
  <c r="O1858" i="2"/>
  <c r="P1858" i="2" s="1"/>
  <c r="R1858" i="2" s="1"/>
  <c r="U1858" i="2" s="1"/>
  <c r="O1856" i="2"/>
  <c r="O1857" i="2"/>
  <c r="P1857" i="2" s="1"/>
  <c r="R1857" i="2" s="1"/>
  <c r="U1857" i="2" s="1"/>
  <c r="O1503" i="2"/>
  <c r="P1503" i="2" s="1"/>
  <c r="R1503" i="2" s="1"/>
  <c r="U1503" i="2" s="1"/>
  <c r="O1502" i="2"/>
  <c r="P1274" i="2"/>
  <c r="R1274" i="2" s="1"/>
  <c r="U1274" i="2" s="1"/>
  <c r="G340" i="1"/>
  <c r="O1087" i="2"/>
  <c r="O1088" i="2"/>
  <c r="P1088" i="2" s="1"/>
  <c r="R1088" i="2" s="1"/>
  <c r="O960" i="2"/>
  <c r="P960" i="2" s="1"/>
  <c r="R960" i="2" s="1"/>
  <c r="O950" i="2"/>
  <c r="G269" i="1"/>
  <c r="P933" i="2"/>
  <c r="R933" i="2" s="1"/>
  <c r="O1454" i="2"/>
  <c r="P1454" i="2" s="1"/>
  <c r="R1454" i="2" s="1"/>
  <c r="O1448" i="2"/>
  <c r="R559" i="2"/>
  <c r="H155" i="1"/>
  <c r="G155" i="1"/>
  <c r="G68" i="1"/>
  <c r="P617" i="2"/>
  <c r="O1213" i="2"/>
  <c r="O1122" i="2"/>
  <c r="O1000" i="2"/>
  <c r="O1279" i="2"/>
  <c r="O1123" i="2"/>
  <c r="P1123" i="2" s="1"/>
  <c r="R1123" i="2" s="1"/>
  <c r="O38" i="2"/>
  <c r="P38" i="2" s="1"/>
  <c r="R38" i="2" s="1"/>
  <c r="H15" i="1"/>
  <c r="O36" i="2"/>
  <c r="P36" i="2" s="1"/>
  <c r="R36" i="2" s="1"/>
  <c r="R1170" i="2"/>
  <c r="H317" i="1"/>
  <c r="R658" i="2"/>
  <c r="R1118" i="2"/>
  <c r="H306" i="1"/>
  <c r="R628" i="2"/>
  <c r="H172" i="1"/>
  <c r="R1173" i="2"/>
  <c r="H319" i="1"/>
  <c r="R722" i="2"/>
  <c r="H205" i="1"/>
  <c r="V1457" i="2"/>
  <c r="U1457" i="2"/>
  <c r="R69" i="2"/>
  <c r="H23" i="1"/>
  <c r="U1476" i="2"/>
  <c r="V1476" i="2"/>
  <c r="R1311" i="2"/>
  <c r="U1311" i="2" s="1"/>
  <c r="H353" i="1"/>
  <c r="R1198" i="2"/>
  <c r="U1198" i="2" s="1"/>
  <c r="H326" i="1"/>
  <c r="R638" i="2"/>
  <c r="H177" i="1"/>
  <c r="U1412" i="2"/>
  <c r="R1833" i="2"/>
  <c r="U1833" i="2" s="1"/>
  <c r="H485" i="1"/>
  <c r="R1676" i="2"/>
  <c r="U1676" i="2" s="1"/>
  <c r="H448" i="1"/>
  <c r="U1247" i="2"/>
  <c r="R217" i="2"/>
  <c r="H68" i="1"/>
  <c r="H561" i="1"/>
  <c r="G353" i="1"/>
  <c r="G154" i="1"/>
  <c r="P1841" i="2"/>
  <c r="P390" i="2"/>
  <c r="G448" i="1"/>
  <c r="G428" i="1"/>
  <c r="G198" i="1"/>
  <c r="G177" i="1"/>
  <c r="G136" i="1"/>
  <c r="P1973" i="2"/>
  <c r="H249" i="1"/>
  <c r="G39" i="1"/>
  <c r="P88" i="2"/>
  <c r="G401" i="1"/>
  <c r="P1519" i="2"/>
  <c r="R1519" i="2" s="1"/>
  <c r="U1519" i="2" s="1"/>
  <c r="P681" i="2"/>
  <c r="R681" i="2" s="1"/>
  <c r="G524" i="1"/>
  <c r="H484" i="1"/>
  <c r="P1776" i="2"/>
  <c r="H473" i="1" s="1"/>
  <c r="G455" i="1"/>
  <c r="H413" i="1"/>
  <c r="H154" i="1"/>
  <c r="G125" i="1"/>
  <c r="G114" i="1"/>
  <c r="H61" i="1"/>
  <c r="V1345" i="2"/>
  <c r="H418" i="1"/>
  <c r="P2042" i="2"/>
  <c r="H539" i="1" s="1"/>
  <c r="G539" i="1"/>
  <c r="O2133" i="2"/>
  <c r="P2133" i="2" s="1"/>
  <c r="R2133" i="2" s="1"/>
  <c r="U2133" i="2" s="1"/>
  <c r="O2103" i="2"/>
  <c r="P2103" i="2" s="1"/>
  <c r="R2103" i="2" s="1"/>
  <c r="U2103" i="2" s="1"/>
  <c r="O2100" i="2"/>
  <c r="P2100" i="2" s="1"/>
  <c r="O2101" i="2"/>
  <c r="P2101" i="2" s="1"/>
  <c r="R2101" i="2" s="1"/>
  <c r="U2101" i="2" s="1"/>
  <c r="O2102" i="2"/>
  <c r="P2102" i="2" s="1"/>
  <c r="R2102" i="2" s="1"/>
  <c r="U2102" i="2" s="1"/>
  <c r="O2081" i="2"/>
  <c r="P2081" i="2" s="1"/>
  <c r="R2081" i="2" s="1"/>
  <c r="U2081" i="2" s="1"/>
  <c r="O2076" i="2"/>
  <c r="P2076" i="2" s="1"/>
  <c r="R2076" i="2" s="1"/>
  <c r="U2076" i="2" s="1"/>
  <c r="O2078" i="2"/>
  <c r="P2078" i="2" s="1"/>
  <c r="R2078" i="2" s="1"/>
  <c r="U2078" i="2" s="1"/>
  <c r="O2082" i="2"/>
  <c r="P2082" i="2" s="1"/>
  <c r="R2082" i="2" s="1"/>
  <c r="U2082" i="2" s="1"/>
  <c r="O2079" i="2"/>
  <c r="P2079" i="2" s="1"/>
  <c r="R2079" i="2" s="1"/>
  <c r="U2079" i="2" s="1"/>
  <c r="O2077" i="2"/>
  <c r="P2077" i="2" s="1"/>
  <c r="R2077" i="2" s="1"/>
  <c r="U2077" i="2" s="1"/>
  <c r="O2083" i="2"/>
  <c r="P2083" i="2" s="1"/>
  <c r="R2083" i="2" s="1"/>
  <c r="U2083" i="2" s="1"/>
  <c r="O2080" i="2"/>
  <c r="P2080" i="2" s="1"/>
  <c r="R2080" i="2" s="1"/>
  <c r="U2080" i="2" s="1"/>
  <c r="O2075" i="2"/>
  <c r="P2075" i="2" s="1"/>
  <c r="R2075" i="2" s="1"/>
  <c r="U2075" i="2" s="1"/>
  <c r="O2143" i="2"/>
  <c r="P2143" i="2" s="1"/>
  <c r="R2143" i="2" s="1"/>
  <c r="U2143" i="2" s="1"/>
  <c r="O2142" i="2"/>
  <c r="P2142" i="2" s="1"/>
  <c r="R2142" i="2" s="1"/>
  <c r="U2142" i="2" s="1"/>
  <c r="R2132" i="2"/>
  <c r="U2132" i="2" s="1"/>
  <c r="H565" i="1"/>
  <c r="O2068" i="2"/>
  <c r="P2068" i="2" s="1"/>
  <c r="R2068" i="2" s="1"/>
  <c r="U2068" i="2" s="1"/>
  <c r="O2069" i="2"/>
  <c r="P2069" i="2" s="1"/>
  <c r="R2069" i="2" s="1"/>
  <c r="U2069" i="2" s="1"/>
  <c r="O2066" i="2"/>
  <c r="O2067" i="2"/>
  <c r="P2067" i="2" s="1"/>
  <c r="R2067" i="2" s="1"/>
  <c r="U2067" i="2" s="1"/>
  <c r="O2126" i="2"/>
  <c r="P2126" i="2" s="1"/>
  <c r="R2126" i="2" s="1"/>
  <c r="U2126" i="2" s="1"/>
  <c r="O2118" i="2"/>
  <c r="P2118" i="2" s="1"/>
  <c r="O2127" i="2"/>
  <c r="P2127" i="2" s="1"/>
  <c r="R2127" i="2" s="1"/>
  <c r="U2127" i="2" s="1"/>
  <c r="O2119" i="2"/>
  <c r="P2119" i="2" s="1"/>
  <c r="R2119" i="2" s="1"/>
  <c r="U2119" i="2" s="1"/>
  <c r="O2124" i="2"/>
  <c r="P2124" i="2" s="1"/>
  <c r="R2124" i="2" s="1"/>
  <c r="U2124" i="2" s="1"/>
  <c r="O2120" i="2"/>
  <c r="P2120" i="2" s="1"/>
  <c r="R2120" i="2" s="1"/>
  <c r="U2120" i="2" s="1"/>
  <c r="O2125" i="2"/>
  <c r="P2125" i="2" s="1"/>
  <c r="R2125" i="2" s="1"/>
  <c r="U2125" i="2" s="1"/>
  <c r="O2122" i="2"/>
  <c r="P2122" i="2" s="1"/>
  <c r="R2122" i="2" s="1"/>
  <c r="U2122" i="2" s="1"/>
  <c r="O2121" i="2"/>
  <c r="P2121" i="2" s="1"/>
  <c r="R2121" i="2" s="1"/>
  <c r="U2121" i="2" s="1"/>
  <c r="O2123" i="2"/>
  <c r="P2123" i="2" s="1"/>
  <c r="R2123" i="2" s="1"/>
  <c r="U2123" i="2" s="1"/>
  <c r="P2012" i="2"/>
  <c r="R2012" i="2" s="1"/>
  <c r="U2012" i="2" s="1"/>
  <c r="G531" i="1"/>
  <c r="G550" i="1"/>
  <c r="P2099" i="2"/>
  <c r="R2099" i="2" s="1"/>
  <c r="U2099" i="2" s="1"/>
  <c r="O2086" i="2"/>
  <c r="P2086" i="2" s="1"/>
  <c r="R2086" i="2" s="1"/>
  <c r="U2086" i="2" s="1"/>
  <c r="O2087" i="2"/>
  <c r="P2087" i="2" s="1"/>
  <c r="R2087" i="2" s="1"/>
  <c r="U2087" i="2" s="1"/>
  <c r="O2085" i="2"/>
  <c r="P2085" i="2" s="1"/>
  <c r="R2085" i="2" s="1"/>
  <c r="U2085" i="2" s="1"/>
  <c r="O2084" i="2"/>
  <c r="P2084" i="2" s="1"/>
  <c r="R2084" i="2" s="1"/>
  <c r="U2084" i="2" s="1"/>
  <c r="P1837" i="2"/>
  <c r="H489" i="1" s="1"/>
  <c r="G489" i="1"/>
  <c r="P2144" i="2"/>
  <c r="R2144" i="2" s="1"/>
  <c r="U2144" i="2" s="1"/>
  <c r="G569" i="1"/>
  <c r="O2108" i="2"/>
  <c r="P2108" i="2" s="1"/>
  <c r="R2108" i="2" s="1"/>
  <c r="U2108" i="2" s="1"/>
  <c r="O2109" i="2"/>
  <c r="P2109" i="2" s="1"/>
  <c r="R2109" i="2" s="1"/>
  <c r="U2109" i="2" s="1"/>
  <c r="O2128" i="2"/>
  <c r="P2128" i="2" s="1"/>
  <c r="R2128" i="2" s="1"/>
  <c r="U2128" i="2" s="1"/>
  <c r="O2131" i="2"/>
  <c r="P2131" i="2" s="1"/>
  <c r="R2131" i="2" s="1"/>
  <c r="U2131" i="2" s="1"/>
  <c r="O2117" i="2"/>
  <c r="P2117" i="2" s="1"/>
  <c r="R2117" i="2" s="1"/>
  <c r="U2117" i="2" s="1"/>
  <c r="G560" i="1"/>
  <c r="O2090" i="2"/>
  <c r="P2090" i="2" s="1"/>
  <c r="R2090" i="2" s="1"/>
  <c r="U2090" i="2" s="1"/>
  <c r="P1768" i="2"/>
  <c r="H468" i="1" s="1"/>
  <c r="G468" i="1"/>
  <c r="G452" i="1"/>
  <c r="P1681" i="2"/>
  <c r="R1681" i="2" s="1"/>
  <c r="U1681" i="2" s="1"/>
  <c r="R1522" i="2"/>
  <c r="U1522" i="2" s="1"/>
  <c r="H402" i="1"/>
  <c r="P917" i="2"/>
  <c r="R917" i="2" s="1"/>
  <c r="G261" i="1"/>
  <c r="E607" i="1"/>
  <c r="P1971" i="2"/>
  <c r="R1971" i="2" s="1"/>
  <c r="U1971" i="2" s="1"/>
  <c r="G516" i="1"/>
  <c r="P1729" i="2"/>
  <c r="R1729" i="2" s="1"/>
  <c r="G462" i="1"/>
  <c r="G459" i="1"/>
  <c r="P1713" i="2"/>
  <c r="H459" i="1" s="1"/>
  <c r="P1702" i="2"/>
  <c r="H456" i="1" s="1"/>
  <c r="G456" i="1"/>
  <c r="P1564" i="2"/>
  <c r="R1564" i="2" s="1"/>
  <c r="U1564" i="2" s="1"/>
  <c r="G412" i="1"/>
  <c r="P1483" i="2"/>
  <c r="R1483" i="2" s="1"/>
  <c r="U1483" i="2" s="1"/>
  <c r="G388" i="1"/>
  <c r="G352" i="1"/>
  <c r="P1308" i="2"/>
  <c r="R1308" i="2" s="1"/>
  <c r="V1308" i="2" s="1"/>
  <c r="I352" i="1" s="1"/>
  <c r="P934" i="2"/>
  <c r="H270" i="1" s="1"/>
  <c r="G270" i="1"/>
  <c r="P881" i="2"/>
  <c r="H253" i="1" s="1"/>
  <c r="G253" i="1"/>
  <c r="P859" i="2"/>
  <c r="R859" i="2" s="1"/>
  <c r="G245" i="1"/>
  <c r="P839" i="2"/>
  <c r="H238" i="1" s="1"/>
  <c r="G238" i="1"/>
  <c r="P663" i="2"/>
  <c r="R663" i="2" s="1"/>
  <c r="U663" i="2" s="1"/>
  <c r="G186" i="1"/>
  <c r="O2136" i="2"/>
  <c r="P2136" i="2" s="1"/>
  <c r="R2136" i="2" s="1"/>
  <c r="U2136" i="2" s="1"/>
  <c r="O2092" i="2"/>
  <c r="P2092" i="2" s="1"/>
  <c r="R2092" i="2" s="1"/>
  <c r="U2092" i="2" s="1"/>
  <c r="O2074" i="2"/>
  <c r="P2074" i="2" s="1"/>
  <c r="R2074" i="2" s="1"/>
  <c r="U2074" i="2" s="1"/>
  <c r="P1406" i="2"/>
  <c r="H373" i="1" s="1"/>
  <c r="G373" i="1"/>
  <c r="P1040" i="2"/>
  <c r="H290" i="1" s="1"/>
  <c r="G290" i="1"/>
  <c r="P999" i="2"/>
  <c r="R999" i="2" s="1"/>
  <c r="G278" i="1"/>
  <c r="P914" i="2"/>
  <c r="R914" i="2" s="1"/>
  <c r="G233" i="1"/>
  <c r="O2138" i="2"/>
  <c r="P2138" i="2" s="1"/>
  <c r="R2138" i="2" s="1"/>
  <c r="U2138" i="2" s="1"/>
  <c r="O2139" i="2"/>
  <c r="P2139" i="2" s="1"/>
  <c r="R2139" i="2" s="1"/>
  <c r="U2139" i="2" s="1"/>
  <c r="O2095" i="2"/>
  <c r="P2095" i="2" s="1"/>
  <c r="R2095" i="2" s="1"/>
  <c r="U2095" i="2" s="1"/>
  <c r="O2071" i="2"/>
  <c r="P2071" i="2" s="1"/>
  <c r="R2071" i="2" s="1"/>
  <c r="U2071" i="2" s="1"/>
  <c r="O2073" i="2"/>
  <c r="P2073" i="2" s="1"/>
  <c r="R2073" i="2" s="1"/>
  <c r="U2073" i="2" s="1"/>
  <c r="P1974" i="2"/>
  <c r="R1974" i="2" s="1"/>
  <c r="U1974" i="2" s="1"/>
  <c r="P1769" i="2"/>
  <c r="H469" i="1" s="1"/>
  <c r="G469" i="1"/>
  <c r="G426" i="1"/>
  <c r="P1608" i="2"/>
  <c r="P1501" i="2"/>
  <c r="R1501" i="2" s="1"/>
  <c r="U1501" i="2" s="1"/>
  <c r="G395" i="1"/>
  <c r="P1408" i="2"/>
  <c r="G375" i="1"/>
  <c r="O2070" i="2"/>
  <c r="P2070" i="2" s="1"/>
  <c r="R2070" i="2" s="1"/>
  <c r="U2070" i="2" s="1"/>
  <c r="G503" i="1"/>
  <c r="P1908" i="2"/>
  <c r="P1543" i="2"/>
  <c r="H408" i="1" s="1"/>
  <c r="G408" i="1"/>
  <c r="R907" i="2"/>
  <c r="H258" i="1"/>
  <c r="P880" i="2"/>
  <c r="R880" i="2" s="1"/>
  <c r="G252" i="1"/>
  <c r="O2134" i="2"/>
  <c r="P2134" i="2" s="1"/>
  <c r="R2134" i="2" s="1"/>
  <c r="U2134" i="2" s="1"/>
  <c r="G507" i="1"/>
  <c r="P1650" i="2"/>
  <c r="R1650" i="2" s="1"/>
  <c r="U1650" i="2" s="1"/>
  <c r="G438" i="1"/>
  <c r="P1405" i="2"/>
  <c r="H372" i="1" s="1"/>
  <c r="G372" i="1"/>
  <c r="P841" i="2"/>
  <c r="R841" i="2" s="1"/>
  <c r="G240" i="1"/>
  <c r="G258" i="1"/>
  <c r="P739" i="2"/>
  <c r="R739" i="2" s="1"/>
  <c r="P720" i="2"/>
  <c r="H204" i="1" s="1"/>
  <c r="G204" i="1"/>
  <c r="H184" i="1"/>
  <c r="R655" i="2"/>
  <c r="P356" i="2"/>
  <c r="R356" i="2" s="1"/>
  <c r="G99" i="1"/>
  <c r="R547" i="2"/>
  <c r="H152" i="1"/>
  <c r="G360" i="1"/>
  <c r="H94" i="1"/>
  <c r="R324" i="2"/>
  <c r="G74" i="1"/>
  <c r="P241" i="2"/>
  <c r="G49" i="1"/>
  <c r="P144" i="2"/>
  <c r="O41" i="2"/>
  <c r="P41" i="2" s="1"/>
  <c r="R41" i="2" s="1"/>
  <c r="O66" i="2"/>
  <c r="P66" i="2" s="1"/>
  <c r="R66" i="2" s="1"/>
  <c r="R743" i="2"/>
  <c r="G133" i="1"/>
  <c r="P509" i="2"/>
  <c r="R509" i="2" s="1"/>
  <c r="P85" i="2"/>
  <c r="R85" i="2" s="1"/>
  <c r="G28" i="1"/>
  <c r="R515" i="2"/>
  <c r="H136" i="1"/>
  <c r="R136" i="2"/>
  <c r="H45" i="1"/>
  <c r="P94" i="2"/>
  <c r="H37" i="1" s="1"/>
  <c r="G37" i="1"/>
  <c r="G35" i="1"/>
  <c r="P133" i="2"/>
  <c r="R133" i="2" s="1"/>
  <c r="O43" i="2"/>
  <c r="P43" i="2" s="1"/>
  <c r="R43" i="2" s="1"/>
  <c r="O42" i="2"/>
  <c r="P42" i="2" s="1"/>
  <c r="R42" i="2" s="1"/>
  <c r="O25" i="2"/>
  <c r="P25" i="2" s="1"/>
  <c r="R25" i="2" s="1"/>
  <c r="O26" i="2"/>
  <c r="P26" i="2" s="1"/>
  <c r="R26" i="2" s="1"/>
  <c r="G365" i="1"/>
  <c r="P744" i="2"/>
  <c r="H215" i="1" s="1"/>
  <c r="G179" i="1"/>
  <c r="P643" i="2"/>
  <c r="R643" i="2" s="1"/>
  <c r="P582" i="2"/>
  <c r="R582" i="2" s="1"/>
  <c r="G160" i="1"/>
  <c r="P242" i="2"/>
  <c r="H75" i="1" s="1"/>
  <c r="G75" i="1"/>
  <c r="P199" i="2"/>
  <c r="R199" i="2" s="1"/>
  <c r="G63" i="1"/>
  <c r="P67" i="2"/>
  <c r="G22" i="1"/>
  <c r="O12" i="2"/>
  <c r="P12" i="2" s="1"/>
  <c r="R12" i="2" s="1"/>
  <c r="O13" i="2"/>
  <c r="P13" i="2" s="1"/>
  <c r="R13" i="2" s="1"/>
  <c r="O14" i="2"/>
  <c r="P14" i="2" s="1"/>
  <c r="R14" i="2" s="1"/>
  <c r="O15" i="2"/>
  <c r="P15" i="2" s="1"/>
  <c r="R15" i="2" s="1"/>
  <c r="O16" i="2"/>
  <c r="P16" i="2" s="1"/>
  <c r="G354" i="1"/>
  <c r="G331" i="1"/>
  <c r="P510" i="2"/>
  <c r="R510" i="2" s="1"/>
  <c r="G134" i="1"/>
  <c r="P447" i="2"/>
  <c r="R447" i="2" s="1"/>
  <c r="G118" i="1"/>
  <c r="P410" i="2"/>
  <c r="H113" i="1" s="1"/>
  <c r="G113" i="1"/>
  <c r="G91" i="1"/>
  <c r="P309" i="2"/>
  <c r="H91" i="1" s="1"/>
  <c r="P84" i="2"/>
  <c r="H27" i="1" s="1"/>
  <c r="G27" i="1"/>
  <c r="O22" i="2"/>
  <c r="P22" i="2" s="1"/>
  <c r="R22" i="2" s="1"/>
  <c r="O20" i="2"/>
  <c r="P20" i="2" s="1"/>
  <c r="R20" i="2" s="1"/>
  <c r="O17" i="2"/>
  <c r="P17" i="2" s="1"/>
  <c r="O23" i="2"/>
  <c r="P23" i="2" s="1"/>
  <c r="R23" i="2" s="1"/>
  <c r="O19" i="2"/>
  <c r="P19" i="2" s="1"/>
  <c r="R19" i="2" s="1"/>
  <c r="O24" i="2"/>
  <c r="P24" i="2" s="1"/>
  <c r="R24" i="2" s="1"/>
  <c r="O18" i="2"/>
  <c r="P18" i="2" s="1"/>
  <c r="R18" i="2" s="1"/>
  <c r="O21" i="2"/>
  <c r="P21" i="2" s="1"/>
  <c r="R21" i="2" s="1"/>
  <c r="O31" i="2"/>
  <c r="P31" i="2" s="1"/>
  <c r="R31" i="2" s="1"/>
  <c r="O34" i="2"/>
  <c r="P34" i="2" s="1"/>
  <c r="R34" i="2" s="1"/>
  <c r="O9" i="2"/>
  <c r="H39" i="1"/>
  <c r="O32" i="2"/>
  <c r="P32" i="2" s="1"/>
  <c r="R32" i="2" s="1"/>
  <c r="H95" i="1"/>
  <c r="H166" i="1"/>
  <c r="R1119" i="2"/>
  <c r="R371" i="2"/>
  <c r="H103" i="1"/>
  <c r="R1540" i="2"/>
  <c r="U1540" i="2" s="1"/>
  <c r="U1314" i="2"/>
  <c r="V1321" i="2"/>
  <c r="U1321" i="2"/>
  <c r="V1720" i="2"/>
  <c r="V1825" i="2"/>
  <c r="U1825" i="2"/>
  <c r="U1813" i="2"/>
  <c r="V1813" i="2"/>
  <c r="R179" i="2"/>
  <c r="V1437" i="2"/>
  <c r="U1437" i="2"/>
  <c r="V1420" i="2"/>
  <c r="U1420" i="2"/>
  <c r="U1433" i="2"/>
  <c r="V1439" i="2"/>
  <c r="U1439" i="2"/>
  <c r="R1302" i="2"/>
  <c r="H350" i="1"/>
  <c r="H242" i="1"/>
  <c r="R848" i="2"/>
  <c r="U1473" i="2"/>
  <c r="V1473" i="2"/>
  <c r="H400" i="1"/>
  <c r="U1456" i="2"/>
  <c r="V1456" i="2"/>
  <c r="H254" i="1"/>
  <c r="R915" i="2"/>
  <c r="H247" i="1"/>
  <c r="R1701" i="2"/>
  <c r="U1701" i="2" s="1"/>
  <c r="H455" i="1"/>
  <c r="H127" i="1"/>
  <c r="R494" i="2"/>
  <c r="G552" i="1"/>
  <c r="P2104" i="2"/>
  <c r="P2033" i="2"/>
  <c r="H533" i="1" s="1"/>
  <c r="G533" i="1"/>
  <c r="R411" i="2"/>
  <c r="H114" i="1"/>
  <c r="P1923" i="2"/>
  <c r="H506" i="1" s="1"/>
  <c r="G506" i="1"/>
  <c r="R1215" i="2"/>
  <c r="H328" i="1"/>
  <c r="R780" i="2"/>
  <c r="H224" i="1"/>
  <c r="R798" i="2"/>
  <c r="H198" i="1"/>
  <c r="R1975" i="2"/>
  <c r="U1975" i="2" s="1"/>
  <c r="H520" i="1"/>
  <c r="R645" i="2"/>
  <c r="H181" i="1"/>
  <c r="H131" i="1"/>
  <c r="R507" i="2"/>
  <c r="R1024" i="2"/>
  <c r="H282" i="1"/>
  <c r="P1938" i="2"/>
  <c r="R1938" i="2" s="1"/>
  <c r="U1938" i="2" s="1"/>
  <c r="G509" i="1"/>
  <c r="R1521" i="2"/>
  <c r="U1521" i="2" s="1"/>
  <c r="H401" i="1"/>
  <c r="H312" i="1"/>
  <c r="R1146" i="2"/>
  <c r="P1486" i="2"/>
  <c r="H390" i="1" s="1"/>
  <c r="P1216" i="2"/>
  <c r="G312" i="1"/>
  <c r="G247" i="1"/>
  <c r="G195" i="1"/>
  <c r="G131" i="1"/>
  <c r="P1606" i="2"/>
  <c r="H427" i="1" s="1"/>
  <c r="P1604" i="2"/>
  <c r="H422" i="1" s="1"/>
  <c r="G328" i="1"/>
  <c r="P1084" i="2"/>
  <c r="H299" i="1" s="1"/>
  <c r="P809" i="2"/>
  <c r="G209" i="1"/>
  <c r="P719" i="2"/>
  <c r="P527" i="2"/>
  <c r="R86" i="2"/>
  <c r="G384" i="1"/>
  <c r="G127" i="1"/>
  <c r="G7" i="1"/>
  <c r="G464" i="1"/>
  <c r="P1677" i="2"/>
  <c r="H449" i="1" s="1"/>
  <c r="H425" i="1"/>
  <c r="G285" i="1"/>
  <c r="G137" i="1"/>
  <c r="P29" i="2"/>
  <c r="H8" i="1" s="1"/>
  <c r="R1276" i="2"/>
  <c r="U1276" i="2" s="1"/>
  <c r="G222" i="1"/>
  <c r="P738" i="2"/>
  <c r="P718" i="2"/>
  <c r="R1609" i="2"/>
  <c r="G364" i="1"/>
  <c r="G351" i="1"/>
  <c r="G330" i="1"/>
  <c r="P997" i="2"/>
  <c r="R997" i="2" s="1"/>
  <c r="P936" i="2"/>
  <c r="G201" i="1"/>
  <c r="G157" i="1"/>
  <c r="R91" i="2"/>
  <c r="U1967" i="2"/>
  <c r="R1381" i="2"/>
  <c r="I336" i="1"/>
  <c r="R341" i="2"/>
  <c r="R464" i="2"/>
  <c r="R853" i="2"/>
  <c r="H167" i="1"/>
  <c r="R614" i="2"/>
  <c r="R555" i="2"/>
  <c r="R1013" i="2"/>
  <c r="R679" i="2"/>
  <c r="R458" i="2"/>
  <c r="R256" i="2"/>
  <c r="R1475" i="2"/>
  <c r="V1481" i="2"/>
  <c r="U1481" i="2"/>
  <c r="R908" i="2"/>
  <c r="H248" i="1"/>
  <c r="R1158" i="2"/>
  <c r="R277" i="2"/>
  <c r="H305" i="1"/>
  <c r="P2111" i="2"/>
  <c r="R2106" i="2"/>
  <c r="U2106" i="2" s="1"/>
  <c r="H554" i="1"/>
  <c r="P2110" i="2"/>
  <c r="G558" i="1"/>
  <c r="U1781" i="2"/>
  <c r="V1781" i="2"/>
  <c r="H464" i="1"/>
  <c r="R1740" i="2"/>
  <c r="R1671" i="2"/>
  <c r="U1671" i="2" s="1"/>
  <c r="H444" i="1"/>
  <c r="H560" i="1"/>
  <c r="H498" i="1"/>
  <c r="R1886" i="2"/>
  <c r="U1886" i="2" s="1"/>
  <c r="R1978" i="2"/>
  <c r="U1978" i="2" s="1"/>
  <c r="H521" i="1"/>
  <c r="V1757" i="2"/>
  <c r="U1757" i="2"/>
  <c r="U1722" i="2"/>
  <c r="V1722" i="2"/>
  <c r="U1607" i="2"/>
  <c r="V1607" i="2"/>
  <c r="I425" i="1" s="1"/>
  <c r="P2107" i="2"/>
  <c r="G555" i="1"/>
  <c r="H523" i="1"/>
  <c r="R1981" i="2"/>
  <c r="U1981" i="2" s="1"/>
  <c r="R1834" i="2"/>
  <c r="U1834" i="2" s="1"/>
  <c r="H486" i="1"/>
  <c r="P2088" i="2"/>
  <c r="P2034" i="2"/>
  <c r="P1983" i="2"/>
  <c r="P1980" i="2"/>
  <c r="P1972" i="2"/>
  <c r="P1907" i="2"/>
  <c r="H364" i="1"/>
  <c r="R1313" i="2"/>
  <c r="U1313" i="2" s="1"/>
  <c r="H355" i="1"/>
  <c r="R1306" i="2"/>
  <c r="H351" i="1"/>
  <c r="R1139" i="2"/>
  <c r="H310" i="1"/>
  <c r="G498" i="1"/>
  <c r="G486" i="1"/>
  <c r="P1842" i="2"/>
  <c r="P1783" i="2"/>
  <c r="H447" i="1"/>
  <c r="H435" i="1"/>
  <c r="P1566" i="2"/>
  <c r="G414" i="1"/>
  <c r="H341" i="1"/>
  <c r="R1271" i="2"/>
  <c r="U1271" i="2" s="1"/>
  <c r="R1223" i="2"/>
  <c r="H331" i="1"/>
  <c r="R1187" i="2"/>
  <c r="H322" i="1"/>
  <c r="R1025" i="2"/>
  <c r="H283" i="1"/>
  <c r="H281" i="1"/>
  <c r="R1023" i="2"/>
  <c r="R998" i="2"/>
  <c r="H277" i="1"/>
  <c r="H507" i="1"/>
  <c r="G447" i="1"/>
  <c r="V1580" i="2"/>
  <c r="R777" i="2"/>
  <c r="H222" i="1"/>
  <c r="G565" i="1"/>
  <c r="H524" i="1"/>
  <c r="G523" i="1"/>
  <c r="G521" i="1"/>
  <c r="V1422" i="2"/>
  <c r="I381" i="1" s="1"/>
  <c r="V1415" i="2"/>
  <c r="P1409" i="2"/>
  <c r="G376" i="1"/>
  <c r="R1330" i="2"/>
  <c r="H358" i="1"/>
  <c r="H298" i="1"/>
  <c r="R1083" i="2"/>
  <c r="H265" i="1"/>
  <c r="R930" i="2"/>
  <c r="H250" i="1"/>
  <c r="R873" i="2"/>
  <c r="G554" i="1"/>
  <c r="G437" i="1"/>
  <c r="P1649" i="2"/>
  <c r="P1648" i="2"/>
  <c r="G436" i="1"/>
  <c r="H384" i="1"/>
  <c r="R1458" i="2"/>
  <c r="R1354" i="2"/>
  <c r="H365" i="1"/>
  <c r="V1338" i="2"/>
  <c r="I360" i="1" s="1"/>
  <c r="U1338" i="2"/>
  <c r="R1222" i="2"/>
  <c r="H330" i="1"/>
  <c r="G444" i="1"/>
  <c r="P1651" i="2"/>
  <c r="G439" i="1"/>
  <c r="G435" i="1"/>
  <c r="R1407" i="2"/>
  <c r="U1407" i="2" s="1"/>
  <c r="V1388" i="2"/>
  <c r="R1312" i="2"/>
  <c r="U1312" i="2" s="1"/>
  <c r="H354" i="1"/>
  <c r="U1260" i="2"/>
  <c r="V1260" i="2"/>
  <c r="P1351" i="2"/>
  <c r="H360" i="1"/>
  <c r="G358" i="1"/>
  <c r="G355" i="1"/>
  <c r="V1304" i="2"/>
  <c r="P1188" i="2"/>
  <c r="G310" i="1"/>
  <c r="P1082" i="2"/>
  <c r="P1039" i="2"/>
  <c r="H195" i="1"/>
  <c r="R703" i="2"/>
  <c r="G132" i="1"/>
  <c r="P508" i="2"/>
  <c r="G51" i="1"/>
  <c r="P155" i="2"/>
  <c r="P30" i="2"/>
  <c r="G9" i="1"/>
  <c r="G265" i="1"/>
  <c r="P840" i="2"/>
  <c r="H209" i="1"/>
  <c r="G196" i="1"/>
  <c r="P704" i="2"/>
  <c r="P644" i="2"/>
  <c r="R567" i="2"/>
  <c r="P546" i="2"/>
  <c r="H137" i="1"/>
  <c r="R516" i="2"/>
  <c r="R607" i="2"/>
  <c r="Q1353" i="2"/>
  <c r="M4" i="2" s="1"/>
  <c r="G322" i="1"/>
  <c r="G174" i="1"/>
  <c r="P629" i="2"/>
  <c r="G115" i="1"/>
  <c r="P432" i="2"/>
  <c r="P93" i="2"/>
  <c r="G36" i="1"/>
  <c r="G402" i="1"/>
  <c r="G341" i="1"/>
  <c r="G298" i="1"/>
  <c r="H285" i="1"/>
  <c r="G281" i="1"/>
  <c r="G277" i="1"/>
  <c r="P916" i="2"/>
  <c r="G260" i="1"/>
  <c r="G250" i="1"/>
  <c r="P842" i="2"/>
  <c r="H201" i="1"/>
  <c r="R28" i="2"/>
  <c r="R742" i="2"/>
  <c r="H213" i="1"/>
  <c r="V1296" i="2"/>
  <c r="I348" i="1" s="1"/>
  <c r="U1296" i="2"/>
  <c r="G175" i="1"/>
  <c r="P630" i="2"/>
  <c r="R39" i="2"/>
  <c r="H11" i="1"/>
  <c r="G425" i="1"/>
  <c r="G374" i="1"/>
  <c r="G283" i="1"/>
  <c r="G207" i="1"/>
  <c r="P732" i="2"/>
  <c r="G184" i="1"/>
  <c r="G162" i="1"/>
  <c r="P594" i="2"/>
  <c r="G150" i="1"/>
  <c r="P545" i="2"/>
  <c r="H144" i="1"/>
  <c r="R532" i="2"/>
  <c r="G85" i="1"/>
  <c r="P292" i="2"/>
  <c r="R183" i="2"/>
  <c r="H59" i="1"/>
  <c r="H56" i="1"/>
  <c r="R173" i="2"/>
  <c r="R481" i="2"/>
  <c r="H125" i="1"/>
  <c r="G94" i="1"/>
  <c r="G59" i="1"/>
  <c r="G56" i="1"/>
  <c r="P137" i="2"/>
  <c r="G46" i="1"/>
  <c r="R58" i="2"/>
  <c r="H19" i="1"/>
  <c r="G214" i="1"/>
  <c r="G144" i="1"/>
  <c r="H124" i="1"/>
  <c r="H64" i="1"/>
  <c r="G11" i="1"/>
  <c r="H77" i="1"/>
  <c r="G64" i="1"/>
  <c r="O1582" i="2" l="1"/>
  <c r="P1582" i="2" s="1"/>
  <c r="R1582" i="2" s="1"/>
  <c r="U1582" i="2" s="1"/>
  <c r="O588" i="2"/>
  <c r="P588" i="2" s="1"/>
  <c r="R588" i="2" s="1"/>
  <c r="O1030" i="2"/>
  <c r="P1030" i="2" s="1"/>
  <c r="R1030" i="2" s="1"/>
  <c r="O1414" i="2"/>
  <c r="P1414" i="2" s="1"/>
  <c r="R1414" i="2" s="1"/>
  <c r="O1830" i="2"/>
  <c r="P1830" i="2" s="1"/>
  <c r="R1830" i="2" s="1"/>
  <c r="H244" i="1"/>
  <c r="G467" i="1"/>
  <c r="G271" i="1"/>
  <c r="P659" i="2"/>
  <c r="G185" i="1"/>
  <c r="V1419" i="2"/>
  <c r="U1419" i="2"/>
  <c r="H269" i="1"/>
  <c r="G101" i="1"/>
  <c r="O550" i="2"/>
  <c r="P550" i="2" s="1"/>
  <c r="R550" i="2" s="1"/>
  <c r="O1248" i="2"/>
  <c r="P1248" i="2" s="1"/>
  <c r="O597" i="2"/>
  <c r="P597" i="2" s="1"/>
  <c r="R597" i="2" s="1"/>
  <c r="O1888" i="2"/>
  <c r="H538" i="1"/>
  <c r="O1032" i="2"/>
  <c r="P1032" i="2" s="1"/>
  <c r="R1032" i="2" s="1"/>
  <c r="O554" i="2"/>
  <c r="P554" i="2" s="1"/>
  <c r="R554" i="2" s="1"/>
  <c r="O1418" i="2"/>
  <c r="O1033" i="2"/>
  <c r="P1033" i="2" s="1"/>
  <c r="R1033" i="2" s="1"/>
  <c r="O553" i="2"/>
  <c r="P553" i="2" s="1"/>
  <c r="R553" i="2" s="1"/>
  <c r="O548" i="2"/>
  <c r="P548" i="2" s="1"/>
  <c r="R548" i="2" s="1"/>
  <c r="P1328" i="2"/>
  <c r="G357" i="1"/>
  <c r="O184" i="2"/>
  <c r="P184" i="2" s="1"/>
  <c r="R184" i="2" s="1"/>
  <c r="O185" i="2"/>
  <c r="P185" i="2" s="1"/>
  <c r="R185" i="2" s="1"/>
  <c r="O192" i="2"/>
  <c r="P192" i="2" s="1"/>
  <c r="R192" i="2" s="1"/>
  <c r="O1761" i="2"/>
  <c r="P1761" i="2" s="1"/>
  <c r="R1761" i="2" s="1"/>
  <c r="O1755" i="2"/>
  <c r="P1755" i="2" s="1"/>
  <c r="R1755" i="2" s="1"/>
  <c r="O675" i="2"/>
  <c r="P675" i="2" s="1"/>
  <c r="R675" i="2" s="1"/>
  <c r="O674" i="2"/>
  <c r="P674" i="2" s="1"/>
  <c r="R674" i="2" s="1"/>
  <c r="O672" i="2"/>
  <c r="P672" i="2" s="1"/>
  <c r="R672" i="2" s="1"/>
  <c r="O1360" i="2"/>
  <c r="P1360" i="2" s="1"/>
  <c r="R1360" i="2" s="1"/>
  <c r="O1246" i="2"/>
  <c r="P1246" i="2" s="1"/>
  <c r="R1246" i="2" s="1"/>
  <c r="U1246" i="2" s="1"/>
  <c r="O1307" i="2"/>
  <c r="P1307" i="2" s="1"/>
  <c r="R1307" i="2" s="1"/>
  <c r="U1307" i="2" s="1"/>
  <c r="O1218" i="2"/>
  <c r="P1218" i="2" s="1"/>
  <c r="R1218" i="2" s="1"/>
  <c r="O1762" i="2"/>
  <c r="P1762" i="2" s="1"/>
  <c r="R1762" i="2" s="1"/>
  <c r="O664" i="2"/>
  <c r="O673" i="2"/>
  <c r="P673" i="2" s="1"/>
  <c r="R673" i="2" s="1"/>
  <c r="O1355" i="2"/>
  <c r="P1355" i="2" s="1"/>
  <c r="R1355" i="2" s="1"/>
  <c r="O1272" i="2"/>
  <c r="P1272" i="2" s="1"/>
  <c r="R1272" i="2" s="1"/>
  <c r="U1272" i="2" s="1"/>
  <c r="O1356" i="2"/>
  <c r="P1356" i="2" s="1"/>
  <c r="R1356" i="2" s="1"/>
  <c r="O676" i="2"/>
  <c r="P676" i="2" s="1"/>
  <c r="R676" i="2" s="1"/>
  <c r="O677" i="2"/>
  <c r="P677" i="2" s="1"/>
  <c r="R677" i="2" s="1"/>
  <c r="O1576" i="2"/>
  <c r="O1233" i="2"/>
  <c r="P1233" i="2" s="1"/>
  <c r="R1233" i="2" s="1"/>
  <c r="U1233" i="2" s="1"/>
  <c r="O1241" i="2"/>
  <c r="P1241" i="2" s="1"/>
  <c r="R1241" i="2" s="1"/>
  <c r="U1241" i="2" s="1"/>
  <c r="O1242" i="2"/>
  <c r="P1242" i="2" s="1"/>
  <c r="R1242" i="2" s="1"/>
  <c r="U1242" i="2" s="1"/>
  <c r="O158" i="2"/>
  <c r="O193" i="2"/>
  <c r="P193" i="2" s="1"/>
  <c r="R193" i="2" s="1"/>
  <c r="O1753" i="2"/>
  <c r="P1753" i="2" s="1"/>
  <c r="R1753" i="2" s="1"/>
  <c r="O1224" i="2"/>
  <c r="P1224" i="2" s="1"/>
  <c r="R1224" i="2" s="1"/>
  <c r="U1224" i="2" s="1"/>
  <c r="O678" i="2"/>
  <c r="P678" i="2" s="1"/>
  <c r="R678" i="2" s="1"/>
  <c r="O670" i="2"/>
  <c r="P670" i="2" s="1"/>
  <c r="R670" i="2" s="1"/>
  <c r="O1185" i="2"/>
  <c r="P1185" i="2" s="1"/>
  <c r="R1185" i="2" s="1"/>
  <c r="O761" i="2"/>
  <c r="P761" i="2" s="1"/>
  <c r="R761" i="2" s="1"/>
  <c r="O1232" i="2"/>
  <c r="P1232" i="2" s="1"/>
  <c r="R1232" i="2" s="1"/>
  <c r="U1232" i="2" s="1"/>
  <c r="P1184" i="2"/>
  <c r="O1827" i="2"/>
  <c r="P1827" i="2" s="1"/>
  <c r="R1827" i="2" s="1"/>
  <c r="O1950" i="2"/>
  <c r="P1950" i="2" s="1"/>
  <c r="R1950" i="2" s="1"/>
  <c r="U1950" i="2" s="1"/>
  <c r="O1211" i="2"/>
  <c r="P1211" i="2" s="1"/>
  <c r="R1211" i="2" s="1"/>
  <c r="O573" i="2"/>
  <c r="P573" i="2" s="1"/>
  <c r="R573" i="2" s="1"/>
  <c r="O1262" i="2"/>
  <c r="P1262" i="2" s="1"/>
  <c r="R1262" i="2" s="1"/>
  <c r="U1262" i="2" s="1"/>
  <c r="O1477" i="2"/>
  <c r="O575" i="2"/>
  <c r="P575" i="2" s="1"/>
  <c r="R575" i="2" s="1"/>
  <c r="O1214" i="2"/>
  <c r="P1214" i="2" s="1"/>
  <c r="R1214" i="2" s="1"/>
  <c r="O1236" i="2"/>
  <c r="P1236" i="2" s="1"/>
  <c r="R1236" i="2" s="1"/>
  <c r="U1236" i="2" s="1"/>
  <c r="O595" i="2"/>
  <c r="P595" i="2" s="1"/>
  <c r="R595" i="2" s="1"/>
  <c r="O577" i="2"/>
  <c r="P577" i="2" s="1"/>
  <c r="R577" i="2" s="1"/>
  <c r="U1326" i="2"/>
  <c r="O1191" i="2"/>
  <c r="P1191" i="2" s="1"/>
  <c r="R1191" i="2" s="1"/>
  <c r="O581" i="2"/>
  <c r="P581" i="2" s="1"/>
  <c r="R581" i="2" s="1"/>
  <c r="O604" i="2"/>
  <c r="P604" i="2" s="1"/>
  <c r="R604" i="2" s="1"/>
  <c r="O578" i="2"/>
  <c r="P578" i="2" s="1"/>
  <c r="R578" i="2" s="1"/>
  <c r="O572" i="2"/>
  <c r="G334" i="1"/>
  <c r="O580" i="2"/>
  <c r="P580" i="2" s="1"/>
  <c r="R580" i="2" s="1"/>
  <c r="O574" i="2"/>
  <c r="P574" i="2" s="1"/>
  <c r="R574" i="2" s="1"/>
  <c r="O1934" i="2"/>
  <c r="P1934" i="2" s="1"/>
  <c r="O579" i="2"/>
  <c r="P579" i="2" s="1"/>
  <c r="R579" i="2" s="1"/>
  <c r="O1245" i="2"/>
  <c r="P1245" i="2" s="1"/>
  <c r="R1245" i="2" s="1"/>
  <c r="U1245" i="2" s="1"/>
  <c r="O584" i="2"/>
  <c r="P584" i="2" s="1"/>
  <c r="R584" i="2" s="1"/>
  <c r="O589" i="2"/>
  <c r="P589" i="2" s="1"/>
  <c r="R589" i="2" s="1"/>
  <c r="P549" i="2"/>
  <c r="O1557" i="2"/>
  <c r="P1557" i="2" s="1"/>
  <c r="R1557" i="2" s="1"/>
  <c r="O1555" i="2"/>
  <c r="P1555" i="2" s="1"/>
  <c r="R1555" i="2" s="1"/>
  <c r="U1555" i="2" s="1"/>
  <c r="O598" i="2"/>
  <c r="O764" i="2"/>
  <c r="P764" i="2" s="1"/>
  <c r="R764" i="2" s="1"/>
  <c r="O1075" i="2"/>
  <c r="P1075" i="2" s="1"/>
  <c r="R1075" i="2" s="1"/>
  <c r="O1559" i="2"/>
  <c r="P1559" i="2" s="1"/>
  <c r="R1559" i="2" s="1"/>
  <c r="O552" i="2"/>
  <c r="P552" i="2" s="1"/>
  <c r="R552" i="2" s="1"/>
  <c r="O583" i="2"/>
  <c r="P583" i="2" s="1"/>
  <c r="R583" i="2" s="1"/>
  <c r="O592" i="2"/>
  <c r="P592" i="2" s="1"/>
  <c r="R592" i="2" s="1"/>
  <c r="O599" i="2"/>
  <c r="P599" i="2" s="1"/>
  <c r="R599" i="2" s="1"/>
  <c r="Q2184" i="2"/>
  <c r="O1027" i="2"/>
  <c r="P1027" i="2" s="1"/>
  <c r="O1529" i="2"/>
  <c r="P1529" i="2" s="1"/>
  <c r="R1529" i="2" s="1"/>
  <c r="U1529" i="2" s="1"/>
  <c r="O1234" i="2"/>
  <c r="P1234" i="2" s="1"/>
  <c r="R1234" i="2" s="1"/>
  <c r="U1234" i="2" s="1"/>
  <c r="O590" i="2"/>
  <c r="P590" i="2" s="1"/>
  <c r="R590" i="2" s="1"/>
  <c r="O587" i="2"/>
  <c r="P587" i="2" s="1"/>
  <c r="R587" i="2" s="1"/>
  <c r="O1556" i="2"/>
  <c r="P1556" i="2" s="1"/>
  <c r="R1556" i="2" s="1"/>
  <c r="O1320" i="2"/>
  <c r="P1320" i="2" s="1"/>
  <c r="R1320" i="2" s="1"/>
  <c r="O1510" i="2"/>
  <c r="P1510" i="2" s="1"/>
  <c r="R1510" i="2" s="1"/>
  <c r="U1510" i="2" s="1"/>
  <c r="O1318" i="2"/>
  <c r="P1318" i="2" s="1"/>
  <c r="R1318" i="2" s="1"/>
  <c r="O606" i="2"/>
  <c r="P606" i="2" s="1"/>
  <c r="R606" i="2" s="1"/>
  <c r="O586" i="2"/>
  <c r="P586" i="2" s="1"/>
  <c r="R586" i="2" s="1"/>
  <c r="V1822" i="2"/>
  <c r="U1822" i="2"/>
  <c r="O585" i="2"/>
  <c r="O591" i="2"/>
  <c r="P591" i="2" s="1"/>
  <c r="R591" i="2" s="1"/>
  <c r="O1820" i="2"/>
  <c r="P1820" i="2" s="1"/>
  <c r="R1820" i="2" s="1"/>
  <c r="O1828" i="2"/>
  <c r="P1828" i="2" s="1"/>
  <c r="R1828" i="2" s="1"/>
  <c r="G578" i="1"/>
  <c r="R2162" i="2"/>
  <c r="U2162" i="2" s="1"/>
  <c r="H578" i="1"/>
  <c r="G577" i="1"/>
  <c r="U1305" i="2"/>
  <c r="G443" i="1"/>
  <c r="G314" i="1"/>
  <c r="U1821" i="2"/>
  <c r="O1294" i="2"/>
  <c r="P1294" i="2" s="1"/>
  <c r="R1294" i="2" s="1"/>
  <c r="U1294" i="2" s="1"/>
  <c r="O634" i="2"/>
  <c r="P2157" i="2"/>
  <c r="R2157" i="2" s="1"/>
  <c r="U2157" i="2" s="1"/>
  <c r="G477" i="1"/>
  <c r="O733" i="2"/>
  <c r="P733" i="2" s="1"/>
  <c r="R733" i="2" s="1"/>
  <c r="G259" i="1"/>
  <c r="V1332" i="2"/>
  <c r="U1252" i="2"/>
  <c r="H314" i="1"/>
  <c r="H575" i="1"/>
  <c r="O1663" i="2"/>
  <c r="P1663" i="2" s="1"/>
  <c r="R1663" i="2" s="1"/>
  <c r="U1663" i="2" s="1"/>
  <c r="R2156" i="2"/>
  <c r="U2156" i="2" s="1"/>
  <c r="H576" i="1"/>
  <c r="U1452" i="2"/>
  <c r="V1337" i="2"/>
  <c r="U1438" i="2"/>
  <c r="O1509" i="2"/>
  <c r="P1509" i="2" s="1"/>
  <c r="R1509" i="2" s="1"/>
  <c r="U1509" i="2" s="1"/>
  <c r="O1879" i="2"/>
  <c r="P1879" i="2" s="1"/>
  <c r="R1879" i="2" s="1"/>
  <c r="U1879" i="2" s="1"/>
  <c r="O528" i="2"/>
  <c r="O529" i="2"/>
  <c r="P529" i="2" s="1"/>
  <c r="R529" i="2" s="1"/>
  <c r="O1229" i="2"/>
  <c r="P1229" i="2" s="1"/>
  <c r="R1229" i="2" s="1"/>
  <c r="U1229" i="2" s="1"/>
  <c r="O1230" i="2"/>
  <c r="P1230" i="2" s="1"/>
  <c r="R1230" i="2" s="1"/>
  <c r="O1413" i="2"/>
  <c r="P1413" i="2" s="1"/>
  <c r="R1413" i="2" s="1"/>
  <c r="P1293" i="2"/>
  <c r="P1946" i="2"/>
  <c r="P1357" i="2"/>
  <c r="U1780" i="2"/>
  <c r="V1780" i="2"/>
  <c r="O1742" i="2"/>
  <c r="P1742" i="2" s="1"/>
  <c r="R1742" i="2" s="1"/>
  <c r="U1742" i="2" s="1"/>
  <c r="O1956" i="2"/>
  <c r="P1956" i="2" s="1"/>
  <c r="R1956" i="2" s="1"/>
  <c r="U1956" i="2" s="1"/>
  <c r="O1579" i="2"/>
  <c r="P1579" i="2" s="1"/>
  <c r="R1579" i="2" s="1"/>
  <c r="O1668" i="2"/>
  <c r="P1668" i="2" s="1"/>
  <c r="R1668" i="2" s="1"/>
  <c r="U1668" i="2" s="1"/>
  <c r="O1665" i="2"/>
  <c r="P1665" i="2" s="1"/>
  <c r="R1665" i="2" s="1"/>
  <c r="U1665" i="2" s="1"/>
  <c r="O1662" i="2"/>
  <c r="P1662" i="2" s="1"/>
  <c r="R1662" i="2" s="1"/>
  <c r="U1662" i="2" s="1"/>
  <c r="O1782" i="2"/>
  <c r="P1782" i="2" s="1"/>
  <c r="R1782" i="2" s="1"/>
  <c r="O1660" i="2"/>
  <c r="P1660" i="2" s="1"/>
  <c r="R1660" i="2" s="1"/>
  <c r="U1660" i="2" s="1"/>
  <c r="O1900" i="2"/>
  <c r="P1900" i="2" s="1"/>
  <c r="R1900" i="2" s="1"/>
  <c r="U1900" i="2" s="1"/>
  <c r="O1901" i="2"/>
  <c r="P1901" i="2" s="1"/>
  <c r="R1901" i="2" s="1"/>
  <c r="U1901" i="2" s="1"/>
  <c r="O1898" i="2"/>
  <c r="O1257" i="2"/>
  <c r="O1777" i="2"/>
  <c r="P1777" i="2" s="1"/>
  <c r="R1777" i="2" s="1"/>
  <c r="U1777" i="2" s="1"/>
  <c r="O1506" i="2"/>
  <c r="O1667" i="2"/>
  <c r="P1667" i="2" s="1"/>
  <c r="R1667" i="2" s="1"/>
  <c r="U1667" i="2" s="1"/>
  <c r="O1778" i="2"/>
  <c r="P1778" i="2" s="1"/>
  <c r="R1778" i="2" s="1"/>
  <c r="O1965" i="2"/>
  <c r="P1965" i="2" s="1"/>
  <c r="R1965" i="2" s="1"/>
  <c r="U1965" i="2" s="1"/>
  <c r="O1949" i="2"/>
  <c r="P1949" i="2" s="1"/>
  <c r="R1949" i="2" s="1"/>
  <c r="U1949" i="2" s="1"/>
  <c r="O1954" i="2"/>
  <c r="P1954" i="2" s="1"/>
  <c r="R1954" i="2" s="1"/>
  <c r="U1954" i="2" s="1"/>
  <c r="O1960" i="2"/>
  <c r="P1960" i="2" s="1"/>
  <c r="R1960" i="2" s="1"/>
  <c r="U1960" i="2" s="1"/>
  <c r="O1903" i="2"/>
  <c r="P1903" i="2" s="1"/>
  <c r="R1903" i="2" s="1"/>
  <c r="U1903" i="2" s="1"/>
  <c r="O1534" i="2"/>
  <c r="P1534" i="2" s="1"/>
  <c r="O1785" i="2"/>
  <c r="O1947" i="2"/>
  <c r="P1947" i="2" s="1"/>
  <c r="R1947" i="2" s="1"/>
  <c r="U1947" i="2" s="1"/>
  <c r="O1295" i="2"/>
  <c r="P1295" i="2" s="1"/>
  <c r="R1295" i="2" s="1"/>
  <c r="U1295" i="2" s="1"/>
  <c r="O1743" i="2"/>
  <c r="P1743" i="2" s="1"/>
  <c r="R1743" i="2" s="1"/>
  <c r="U1743" i="2" s="1"/>
  <c r="O1878" i="2"/>
  <c r="P1878" i="2" s="1"/>
  <c r="R1878" i="2" s="1"/>
  <c r="U1878" i="2" s="1"/>
  <c r="O1955" i="2"/>
  <c r="P1955" i="2" s="1"/>
  <c r="R1955" i="2" s="1"/>
  <c r="U1955" i="2" s="1"/>
  <c r="O1226" i="2"/>
  <c r="P1226" i="2" s="1"/>
  <c r="R1226" i="2" s="1"/>
  <c r="U1226" i="2" s="1"/>
  <c r="O1880" i="2"/>
  <c r="P1880" i="2" s="1"/>
  <c r="R1880" i="2" s="1"/>
  <c r="U1880" i="2" s="1"/>
  <c r="O1168" i="2"/>
  <c r="P1168" i="2" s="1"/>
  <c r="O941" i="2"/>
  <c r="P941" i="2" s="1"/>
  <c r="R941" i="2" s="1"/>
  <c r="O943" i="2"/>
  <c r="P943" i="2" s="1"/>
  <c r="R943" i="2" s="1"/>
  <c r="O946" i="2"/>
  <c r="P946" i="2" s="1"/>
  <c r="R946" i="2" s="1"/>
  <c r="O1358" i="2"/>
  <c r="P1358" i="2" s="1"/>
  <c r="R1358" i="2" s="1"/>
  <c r="O1359" i="2"/>
  <c r="P1359" i="2" s="1"/>
  <c r="R1359" i="2" s="1"/>
  <c r="O1899" i="2"/>
  <c r="P1899" i="2" s="1"/>
  <c r="R1899" i="2" s="1"/>
  <c r="U1899" i="2" s="1"/>
  <c r="O1958" i="2"/>
  <c r="P1958" i="2" s="1"/>
  <c r="R1958" i="2" s="1"/>
  <c r="U1958" i="2" s="1"/>
  <c r="O1258" i="2"/>
  <c r="P1258" i="2" s="1"/>
  <c r="R1258" i="2" s="1"/>
  <c r="U1258" i="2" s="1"/>
  <c r="O1504" i="2"/>
  <c r="P1504" i="2" s="1"/>
  <c r="R1504" i="2" s="1"/>
  <c r="U1504" i="2" s="1"/>
  <c r="O1741" i="2"/>
  <c r="O1666" i="2"/>
  <c r="P1666" i="2" s="1"/>
  <c r="R1666" i="2" s="1"/>
  <c r="U1666" i="2" s="1"/>
  <c r="O1658" i="2"/>
  <c r="P1658" i="2" s="1"/>
  <c r="R1658" i="2" s="1"/>
  <c r="U1658" i="2" s="1"/>
  <c r="O1876" i="2"/>
  <c r="O1335" i="2"/>
  <c r="O1959" i="2"/>
  <c r="P1959" i="2" s="1"/>
  <c r="R1959" i="2" s="1"/>
  <c r="U1959" i="2" s="1"/>
  <c r="O1889" i="2"/>
  <c r="U1559" i="2"/>
  <c r="V1559" i="2"/>
  <c r="U1558" i="2"/>
  <c r="V1558" i="2"/>
  <c r="H385" i="1"/>
  <c r="H446" i="1"/>
  <c r="R1533" i="2"/>
  <c r="U1533" i="2" s="1"/>
  <c r="G574" i="1"/>
  <c r="H266" i="1"/>
  <c r="G411" i="1"/>
  <c r="V1250" i="2"/>
  <c r="U1250" i="2"/>
  <c r="O827" i="2"/>
  <c r="P827" i="2" s="1"/>
  <c r="R827" i="2" s="1"/>
  <c r="O728" i="2"/>
  <c r="P728" i="2" s="1"/>
  <c r="R728" i="2" s="1"/>
  <c r="G393" i="1"/>
  <c r="O1772" i="2"/>
  <c r="P1772" i="2" s="1"/>
  <c r="R1772" i="2" s="1"/>
  <c r="O1770" i="2"/>
  <c r="O1771" i="2"/>
  <c r="P1771" i="2" s="1"/>
  <c r="R1771" i="2" s="1"/>
  <c r="O1816" i="2"/>
  <c r="P1816" i="2" s="1"/>
  <c r="R1816" i="2" s="1"/>
  <c r="O1815" i="2"/>
  <c r="P1815" i="2" s="1"/>
  <c r="R1815" i="2" s="1"/>
  <c r="O1818" i="2"/>
  <c r="P1818" i="2" s="1"/>
  <c r="R1818" i="2" s="1"/>
  <c r="U1818" i="2" s="1"/>
  <c r="O1814" i="2"/>
  <c r="O1817" i="2"/>
  <c r="P1817" i="2" s="1"/>
  <c r="R1817" i="2" s="1"/>
  <c r="O1819" i="2"/>
  <c r="P1819" i="2" s="1"/>
  <c r="R1819" i="2" s="1"/>
  <c r="H531" i="1"/>
  <c r="H381" i="1"/>
  <c r="G72" i="1"/>
  <c r="H122" i="1"/>
  <c r="V1403" i="2"/>
  <c r="H379" i="1"/>
  <c r="U1727" i="2"/>
  <c r="G284" i="1"/>
  <c r="H535" i="1"/>
  <c r="H293" i="1"/>
  <c r="V1733" i="2"/>
  <c r="U1733" i="2"/>
  <c r="V1334" i="2"/>
  <c r="U1334" i="2"/>
  <c r="V1336" i="2"/>
  <c r="U1336" i="2"/>
  <c r="O963" i="2"/>
  <c r="P963" i="2" s="1"/>
  <c r="R963" i="2" s="1"/>
  <c r="O636" i="2"/>
  <c r="P636" i="2" s="1"/>
  <c r="R636" i="2" s="1"/>
  <c r="O823" i="2"/>
  <c r="P823" i="2" s="1"/>
  <c r="R823" i="2" s="1"/>
  <c r="H63" i="1"/>
  <c r="O954" i="2"/>
  <c r="P954" i="2" s="1"/>
  <c r="R954" i="2" s="1"/>
  <c r="O825" i="2"/>
  <c r="P825" i="2" s="1"/>
  <c r="R825" i="2" s="1"/>
  <c r="U1732" i="2"/>
  <c r="O826" i="2"/>
  <c r="P826" i="2" s="1"/>
  <c r="R826" i="2" s="1"/>
  <c r="U1416" i="2"/>
  <c r="V1416" i="2"/>
  <c r="U1316" i="2"/>
  <c r="V1316" i="2"/>
  <c r="O828" i="2"/>
  <c r="P828" i="2" s="1"/>
  <c r="R828" i="2" s="1"/>
  <c r="V1264" i="2"/>
  <c r="U1264" i="2"/>
  <c r="U1387" i="2"/>
  <c r="V1387" i="2"/>
  <c r="V1350" i="2"/>
  <c r="H165" i="1"/>
  <c r="H303" i="1"/>
  <c r="R1036" i="2"/>
  <c r="G415" i="1"/>
  <c r="G508" i="1"/>
  <c r="H72" i="1"/>
  <c r="H409" i="1"/>
  <c r="R1835" i="2"/>
  <c r="U1835" i="2" s="1"/>
  <c r="H419" i="1"/>
  <c r="H34" i="1"/>
  <c r="G165" i="1"/>
  <c r="G419" i="1"/>
  <c r="H404" i="1"/>
  <c r="H458" i="1"/>
  <c r="G381" i="1"/>
  <c r="R2152" i="2"/>
  <c r="U2152" i="2" s="1"/>
  <c r="H574" i="1"/>
  <c r="U1550" i="2"/>
  <c r="V1550" i="2"/>
  <c r="R861" i="2"/>
  <c r="H246" i="1"/>
  <c r="G336" i="1"/>
  <c r="O568" i="2"/>
  <c r="O570" i="2"/>
  <c r="P570" i="2" s="1"/>
  <c r="R570" i="2" s="1"/>
  <c r="U1253" i="2"/>
  <c r="O571" i="2"/>
  <c r="P571" i="2" s="1"/>
  <c r="R571" i="2" s="1"/>
  <c r="O734" i="2"/>
  <c r="R242" i="2"/>
  <c r="U1737" i="2"/>
  <c r="R1776" i="2"/>
  <c r="U1776" i="2" s="1"/>
  <c r="O1394" i="2"/>
  <c r="P1394" i="2" s="1"/>
  <c r="R1394" i="2" s="1"/>
  <c r="U1394" i="2" s="1"/>
  <c r="O797" i="2"/>
  <c r="P797" i="2" s="1"/>
  <c r="R797" i="2" s="1"/>
  <c r="H569" i="1"/>
  <c r="O773" i="2"/>
  <c r="V1593" i="2"/>
  <c r="U1593" i="2"/>
  <c r="O1107" i="2"/>
  <c r="P1107" i="2" s="1"/>
  <c r="R1107" i="2" s="1"/>
  <c r="H301" i="1"/>
  <c r="H309" i="1"/>
  <c r="H271" i="1"/>
  <c r="O1603" i="2"/>
  <c r="P1603" i="2" s="1"/>
  <c r="R1603" i="2" s="1"/>
  <c r="U1603" i="2" s="1"/>
  <c r="U1363" i="2"/>
  <c r="V1363" i="2"/>
  <c r="O1392" i="2"/>
  <c r="P1392" i="2" s="1"/>
  <c r="R1392" i="2" s="1"/>
  <c r="O774" i="2"/>
  <c r="P774" i="2" s="1"/>
  <c r="R774" i="2" s="1"/>
  <c r="O758" i="2"/>
  <c r="P758" i="2" s="1"/>
  <c r="R758" i="2" s="1"/>
  <c r="H556" i="1"/>
  <c r="O1389" i="2"/>
  <c r="P1389" i="2" s="1"/>
  <c r="R1389" i="2" s="1"/>
  <c r="U1389" i="2" s="1"/>
  <c r="O1376" i="2"/>
  <c r="P1376" i="2" s="1"/>
  <c r="R1376" i="2" s="1"/>
  <c r="O1365" i="2"/>
  <c r="P1365" i="2" s="1"/>
  <c r="R1365" i="2" s="1"/>
  <c r="G494" i="1"/>
  <c r="O1375" i="2"/>
  <c r="P1375" i="2" s="1"/>
  <c r="R1375" i="2" s="1"/>
  <c r="O918" i="2"/>
  <c r="P918" i="2" s="1"/>
  <c r="R918" i="2" s="1"/>
  <c r="U1308" i="2"/>
  <c r="H311" i="1"/>
  <c r="G520" i="1"/>
  <c r="H412" i="1"/>
  <c r="H252" i="1"/>
  <c r="H462" i="1"/>
  <c r="R720" i="2"/>
  <c r="R839" i="2"/>
  <c r="H553" i="1"/>
  <c r="O454" i="2"/>
  <c r="P454" i="2" s="1"/>
  <c r="R454" i="2" s="1"/>
  <c r="O450" i="2"/>
  <c r="P450" i="2" s="1"/>
  <c r="R450" i="2" s="1"/>
  <c r="O451" i="2"/>
  <c r="P451" i="2" s="1"/>
  <c r="R451" i="2" s="1"/>
  <c r="O452" i="2"/>
  <c r="P452" i="2" s="1"/>
  <c r="R452" i="2" s="1"/>
  <c r="O455" i="2"/>
  <c r="P455" i="2" s="1"/>
  <c r="R455" i="2" s="1"/>
  <c r="O448" i="2"/>
  <c r="O449" i="2"/>
  <c r="P449" i="2" s="1"/>
  <c r="R449" i="2" s="1"/>
  <c r="O456" i="2"/>
  <c r="P456" i="2" s="1"/>
  <c r="R456" i="2" s="1"/>
  <c r="O453" i="2"/>
  <c r="P453" i="2" s="1"/>
  <c r="R453" i="2" s="1"/>
  <c r="O505" i="2"/>
  <c r="P505" i="2" s="1"/>
  <c r="R505" i="2" s="1"/>
  <c r="O506" i="2"/>
  <c r="P506" i="2" s="1"/>
  <c r="R506" i="2" s="1"/>
  <c r="O504" i="2"/>
  <c r="O512" i="2"/>
  <c r="P512" i="2" s="1"/>
  <c r="R512" i="2" s="1"/>
  <c r="O513" i="2"/>
  <c r="P513" i="2" s="1"/>
  <c r="R513" i="2" s="1"/>
  <c r="O511" i="2"/>
  <c r="O142" i="2"/>
  <c r="P142" i="2" s="1"/>
  <c r="R142" i="2" s="1"/>
  <c r="O139" i="2"/>
  <c r="O140" i="2"/>
  <c r="P140" i="2" s="1"/>
  <c r="R140" i="2" s="1"/>
  <c r="O141" i="2"/>
  <c r="P141" i="2" s="1"/>
  <c r="R141" i="2" s="1"/>
  <c r="O1583" i="2"/>
  <c r="O1586" i="2"/>
  <c r="P1586" i="2" s="1"/>
  <c r="R1586" i="2" s="1"/>
  <c r="O1584" i="2"/>
  <c r="P1584" i="2" s="1"/>
  <c r="R1584" i="2" s="1"/>
  <c r="O1588" i="2"/>
  <c r="P1588" i="2" s="1"/>
  <c r="R1588" i="2" s="1"/>
  <c r="O1587" i="2"/>
  <c r="P1587" i="2" s="1"/>
  <c r="R1587" i="2" s="1"/>
  <c r="O1585" i="2"/>
  <c r="P1585" i="2" s="1"/>
  <c r="R1585" i="2" s="1"/>
  <c r="R84" i="2"/>
  <c r="P1638" i="2"/>
  <c r="G433" i="1"/>
  <c r="O422" i="2"/>
  <c r="P422" i="2" s="1"/>
  <c r="R422" i="2" s="1"/>
  <c r="O423" i="2"/>
  <c r="O540" i="2"/>
  <c r="P540" i="2" s="1"/>
  <c r="R540" i="2" s="1"/>
  <c r="O538" i="2"/>
  <c r="O541" i="2"/>
  <c r="P541" i="2" s="1"/>
  <c r="R541" i="2" s="1"/>
  <c r="O543" i="2"/>
  <c r="P543" i="2" s="1"/>
  <c r="R543" i="2" s="1"/>
  <c r="O539" i="2"/>
  <c r="P539" i="2" s="1"/>
  <c r="R539" i="2" s="1"/>
  <c r="O542" i="2"/>
  <c r="P542" i="2" s="1"/>
  <c r="R542" i="2" s="1"/>
  <c r="O1678" i="2"/>
  <c r="O1680" i="2"/>
  <c r="P1680" i="2" s="1"/>
  <c r="R1680" i="2" s="1"/>
  <c r="U1680" i="2" s="1"/>
  <c r="O1679" i="2"/>
  <c r="P1679" i="2" s="1"/>
  <c r="R1679" i="2" s="1"/>
  <c r="U1679" i="2" s="1"/>
  <c r="O427" i="2"/>
  <c r="O428" i="2"/>
  <c r="P428" i="2" s="1"/>
  <c r="R428" i="2" s="1"/>
  <c r="O429" i="2"/>
  <c r="P429" i="2" s="1"/>
  <c r="R429" i="2" s="1"/>
  <c r="O486" i="2"/>
  <c r="P486" i="2" s="1"/>
  <c r="R486" i="2" s="1"/>
  <c r="O488" i="2"/>
  <c r="P488" i="2" s="1"/>
  <c r="R488" i="2" s="1"/>
  <c r="O491" i="2"/>
  <c r="P491" i="2" s="1"/>
  <c r="R491" i="2" s="1"/>
  <c r="O485" i="2"/>
  <c r="P485" i="2" s="1"/>
  <c r="R485" i="2" s="1"/>
  <c r="O484" i="2"/>
  <c r="O493" i="2"/>
  <c r="P493" i="2" s="1"/>
  <c r="R493" i="2" s="1"/>
  <c r="O492" i="2"/>
  <c r="P492" i="2" s="1"/>
  <c r="R492" i="2" s="1"/>
  <c r="O487" i="2"/>
  <c r="P487" i="2" s="1"/>
  <c r="R487" i="2" s="1"/>
  <c r="O895" i="2"/>
  <c r="P895" i="2" s="1"/>
  <c r="R895" i="2" s="1"/>
  <c r="O896" i="2"/>
  <c r="P896" i="2" s="1"/>
  <c r="R896" i="2" s="1"/>
  <c r="O894" i="2"/>
  <c r="O467" i="2"/>
  <c r="P467" i="2" s="1"/>
  <c r="R467" i="2" s="1"/>
  <c r="O444" i="2"/>
  <c r="O446" i="2"/>
  <c r="P446" i="2" s="1"/>
  <c r="R446" i="2" s="1"/>
  <c r="O445" i="2"/>
  <c r="P445" i="2" s="1"/>
  <c r="R445" i="2" s="1"/>
  <c r="O123" i="2"/>
  <c r="P123" i="2" s="1"/>
  <c r="R123" i="2" s="1"/>
  <c r="O122" i="2"/>
  <c r="O124" i="2"/>
  <c r="P124" i="2" s="1"/>
  <c r="R124" i="2" s="1"/>
  <c r="O923" i="2"/>
  <c r="O926" i="2"/>
  <c r="P926" i="2" s="1"/>
  <c r="R926" i="2" s="1"/>
  <c r="O925" i="2"/>
  <c r="P925" i="2" s="1"/>
  <c r="R925" i="2" s="1"/>
  <c r="O924" i="2"/>
  <c r="P924" i="2" s="1"/>
  <c r="R924" i="2" s="1"/>
  <c r="O1735" i="2"/>
  <c r="P1735" i="2" s="1"/>
  <c r="R1735" i="2" s="1"/>
  <c r="O1739" i="2"/>
  <c r="P1739" i="2" s="1"/>
  <c r="R1739" i="2" s="1"/>
  <c r="O1736" i="2"/>
  <c r="P1736" i="2" s="1"/>
  <c r="R1736" i="2" s="1"/>
  <c r="O1738" i="2"/>
  <c r="P1738" i="2" s="1"/>
  <c r="R1738" i="2" s="1"/>
  <c r="H278" i="1"/>
  <c r="H245" i="1"/>
  <c r="O90" i="2"/>
  <c r="P90" i="2" s="1"/>
  <c r="R90" i="2" s="1"/>
  <c r="O89" i="2"/>
  <c r="P89" i="2" s="1"/>
  <c r="R89" i="2" s="1"/>
  <c r="O70" i="2"/>
  <c r="O135" i="2"/>
  <c r="P135" i="2" s="1"/>
  <c r="R135" i="2" s="1"/>
  <c r="O50" i="2"/>
  <c r="P50" i="2" s="1"/>
  <c r="R50" i="2" s="1"/>
  <c r="O48" i="2"/>
  <c r="P48" i="2" s="1"/>
  <c r="R48" i="2" s="1"/>
  <c r="O45" i="2"/>
  <c r="O47" i="2"/>
  <c r="P47" i="2" s="1"/>
  <c r="R47" i="2" s="1"/>
  <c r="O51" i="2"/>
  <c r="P51" i="2" s="1"/>
  <c r="R51" i="2" s="1"/>
  <c r="O49" i="2"/>
  <c r="P49" i="2" s="1"/>
  <c r="R49" i="2" s="1"/>
  <c r="O46" i="2"/>
  <c r="P46" i="2" s="1"/>
  <c r="R46" i="2" s="1"/>
  <c r="O647" i="2"/>
  <c r="P647" i="2" s="1"/>
  <c r="R647" i="2" s="1"/>
  <c r="O646" i="2"/>
  <c r="P646" i="2" s="1"/>
  <c r="R646" i="2" s="1"/>
  <c r="O648" i="2"/>
  <c r="P648" i="2" s="1"/>
  <c r="R648" i="2" s="1"/>
  <c r="P741" i="2"/>
  <c r="G212" i="1"/>
  <c r="O274" i="2"/>
  <c r="P274" i="2" s="1"/>
  <c r="R274" i="2" s="1"/>
  <c r="O275" i="2"/>
  <c r="P275" i="2" s="1"/>
  <c r="R275" i="2" s="1"/>
  <c r="O273" i="2"/>
  <c r="O276" i="2"/>
  <c r="P276" i="2" s="1"/>
  <c r="R276" i="2" s="1"/>
  <c r="O316" i="2"/>
  <c r="P316" i="2" s="1"/>
  <c r="R316" i="2" s="1"/>
  <c r="O318" i="2"/>
  <c r="P318" i="2" s="1"/>
  <c r="R318" i="2" s="1"/>
  <c r="O314" i="2"/>
  <c r="P314" i="2" s="1"/>
  <c r="R314" i="2" s="1"/>
  <c r="O317" i="2"/>
  <c r="P317" i="2" s="1"/>
  <c r="R317" i="2" s="1"/>
  <c r="O315" i="2"/>
  <c r="P315" i="2" s="1"/>
  <c r="R315" i="2" s="1"/>
  <c r="O311" i="2"/>
  <c r="P311" i="2" s="1"/>
  <c r="R311" i="2" s="1"/>
  <c r="O310" i="2"/>
  <c r="O312" i="2"/>
  <c r="P312" i="2" s="1"/>
  <c r="R312" i="2" s="1"/>
  <c r="O313" i="2"/>
  <c r="P313" i="2" s="1"/>
  <c r="R313" i="2" s="1"/>
  <c r="O364" i="2"/>
  <c r="P364" i="2" s="1"/>
  <c r="R364" i="2" s="1"/>
  <c r="O370" i="2"/>
  <c r="P370" i="2" s="1"/>
  <c r="R370" i="2" s="1"/>
  <c r="O365" i="2"/>
  <c r="P365" i="2" s="1"/>
  <c r="R365" i="2" s="1"/>
  <c r="O368" i="2"/>
  <c r="P368" i="2" s="1"/>
  <c r="R368" i="2" s="1"/>
  <c r="O367" i="2"/>
  <c r="P367" i="2" s="1"/>
  <c r="R367" i="2" s="1"/>
  <c r="O363" i="2"/>
  <c r="O369" i="2"/>
  <c r="P369" i="2" s="1"/>
  <c r="R369" i="2" s="1"/>
  <c r="O366" i="2"/>
  <c r="P366" i="2" s="1"/>
  <c r="R366" i="2" s="1"/>
  <c r="O2017" i="2"/>
  <c r="P2017" i="2" s="1"/>
  <c r="R2017" i="2" s="1"/>
  <c r="U2017" i="2" s="1"/>
  <c r="O2029" i="2"/>
  <c r="P2029" i="2" s="1"/>
  <c r="R2029" i="2" s="1"/>
  <c r="U2029" i="2" s="1"/>
  <c r="O2027" i="2"/>
  <c r="P2027" i="2" s="1"/>
  <c r="R2027" i="2" s="1"/>
  <c r="U2027" i="2" s="1"/>
  <c r="O2021" i="2"/>
  <c r="P2021" i="2" s="1"/>
  <c r="R2021" i="2" s="1"/>
  <c r="U2021" i="2" s="1"/>
  <c r="O2016" i="2"/>
  <c r="P2016" i="2" s="1"/>
  <c r="R2016" i="2" s="1"/>
  <c r="U2016" i="2" s="1"/>
  <c r="O2025" i="2"/>
  <c r="P2025" i="2" s="1"/>
  <c r="R2025" i="2" s="1"/>
  <c r="U2025" i="2" s="1"/>
  <c r="O2031" i="2"/>
  <c r="P2031" i="2" s="1"/>
  <c r="R2031" i="2" s="1"/>
  <c r="U2031" i="2" s="1"/>
  <c r="O2014" i="2"/>
  <c r="P2014" i="2" s="1"/>
  <c r="R2014" i="2" s="1"/>
  <c r="U2014" i="2" s="1"/>
  <c r="O2023" i="2"/>
  <c r="P2023" i="2" s="1"/>
  <c r="R2023" i="2" s="1"/>
  <c r="U2023" i="2" s="1"/>
  <c r="O2026" i="2"/>
  <c r="P2026" i="2" s="1"/>
  <c r="R2026" i="2" s="1"/>
  <c r="U2026" i="2" s="1"/>
  <c r="O2030" i="2"/>
  <c r="P2030" i="2" s="1"/>
  <c r="R2030" i="2" s="1"/>
  <c r="U2030" i="2" s="1"/>
  <c r="O2015" i="2"/>
  <c r="P2015" i="2" s="1"/>
  <c r="R2015" i="2" s="1"/>
  <c r="U2015" i="2" s="1"/>
  <c r="O2024" i="2"/>
  <c r="P2024" i="2" s="1"/>
  <c r="R2024" i="2" s="1"/>
  <c r="U2024" i="2" s="1"/>
  <c r="O2028" i="2"/>
  <c r="P2028" i="2" s="1"/>
  <c r="R2028" i="2" s="1"/>
  <c r="U2028" i="2" s="1"/>
  <c r="O2018" i="2"/>
  <c r="P2018" i="2" s="1"/>
  <c r="R2018" i="2" s="1"/>
  <c r="U2018" i="2" s="1"/>
  <c r="O2013" i="2"/>
  <c r="O2022" i="2"/>
  <c r="P2022" i="2" s="1"/>
  <c r="R2022" i="2" s="1"/>
  <c r="U2022" i="2" s="1"/>
  <c r="O2032" i="2"/>
  <c r="P2032" i="2" s="1"/>
  <c r="R2032" i="2" s="1"/>
  <c r="U2032" i="2" s="1"/>
  <c r="O2020" i="2"/>
  <c r="P2020" i="2" s="1"/>
  <c r="R2020" i="2" s="1"/>
  <c r="U2020" i="2" s="1"/>
  <c r="O2019" i="2"/>
  <c r="P2019" i="2" s="1"/>
  <c r="R2019" i="2" s="1"/>
  <c r="U2019" i="2" s="1"/>
  <c r="O1060" i="2"/>
  <c r="P1060" i="2" s="1"/>
  <c r="R1060" i="2" s="1"/>
  <c r="O1074" i="2"/>
  <c r="P1074" i="2" s="1"/>
  <c r="R1074" i="2" s="1"/>
  <c r="O1059" i="2"/>
  <c r="O1760" i="2"/>
  <c r="P1760" i="2" s="1"/>
  <c r="R1760" i="2" s="1"/>
  <c r="O1756" i="2"/>
  <c r="P1756" i="2" s="1"/>
  <c r="R1756" i="2" s="1"/>
  <c r="O1748" i="2"/>
  <c r="P1748" i="2" s="1"/>
  <c r="R1748" i="2" s="1"/>
  <c r="O1745" i="2"/>
  <c r="O1751" i="2"/>
  <c r="P1751" i="2" s="1"/>
  <c r="R1751" i="2" s="1"/>
  <c r="O1750" i="2"/>
  <c r="P1750" i="2" s="1"/>
  <c r="R1750" i="2" s="1"/>
  <c r="O1747" i="2"/>
  <c r="P1747" i="2" s="1"/>
  <c r="R1747" i="2" s="1"/>
  <c r="O1752" i="2"/>
  <c r="P1752" i="2" s="1"/>
  <c r="R1752" i="2" s="1"/>
  <c r="O1749" i="2"/>
  <c r="P1749" i="2" s="1"/>
  <c r="R1749" i="2" s="1"/>
  <c r="O1764" i="2"/>
  <c r="P1764" i="2" s="1"/>
  <c r="R1764" i="2" s="1"/>
  <c r="O1759" i="2"/>
  <c r="P1759" i="2" s="1"/>
  <c r="R1759" i="2" s="1"/>
  <c r="O1746" i="2"/>
  <c r="P1746" i="2" s="1"/>
  <c r="R1746" i="2" s="1"/>
  <c r="O1763" i="2"/>
  <c r="P1763" i="2" s="1"/>
  <c r="R1763" i="2" s="1"/>
  <c r="O1754" i="2"/>
  <c r="P1754" i="2" s="1"/>
  <c r="R1754" i="2" s="1"/>
  <c r="H99" i="1"/>
  <c r="O602" i="2"/>
  <c r="P602" i="2" s="1"/>
  <c r="R602" i="2" s="1"/>
  <c r="O601" i="2"/>
  <c r="O626" i="2"/>
  <c r="P626" i="2" s="1"/>
  <c r="R626" i="2" s="1"/>
  <c r="O603" i="2"/>
  <c r="P603" i="2" s="1"/>
  <c r="R603" i="2" s="1"/>
  <c r="O755" i="2"/>
  <c r="P755" i="2" s="1"/>
  <c r="R755" i="2" s="1"/>
  <c r="O751" i="2"/>
  <c r="P751" i="2" s="1"/>
  <c r="R751" i="2" s="1"/>
  <c r="O750" i="2"/>
  <c r="P750" i="2" s="1"/>
  <c r="R750" i="2" s="1"/>
  <c r="O752" i="2"/>
  <c r="P752" i="2" s="1"/>
  <c r="R752" i="2" s="1"/>
  <c r="O745" i="2"/>
  <c r="O746" i="2"/>
  <c r="P746" i="2" s="1"/>
  <c r="R746" i="2" s="1"/>
  <c r="O749" i="2"/>
  <c r="P749" i="2" s="1"/>
  <c r="R749" i="2" s="1"/>
  <c r="O754" i="2"/>
  <c r="P754" i="2" s="1"/>
  <c r="R754" i="2" s="1"/>
  <c r="O747" i="2"/>
  <c r="P747" i="2" s="1"/>
  <c r="R747" i="2" s="1"/>
  <c r="O753" i="2"/>
  <c r="P753" i="2" s="1"/>
  <c r="R753" i="2" s="1"/>
  <c r="O748" i="2"/>
  <c r="P748" i="2" s="1"/>
  <c r="R748" i="2" s="1"/>
  <c r="O322" i="2"/>
  <c r="P322" i="2" s="1"/>
  <c r="R322" i="2" s="1"/>
  <c r="O321" i="2"/>
  <c r="P321" i="2" s="1"/>
  <c r="R321" i="2" s="1"/>
  <c r="O319" i="2"/>
  <c r="O323" i="2"/>
  <c r="P323" i="2" s="1"/>
  <c r="R323" i="2" s="1"/>
  <c r="O320" i="2"/>
  <c r="P320" i="2" s="1"/>
  <c r="R320" i="2" s="1"/>
  <c r="O326" i="2"/>
  <c r="P326" i="2" s="1"/>
  <c r="R326" i="2" s="1"/>
  <c r="O376" i="2"/>
  <c r="P376" i="2" s="1"/>
  <c r="R376" i="2" s="1"/>
  <c r="O375" i="2"/>
  <c r="O418" i="2"/>
  <c r="P418" i="2" s="1"/>
  <c r="R418" i="2" s="1"/>
  <c r="O416" i="2"/>
  <c r="O421" i="2"/>
  <c r="P421" i="2" s="1"/>
  <c r="R421" i="2" s="1"/>
  <c r="O417" i="2"/>
  <c r="P417" i="2" s="1"/>
  <c r="R417" i="2" s="1"/>
  <c r="O419" i="2"/>
  <c r="P419" i="2" s="1"/>
  <c r="R419" i="2" s="1"/>
  <c r="O420" i="2"/>
  <c r="P420" i="2" s="1"/>
  <c r="R420" i="2" s="1"/>
  <c r="O101" i="2"/>
  <c r="P101" i="2" s="1"/>
  <c r="R101" i="2" s="1"/>
  <c r="O102" i="2"/>
  <c r="P102" i="2" s="1"/>
  <c r="R102" i="2" s="1"/>
  <c r="O97" i="2"/>
  <c r="O99" i="2"/>
  <c r="P99" i="2" s="1"/>
  <c r="R99" i="2" s="1"/>
  <c r="O100" i="2"/>
  <c r="P100" i="2" s="1"/>
  <c r="R100" i="2" s="1"/>
  <c r="O106" i="2"/>
  <c r="P106" i="2" s="1"/>
  <c r="R106" i="2" s="1"/>
  <c r="O103" i="2"/>
  <c r="P103" i="2" s="1"/>
  <c r="R103" i="2" s="1"/>
  <c r="O105" i="2"/>
  <c r="P105" i="2" s="1"/>
  <c r="R105" i="2" s="1"/>
  <c r="O107" i="2"/>
  <c r="P107" i="2" s="1"/>
  <c r="R107" i="2" s="1"/>
  <c r="O98" i="2"/>
  <c r="P98" i="2" s="1"/>
  <c r="R98" i="2" s="1"/>
  <c r="O108" i="2"/>
  <c r="P108" i="2" s="1"/>
  <c r="R108" i="2" s="1"/>
  <c r="O104" i="2"/>
  <c r="P104" i="2" s="1"/>
  <c r="R104" i="2" s="1"/>
  <c r="O1591" i="2"/>
  <c r="P1591" i="2" s="1"/>
  <c r="R1591" i="2" s="1"/>
  <c r="O1592" i="2"/>
  <c r="P1592" i="2" s="1"/>
  <c r="R1592" i="2" s="1"/>
  <c r="U1592" i="2" s="1"/>
  <c r="O1596" i="2"/>
  <c r="P1596" i="2" s="1"/>
  <c r="R1596" i="2" s="1"/>
  <c r="U1596" i="2" s="1"/>
  <c r="O1590" i="2"/>
  <c r="P1590" i="2" s="1"/>
  <c r="R1590" i="2" s="1"/>
  <c r="U1590" i="2" s="1"/>
  <c r="O1595" i="2"/>
  <c r="P1595" i="2" s="1"/>
  <c r="R1595" i="2" s="1"/>
  <c r="O1589" i="2"/>
  <c r="O1602" i="2"/>
  <c r="P1602" i="2" s="1"/>
  <c r="R1602" i="2" s="1"/>
  <c r="U1602" i="2" s="1"/>
  <c r="O1086" i="2"/>
  <c r="P1086" i="2" s="1"/>
  <c r="R1086" i="2" s="1"/>
  <c r="O1108" i="2"/>
  <c r="P1108" i="2" s="1"/>
  <c r="R1108" i="2" s="1"/>
  <c r="O1085" i="2"/>
  <c r="P1085" i="2" s="1"/>
  <c r="R1085" i="2" s="1"/>
  <c r="O1807" i="2"/>
  <c r="P1807" i="2" s="1"/>
  <c r="R1807" i="2" s="1"/>
  <c r="O1795" i="2"/>
  <c r="P1795" i="2" s="1"/>
  <c r="R1795" i="2" s="1"/>
  <c r="O1800" i="2"/>
  <c r="P1800" i="2" s="1"/>
  <c r="R1800" i="2" s="1"/>
  <c r="O1788" i="2"/>
  <c r="P1788" i="2" s="1"/>
  <c r="R1788" i="2" s="1"/>
  <c r="O1801" i="2"/>
  <c r="P1801" i="2" s="1"/>
  <c r="R1801" i="2" s="1"/>
  <c r="O1787" i="2"/>
  <c r="P1787" i="2" s="1"/>
  <c r="R1787" i="2" s="1"/>
  <c r="O1806" i="2"/>
  <c r="P1806" i="2" s="1"/>
  <c r="R1806" i="2" s="1"/>
  <c r="O1798" i="2"/>
  <c r="P1798" i="2" s="1"/>
  <c r="R1798" i="2" s="1"/>
  <c r="O1802" i="2"/>
  <c r="P1802" i="2" s="1"/>
  <c r="R1802" i="2" s="1"/>
  <c r="O1810" i="2"/>
  <c r="P1810" i="2" s="1"/>
  <c r="R1810" i="2" s="1"/>
  <c r="O1803" i="2"/>
  <c r="P1803" i="2" s="1"/>
  <c r="R1803" i="2" s="1"/>
  <c r="O1799" i="2"/>
  <c r="P1799" i="2" s="1"/>
  <c r="R1799" i="2" s="1"/>
  <c r="O1792" i="2"/>
  <c r="P1792" i="2" s="1"/>
  <c r="R1792" i="2" s="1"/>
  <c r="O1789" i="2"/>
  <c r="P1789" i="2" s="1"/>
  <c r="R1789" i="2" s="1"/>
  <c r="O1790" i="2"/>
  <c r="P1790" i="2" s="1"/>
  <c r="R1790" i="2" s="1"/>
  <c r="O1809" i="2"/>
  <c r="P1809" i="2" s="1"/>
  <c r="R1809" i="2" s="1"/>
  <c r="O1786" i="2"/>
  <c r="P1786" i="2" s="1"/>
  <c r="R1786" i="2" s="1"/>
  <c r="O1797" i="2"/>
  <c r="P1797" i="2" s="1"/>
  <c r="R1797" i="2" s="1"/>
  <c r="O1804" i="2"/>
  <c r="P1804" i="2" s="1"/>
  <c r="R1804" i="2" s="1"/>
  <c r="O1808" i="2"/>
  <c r="P1808" i="2" s="1"/>
  <c r="R1808" i="2" s="1"/>
  <c r="O1805" i="2"/>
  <c r="P1805" i="2" s="1"/>
  <c r="R1805" i="2" s="1"/>
  <c r="O1796" i="2"/>
  <c r="P1796" i="2" s="1"/>
  <c r="R1796" i="2" s="1"/>
  <c r="O1791" i="2"/>
  <c r="P1791" i="2" s="1"/>
  <c r="R1791" i="2" s="1"/>
  <c r="O1794" i="2"/>
  <c r="P1794" i="2" s="1"/>
  <c r="R1794" i="2" s="1"/>
  <c r="U1794" i="2" s="1"/>
  <c r="R1569" i="2"/>
  <c r="U1569" i="2" s="1"/>
  <c r="H416" i="1"/>
  <c r="H516" i="1"/>
  <c r="O921" i="2"/>
  <c r="P921" i="2" s="1"/>
  <c r="R921" i="2" s="1"/>
  <c r="O920" i="2"/>
  <c r="O922" i="2"/>
  <c r="P922" i="2" s="1"/>
  <c r="R922" i="2" s="1"/>
  <c r="O876" i="2"/>
  <c r="P876" i="2" s="1"/>
  <c r="R876" i="2" s="1"/>
  <c r="O879" i="2"/>
  <c r="P879" i="2" s="1"/>
  <c r="R879" i="2" s="1"/>
  <c r="O874" i="2"/>
  <c r="O875" i="2"/>
  <c r="P875" i="2" s="1"/>
  <c r="R875" i="2" s="1"/>
  <c r="O878" i="2"/>
  <c r="P878" i="2" s="1"/>
  <c r="R878" i="2" s="1"/>
  <c r="O877" i="2"/>
  <c r="P877" i="2" s="1"/>
  <c r="R877" i="2" s="1"/>
  <c r="O696" i="2"/>
  <c r="P696" i="2" s="1"/>
  <c r="R696" i="2" s="1"/>
  <c r="O699" i="2"/>
  <c r="P699" i="2" s="1"/>
  <c r="R699" i="2" s="1"/>
  <c r="O693" i="2"/>
  <c r="O695" i="2"/>
  <c r="P695" i="2" s="1"/>
  <c r="R695" i="2" s="1"/>
  <c r="O701" i="2"/>
  <c r="P701" i="2" s="1"/>
  <c r="R701" i="2" s="1"/>
  <c r="O698" i="2"/>
  <c r="P698" i="2" s="1"/>
  <c r="R698" i="2" s="1"/>
  <c r="O700" i="2"/>
  <c r="P700" i="2" s="1"/>
  <c r="R700" i="2" s="1"/>
  <c r="O694" i="2"/>
  <c r="P694" i="2" s="1"/>
  <c r="R694" i="2" s="1"/>
  <c r="O697" i="2"/>
  <c r="P697" i="2" s="1"/>
  <c r="R697" i="2" s="1"/>
  <c r="O759" i="2"/>
  <c r="O772" i="2"/>
  <c r="P772" i="2" s="1"/>
  <c r="R772" i="2" s="1"/>
  <c r="O783" i="2"/>
  <c r="P783" i="2" s="1"/>
  <c r="R783" i="2" s="1"/>
  <c r="O813" i="2"/>
  <c r="P813" i="2" s="1"/>
  <c r="R813" i="2" s="1"/>
  <c r="O810" i="2"/>
  <c r="O811" i="2"/>
  <c r="P811" i="2" s="1"/>
  <c r="R811" i="2" s="1"/>
  <c r="O812" i="2"/>
  <c r="P812" i="2" s="1"/>
  <c r="R812" i="2" s="1"/>
  <c r="O250" i="2"/>
  <c r="P250" i="2" s="1"/>
  <c r="R250" i="2" s="1"/>
  <c r="O251" i="2"/>
  <c r="P251" i="2" s="1"/>
  <c r="R251" i="2" s="1"/>
  <c r="O248" i="2"/>
  <c r="P248" i="2" s="1"/>
  <c r="R248" i="2" s="1"/>
  <c r="O252" i="2"/>
  <c r="P252" i="2" s="1"/>
  <c r="R252" i="2" s="1"/>
  <c r="O247" i="2"/>
  <c r="P247" i="2" s="1"/>
  <c r="R247" i="2" s="1"/>
  <c r="O245" i="2"/>
  <c r="P245" i="2" s="1"/>
  <c r="R245" i="2" s="1"/>
  <c r="O246" i="2"/>
  <c r="P246" i="2" s="1"/>
  <c r="R246" i="2" s="1"/>
  <c r="O249" i="2"/>
  <c r="P249" i="2" s="1"/>
  <c r="R249" i="2" s="1"/>
  <c r="O243" i="2"/>
  <c r="O244" i="2"/>
  <c r="P244" i="2" s="1"/>
  <c r="R244" i="2" s="1"/>
  <c r="O253" i="2"/>
  <c r="P253" i="2" s="1"/>
  <c r="R253" i="2" s="1"/>
  <c r="O283" i="2"/>
  <c r="P283" i="2" s="1"/>
  <c r="R283" i="2" s="1"/>
  <c r="O284" i="2"/>
  <c r="P284" i="2" s="1"/>
  <c r="R284" i="2" s="1"/>
  <c r="O282" i="2"/>
  <c r="P282" i="2" s="1"/>
  <c r="R282" i="2" s="1"/>
  <c r="O285" i="2"/>
  <c r="P285" i="2" s="1"/>
  <c r="R285" i="2" s="1"/>
  <c r="O281" i="2"/>
  <c r="O329" i="2"/>
  <c r="P329" i="2" s="1"/>
  <c r="R329" i="2" s="1"/>
  <c r="O328" i="2"/>
  <c r="P328" i="2" s="1"/>
  <c r="R328" i="2" s="1"/>
  <c r="O327" i="2"/>
  <c r="O330" i="2"/>
  <c r="P330" i="2" s="1"/>
  <c r="R330" i="2" s="1"/>
  <c r="O386" i="2"/>
  <c r="P386" i="2" s="1"/>
  <c r="R386" i="2" s="1"/>
  <c r="O382" i="2"/>
  <c r="P382" i="2" s="1"/>
  <c r="R382" i="2" s="1"/>
  <c r="O377" i="2"/>
  <c r="O384" i="2"/>
  <c r="P384" i="2" s="1"/>
  <c r="R384" i="2" s="1"/>
  <c r="O379" i="2"/>
  <c r="P379" i="2" s="1"/>
  <c r="R379" i="2" s="1"/>
  <c r="O383" i="2"/>
  <c r="P383" i="2" s="1"/>
  <c r="R383" i="2" s="1"/>
  <c r="O380" i="2"/>
  <c r="P380" i="2" s="1"/>
  <c r="R380" i="2" s="1"/>
  <c r="O381" i="2"/>
  <c r="P381" i="2" s="1"/>
  <c r="R381" i="2" s="1"/>
  <c r="O378" i="2"/>
  <c r="P378" i="2" s="1"/>
  <c r="R378" i="2" s="1"/>
  <c r="O385" i="2"/>
  <c r="P385" i="2" s="1"/>
  <c r="R385" i="2" s="1"/>
  <c r="O437" i="2"/>
  <c r="P437" i="2" s="1"/>
  <c r="R437" i="2" s="1"/>
  <c r="O439" i="2"/>
  <c r="P439" i="2" s="1"/>
  <c r="R439" i="2" s="1"/>
  <c r="O441" i="2"/>
  <c r="P441" i="2" s="1"/>
  <c r="R441" i="2" s="1"/>
  <c r="O435" i="2"/>
  <c r="P435" i="2" s="1"/>
  <c r="R435" i="2" s="1"/>
  <c r="O438" i="2"/>
  <c r="P438" i="2" s="1"/>
  <c r="R438" i="2" s="1"/>
  <c r="O434" i="2"/>
  <c r="P434" i="2" s="1"/>
  <c r="R434" i="2" s="1"/>
  <c r="O442" i="2"/>
  <c r="P442" i="2" s="1"/>
  <c r="R442" i="2" s="1"/>
  <c r="O443" i="2"/>
  <c r="P443" i="2" s="1"/>
  <c r="R443" i="2" s="1"/>
  <c r="O440" i="2"/>
  <c r="P440" i="2" s="1"/>
  <c r="R440" i="2" s="1"/>
  <c r="O436" i="2"/>
  <c r="P436" i="2" s="1"/>
  <c r="R436" i="2" s="1"/>
  <c r="O433" i="2"/>
  <c r="O125" i="2"/>
  <c r="P125" i="2" s="1"/>
  <c r="R125" i="2" s="1"/>
  <c r="O121" i="2"/>
  <c r="P121" i="2" s="1"/>
  <c r="R121" i="2" s="1"/>
  <c r="O118" i="2"/>
  <c r="P118" i="2" s="1"/>
  <c r="R118" i="2" s="1"/>
  <c r="O119" i="2"/>
  <c r="P119" i="2" s="1"/>
  <c r="R119" i="2" s="1"/>
  <c r="O114" i="2"/>
  <c r="P114" i="2" s="1"/>
  <c r="R114" i="2" s="1"/>
  <c r="O116" i="2"/>
  <c r="P116" i="2" s="1"/>
  <c r="R116" i="2" s="1"/>
  <c r="O109" i="2"/>
  <c r="O110" i="2"/>
  <c r="P110" i="2" s="1"/>
  <c r="R110" i="2" s="1"/>
  <c r="O127" i="2"/>
  <c r="P127" i="2" s="1"/>
  <c r="R127" i="2" s="1"/>
  <c r="O117" i="2"/>
  <c r="P117" i="2" s="1"/>
  <c r="R117" i="2" s="1"/>
  <c r="O112" i="2"/>
  <c r="P112" i="2" s="1"/>
  <c r="R112" i="2" s="1"/>
  <c r="O126" i="2"/>
  <c r="P126" i="2" s="1"/>
  <c r="R126" i="2" s="1"/>
  <c r="O111" i="2"/>
  <c r="P111" i="2" s="1"/>
  <c r="R111" i="2" s="1"/>
  <c r="O120" i="2"/>
  <c r="P120" i="2" s="1"/>
  <c r="R120" i="2" s="1"/>
  <c r="O113" i="2"/>
  <c r="P113" i="2" s="1"/>
  <c r="R113" i="2" s="1"/>
  <c r="O115" i="2"/>
  <c r="P115" i="2" s="1"/>
  <c r="R115" i="2" s="1"/>
  <c r="O2060" i="2"/>
  <c r="P2060" i="2" s="1"/>
  <c r="R2060" i="2" s="1"/>
  <c r="U2060" i="2" s="1"/>
  <c r="O2061" i="2"/>
  <c r="P2061" i="2" s="1"/>
  <c r="R2061" i="2" s="1"/>
  <c r="U2061" i="2" s="1"/>
  <c r="O2065" i="2"/>
  <c r="P2065" i="2" s="1"/>
  <c r="R2065" i="2" s="1"/>
  <c r="U2065" i="2" s="1"/>
  <c r="O2059" i="2"/>
  <c r="O2064" i="2"/>
  <c r="P2064" i="2" s="1"/>
  <c r="R2064" i="2" s="1"/>
  <c r="U2064" i="2" s="1"/>
  <c r="O2062" i="2"/>
  <c r="P2062" i="2" s="1"/>
  <c r="R2062" i="2" s="1"/>
  <c r="U2062" i="2" s="1"/>
  <c r="O2063" i="2"/>
  <c r="P2063" i="2" s="1"/>
  <c r="R2063" i="2" s="1"/>
  <c r="U2063" i="2" s="1"/>
  <c r="O1109" i="2"/>
  <c r="O1136" i="2"/>
  <c r="P1136" i="2" s="1"/>
  <c r="R1136" i="2" s="1"/>
  <c r="O1110" i="2"/>
  <c r="P1110" i="2" s="1"/>
  <c r="R1110" i="2" s="1"/>
  <c r="O1111" i="2"/>
  <c r="P1111" i="2" s="1"/>
  <c r="R1111" i="2" s="1"/>
  <c r="O1112" i="2"/>
  <c r="P1112" i="2" s="1"/>
  <c r="R1112" i="2" s="1"/>
  <c r="O1113" i="2"/>
  <c r="P1113" i="2" s="1"/>
  <c r="R1113" i="2" s="1"/>
  <c r="O1114" i="2"/>
  <c r="P1114" i="2" s="1"/>
  <c r="R1114" i="2" s="1"/>
  <c r="O1361" i="2"/>
  <c r="P1361" i="2" s="1"/>
  <c r="R1361" i="2" s="1"/>
  <c r="O1366" i="2"/>
  <c r="P1366" i="2" s="1"/>
  <c r="R1366" i="2" s="1"/>
  <c r="O1374" i="2"/>
  <c r="P1374" i="2" s="1"/>
  <c r="R1374" i="2" s="1"/>
  <c r="U1374" i="2" s="1"/>
  <c r="O1364" i="2"/>
  <c r="P1364" i="2" s="1"/>
  <c r="R1364" i="2" s="1"/>
  <c r="O1373" i="2"/>
  <c r="P1373" i="2" s="1"/>
  <c r="R1373" i="2" s="1"/>
  <c r="O1390" i="2"/>
  <c r="P1390" i="2" s="1"/>
  <c r="R1390" i="2" s="1"/>
  <c r="O1372" i="2"/>
  <c r="P1372" i="2" s="1"/>
  <c r="R1372" i="2" s="1"/>
  <c r="O1369" i="2"/>
  <c r="P1369" i="2" s="1"/>
  <c r="R1369" i="2" s="1"/>
  <c r="O1368" i="2"/>
  <c r="P1368" i="2" s="1"/>
  <c r="R1368" i="2" s="1"/>
  <c r="O1370" i="2"/>
  <c r="P1370" i="2" s="1"/>
  <c r="R1370" i="2" s="1"/>
  <c r="O1377" i="2"/>
  <c r="P1377" i="2" s="1"/>
  <c r="R1377" i="2" s="1"/>
  <c r="O1362" i="2"/>
  <c r="P1362" i="2" s="1"/>
  <c r="R1362" i="2" s="1"/>
  <c r="O1391" i="2"/>
  <c r="P1391" i="2" s="1"/>
  <c r="R1391" i="2" s="1"/>
  <c r="O1395" i="2"/>
  <c r="P1395" i="2" s="1"/>
  <c r="R1395" i="2" s="1"/>
  <c r="O1371" i="2"/>
  <c r="P1371" i="2" s="1"/>
  <c r="R1371" i="2" s="1"/>
  <c r="O1514" i="2"/>
  <c r="P1514" i="2" s="1"/>
  <c r="R1514" i="2" s="1"/>
  <c r="U1514" i="2" s="1"/>
  <c r="O1517" i="2"/>
  <c r="P1517" i="2" s="1"/>
  <c r="R1517" i="2" s="1"/>
  <c r="U1517" i="2" s="1"/>
  <c r="O1518" i="2"/>
  <c r="P1518" i="2" s="1"/>
  <c r="R1518" i="2" s="1"/>
  <c r="U1518" i="2" s="1"/>
  <c r="O1512" i="2"/>
  <c r="O1516" i="2"/>
  <c r="P1516" i="2" s="1"/>
  <c r="R1516" i="2" s="1"/>
  <c r="U1516" i="2" s="1"/>
  <c r="O1515" i="2"/>
  <c r="P1515" i="2" s="1"/>
  <c r="R1515" i="2" s="1"/>
  <c r="U1515" i="2" s="1"/>
  <c r="O1513" i="2"/>
  <c r="P1513" i="2" s="1"/>
  <c r="R1513" i="2" s="1"/>
  <c r="U1513" i="2" s="1"/>
  <c r="R2151" i="2"/>
  <c r="U2151" i="2" s="1"/>
  <c r="H573" i="1"/>
  <c r="O59" i="2"/>
  <c r="O63" i="2"/>
  <c r="P63" i="2" s="1"/>
  <c r="R63" i="2" s="1"/>
  <c r="O65" i="2"/>
  <c r="P65" i="2" s="1"/>
  <c r="R65" i="2" s="1"/>
  <c r="O61" i="2"/>
  <c r="P61" i="2" s="1"/>
  <c r="R61" i="2" s="1"/>
  <c r="O64" i="2"/>
  <c r="P64" i="2" s="1"/>
  <c r="R64" i="2" s="1"/>
  <c r="O62" i="2"/>
  <c r="P62" i="2" s="1"/>
  <c r="R62" i="2" s="1"/>
  <c r="O60" i="2"/>
  <c r="P60" i="2" s="1"/>
  <c r="R60" i="2" s="1"/>
  <c r="O714" i="2"/>
  <c r="P714" i="2" s="1"/>
  <c r="R714" i="2" s="1"/>
  <c r="O715" i="2"/>
  <c r="P715" i="2" s="1"/>
  <c r="R715" i="2" s="1"/>
  <c r="O712" i="2"/>
  <c r="O713" i="2"/>
  <c r="P713" i="2" s="1"/>
  <c r="R713" i="2" s="1"/>
  <c r="O762" i="2"/>
  <c r="P762" i="2" s="1"/>
  <c r="O766" i="2"/>
  <c r="P766" i="2" s="1"/>
  <c r="R766" i="2" s="1"/>
  <c r="O763" i="2"/>
  <c r="P763" i="2" s="1"/>
  <c r="R763" i="2" s="1"/>
  <c r="O767" i="2"/>
  <c r="P767" i="2" s="1"/>
  <c r="R767" i="2" s="1"/>
  <c r="O817" i="2"/>
  <c r="P817" i="2" s="1"/>
  <c r="R817" i="2" s="1"/>
  <c r="O816" i="2"/>
  <c r="P816" i="2" s="1"/>
  <c r="R816" i="2" s="1"/>
  <c r="O815" i="2"/>
  <c r="O818" i="2"/>
  <c r="P818" i="2" s="1"/>
  <c r="R818" i="2" s="1"/>
  <c r="O819" i="2"/>
  <c r="P819" i="2" s="1"/>
  <c r="R819" i="2" s="1"/>
  <c r="O290" i="2"/>
  <c r="P290" i="2" s="1"/>
  <c r="R290" i="2" s="1"/>
  <c r="O286" i="2"/>
  <c r="O288" i="2"/>
  <c r="P288" i="2" s="1"/>
  <c r="R288" i="2" s="1"/>
  <c r="O287" i="2"/>
  <c r="P287" i="2" s="1"/>
  <c r="R287" i="2" s="1"/>
  <c r="O291" i="2"/>
  <c r="P291" i="2" s="1"/>
  <c r="R291" i="2" s="1"/>
  <c r="O289" i="2"/>
  <c r="P289" i="2" s="1"/>
  <c r="R289" i="2" s="1"/>
  <c r="O334" i="2"/>
  <c r="P334" i="2" s="1"/>
  <c r="R334" i="2" s="1"/>
  <c r="O336" i="2"/>
  <c r="P336" i="2" s="1"/>
  <c r="R336" i="2" s="1"/>
  <c r="O339" i="2"/>
  <c r="P339" i="2" s="1"/>
  <c r="R339" i="2" s="1"/>
  <c r="O335" i="2"/>
  <c r="P335" i="2" s="1"/>
  <c r="R335" i="2" s="1"/>
  <c r="O332" i="2"/>
  <c r="O337" i="2"/>
  <c r="P337" i="2" s="1"/>
  <c r="R337" i="2" s="1"/>
  <c r="O333" i="2"/>
  <c r="P333" i="2" s="1"/>
  <c r="R333" i="2" s="1"/>
  <c r="O149" i="2"/>
  <c r="P149" i="2" s="1"/>
  <c r="R149" i="2" s="1"/>
  <c r="O154" i="2"/>
  <c r="P154" i="2" s="1"/>
  <c r="R154" i="2" s="1"/>
  <c r="O151" i="2"/>
  <c r="P151" i="2" s="1"/>
  <c r="R151" i="2" s="1"/>
  <c r="O152" i="2"/>
  <c r="P152" i="2" s="1"/>
  <c r="R152" i="2" s="1"/>
  <c r="O150" i="2"/>
  <c r="P150" i="2" s="1"/>
  <c r="R150" i="2" s="1"/>
  <c r="O153" i="2"/>
  <c r="P153" i="2" s="1"/>
  <c r="R153" i="2" s="1"/>
  <c r="O148" i="2"/>
  <c r="P148" i="2" s="1"/>
  <c r="R148" i="2" s="1"/>
  <c r="O147" i="2"/>
  <c r="P147" i="2" s="1"/>
  <c r="R147" i="2" s="1"/>
  <c r="O145" i="2"/>
  <c r="O146" i="2"/>
  <c r="P146" i="2" s="1"/>
  <c r="R146" i="2" s="1"/>
  <c r="O1131" i="2"/>
  <c r="P1131" i="2" s="1"/>
  <c r="R1131" i="2" s="1"/>
  <c r="O1134" i="2"/>
  <c r="P1134" i="2" s="1"/>
  <c r="R1134" i="2" s="1"/>
  <c r="O1127" i="2"/>
  <c r="P1127" i="2" s="1"/>
  <c r="R1127" i="2" s="1"/>
  <c r="O1135" i="2"/>
  <c r="P1135" i="2" s="1"/>
  <c r="R1135" i="2" s="1"/>
  <c r="O1124" i="2"/>
  <c r="O1133" i="2"/>
  <c r="P1133" i="2" s="1"/>
  <c r="R1133" i="2" s="1"/>
  <c r="O1130" i="2"/>
  <c r="P1130" i="2" s="1"/>
  <c r="R1130" i="2" s="1"/>
  <c r="O1132" i="2"/>
  <c r="P1132" i="2" s="1"/>
  <c r="R1132" i="2" s="1"/>
  <c r="O1128" i="2"/>
  <c r="P1128" i="2" s="1"/>
  <c r="R1128" i="2" s="1"/>
  <c r="O1129" i="2"/>
  <c r="P1129" i="2" s="1"/>
  <c r="R1129" i="2" s="1"/>
  <c r="O1126" i="2"/>
  <c r="P1126" i="2" s="1"/>
  <c r="R1126" i="2" s="1"/>
  <c r="O1125" i="2"/>
  <c r="P1125" i="2" s="1"/>
  <c r="R1125" i="2" s="1"/>
  <c r="O1594" i="2"/>
  <c r="P1594" i="2" s="1"/>
  <c r="R1594" i="2" s="1"/>
  <c r="U1594" i="2" s="1"/>
  <c r="O71" i="2"/>
  <c r="O73" i="2"/>
  <c r="P73" i="2" s="1"/>
  <c r="R73" i="2" s="1"/>
  <c r="O72" i="2"/>
  <c r="P72" i="2" s="1"/>
  <c r="R72" i="2" s="1"/>
  <c r="O956" i="2"/>
  <c r="P956" i="2" s="1"/>
  <c r="R956" i="2" s="1"/>
  <c r="O965" i="2"/>
  <c r="P965" i="2" s="1"/>
  <c r="R965" i="2" s="1"/>
  <c r="O979" i="2"/>
  <c r="P979" i="2" s="1"/>
  <c r="R979" i="2" s="1"/>
  <c r="O953" i="2"/>
  <c r="P953" i="2" s="1"/>
  <c r="R953" i="2" s="1"/>
  <c r="O970" i="2"/>
  <c r="P970" i="2" s="1"/>
  <c r="R970" i="2" s="1"/>
  <c r="O952" i="2"/>
  <c r="P952" i="2" s="1"/>
  <c r="R952" i="2" s="1"/>
  <c r="O951" i="2"/>
  <c r="P951" i="2" s="1"/>
  <c r="R951" i="2" s="1"/>
  <c r="O968" i="2"/>
  <c r="P968" i="2" s="1"/>
  <c r="R968" i="2" s="1"/>
  <c r="O974" i="2"/>
  <c r="P974" i="2" s="1"/>
  <c r="R974" i="2" s="1"/>
  <c r="O958" i="2"/>
  <c r="P958" i="2" s="1"/>
  <c r="R958" i="2" s="1"/>
  <c r="O948" i="2"/>
  <c r="P948" i="2" s="1"/>
  <c r="R948" i="2" s="1"/>
  <c r="O977" i="2"/>
  <c r="P977" i="2" s="1"/>
  <c r="R977" i="2" s="1"/>
  <c r="O973" i="2"/>
  <c r="P973" i="2" s="1"/>
  <c r="R973" i="2" s="1"/>
  <c r="O980" i="2"/>
  <c r="P980" i="2" s="1"/>
  <c r="R980" i="2" s="1"/>
  <c r="O967" i="2"/>
  <c r="P967" i="2" s="1"/>
  <c r="R967" i="2" s="1"/>
  <c r="O969" i="2"/>
  <c r="P969" i="2" s="1"/>
  <c r="R969" i="2" s="1"/>
  <c r="O975" i="2"/>
  <c r="P975" i="2" s="1"/>
  <c r="R975" i="2" s="1"/>
  <c r="O964" i="2"/>
  <c r="P964" i="2" s="1"/>
  <c r="R964" i="2" s="1"/>
  <c r="O971" i="2"/>
  <c r="P971" i="2" s="1"/>
  <c r="R971" i="2" s="1"/>
  <c r="O959" i="2"/>
  <c r="P959" i="2" s="1"/>
  <c r="R959" i="2" s="1"/>
  <c r="O957" i="2"/>
  <c r="P957" i="2" s="1"/>
  <c r="R957" i="2" s="1"/>
  <c r="O961" i="2"/>
  <c r="P961" i="2" s="1"/>
  <c r="R961" i="2" s="1"/>
  <c r="O976" i="2"/>
  <c r="P976" i="2" s="1"/>
  <c r="R976" i="2" s="1"/>
  <c r="O949" i="2"/>
  <c r="P949" i="2" s="1"/>
  <c r="R949" i="2" s="1"/>
  <c r="O966" i="2"/>
  <c r="P966" i="2" s="1"/>
  <c r="R966" i="2" s="1"/>
  <c r="O947" i="2"/>
  <c r="P947" i="2" s="1"/>
  <c r="R947" i="2" s="1"/>
  <c r="O972" i="2"/>
  <c r="P972" i="2" s="1"/>
  <c r="R972" i="2" s="1"/>
  <c r="O955" i="2"/>
  <c r="P955" i="2" s="1"/>
  <c r="R955" i="2" s="1"/>
  <c r="O962" i="2"/>
  <c r="P962" i="2" s="1"/>
  <c r="R962" i="2" s="1"/>
  <c r="O729" i="2"/>
  <c r="O731" i="2"/>
  <c r="P731" i="2" s="1"/>
  <c r="R731" i="2" s="1"/>
  <c r="O213" i="2"/>
  <c r="O215" i="2"/>
  <c r="P215" i="2" s="1"/>
  <c r="R215" i="2" s="1"/>
  <c r="O214" i="2"/>
  <c r="P214" i="2" s="1"/>
  <c r="R214" i="2" s="1"/>
  <c r="O261" i="2"/>
  <c r="O265" i="2"/>
  <c r="P265" i="2" s="1"/>
  <c r="O297" i="2"/>
  <c r="O298" i="2"/>
  <c r="P298" i="2" s="1"/>
  <c r="R298" i="2" s="1"/>
  <c r="O393" i="2"/>
  <c r="O399" i="2"/>
  <c r="P399" i="2" s="1"/>
  <c r="R399" i="2" s="1"/>
  <c r="O395" i="2"/>
  <c r="P395" i="2" s="1"/>
  <c r="R395" i="2" s="1"/>
  <c r="O394" i="2"/>
  <c r="P394" i="2" s="1"/>
  <c r="R394" i="2" s="1"/>
  <c r="O398" i="2"/>
  <c r="P398" i="2" s="1"/>
  <c r="R398" i="2" s="1"/>
  <c r="O396" i="2"/>
  <c r="P396" i="2" s="1"/>
  <c r="R396" i="2" s="1"/>
  <c r="O400" i="2"/>
  <c r="P400" i="2" s="1"/>
  <c r="R400" i="2" s="1"/>
  <c r="O397" i="2"/>
  <c r="P397" i="2" s="1"/>
  <c r="R397" i="2" s="1"/>
  <c r="O171" i="2"/>
  <c r="P171" i="2" s="1"/>
  <c r="R171" i="2" s="1"/>
  <c r="O164" i="2"/>
  <c r="P164" i="2" s="1"/>
  <c r="R164" i="2" s="1"/>
  <c r="O167" i="2"/>
  <c r="P167" i="2" s="1"/>
  <c r="R167" i="2" s="1"/>
  <c r="O166" i="2"/>
  <c r="P166" i="2" s="1"/>
  <c r="R166" i="2" s="1"/>
  <c r="O172" i="2"/>
  <c r="P172" i="2" s="1"/>
  <c r="R172" i="2" s="1"/>
  <c r="O163" i="2"/>
  <c r="P163" i="2" s="1"/>
  <c r="R163" i="2" s="1"/>
  <c r="O170" i="2"/>
  <c r="P170" i="2" s="1"/>
  <c r="R170" i="2" s="1"/>
  <c r="O169" i="2"/>
  <c r="P169" i="2" s="1"/>
  <c r="R169" i="2" s="1"/>
  <c r="O165" i="2"/>
  <c r="P165" i="2" s="1"/>
  <c r="R165" i="2" s="1"/>
  <c r="O168" i="2"/>
  <c r="P168" i="2" s="1"/>
  <c r="R168" i="2" s="1"/>
  <c r="O162" i="2"/>
  <c r="O1054" i="2"/>
  <c r="P1054" i="2" s="1"/>
  <c r="R1054" i="2" s="1"/>
  <c r="O1057" i="2"/>
  <c r="P1057" i="2" s="1"/>
  <c r="R1057" i="2" s="1"/>
  <c r="O1056" i="2"/>
  <c r="P1056" i="2" s="1"/>
  <c r="R1056" i="2" s="1"/>
  <c r="O1055" i="2"/>
  <c r="P1055" i="2" s="1"/>
  <c r="R1055" i="2" s="1"/>
  <c r="O1058" i="2"/>
  <c r="P1058" i="2" s="1"/>
  <c r="R1058" i="2" s="1"/>
  <c r="O1053" i="2"/>
  <c r="P1203" i="2"/>
  <c r="G325" i="1"/>
  <c r="O1400" i="2"/>
  <c r="P1400" i="2" s="1"/>
  <c r="R1400" i="2" s="1"/>
  <c r="O1398" i="2"/>
  <c r="P1398" i="2" s="1"/>
  <c r="R1398" i="2" s="1"/>
  <c r="O1397" i="2"/>
  <c r="P1397" i="2" s="1"/>
  <c r="R1397" i="2" s="1"/>
  <c r="O1396" i="2"/>
  <c r="O1399" i="2"/>
  <c r="P1399" i="2" s="1"/>
  <c r="R1399" i="2" s="1"/>
  <c r="O1401" i="2"/>
  <c r="P1401" i="2" s="1"/>
  <c r="R1401" i="2" s="1"/>
  <c r="O80" i="2"/>
  <c r="P80" i="2" s="1"/>
  <c r="R80" i="2" s="1"/>
  <c r="O78" i="2"/>
  <c r="P78" i="2" s="1"/>
  <c r="R78" i="2" s="1"/>
  <c r="O74" i="2"/>
  <c r="O77" i="2"/>
  <c r="P77" i="2" s="1"/>
  <c r="R77" i="2" s="1"/>
  <c r="O75" i="2"/>
  <c r="P75" i="2" s="1"/>
  <c r="R75" i="2" s="1"/>
  <c r="O81" i="2"/>
  <c r="P81" i="2" s="1"/>
  <c r="R81" i="2" s="1"/>
  <c r="O134" i="2"/>
  <c r="P134" i="2" s="1"/>
  <c r="R134" i="2" s="1"/>
  <c r="O76" i="2"/>
  <c r="P76" i="2" s="1"/>
  <c r="R76" i="2" s="1"/>
  <c r="O83" i="2"/>
  <c r="P83" i="2" s="1"/>
  <c r="R83" i="2" s="1"/>
  <c r="O79" i="2"/>
  <c r="P79" i="2" s="1"/>
  <c r="R79" i="2" s="1"/>
  <c r="O82" i="2"/>
  <c r="P82" i="2" s="1"/>
  <c r="O138" i="2"/>
  <c r="P138" i="2" s="1"/>
  <c r="R138" i="2" s="1"/>
  <c r="O1050" i="2"/>
  <c r="P1050" i="2" s="1"/>
  <c r="R1050" i="2" s="1"/>
  <c r="O1048" i="2"/>
  <c r="P1048" i="2" s="1"/>
  <c r="R1048" i="2" s="1"/>
  <c r="O1049" i="2"/>
  <c r="P1049" i="2" s="1"/>
  <c r="R1049" i="2" s="1"/>
  <c r="O1046" i="2"/>
  <c r="P1046" i="2" s="1"/>
  <c r="R1046" i="2" s="1"/>
  <c r="O1045" i="2"/>
  <c r="P1045" i="2" s="1"/>
  <c r="R1045" i="2" s="1"/>
  <c r="O1047" i="2"/>
  <c r="P1047" i="2" s="1"/>
  <c r="R1047" i="2" s="1"/>
  <c r="O1051" i="2"/>
  <c r="P1051" i="2" s="1"/>
  <c r="R1051" i="2" s="1"/>
  <c r="O1043" i="2"/>
  <c r="O1044" i="2"/>
  <c r="P1044" i="2" s="1"/>
  <c r="R1044" i="2" s="1"/>
  <c r="O564" i="2"/>
  <c r="P564" i="2" s="1"/>
  <c r="R564" i="2" s="1"/>
  <c r="O566" i="2"/>
  <c r="P566" i="2" s="1"/>
  <c r="R566" i="2" s="1"/>
  <c r="O561" i="2"/>
  <c r="P561" i="2" s="1"/>
  <c r="R561" i="2" s="1"/>
  <c r="O563" i="2"/>
  <c r="P563" i="2" s="1"/>
  <c r="R563" i="2" s="1"/>
  <c r="O565" i="2"/>
  <c r="P565" i="2" s="1"/>
  <c r="R565" i="2" s="1"/>
  <c r="O562" i="2"/>
  <c r="P562" i="2" s="1"/>
  <c r="R562" i="2" s="1"/>
  <c r="O560" i="2"/>
  <c r="O641" i="2"/>
  <c r="P641" i="2" s="1"/>
  <c r="R641" i="2" s="1"/>
  <c r="O639" i="2"/>
  <c r="O642" i="2"/>
  <c r="P642" i="2" s="1"/>
  <c r="R642" i="2" s="1"/>
  <c r="O640" i="2"/>
  <c r="P640" i="2" s="1"/>
  <c r="R640" i="2" s="1"/>
  <c r="O794" i="2"/>
  <c r="P794" i="2" s="1"/>
  <c r="R794" i="2" s="1"/>
  <c r="O788" i="2"/>
  <c r="O791" i="2"/>
  <c r="P791" i="2" s="1"/>
  <c r="R791" i="2" s="1"/>
  <c r="O789" i="2"/>
  <c r="P789" i="2" s="1"/>
  <c r="R789" i="2" s="1"/>
  <c r="O795" i="2"/>
  <c r="P795" i="2" s="1"/>
  <c r="R795" i="2" s="1"/>
  <c r="O793" i="2"/>
  <c r="P793" i="2" s="1"/>
  <c r="R793" i="2" s="1"/>
  <c r="O790" i="2"/>
  <c r="P790" i="2" s="1"/>
  <c r="R790" i="2" s="1"/>
  <c r="O792" i="2"/>
  <c r="P792" i="2" s="1"/>
  <c r="R792" i="2" s="1"/>
  <c r="O832" i="2"/>
  <c r="P832" i="2" s="1"/>
  <c r="R832" i="2" s="1"/>
  <c r="O829" i="2"/>
  <c r="O831" i="2"/>
  <c r="P831" i="2" s="1"/>
  <c r="R831" i="2" s="1"/>
  <c r="O837" i="2"/>
  <c r="P837" i="2" s="1"/>
  <c r="R837" i="2" s="1"/>
  <c r="O836" i="2"/>
  <c r="P836" i="2" s="1"/>
  <c r="R836" i="2" s="1"/>
  <c r="O833" i="2"/>
  <c r="P833" i="2" s="1"/>
  <c r="R833" i="2" s="1"/>
  <c r="O830" i="2"/>
  <c r="P830" i="2" s="1"/>
  <c r="R830" i="2" s="1"/>
  <c r="O835" i="2"/>
  <c r="P835" i="2" s="1"/>
  <c r="R835" i="2" s="1"/>
  <c r="O834" i="2"/>
  <c r="P834" i="2" s="1"/>
  <c r="R834" i="2" s="1"/>
  <c r="O222" i="2"/>
  <c r="P222" i="2" s="1"/>
  <c r="R222" i="2" s="1"/>
  <c r="O223" i="2"/>
  <c r="P223" i="2" s="1"/>
  <c r="R223" i="2" s="1"/>
  <c r="O218" i="2"/>
  <c r="O220" i="2"/>
  <c r="P220" i="2" s="1"/>
  <c r="R220" i="2" s="1"/>
  <c r="O219" i="2"/>
  <c r="P219" i="2" s="1"/>
  <c r="R219" i="2" s="1"/>
  <c r="O221" i="2"/>
  <c r="P221" i="2" s="1"/>
  <c r="R221" i="2" s="1"/>
  <c r="O266" i="2"/>
  <c r="O267" i="2"/>
  <c r="P267" i="2" s="1"/>
  <c r="R267" i="2" s="1"/>
  <c r="O269" i="2"/>
  <c r="P269" i="2" s="1"/>
  <c r="R269" i="2" s="1"/>
  <c r="O268" i="2"/>
  <c r="P268" i="2" s="1"/>
  <c r="R268" i="2" s="1"/>
  <c r="O270" i="2"/>
  <c r="P270" i="2" s="1"/>
  <c r="R270" i="2" s="1"/>
  <c r="O301" i="2"/>
  <c r="P301" i="2" s="1"/>
  <c r="R301" i="2" s="1"/>
  <c r="O299" i="2"/>
  <c r="O300" i="2"/>
  <c r="P300" i="2" s="1"/>
  <c r="R300" i="2" s="1"/>
  <c r="O331" i="2"/>
  <c r="P331" i="2" s="1"/>
  <c r="R331" i="2" s="1"/>
  <c r="O303" i="2"/>
  <c r="P303" i="2" s="1"/>
  <c r="R303" i="2" s="1"/>
  <c r="O302" i="2"/>
  <c r="P302" i="2" s="1"/>
  <c r="R302" i="2" s="1"/>
  <c r="O358" i="2"/>
  <c r="P358" i="2" s="1"/>
  <c r="R358" i="2" s="1"/>
  <c r="O357" i="2"/>
  <c r="O361" i="2"/>
  <c r="P361" i="2" s="1"/>
  <c r="R361" i="2" s="1"/>
  <c r="O359" i="2"/>
  <c r="P359" i="2" s="1"/>
  <c r="R359" i="2" s="1"/>
  <c r="O360" i="2"/>
  <c r="P360" i="2" s="1"/>
  <c r="R360" i="2" s="1"/>
  <c r="O362" i="2"/>
  <c r="P362" i="2" s="1"/>
  <c r="R362" i="2" s="1"/>
  <c r="O405" i="2"/>
  <c r="P405" i="2" s="1"/>
  <c r="R405" i="2" s="1"/>
  <c r="O403" i="2"/>
  <c r="P403" i="2" s="1"/>
  <c r="R403" i="2" s="1"/>
  <c r="O404" i="2"/>
  <c r="P404" i="2" s="1"/>
  <c r="R404" i="2" s="1"/>
  <c r="O402" i="2"/>
  <c r="P402" i="2" s="1"/>
  <c r="R402" i="2" s="1"/>
  <c r="O401" i="2"/>
  <c r="O406" i="2"/>
  <c r="P406" i="2" s="1"/>
  <c r="R406" i="2" s="1"/>
  <c r="O2036" i="2"/>
  <c r="P2036" i="2" s="1"/>
  <c r="R2036" i="2" s="1"/>
  <c r="U2036" i="2" s="1"/>
  <c r="O2006" i="2"/>
  <c r="P2006" i="2" s="1"/>
  <c r="R2006" i="2" s="1"/>
  <c r="U2006" i="2" s="1"/>
  <c r="O2008" i="2"/>
  <c r="P2008" i="2" s="1"/>
  <c r="R2008" i="2" s="1"/>
  <c r="U2008" i="2" s="1"/>
  <c r="O2035" i="2"/>
  <c r="P2035" i="2" s="1"/>
  <c r="R2035" i="2" s="1"/>
  <c r="U2035" i="2" s="1"/>
  <c r="O2009" i="2"/>
  <c r="P2009" i="2" s="1"/>
  <c r="R2009" i="2" s="1"/>
  <c r="U2009" i="2" s="1"/>
  <c r="O2010" i="2"/>
  <c r="P2010" i="2" s="1"/>
  <c r="R2010" i="2" s="1"/>
  <c r="U2010" i="2" s="1"/>
  <c r="O2007" i="2"/>
  <c r="P2007" i="2" s="1"/>
  <c r="R2007" i="2" s="1"/>
  <c r="U2007" i="2" s="1"/>
  <c r="O2005" i="2"/>
  <c r="P2005" i="2" s="1"/>
  <c r="R2005" i="2" s="1"/>
  <c r="U2005" i="2" s="1"/>
  <c r="O2011" i="2"/>
  <c r="P2011" i="2" s="1"/>
  <c r="R2011" i="2" s="1"/>
  <c r="U2011" i="2" s="1"/>
  <c r="O2004" i="2"/>
  <c r="O1267" i="2"/>
  <c r="P1267" i="2" s="1"/>
  <c r="R1267" i="2" s="1"/>
  <c r="U1267" i="2" s="1"/>
  <c r="O1281" i="2"/>
  <c r="P1281" i="2" s="1"/>
  <c r="R1281" i="2" s="1"/>
  <c r="U1281" i="2" s="1"/>
  <c r="O1283" i="2"/>
  <c r="P1283" i="2" s="1"/>
  <c r="R1283" i="2" s="1"/>
  <c r="U1283" i="2" s="1"/>
  <c r="O1282" i="2"/>
  <c r="P1282" i="2" s="1"/>
  <c r="R1282" i="2" s="1"/>
  <c r="U1282" i="2" s="1"/>
  <c r="O1445" i="2"/>
  <c r="P1445" i="2" s="1"/>
  <c r="R1445" i="2" s="1"/>
  <c r="U1445" i="2" s="1"/>
  <c r="O1443" i="2"/>
  <c r="P1443" i="2" s="1"/>
  <c r="R1443" i="2" s="1"/>
  <c r="U1443" i="2" s="1"/>
  <c r="O1444" i="2"/>
  <c r="P1444" i="2" s="1"/>
  <c r="R1444" i="2" s="1"/>
  <c r="U1444" i="2" s="1"/>
  <c r="O1441" i="2"/>
  <c r="P1441" i="2" s="1"/>
  <c r="R1441" i="2" s="1"/>
  <c r="U1441" i="2" s="1"/>
  <c r="O1440" i="2"/>
  <c r="O1699" i="2"/>
  <c r="P1699" i="2" s="1"/>
  <c r="R1699" i="2" s="1"/>
  <c r="U1699" i="2" s="1"/>
  <c r="O1692" i="2"/>
  <c r="P1692" i="2" s="1"/>
  <c r="R1692" i="2" s="1"/>
  <c r="U1692" i="2" s="1"/>
  <c r="O1700" i="2"/>
  <c r="P1700" i="2" s="1"/>
  <c r="R1700" i="2" s="1"/>
  <c r="U1700" i="2" s="1"/>
  <c r="O1693" i="2"/>
  <c r="P1693" i="2" s="1"/>
  <c r="R1693" i="2" s="1"/>
  <c r="U1693" i="2" s="1"/>
  <c r="V1317" i="2"/>
  <c r="U1317" i="2"/>
  <c r="U1323" i="2"/>
  <c r="V1323" i="2"/>
  <c r="G152" i="1"/>
  <c r="G15" i="1"/>
  <c r="R309" i="2"/>
  <c r="H389" i="1"/>
  <c r="R934" i="2"/>
  <c r="R29" i="2"/>
  <c r="R1702" i="2"/>
  <c r="U1702" i="2" s="1"/>
  <c r="H438" i="1"/>
  <c r="H452" i="1"/>
  <c r="R2150" i="2"/>
  <c r="U2150" i="2" s="1"/>
  <c r="H572" i="1"/>
  <c r="G332" i="1"/>
  <c r="U1734" i="2"/>
  <c r="H550" i="1"/>
  <c r="G124" i="1"/>
  <c r="G389" i="1"/>
  <c r="R410" i="2"/>
  <c r="H243" i="1"/>
  <c r="H424" i="1"/>
  <c r="G311" i="1"/>
  <c r="H340" i="1"/>
  <c r="R808" i="2"/>
  <c r="R1713" i="2"/>
  <c r="U1713" i="2" s="1"/>
  <c r="G123" i="1"/>
  <c r="G43" i="1"/>
  <c r="G70" i="1"/>
  <c r="H139" i="1"/>
  <c r="V1424" i="2"/>
  <c r="U1424" i="2"/>
  <c r="V1428" i="2"/>
  <c r="U1428" i="2"/>
  <c r="D5" i="9"/>
  <c r="V1425" i="2"/>
  <c r="U1425" i="2"/>
  <c r="U1426" i="2"/>
  <c r="V1426" i="2"/>
  <c r="V1432" i="2"/>
  <c r="U1432" i="2"/>
  <c r="V1429" i="2"/>
  <c r="U1429" i="2"/>
  <c r="U1431" i="2"/>
  <c r="V1431" i="2"/>
  <c r="G371" i="1"/>
  <c r="H123" i="1"/>
  <c r="V1459" i="2"/>
  <c r="I385" i="1" s="1"/>
  <c r="P208" i="2"/>
  <c r="G385" i="1"/>
  <c r="R1837" i="2"/>
  <c r="U1837" i="2" s="1"/>
  <c r="H399" i="1"/>
  <c r="G409" i="1"/>
  <c r="R1769" i="2"/>
  <c r="U1769" i="2" s="1"/>
  <c r="R631" i="2"/>
  <c r="H173" i="1"/>
  <c r="H415" i="1"/>
  <c r="U1560" i="2"/>
  <c r="V1758" i="2"/>
  <c r="V1375" i="2"/>
  <c r="U1375" i="2"/>
  <c r="U1761" i="2"/>
  <c r="V1761" i="2"/>
  <c r="P1779" i="2"/>
  <c r="P928" i="2"/>
  <c r="G264" i="1"/>
  <c r="G404" i="1"/>
  <c r="V1393" i="2"/>
  <c r="U1393" i="2"/>
  <c r="P1549" i="2"/>
  <c r="G410" i="1"/>
  <c r="V1753" i="2"/>
  <c r="U1753" i="2"/>
  <c r="P692" i="2"/>
  <c r="G193" i="1"/>
  <c r="G318" i="1"/>
  <c r="H332" i="1"/>
  <c r="P95" i="2"/>
  <c r="V1467" i="2"/>
  <c r="U1467" i="2"/>
  <c r="V1765" i="2"/>
  <c r="U1765" i="2"/>
  <c r="P1386" i="2"/>
  <c r="G369" i="1"/>
  <c r="G176" i="1"/>
  <c r="P634" i="2"/>
  <c r="P1157" i="2"/>
  <c r="G315" i="1"/>
  <c r="H186" i="1"/>
  <c r="H240" i="1"/>
  <c r="G526" i="1"/>
  <c r="V1392" i="2"/>
  <c r="U1392" i="2"/>
  <c r="G458" i="1"/>
  <c r="V1755" i="2"/>
  <c r="U1755" i="2"/>
  <c r="U1581" i="2"/>
  <c r="V1581" i="2"/>
  <c r="P40" i="2"/>
  <c r="G12" i="1"/>
  <c r="V1365" i="2"/>
  <c r="U1365" i="2"/>
  <c r="U1762" i="2"/>
  <c r="V1762" i="2"/>
  <c r="H335" i="1"/>
  <c r="G246" i="1"/>
  <c r="V1488" i="2"/>
  <c r="I392" i="1" s="1"/>
  <c r="U1488" i="2"/>
  <c r="G544" i="1"/>
  <c r="H121" i="1"/>
  <c r="V1567" i="2"/>
  <c r="I415" i="1" s="1"/>
  <c r="R1037" i="2"/>
  <c r="H70" i="1"/>
  <c r="R1487" i="2"/>
  <c r="G126" i="1"/>
  <c r="H460" i="1"/>
  <c r="G514" i="1"/>
  <c r="H35" i="1"/>
  <c r="H280" i="1"/>
  <c r="H60" i="1"/>
  <c r="H134" i="1"/>
  <c r="G548" i="1"/>
  <c r="G167" i="1"/>
  <c r="H79" i="1"/>
  <c r="H43" i="1"/>
  <c r="G79" i="1"/>
  <c r="G17" i="1"/>
  <c r="H223" i="1"/>
  <c r="G65" i="1"/>
  <c r="H90" i="1"/>
  <c r="G223" i="1"/>
  <c r="G303" i="1"/>
  <c r="G394" i="1"/>
  <c r="G121" i="1"/>
  <c r="H392" i="1"/>
  <c r="H480" i="1"/>
  <c r="H168" i="1"/>
  <c r="R744" i="2"/>
  <c r="H352" i="1"/>
  <c r="H544" i="1"/>
  <c r="H65" i="1"/>
  <c r="G98" i="1"/>
  <c r="G2" i="1"/>
  <c r="V1380" i="2"/>
  <c r="G128" i="1"/>
  <c r="G60" i="1"/>
  <c r="G82" i="1"/>
  <c r="H394" i="1"/>
  <c r="G280" i="1"/>
  <c r="H138" i="1"/>
  <c r="H98" i="1"/>
  <c r="G138" i="1"/>
  <c r="H128" i="1"/>
  <c r="R1606" i="2"/>
  <c r="V1606" i="2" s="1"/>
  <c r="I427" i="1" s="1"/>
  <c r="R932" i="2"/>
  <c r="H267" i="1"/>
  <c r="P1610" i="2"/>
  <c r="G429" i="1"/>
  <c r="P1367" i="2"/>
  <c r="H6" i="1"/>
  <c r="R27" i="2"/>
  <c r="R814" i="2"/>
  <c r="H232" i="1"/>
  <c r="P2096" i="2"/>
  <c r="G549" i="1"/>
  <c r="G90" i="1"/>
  <c r="G510" i="1"/>
  <c r="P1940" i="2"/>
  <c r="R2089" i="2"/>
  <c r="U2089" i="2" s="1"/>
  <c r="H526" i="1"/>
  <c r="R1277" i="2"/>
  <c r="U1277" i="2" s="1"/>
  <c r="H343" i="1"/>
  <c r="R1570" i="2"/>
  <c r="U1570" i="2" s="1"/>
  <c r="H417" i="1"/>
  <c r="R1482" i="2"/>
  <c r="U1482" i="2" s="1"/>
  <c r="H387" i="1"/>
  <c r="R1885" i="2"/>
  <c r="U1885" i="2" s="1"/>
  <c r="H497" i="1"/>
  <c r="R1411" i="2"/>
  <c r="H378" i="1"/>
  <c r="H514" i="1"/>
  <c r="R1352" i="2"/>
  <c r="H363" i="1"/>
  <c r="R2141" i="2"/>
  <c r="U2141" i="2" s="1"/>
  <c r="H567" i="1"/>
  <c r="H118" i="1"/>
  <c r="H179" i="1"/>
  <c r="H494" i="1"/>
  <c r="P1643" i="2"/>
  <c r="R1643" i="2" s="1"/>
  <c r="U1643" i="2" s="1"/>
  <c r="G434" i="1"/>
  <c r="V1404" i="2"/>
  <c r="U1404" i="2"/>
  <c r="G556" i="1"/>
  <c r="H233" i="1"/>
  <c r="G139" i="1"/>
  <c r="H82" i="1"/>
  <c r="P1597" i="2"/>
  <c r="G421" i="1"/>
  <c r="P160" i="2"/>
  <c r="R160" i="2" s="1"/>
  <c r="G54" i="1"/>
  <c r="H160" i="1"/>
  <c r="G3" i="1"/>
  <c r="G562" i="1"/>
  <c r="R2042" i="2"/>
  <c r="U2042" i="2" s="1"/>
  <c r="G14" i="1"/>
  <c r="H388" i="1"/>
  <c r="V1274" i="2"/>
  <c r="I340" i="1" s="1"/>
  <c r="H261" i="1"/>
  <c r="H564" i="1"/>
  <c r="G563" i="1"/>
  <c r="H189" i="1"/>
  <c r="R1543" i="2"/>
  <c r="G545" i="1"/>
  <c r="V1331" i="2"/>
  <c r="I359" i="1" s="1"/>
  <c r="H133" i="1"/>
  <c r="G13" i="1"/>
  <c r="H13" i="1"/>
  <c r="R94" i="2"/>
  <c r="R881" i="2"/>
  <c r="H10" i="1"/>
  <c r="R1040" i="2"/>
  <c r="H395" i="1"/>
  <c r="R1923" i="2"/>
  <c r="U1923" i="2" s="1"/>
  <c r="H568" i="1"/>
  <c r="H546" i="1"/>
  <c r="P2115" i="2"/>
  <c r="R2115" i="2" s="1"/>
  <c r="U2115" i="2" s="1"/>
  <c r="G551" i="1"/>
  <c r="R1406" i="2"/>
  <c r="R1768" i="2"/>
  <c r="U1768" i="2" s="1"/>
  <c r="H17" i="1"/>
  <c r="R523" i="2"/>
  <c r="D3" i="9"/>
  <c r="G5" i="1"/>
  <c r="H545" i="1"/>
  <c r="H28" i="1"/>
  <c r="R1486" i="2"/>
  <c r="V1486" i="2" s="1"/>
  <c r="I390" i="1" s="1"/>
  <c r="G546" i="1"/>
  <c r="G568" i="1"/>
  <c r="G564" i="1"/>
  <c r="H519" i="1"/>
  <c r="R1402" i="2"/>
  <c r="H371" i="1"/>
  <c r="R1604" i="2"/>
  <c r="U1604" i="2" s="1"/>
  <c r="R2033" i="2"/>
  <c r="U2033" i="2" s="1"/>
  <c r="G173" i="1"/>
  <c r="R1682" i="2"/>
  <c r="U1682" i="2" s="1"/>
  <c r="V1731" i="2"/>
  <c r="U1731" i="2"/>
  <c r="P1715" i="2"/>
  <c r="G461" i="1"/>
  <c r="V1730" i="2"/>
  <c r="U1730" i="2"/>
  <c r="V1719" i="2"/>
  <c r="U1719" i="2"/>
  <c r="V1716" i="2"/>
  <c r="U1716" i="2"/>
  <c r="G453" i="1"/>
  <c r="P1710" i="2"/>
  <c r="R1710" i="2" s="1"/>
  <c r="U1710" i="2" s="1"/>
  <c r="U1721" i="2"/>
  <c r="V1721" i="2"/>
  <c r="U1724" i="2"/>
  <c r="V1724" i="2"/>
  <c r="V1684" i="2"/>
  <c r="U1684" i="2"/>
  <c r="V1686" i="2"/>
  <c r="U1686" i="2"/>
  <c r="V1726" i="2"/>
  <c r="U1726" i="2"/>
  <c r="V1725" i="2"/>
  <c r="U1725" i="2"/>
  <c r="P1793" i="2"/>
  <c r="U1685" i="2"/>
  <c r="V1685" i="2"/>
  <c r="G505" i="1"/>
  <c r="P1912" i="2"/>
  <c r="V1718" i="2"/>
  <c r="U1718" i="2"/>
  <c r="U1717" i="2"/>
  <c r="V1717" i="2"/>
  <c r="P996" i="2"/>
  <c r="G296" i="1"/>
  <c r="P1944" i="2"/>
  <c r="G512" i="1"/>
  <c r="G170" i="1"/>
  <c r="P618" i="2"/>
  <c r="P1616" i="2"/>
  <c r="G430" i="1"/>
  <c r="P1652" i="2"/>
  <c r="G440" i="1"/>
  <c r="P1179" i="2"/>
  <c r="G320" i="1"/>
  <c r="P387" i="2"/>
  <c r="G107" i="1"/>
  <c r="V1342" i="2"/>
  <c r="U1342" i="2"/>
  <c r="V1341" i="2"/>
  <c r="U1341" i="2"/>
  <c r="U1382" i="2"/>
  <c r="V1382" i="2"/>
  <c r="G491" i="1"/>
  <c r="P1844" i="2"/>
  <c r="P820" i="2"/>
  <c r="G235" i="1"/>
  <c r="P1893" i="2"/>
  <c r="R1893" i="2" s="1"/>
  <c r="U1893" i="2" s="1"/>
  <c r="G500" i="1"/>
  <c r="G361" i="1"/>
  <c r="P1339" i="2"/>
  <c r="V1383" i="2"/>
  <c r="U1383" i="2"/>
  <c r="R489" i="2"/>
  <c r="H126" i="1"/>
  <c r="P174" i="2"/>
  <c r="G57" i="1"/>
  <c r="G104" i="1"/>
  <c r="P373" i="2"/>
  <c r="P239" i="2"/>
  <c r="G73" i="1"/>
  <c r="R2058" i="2"/>
  <c r="U2058" i="2" s="1"/>
  <c r="H541" i="1"/>
  <c r="U1343" i="2"/>
  <c r="V1343" i="2"/>
  <c r="V1384" i="2"/>
  <c r="U1384" i="2"/>
  <c r="G529" i="1"/>
  <c r="P1997" i="2"/>
  <c r="V1309" i="2"/>
  <c r="U1309" i="2"/>
  <c r="P1288" i="2"/>
  <c r="G346" i="1"/>
  <c r="G257" i="1"/>
  <c r="P897" i="2"/>
  <c r="V1344" i="2"/>
  <c r="U1344" i="2"/>
  <c r="V1347" i="2"/>
  <c r="U1347" i="2"/>
  <c r="P1378" i="2"/>
  <c r="G368" i="1"/>
  <c r="U1385" i="2"/>
  <c r="V1385" i="2"/>
  <c r="H509" i="1"/>
  <c r="P294" i="2"/>
  <c r="G87" i="1"/>
  <c r="P768" i="2"/>
  <c r="G220" i="1"/>
  <c r="P705" i="2"/>
  <c r="G197" i="1"/>
  <c r="V1349" i="2"/>
  <c r="U1349" i="2"/>
  <c r="U1340" i="2"/>
  <c r="V1340" i="2"/>
  <c r="U1379" i="2"/>
  <c r="V1379" i="2"/>
  <c r="P682" i="2"/>
  <c r="G190" i="1"/>
  <c r="G274" i="1"/>
  <c r="P981" i="2"/>
  <c r="P1269" i="2"/>
  <c r="G339" i="1"/>
  <c r="H48" i="1"/>
  <c r="R143" i="2"/>
  <c r="P181" i="2"/>
  <c r="G58" i="1"/>
  <c r="P500" i="2"/>
  <c r="G129" i="1"/>
  <c r="U1346" i="2"/>
  <c r="V1346" i="2"/>
  <c r="R1084" i="2"/>
  <c r="R1677" i="2"/>
  <c r="U1677" i="2" s="1"/>
  <c r="H276" i="1"/>
  <c r="U1723" i="2"/>
  <c r="D4" i="9"/>
  <c r="H211" i="1"/>
  <c r="U1434" i="2"/>
  <c r="V1434" i="2"/>
  <c r="P2146" i="2"/>
  <c r="G571" i="1"/>
  <c r="R2137" i="2"/>
  <c r="U2137" i="2" s="1"/>
  <c r="H566" i="1"/>
  <c r="R17" i="2"/>
  <c r="H4" i="1"/>
  <c r="R617" i="2"/>
  <c r="H169" i="1"/>
  <c r="V1454" i="2"/>
  <c r="U1454" i="2"/>
  <c r="R82" i="2"/>
  <c r="P1279" i="2"/>
  <c r="P1087" i="2"/>
  <c r="P1856" i="2"/>
  <c r="G492" i="1"/>
  <c r="P1695" i="2"/>
  <c r="P2043" i="2"/>
  <c r="G540" i="1"/>
  <c r="P1000" i="2"/>
  <c r="G279" i="1"/>
  <c r="P1319" i="2"/>
  <c r="G356" i="1"/>
  <c r="G511" i="1"/>
  <c r="P1942" i="2"/>
  <c r="P1122" i="2"/>
  <c r="G307" i="1"/>
  <c r="P649" i="2"/>
  <c r="V1325" i="2"/>
  <c r="U1325" i="2"/>
  <c r="P1213" i="2"/>
  <c r="G324" i="1"/>
  <c r="P1448" i="2"/>
  <c r="G383" i="1"/>
  <c r="P950" i="2"/>
  <c r="P1502" i="2"/>
  <c r="P1078" i="2"/>
  <c r="G268" i="1"/>
  <c r="V1322" i="2"/>
  <c r="U1322" i="2"/>
  <c r="P1989" i="2"/>
  <c r="G528" i="1"/>
  <c r="R1841" i="2"/>
  <c r="U1841" i="2" s="1"/>
  <c r="H482" i="1"/>
  <c r="G10" i="1"/>
  <c r="R1405" i="2"/>
  <c r="U1405" i="2" s="1"/>
  <c r="H31" i="1"/>
  <c r="R88" i="2"/>
  <c r="R1973" i="2"/>
  <c r="U1973" i="2" s="1"/>
  <c r="H518" i="1"/>
  <c r="R390" i="2"/>
  <c r="H108" i="1"/>
  <c r="G566" i="1"/>
  <c r="G4" i="1"/>
  <c r="H5" i="1"/>
  <c r="P9" i="2"/>
  <c r="R67" i="2"/>
  <c r="H22" i="1"/>
  <c r="H49" i="1"/>
  <c r="R144" i="2"/>
  <c r="H74" i="1"/>
  <c r="R241" i="2"/>
  <c r="H503" i="1"/>
  <c r="R1908" i="2"/>
  <c r="U1908" i="2" s="1"/>
  <c r="H375" i="1"/>
  <c r="R1408" i="2"/>
  <c r="R1608" i="2"/>
  <c r="H426" i="1"/>
  <c r="P2066" i="2"/>
  <c r="G543" i="1"/>
  <c r="H210" i="1"/>
  <c r="R738" i="2"/>
  <c r="V1771" i="2"/>
  <c r="U1771" i="2"/>
  <c r="R2104" i="2"/>
  <c r="U2104" i="2" s="1"/>
  <c r="H552" i="1"/>
  <c r="R809" i="2"/>
  <c r="H230" i="1"/>
  <c r="R936" i="2"/>
  <c r="H275" i="1"/>
  <c r="U1609" i="2"/>
  <c r="V1609" i="2"/>
  <c r="I428" i="1" s="1"/>
  <c r="R527" i="2"/>
  <c r="H142" i="1"/>
  <c r="V1302" i="2"/>
  <c r="U1302" i="2"/>
  <c r="H14" i="1"/>
  <c r="R718" i="2"/>
  <c r="H202" i="1"/>
  <c r="H203" i="1"/>
  <c r="R719" i="2"/>
  <c r="R1216" i="2"/>
  <c r="H329" i="1"/>
  <c r="R1409" i="2"/>
  <c r="U1409" i="2" s="1"/>
  <c r="H376" i="1"/>
  <c r="H474" i="1"/>
  <c r="R1783" i="2"/>
  <c r="U1783" i="2" s="1"/>
  <c r="R1353" i="2"/>
  <c r="R1983" i="2"/>
  <c r="U1983" i="2" s="1"/>
  <c r="H525" i="1"/>
  <c r="R2110" i="2"/>
  <c r="H558" i="1"/>
  <c r="V1475" i="2"/>
  <c r="U1475" i="2"/>
  <c r="U1830" i="2"/>
  <c r="V1830" i="2"/>
  <c r="V1381" i="2"/>
  <c r="U1381" i="2"/>
  <c r="R630" i="2"/>
  <c r="H175" i="1"/>
  <c r="R432" i="2"/>
  <c r="H115" i="1"/>
  <c r="H180" i="1"/>
  <c r="R644" i="2"/>
  <c r="H132" i="1"/>
  <c r="R508" i="2"/>
  <c r="R1351" i="2"/>
  <c r="H362" i="1"/>
  <c r="V1458" i="2"/>
  <c r="I384" i="1" s="1"/>
  <c r="U1458" i="2"/>
  <c r="R1842" i="2"/>
  <c r="U1842" i="2" s="1"/>
  <c r="H483" i="1"/>
  <c r="R2034" i="2"/>
  <c r="U2034" i="2" s="1"/>
  <c r="H534" i="1"/>
  <c r="H563" i="1"/>
  <c r="R2118" i="2"/>
  <c r="U2118" i="2" s="1"/>
  <c r="V1817" i="2"/>
  <c r="U1817" i="2"/>
  <c r="H46" i="1"/>
  <c r="R137" i="2"/>
  <c r="R545" i="2"/>
  <c r="H150" i="1"/>
  <c r="R916" i="2"/>
  <c r="H260" i="1"/>
  <c r="R93" i="2"/>
  <c r="H36" i="1"/>
  <c r="R704" i="2"/>
  <c r="H196" i="1"/>
  <c r="H239" i="1"/>
  <c r="R840" i="2"/>
  <c r="H9" i="1"/>
  <c r="R30" i="2"/>
  <c r="R1188" i="2"/>
  <c r="H323" i="1"/>
  <c r="R1648" i="2"/>
  <c r="U1648" i="2" s="1"/>
  <c r="H436" i="1"/>
  <c r="R2088" i="2"/>
  <c r="U2088" i="2" s="1"/>
  <c r="H547" i="1"/>
  <c r="R2107" i="2"/>
  <c r="U2107" i="2" s="1"/>
  <c r="H555" i="1"/>
  <c r="U1729" i="2"/>
  <c r="V1729" i="2"/>
  <c r="I462" i="1" s="1"/>
  <c r="R2100" i="2"/>
  <c r="H551" i="1"/>
  <c r="H3" i="1"/>
  <c r="R16" i="2"/>
  <c r="U1354" i="2"/>
  <c r="V1354" i="2"/>
  <c r="I365" i="1" s="1"/>
  <c r="R292" i="2"/>
  <c r="H85" i="1"/>
  <c r="R732" i="2"/>
  <c r="H207" i="1"/>
  <c r="R629" i="2"/>
  <c r="H174" i="1"/>
  <c r="R1039" i="2"/>
  <c r="H289" i="1"/>
  <c r="R1649" i="2"/>
  <c r="U1649" i="2" s="1"/>
  <c r="H437" i="1"/>
  <c r="R1566" i="2"/>
  <c r="U1566" i="2" s="1"/>
  <c r="H414" i="1"/>
  <c r="V1306" i="2"/>
  <c r="I351" i="1" s="1"/>
  <c r="U1306" i="2"/>
  <c r="H502" i="1"/>
  <c r="R1907" i="2"/>
  <c r="U1907" i="2" s="1"/>
  <c r="R2093" i="2"/>
  <c r="U2093" i="2" s="1"/>
  <c r="H548" i="1"/>
  <c r="R1651" i="2"/>
  <c r="U1651" i="2" s="1"/>
  <c r="H439" i="1"/>
  <c r="V1330" i="2"/>
  <c r="I358" i="1" s="1"/>
  <c r="U1330" i="2"/>
  <c r="R1972" i="2"/>
  <c r="U1972" i="2" s="1"/>
  <c r="H517" i="1"/>
  <c r="R594" i="2"/>
  <c r="H162" i="1"/>
  <c r="R842" i="2"/>
  <c r="H241" i="1"/>
  <c r="R546" i="2"/>
  <c r="H151" i="1"/>
  <c r="R155" i="2"/>
  <c r="H51" i="1"/>
  <c r="R1082" i="2"/>
  <c r="H297" i="1"/>
  <c r="R1980" i="2"/>
  <c r="U1980" i="2" s="1"/>
  <c r="H522" i="1"/>
  <c r="U1740" i="2"/>
  <c r="V1740" i="2"/>
  <c r="I464" i="1" s="1"/>
  <c r="R2111" i="2"/>
  <c r="U2111" i="2" s="1"/>
  <c r="H559" i="1"/>
  <c r="V1794" i="2"/>
  <c r="V1394" i="2" l="1"/>
  <c r="H479" i="1"/>
  <c r="G335" i="1"/>
  <c r="Q2" i="2"/>
  <c r="V1414" i="2"/>
  <c r="U1414" i="2"/>
  <c r="G321" i="1"/>
  <c r="P1888" i="2"/>
  <c r="G493" i="1"/>
  <c r="P1418" i="2"/>
  <c r="G380" i="1"/>
  <c r="R1248" i="2"/>
  <c r="U1248" i="2" s="1"/>
  <c r="H336" i="1"/>
  <c r="R659" i="2"/>
  <c r="H185" i="1"/>
  <c r="U1355" i="2"/>
  <c r="V1355" i="2"/>
  <c r="I366" i="1" s="1"/>
  <c r="P1576" i="2"/>
  <c r="G327" i="1"/>
  <c r="V1360" i="2"/>
  <c r="U1360" i="2"/>
  <c r="P664" i="2"/>
  <c r="G187" i="1"/>
  <c r="G53" i="1"/>
  <c r="P158" i="2"/>
  <c r="V1356" i="2"/>
  <c r="U1356" i="2"/>
  <c r="R1328" i="2"/>
  <c r="H357" i="1"/>
  <c r="V1827" i="2"/>
  <c r="U1827" i="2"/>
  <c r="H321" i="1"/>
  <c r="R1184" i="2"/>
  <c r="P1477" i="2"/>
  <c r="G386" i="1"/>
  <c r="P572" i="2"/>
  <c r="G159" i="1"/>
  <c r="R1934" i="2"/>
  <c r="U1934" i="2" s="1"/>
  <c r="H508" i="1"/>
  <c r="P598" i="2"/>
  <c r="G163" i="1"/>
  <c r="U1318" i="2"/>
  <c r="V1318" i="2"/>
  <c r="G333" i="1"/>
  <c r="U1557" i="2"/>
  <c r="V1557" i="2"/>
  <c r="O2184" i="2"/>
  <c r="G479" i="1"/>
  <c r="U1320" i="2"/>
  <c r="V1320" i="2"/>
  <c r="R1027" i="2"/>
  <c r="H284" i="1"/>
  <c r="G153" i="1"/>
  <c r="H333" i="1"/>
  <c r="V1556" i="2"/>
  <c r="U1556" i="2"/>
  <c r="R549" i="2"/>
  <c r="H153" i="1"/>
  <c r="U1828" i="2"/>
  <c r="V1828" i="2"/>
  <c r="V1820" i="2"/>
  <c r="I479" i="1" s="1"/>
  <c r="U1820" i="2"/>
  <c r="P585" i="2"/>
  <c r="G161" i="1"/>
  <c r="H577" i="1"/>
  <c r="G300" i="1"/>
  <c r="G472" i="1"/>
  <c r="V1776" i="2"/>
  <c r="I473" i="1" s="1"/>
  <c r="V1389" i="2"/>
  <c r="G407" i="1"/>
  <c r="V1374" i="2"/>
  <c r="G396" i="1"/>
  <c r="G218" i="1"/>
  <c r="G272" i="1"/>
  <c r="H272" i="1"/>
  <c r="G379" i="1"/>
  <c r="V1777" i="2"/>
  <c r="I472" i="1" s="1"/>
  <c r="G442" i="1"/>
  <c r="H442" i="1"/>
  <c r="V1230" i="2"/>
  <c r="U1230" i="2"/>
  <c r="P528" i="2"/>
  <c r="G143" i="1"/>
  <c r="U1413" i="2"/>
  <c r="V1413" i="2"/>
  <c r="R1534" i="2"/>
  <c r="U1534" i="2" s="1"/>
  <c r="H407" i="1"/>
  <c r="U1778" i="2"/>
  <c r="V1778" i="2"/>
  <c r="G366" i="1"/>
  <c r="P1335" i="2"/>
  <c r="G359" i="1"/>
  <c r="V1579" i="2"/>
  <c r="I419" i="1" s="1"/>
  <c r="U1579" i="2"/>
  <c r="R1357" i="2"/>
  <c r="H366" i="1"/>
  <c r="P1876" i="2"/>
  <c r="G495" i="1"/>
  <c r="P1506" i="2"/>
  <c r="G397" i="1"/>
  <c r="G513" i="1"/>
  <c r="R1168" i="2"/>
  <c r="H318" i="1"/>
  <c r="V1782" i="2"/>
  <c r="U1782" i="2"/>
  <c r="R1946" i="2"/>
  <c r="U1946" i="2" s="1"/>
  <c r="H513" i="1"/>
  <c r="U1359" i="2"/>
  <c r="V1359" i="2"/>
  <c r="P1257" i="2"/>
  <c r="G337" i="1"/>
  <c r="G347" i="1"/>
  <c r="P1889" i="2"/>
  <c r="G499" i="1"/>
  <c r="P1741" i="2"/>
  <c r="G465" i="1"/>
  <c r="U1358" i="2"/>
  <c r="V1358" i="2"/>
  <c r="P1785" i="2"/>
  <c r="G476" i="1"/>
  <c r="P1898" i="2"/>
  <c r="G501" i="1"/>
  <c r="R1293" i="2"/>
  <c r="U1293" i="2" s="1"/>
  <c r="H347" i="1"/>
  <c r="V1815" i="2"/>
  <c r="U1815" i="2"/>
  <c r="U1816" i="2"/>
  <c r="V1816" i="2"/>
  <c r="U1819" i="2"/>
  <c r="V1819" i="2"/>
  <c r="P1770" i="2"/>
  <c r="G470" i="1"/>
  <c r="P1814" i="2"/>
  <c r="G478" i="1"/>
  <c r="V1772" i="2"/>
  <c r="U1772" i="2"/>
  <c r="G454" i="1"/>
  <c r="C11" i="9"/>
  <c r="D11" i="9" s="1"/>
  <c r="C7" i="9"/>
  <c r="D7" i="9" s="1"/>
  <c r="G236" i="1"/>
  <c r="H236" i="1"/>
  <c r="C18" i="9"/>
  <c r="D18" i="9" s="1"/>
  <c r="G182" i="1"/>
  <c r="U1606" i="2"/>
  <c r="P568" i="2"/>
  <c r="G158" i="1"/>
  <c r="P734" i="2"/>
  <c r="G208" i="1"/>
  <c r="U1376" i="2"/>
  <c r="V1376" i="2"/>
  <c r="M2" i="2"/>
  <c r="C6" i="9"/>
  <c r="D6" i="9" s="1"/>
  <c r="C10" i="9"/>
  <c r="D10" i="9" s="1"/>
  <c r="G273" i="1"/>
  <c r="C14" i="9"/>
  <c r="D14" i="9" s="1"/>
  <c r="C9" i="9"/>
  <c r="D9" i="9" s="1"/>
  <c r="C12" i="9"/>
  <c r="D12" i="9" s="1"/>
  <c r="G338" i="1"/>
  <c r="G475" i="1"/>
  <c r="C17" i="9"/>
  <c r="D17" i="9" s="1"/>
  <c r="C13" i="9"/>
  <c r="D13" i="9" s="1"/>
  <c r="G367" i="1"/>
  <c r="C15" i="9"/>
  <c r="D15" i="9" s="1"/>
  <c r="C16" i="9"/>
  <c r="D16" i="9" s="1"/>
  <c r="H463" i="1"/>
  <c r="G463" i="1"/>
  <c r="V1739" i="2"/>
  <c r="U1739" i="2"/>
  <c r="G21" i="1"/>
  <c r="P423" i="2"/>
  <c r="U1587" i="2"/>
  <c r="V1587" i="2"/>
  <c r="P504" i="2"/>
  <c r="G130" i="1"/>
  <c r="P448" i="2"/>
  <c r="G120" i="1"/>
  <c r="V1735" i="2"/>
  <c r="U1735" i="2"/>
  <c r="P122" i="2"/>
  <c r="G42" i="1"/>
  <c r="P894" i="2"/>
  <c r="G256" i="1"/>
  <c r="P484" i="2"/>
  <c r="G119" i="1"/>
  <c r="U1588" i="2"/>
  <c r="V1588" i="2"/>
  <c r="G47" i="1"/>
  <c r="P139" i="2"/>
  <c r="P427" i="2"/>
  <c r="G44" i="1"/>
  <c r="V1584" i="2"/>
  <c r="U1584" i="2"/>
  <c r="R1638" i="2"/>
  <c r="U1638" i="2" s="1"/>
  <c r="H433" i="1"/>
  <c r="U1586" i="2"/>
  <c r="V1586" i="2"/>
  <c r="P511" i="2"/>
  <c r="G135" i="1"/>
  <c r="U1738" i="2"/>
  <c r="V1738" i="2"/>
  <c r="P538" i="2"/>
  <c r="G148" i="1"/>
  <c r="P1583" i="2"/>
  <c r="G420" i="1"/>
  <c r="V1736" i="2"/>
  <c r="U1736" i="2"/>
  <c r="P923" i="2"/>
  <c r="G219" i="1"/>
  <c r="P444" i="2"/>
  <c r="G116" i="1"/>
  <c r="P1678" i="2"/>
  <c r="G451" i="1"/>
  <c r="U1585" i="2"/>
  <c r="V1585" i="2"/>
  <c r="H562" i="1"/>
  <c r="P2004" i="2"/>
  <c r="G530" i="1"/>
  <c r="P218" i="2"/>
  <c r="G69" i="1"/>
  <c r="P788" i="2"/>
  <c r="G227" i="1"/>
  <c r="P560" i="2"/>
  <c r="G156" i="1"/>
  <c r="P1396" i="2"/>
  <c r="G370" i="1"/>
  <c r="P1053" i="2"/>
  <c r="G294" i="1"/>
  <c r="P162" i="2"/>
  <c r="G55" i="1"/>
  <c r="P393" i="2"/>
  <c r="G110" i="1"/>
  <c r="V1395" i="2"/>
  <c r="U1395" i="2"/>
  <c r="V1369" i="2"/>
  <c r="U1369" i="2"/>
  <c r="V1366" i="2"/>
  <c r="U1366" i="2"/>
  <c r="P2059" i="2"/>
  <c r="G542" i="1"/>
  <c r="P327" i="2"/>
  <c r="G96" i="1"/>
  <c r="P920" i="2"/>
  <c r="G262" i="1"/>
  <c r="V1791" i="2"/>
  <c r="U1791" i="2"/>
  <c r="U1786" i="2"/>
  <c r="V1786" i="2"/>
  <c r="I475" i="1" s="1"/>
  <c r="U1803" i="2"/>
  <c r="V1803" i="2"/>
  <c r="U1801" i="2"/>
  <c r="V1801" i="2"/>
  <c r="P97" i="2"/>
  <c r="G40" i="1"/>
  <c r="G164" i="1"/>
  <c r="P601" i="2"/>
  <c r="U1759" i="2"/>
  <c r="V1759" i="2"/>
  <c r="U1751" i="2"/>
  <c r="V1751" i="2"/>
  <c r="P2013" i="2"/>
  <c r="G532" i="1"/>
  <c r="P363" i="2"/>
  <c r="G102" i="1"/>
  <c r="P74" i="2"/>
  <c r="G25" i="1"/>
  <c r="U1397" i="2"/>
  <c r="V1397" i="2"/>
  <c r="P213" i="2"/>
  <c r="G67" i="1"/>
  <c r="P332" i="2"/>
  <c r="G97" i="1"/>
  <c r="P59" i="2"/>
  <c r="G20" i="1"/>
  <c r="P1512" i="2"/>
  <c r="G398" i="1"/>
  <c r="V1391" i="2"/>
  <c r="U1391" i="2"/>
  <c r="V1372" i="2"/>
  <c r="U1372" i="2"/>
  <c r="U1361" i="2"/>
  <c r="V1361" i="2"/>
  <c r="I367" i="1" s="1"/>
  <c r="P109" i="2"/>
  <c r="G41" i="1"/>
  <c r="P759" i="2"/>
  <c r="G192" i="1"/>
  <c r="U1796" i="2"/>
  <c r="V1796" i="2"/>
  <c r="U1809" i="2"/>
  <c r="V1809" i="2"/>
  <c r="V1810" i="2"/>
  <c r="U1810" i="2"/>
  <c r="V1788" i="2"/>
  <c r="U1788" i="2"/>
  <c r="P416" i="2"/>
  <c r="G117" i="1"/>
  <c r="V1764" i="2"/>
  <c r="U1764" i="2"/>
  <c r="P1745" i="2"/>
  <c r="G466" i="1"/>
  <c r="V1769" i="2"/>
  <c r="I469" i="1" s="1"/>
  <c r="P357" i="2"/>
  <c r="G100" i="1"/>
  <c r="P299" i="2"/>
  <c r="G89" i="1"/>
  <c r="P266" i="2"/>
  <c r="G80" i="1"/>
  <c r="P1043" i="2"/>
  <c r="G292" i="1"/>
  <c r="V1398" i="2"/>
  <c r="U1398" i="2"/>
  <c r="P297" i="2"/>
  <c r="G88" i="1"/>
  <c r="P1124" i="2"/>
  <c r="G308" i="1"/>
  <c r="P145" i="2"/>
  <c r="G50" i="1"/>
  <c r="P815" i="2"/>
  <c r="G234" i="1"/>
  <c r="R762" i="2"/>
  <c r="H218" i="1"/>
  <c r="U1362" i="2"/>
  <c r="V1362" i="2"/>
  <c r="V1390" i="2"/>
  <c r="U1390" i="2"/>
  <c r="P1109" i="2"/>
  <c r="G304" i="1"/>
  <c r="G71" i="1"/>
  <c r="P433" i="2"/>
  <c r="P377" i="2"/>
  <c r="G106" i="1"/>
  <c r="P693" i="2"/>
  <c r="G194" i="1"/>
  <c r="P874" i="2"/>
  <c r="G251" i="1"/>
  <c r="V1805" i="2"/>
  <c r="U1805" i="2"/>
  <c r="U1790" i="2"/>
  <c r="V1790" i="2"/>
  <c r="V1802" i="2"/>
  <c r="U1802" i="2"/>
  <c r="U1800" i="2"/>
  <c r="V1800" i="2"/>
  <c r="V1591" i="2"/>
  <c r="U1591" i="2"/>
  <c r="P319" i="2"/>
  <c r="G93" i="1"/>
  <c r="V1749" i="2"/>
  <c r="U1749" i="2"/>
  <c r="V1748" i="2"/>
  <c r="U1748" i="2"/>
  <c r="P310" i="2"/>
  <c r="G92" i="1"/>
  <c r="R741" i="2"/>
  <c r="H212" i="1"/>
  <c r="P70" i="2"/>
  <c r="G32" i="1"/>
  <c r="P1440" i="2"/>
  <c r="G382" i="1"/>
  <c r="V1400" i="2"/>
  <c r="U1400" i="2"/>
  <c r="R265" i="2"/>
  <c r="P729" i="2"/>
  <c r="G206" i="1"/>
  <c r="V1377" i="2"/>
  <c r="U1377" i="2"/>
  <c r="V1373" i="2"/>
  <c r="U1373" i="2"/>
  <c r="P281" i="2"/>
  <c r="G83" i="1"/>
  <c r="P810" i="2"/>
  <c r="G231" i="1"/>
  <c r="V1808" i="2"/>
  <c r="U1808" i="2"/>
  <c r="U1789" i="2"/>
  <c r="V1789" i="2"/>
  <c r="V1798" i="2"/>
  <c r="U1798" i="2"/>
  <c r="U1795" i="2"/>
  <c r="V1795" i="2"/>
  <c r="P1589" i="2"/>
  <c r="G263" i="1"/>
  <c r="P375" i="2"/>
  <c r="G105" i="1"/>
  <c r="V1754" i="2"/>
  <c r="U1754" i="2"/>
  <c r="U1752" i="2"/>
  <c r="V1752" i="2"/>
  <c r="V1756" i="2"/>
  <c r="U1756" i="2"/>
  <c r="P829" i="2"/>
  <c r="G237" i="1"/>
  <c r="P639" i="2"/>
  <c r="G178" i="1"/>
  <c r="V1401" i="2"/>
  <c r="U1401" i="2"/>
  <c r="P261" i="2"/>
  <c r="R261" i="2" s="1"/>
  <c r="G78" i="1"/>
  <c r="P286" i="2"/>
  <c r="G84" i="1"/>
  <c r="P712" i="2"/>
  <c r="G200" i="1"/>
  <c r="U1370" i="2"/>
  <c r="V1370" i="2"/>
  <c r="V1364" i="2"/>
  <c r="U1364" i="2"/>
  <c r="P243" i="2"/>
  <c r="G76" i="1"/>
  <c r="U1804" i="2"/>
  <c r="V1804" i="2"/>
  <c r="V1792" i="2"/>
  <c r="U1792" i="2"/>
  <c r="V1806" i="2"/>
  <c r="U1806" i="2"/>
  <c r="U1807" i="2"/>
  <c r="V1807" i="2"/>
  <c r="V1595" i="2"/>
  <c r="U1595" i="2"/>
  <c r="V1763" i="2"/>
  <c r="U1763" i="2"/>
  <c r="U1747" i="2"/>
  <c r="V1747" i="2"/>
  <c r="U1760" i="2"/>
  <c r="V1760" i="2"/>
  <c r="P273" i="2"/>
  <c r="G81" i="1"/>
  <c r="P45" i="2"/>
  <c r="G16" i="1"/>
  <c r="C8" i="9"/>
  <c r="D8" i="9" s="1"/>
  <c r="P401" i="2"/>
  <c r="G111" i="1"/>
  <c r="V1399" i="2"/>
  <c r="U1399" i="2"/>
  <c r="R1203" i="2"/>
  <c r="H325" i="1"/>
  <c r="P71" i="2"/>
  <c r="G24" i="1"/>
  <c r="V1371" i="2"/>
  <c r="U1371" i="2"/>
  <c r="U1368" i="2"/>
  <c r="V1368" i="2"/>
  <c r="U1797" i="2"/>
  <c r="V1797" i="2"/>
  <c r="U1799" i="2"/>
  <c r="V1799" i="2"/>
  <c r="V1787" i="2"/>
  <c r="U1787" i="2"/>
  <c r="P745" i="2"/>
  <c r="G216" i="1"/>
  <c r="U1746" i="2"/>
  <c r="V1746" i="2"/>
  <c r="U1750" i="2"/>
  <c r="V1750" i="2"/>
  <c r="P1059" i="2"/>
  <c r="G295" i="1"/>
  <c r="H62" i="1"/>
  <c r="R208" i="2"/>
  <c r="H176" i="1"/>
  <c r="R634" i="2"/>
  <c r="R1549" i="2"/>
  <c r="U1549" i="2" s="1"/>
  <c r="H410" i="1"/>
  <c r="R1779" i="2"/>
  <c r="H472" i="1"/>
  <c r="R692" i="2"/>
  <c r="H193" i="1"/>
  <c r="R40" i="2"/>
  <c r="H12" i="1"/>
  <c r="R1386" i="2"/>
  <c r="H369" i="1"/>
  <c r="H38" i="1"/>
  <c r="R95" i="2"/>
  <c r="R1157" i="2"/>
  <c r="H315" i="1"/>
  <c r="R928" i="2"/>
  <c r="H264" i="1"/>
  <c r="U1486" i="2"/>
  <c r="U1487" i="2"/>
  <c r="V1487" i="2"/>
  <c r="I391" i="1" s="1"/>
  <c r="H434" i="1"/>
  <c r="V1352" i="2"/>
  <c r="I363" i="1" s="1"/>
  <c r="U1352" i="2"/>
  <c r="R2096" i="2"/>
  <c r="U2096" i="2" s="1"/>
  <c r="H549" i="1"/>
  <c r="R1367" i="2"/>
  <c r="H367" i="1"/>
  <c r="R1940" i="2"/>
  <c r="U1940" i="2" s="1"/>
  <c r="H510" i="1"/>
  <c r="R1610" i="2"/>
  <c r="U1610" i="2" s="1"/>
  <c r="H429" i="1"/>
  <c r="U1411" i="2"/>
  <c r="V1411" i="2"/>
  <c r="I378" i="1" s="1"/>
  <c r="H500" i="1"/>
  <c r="H54" i="1"/>
  <c r="R1597" i="2"/>
  <c r="U1597" i="2" s="1"/>
  <c r="H421" i="1"/>
  <c r="V1402" i="2"/>
  <c r="I371" i="1" s="1"/>
  <c r="U1402" i="2"/>
  <c r="V1543" i="2"/>
  <c r="I408" i="1" s="1"/>
  <c r="U1543" i="2"/>
  <c r="U1406" i="2"/>
  <c r="V1406" i="2"/>
  <c r="I373" i="1" s="1"/>
  <c r="R1715" i="2"/>
  <c r="H461" i="1"/>
  <c r="R1793" i="2"/>
  <c r="H475" i="1"/>
  <c r="R1912" i="2"/>
  <c r="U1912" i="2" s="1"/>
  <c r="H505" i="1"/>
  <c r="H453" i="1"/>
  <c r="R768" i="2"/>
  <c r="H220" i="1"/>
  <c r="R897" i="2"/>
  <c r="H257" i="1"/>
  <c r="R618" i="2"/>
  <c r="H170" i="1"/>
  <c r="H190" i="1"/>
  <c r="R682" i="2"/>
  <c r="R1378" i="2"/>
  <c r="H368" i="1"/>
  <c r="R1997" i="2"/>
  <c r="U1997" i="2" s="1"/>
  <c r="H529" i="1"/>
  <c r="R820" i="2"/>
  <c r="H235" i="1"/>
  <c r="R1179" i="2"/>
  <c r="H320" i="1"/>
  <c r="R294" i="2"/>
  <c r="H87" i="1"/>
  <c r="R174" i="2"/>
  <c r="H57" i="1"/>
  <c r="H361" i="1"/>
  <c r="R1339" i="2"/>
  <c r="R1844" i="2"/>
  <c r="U1844" i="2" s="1"/>
  <c r="H491" i="1"/>
  <c r="R500" i="2"/>
  <c r="H129" i="1"/>
  <c r="R1269" i="2"/>
  <c r="U1269" i="2" s="1"/>
  <c r="H339" i="1"/>
  <c r="H346" i="1"/>
  <c r="R1288" i="2"/>
  <c r="U1288" i="2" s="1"/>
  <c r="R1652" i="2"/>
  <c r="U1652" i="2" s="1"/>
  <c r="H440" i="1"/>
  <c r="R1944" i="2"/>
  <c r="H512" i="1"/>
  <c r="R981" i="2"/>
  <c r="H274" i="1"/>
  <c r="R705" i="2"/>
  <c r="H197" i="1"/>
  <c r="H73" i="1"/>
  <c r="R239" i="2"/>
  <c r="R181" i="2"/>
  <c r="H58" i="1"/>
  <c r="R373" i="2"/>
  <c r="H104" i="1"/>
  <c r="R387" i="2"/>
  <c r="H107" i="1"/>
  <c r="R1616" i="2"/>
  <c r="U1616" i="2" s="1"/>
  <c r="H430" i="1"/>
  <c r="R996" i="2"/>
  <c r="H296" i="1"/>
  <c r="R2146" i="2"/>
  <c r="U2146" i="2" s="1"/>
  <c r="H571" i="1"/>
  <c r="R1213" i="2"/>
  <c r="U1213" i="2" s="1"/>
  <c r="H324" i="1"/>
  <c r="R1695" i="2"/>
  <c r="U1695" i="2" s="1"/>
  <c r="H454" i="1"/>
  <c r="R950" i="2"/>
  <c r="H273" i="1"/>
  <c r="R1122" i="2"/>
  <c r="H307" i="1"/>
  <c r="R1000" i="2"/>
  <c r="H279" i="1"/>
  <c r="R1279" i="2"/>
  <c r="U1279" i="2" s="1"/>
  <c r="H338" i="1"/>
  <c r="R1942" i="2"/>
  <c r="U1942" i="2" s="1"/>
  <c r="H511" i="1"/>
  <c r="R1856" i="2"/>
  <c r="U1856" i="2" s="1"/>
  <c r="H492" i="1"/>
  <c r="R1989" i="2"/>
  <c r="U1989" i="2" s="1"/>
  <c r="H528" i="1"/>
  <c r="R1502" i="2"/>
  <c r="U1502" i="2" s="1"/>
  <c r="H396" i="1"/>
  <c r="R1448" i="2"/>
  <c r="H383" i="1"/>
  <c r="R2043" i="2"/>
  <c r="U2043" i="2" s="1"/>
  <c r="H540" i="1"/>
  <c r="R1078" i="2"/>
  <c r="H268" i="1"/>
  <c r="R649" i="2"/>
  <c r="H182" i="1"/>
  <c r="R1319" i="2"/>
  <c r="H356" i="1"/>
  <c r="R1087" i="2"/>
  <c r="H300" i="1"/>
  <c r="R9" i="2"/>
  <c r="H2" i="1"/>
  <c r="U1608" i="2"/>
  <c r="V1608" i="2"/>
  <c r="I426" i="1" s="1"/>
  <c r="R2066" i="2"/>
  <c r="U2066" i="2" s="1"/>
  <c r="H543" i="1"/>
  <c r="R1" i="2"/>
  <c r="P3" i="2"/>
  <c r="U1353" i="2"/>
  <c r="V1353" i="2"/>
  <c r="I364" i="1" s="1"/>
  <c r="U2100" i="2"/>
  <c r="V1351" i="2"/>
  <c r="I362" i="1" s="1"/>
  <c r="U1351" i="2"/>
  <c r="R1418" i="2" l="1"/>
  <c r="H380" i="1"/>
  <c r="R1888" i="2"/>
  <c r="U1888" i="2" s="1"/>
  <c r="H493" i="1"/>
  <c r="R158" i="2"/>
  <c r="H53" i="1"/>
  <c r="R1576" i="2"/>
  <c r="U1576" i="2" s="1"/>
  <c r="H327" i="1"/>
  <c r="U1328" i="2"/>
  <c r="V1328" i="2"/>
  <c r="R664" i="2"/>
  <c r="H187" i="1"/>
  <c r="R1477" i="2"/>
  <c r="U1477" i="2" s="1"/>
  <c r="H386" i="1"/>
  <c r="H159" i="1"/>
  <c r="R572" i="2"/>
  <c r="P2184" i="2"/>
  <c r="R598" i="2"/>
  <c r="H163" i="1"/>
  <c r="R585" i="2"/>
  <c r="H161" i="1"/>
  <c r="R528" i="2"/>
  <c r="H143" i="1"/>
  <c r="R1898" i="2"/>
  <c r="U1898" i="2" s="1"/>
  <c r="H501" i="1"/>
  <c r="R1741" i="2"/>
  <c r="U1741" i="2" s="1"/>
  <c r="H465" i="1"/>
  <c r="R1876" i="2"/>
  <c r="U1876" i="2" s="1"/>
  <c r="H495" i="1"/>
  <c r="R1335" i="2"/>
  <c r="H359" i="1"/>
  <c r="H476" i="1"/>
  <c r="R1785" i="2"/>
  <c r="U1785" i="2" s="1"/>
  <c r="R1889" i="2"/>
  <c r="U1889" i="2" s="1"/>
  <c r="H499" i="1"/>
  <c r="U1357" i="2"/>
  <c r="V1357" i="2"/>
  <c r="R1506" i="2"/>
  <c r="U1506" i="2" s="1"/>
  <c r="H397" i="1"/>
  <c r="R1257" i="2"/>
  <c r="U1257" i="2" s="1"/>
  <c r="H337" i="1"/>
  <c r="R1814" i="2"/>
  <c r="U1814" i="2" s="1"/>
  <c r="H478" i="1"/>
  <c r="R1770" i="2"/>
  <c r="H470" i="1"/>
  <c r="R568" i="2"/>
  <c r="H158" i="1"/>
  <c r="R734" i="2"/>
  <c r="H208" i="1"/>
  <c r="R923" i="2"/>
  <c r="H219" i="1"/>
  <c r="R538" i="2"/>
  <c r="H148" i="1"/>
  <c r="R427" i="2"/>
  <c r="H44" i="1"/>
  <c r="R484" i="2"/>
  <c r="H119" i="1"/>
  <c r="R139" i="2"/>
  <c r="H47" i="1"/>
  <c r="H21" i="1"/>
  <c r="R423" i="2"/>
  <c r="R1678" i="2"/>
  <c r="U1678" i="2" s="1"/>
  <c r="H451" i="1"/>
  <c r="H256" i="1"/>
  <c r="R894" i="2"/>
  <c r="R448" i="2"/>
  <c r="H120" i="1"/>
  <c r="R444" i="2"/>
  <c r="H116" i="1"/>
  <c r="R1583" i="2"/>
  <c r="H420" i="1"/>
  <c r="H135" i="1"/>
  <c r="R511" i="2"/>
  <c r="R122" i="2"/>
  <c r="H42" i="1"/>
  <c r="R504" i="2"/>
  <c r="H130" i="1"/>
  <c r="M3" i="2"/>
  <c r="M5" i="2" s="1"/>
  <c r="G608" i="1"/>
  <c r="H81" i="1"/>
  <c r="R273" i="2"/>
  <c r="R243" i="2"/>
  <c r="H76" i="1"/>
  <c r="R712" i="2"/>
  <c r="H200" i="1"/>
  <c r="R375" i="2"/>
  <c r="H105" i="1"/>
  <c r="R810" i="2"/>
  <c r="H231" i="1"/>
  <c r="R377" i="2"/>
  <c r="H106" i="1"/>
  <c r="H234" i="1"/>
  <c r="R815" i="2"/>
  <c r="R297" i="2"/>
  <c r="H88" i="1"/>
  <c r="R266" i="2"/>
  <c r="H80" i="1"/>
  <c r="R1059" i="2"/>
  <c r="H295" i="1"/>
  <c r="R745" i="2"/>
  <c r="H216" i="1"/>
  <c r="R71" i="2"/>
  <c r="H24" i="1"/>
  <c r="R401" i="2"/>
  <c r="H111" i="1"/>
  <c r="R433" i="2"/>
  <c r="H71" i="1"/>
  <c r="R1745" i="2"/>
  <c r="H466" i="1"/>
  <c r="R1512" i="2"/>
  <c r="U1512" i="2" s="1"/>
  <c r="H398" i="1"/>
  <c r="R213" i="2"/>
  <c r="H67" i="1"/>
  <c r="R363" i="2"/>
  <c r="H102" i="1"/>
  <c r="R2059" i="2"/>
  <c r="U2059" i="2" s="1"/>
  <c r="H542" i="1"/>
  <c r="R1053" i="2"/>
  <c r="H294" i="1"/>
  <c r="R788" i="2"/>
  <c r="H227" i="1"/>
  <c r="R286" i="2"/>
  <c r="H84" i="1"/>
  <c r="R639" i="2"/>
  <c r="H178" i="1"/>
  <c r="R1589" i="2"/>
  <c r="H263" i="1"/>
  <c r="R281" i="2"/>
  <c r="H83" i="1"/>
  <c r="R729" i="2"/>
  <c r="H206" i="1"/>
  <c r="R1440" i="2"/>
  <c r="U1440" i="2" s="1"/>
  <c r="H382" i="1"/>
  <c r="R310" i="2"/>
  <c r="H92" i="1"/>
  <c r="R319" i="2"/>
  <c r="H93" i="1"/>
  <c r="R874" i="2"/>
  <c r="H251" i="1"/>
  <c r="R145" i="2"/>
  <c r="H50" i="1"/>
  <c r="R299" i="2"/>
  <c r="H89" i="1"/>
  <c r="R601" i="2"/>
  <c r="H164" i="1"/>
  <c r="R759" i="2"/>
  <c r="H192" i="1"/>
  <c r="R59" i="2"/>
  <c r="H20" i="1"/>
  <c r="R2013" i="2"/>
  <c r="U2013" i="2" s="1"/>
  <c r="H532" i="1"/>
  <c r="R920" i="2"/>
  <c r="H262" i="1"/>
  <c r="R393" i="2"/>
  <c r="H110" i="1"/>
  <c r="R1396" i="2"/>
  <c r="H370" i="1"/>
  <c r="R218" i="2"/>
  <c r="H69" i="1"/>
  <c r="R45" i="2"/>
  <c r="H16" i="1"/>
  <c r="H237" i="1"/>
  <c r="R829" i="2"/>
  <c r="H78" i="1"/>
  <c r="H32" i="1"/>
  <c r="R70" i="2"/>
  <c r="H194" i="1"/>
  <c r="R693" i="2"/>
  <c r="R1109" i="2"/>
  <c r="H304" i="1"/>
  <c r="R1124" i="2"/>
  <c r="H308" i="1"/>
  <c r="R1043" i="2"/>
  <c r="H292" i="1"/>
  <c r="R357" i="2"/>
  <c r="H100" i="1"/>
  <c r="R416" i="2"/>
  <c r="H117" i="1"/>
  <c r="R109" i="2"/>
  <c r="H41" i="1"/>
  <c r="R332" i="2"/>
  <c r="H97" i="1"/>
  <c r="R74" i="2"/>
  <c r="H25" i="1"/>
  <c r="R97" i="2"/>
  <c r="H40" i="1"/>
  <c r="R327" i="2"/>
  <c r="H96" i="1"/>
  <c r="R162" i="2"/>
  <c r="H55" i="1"/>
  <c r="H156" i="1"/>
  <c r="R560" i="2"/>
  <c r="H530" i="1"/>
  <c r="R2004" i="2"/>
  <c r="U2004" i="2" s="1"/>
  <c r="U1386" i="2"/>
  <c r="V1386" i="2"/>
  <c r="I369" i="1" s="1"/>
  <c r="U1779" i="2"/>
  <c r="V1779" i="2"/>
  <c r="V1367" i="2"/>
  <c r="U1367" i="2"/>
  <c r="V1793" i="2"/>
  <c r="U1793" i="2"/>
  <c r="V1715" i="2"/>
  <c r="I461" i="1" s="1"/>
  <c r="U1715" i="2"/>
  <c r="V1339" i="2"/>
  <c r="I361" i="1" s="1"/>
  <c r="U1339" i="2"/>
  <c r="U1378" i="2"/>
  <c r="V1378" i="2"/>
  <c r="I368" i="1" s="1"/>
  <c r="V1319" i="2"/>
  <c r="U1319" i="2"/>
  <c r="V1448" i="2"/>
  <c r="U1448" i="2"/>
  <c r="V1418" i="2" l="1"/>
  <c r="U1418" i="2"/>
  <c r="R2184" i="2"/>
  <c r="U1335" i="2"/>
  <c r="V1335" i="2"/>
  <c r="U1770" i="2"/>
  <c r="V1770" i="2"/>
  <c r="I470" i="1" s="1"/>
  <c r="V1583" i="2"/>
  <c r="I420" i="1" s="1"/>
  <c r="U1583" i="2"/>
  <c r="H608" i="1"/>
  <c r="M6" i="2"/>
  <c r="V1396" i="2"/>
  <c r="I370" i="1" s="1"/>
  <c r="U1396" i="2"/>
  <c r="U1589" i="2"/>
  <c r="V1589" i="2"/>
  <c r="I263" i="1" s="1"/>
  <c r="U1745" i="2"/>
  <c r="V1745" i="2"/>
  <c r="I46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Алексей Шурыгин</author>
  </authors>
  <commentList>
    <comment ref="I514" authorId="0" shapeId="0" xr:uid="{7D7F7076-426A-43D3-9A6B-9820BF163D76}">
      <text>
        <r>
          <rPr>
            <b/>
            <sz val="9"/>
            <color indexed="81"/>
            <rFont val="Tahoma"/>
            <family val="2"/>
            <charset val="204"/>
          </rPr>
          <t>Алексей Шурыгин:</t>
        </r>
        <r>
          <rPr>
            <sz val="9"/>
            <color indexed="81"/>
            <rFont val="Tahoma"/>
            <family val="2"/>
            <charset val="204"/>
          </rPr>
          <t xml:space="preserve">
Отмена заказа</t>
        </r>
      </text>
    </comment>
    <comment ref="O567" authorId="0" shapeId="0" xr:uid="{B3DE170F-E61F-4686-A457-FEA18F8D78C6}">
      <text>
        <r>
          <rPr>
            <b/>
            <sz val="9"/>
            <color indexed="81"/>
            <rFont val="Tahoma"/>
            <family val="2"/>
            <charset val="204"/>
          </rPr>
          <t>Алексей Шурыгин:</t>
        </r>
        <r>
          <rPr>
            <sz val="9"/>
            <color indexed="81"/>
            <rFont val="Tahoma"/>
            <family val="2"/>
            <charset val="204"/>
          </rPr>
          <t xml:space="preserve">
Переплата клиента 586р. На возврат отказался.</t>
        </r>
      </text>
    </comment>
  </commentList>
</comments>
</file>

<file path=xl/sharedStrings.xml><?xml version="1.0" encoding="utf-8"?>
<sst xmlns="http://schemas.openxmlformats.org/spreadsheetml/2006/main" count="15572" uniqueCount="3099">
  <si>
    <t>name</t>
  </si>
  <si>
    <t>phone</t>
  </si>
  <si>
    <t>address</t>
  </si>
  <si>
    <t>GPS</t>
  </si>
  <si>
    <t>Элина</t>
  </si>
  <si>
    <t>+79496453192</t>
  </si>
  <si>
    <t>металлургов 102/Кирова,дом возле Натали 2 подъезд</t>
  </si>
  <si>
    <t>Марк Полинкин</t>
  </si>
  <si>
    <t>+79497249302</t>
  </si>
  <si>
    <t>Мичурина 26</t>
  </si>
  <si>
    <t>47.1238, 37.5966</t>
  </si>
  <si>
    <t>Полинка</t>
  </si>
  <si>
    <t>+79497249384</t>
  </si>
  <si>
    <t>маричка</t>
  </si>
  <si>
    <t>+79497231065</t>
  </si>
  <si>
    <t>олимпийская 75</t>
  </si>
  <si>
    <t>47.1082, 37.6743</t>
  </si>
  <si>
    <t>Михаил Ефремов</t>
  </si>
  <si>
    <t>+79497132217</t>
  </si>
  <si>
    <t>пер. солдатский 54</t>
  </si>
  <si>
    <t>Кристина дет.мир</t>
  </si>
  <si>
    <t>+79495192361</t>
  </si>
  <si>
    <t>Покрышкина 156/остановка Покрышкина (встреча с утра!)</t>
  </si>
  <si>
    <t>47.1260, 37.5636</t>
  </si>
  <si>
    <t>Кристина Босанец</t>
  </si>
  <si>
    <t>+79496095519</t>
  </si>
  <si>
    <t>Шевченко 301</t>
  </si>
  <si>
    <t>Валерия Ковалева танковый</t>
  </si>
  <si>
    <t>+79496017032</t>
  </si>
  <si>
    <t>пер. танковый 2а</t>
  </si>
  <si>
    <t>жом жом</t>
  </si>
  <si>
    <t>новый</t>
  </si>
  <si>
    <t>По штрихкоду</t>
  </si>
  <si>
    <t>Галина Агабекова(церковь)</t>
  </si>
  <si>
    <t>+79496069479</t>
  </si>
  <si>
    <t>47.1126, 37.5473</t>
  </si>
  <si>
    <t>виктор</t>
  </si>
  <si>
    <t>+79496248404</t>
  </si>
  <si>
    <t>ул.гонды 46/по договоренности</t>
  </si>
  <si>
    <t>Алена шмалко</t>
  </si>
  <si>
    <t>+79497132215</t>
  </si>
  <si>
    <t>Гонды 42</t>
  </si>
  <si>
    <t>47.1274, 37.5691</t>
  </si>
  <si>
    <t>алекса танковый</t>
  </si>
  <si>
    <t>телеграм</t>
  </si>
  <si>
    <t>пер танковый 2а</t>
  </si>
  <si>
    <t>ято кен</t>
  </si>
  <si>
    <t>+79496330708</t>
  </si>
  <si>
    <t>Зелинского 92</t>
  </si>
  <si>
    <t>Лариса Митрофанова</t>
  </si>
  <si>
    <t>+79497365513</t>
  </si>
  <si>
    <t>строителей 156</t>
  </si>
  <si>
    <t>григорий(танковый )</t>
  </si>
  <si>
    <t>+79497176601</t>
  </si>
  <si>
    <t>47.0894, 37.5416</t>
  </si>
  <si>
    <t>ан</t>
  </si>
  <si>
    <t>+79497095141</t>
  </si>
  <si>
    <t>бульвар Шевченко 262</t>
  </si>
  <si>
    <t>петроград</t>
  </si>
  <si>
    <t>+79497303445</t>
  </si>
  <si>
    <t>Пашковского 47/по договоренности</t>
  </si>
  <si>
    <t>катена осадченко</t>
  </si>
  <si>
    <t>+79497109394</t>
  </si>
  <si>
    <t>Кирова салон красоты</t>
  </si>
  <si>
    <t>Галина приморский</t>
  </si>
  <si>
    <t>+79184465143</t>
  </si>
  <si>
    <t>ул. львовская дом 2-з</t>
  </si>
  <si>
    <t>Александр 1</t>
  </si>
  <si>
    <t>+79497340971</t>
  </si>
  <si>
    <t>металлургов 196</t>
  </si>
  <si>
    <t>47.1343, 37.5664</t>
  </si>
  <si>
    <t>Анжелика</t>
  </si>
  <si>
    <t>+79497109442</t>
  </si>
  <si>
    <t>строителей 147а</t>
  </si>
  <si>
    <t>алина</t>
  </si>
  <si>
    <t>телега</t>
  </si>
  <si>
    <t>по договоренности левый берег</t>
  </si>
  <si>
    <t>Александр 2</t>
  </si>
  <si>
    <t>металлургов 181</t>
  </si>
  <si>
    <t>Роман кожухов</t>
  </si>
  <si>
    <t>+79497167591</t>
  </si>
  <si>
    <t>Шевченко 76</t>
  </si>
  <si>
    <t>+79497183446</t>
  </si>
  <si>
    <t>Мария черногор(танковый )</t>
  </si>
  <si>
    <t>+79496017049</t>
  </si>
  <si>
    <t>алекса фиери</t>
  </si>
  <si>
    <t>+79497237143</t>
  </si>
  <si>
    <t>пр победы 108</t>
  </si>
  <si>
    <t>Николай</t>
  </si>
  <si>
    <t>+79496475171</t>
  </si>
  <si>
    <t>Казанцева 20</t>
  </si>
  <si>
    <t>Елена гайдар</t>
  </si>
  <si>
    <t>+79497284454</t>
  </si>
  <si>
    <t>47.1186, 37.5244</t>
  </si>
  <si>
    <t>эсти(ирина)</t>
  </si>
  <si>
    <t>+79495527170</t>
  </si>
  <si>
    <t>по договоренности в районе портсити</t>
  </si>
  <si>
    <t>Алена Бондаренко</t>
  </si>
  <si>
    <t>+79496169408</t>
  </si>
  <si>
    <t>Елена подтынная</t>
  </si>
  <si>
    <t>+79497105138</t>
  </si>
  <si>
    <t>Котляревского 8а</t>
  </si>
  <si>
    <t>виктория</t>
  </si>
  <si>
    <t>металлургов</t>
  </si>
  <si>
    <t>Максим телевизор</t>
  </si>
  <si>
    <t>+79497065096</t>
  </si>
  <si>
    <t>Урицкого 84</t>
  </si>
  <si>
    <t>47.1209, 37.5237</t>
  </si>
  <si>
    <t>Вадим</t>
  </si>
  <si>
    <t>+79497174095</t>
  </si>
  <si>
    <t>авиационная 39</t>
  </si>
  <si>
    <t>47.1250, 37.5332</t>
  </si>
  <si>
    <t>Митрофанов Евгений</t>
  </si>
  <si>
    <t>+79497340681</t>
  </si>
  <si>
    <t>Покрышкина 99</t>
  </si>
  <si>
    <t>47.1259, 37.5629</t>
  </si>
  <si>
    <t>Алексей перфоратор</t>
  </si>
  <si>
    <t>+79497091373</t>
  </si>
  <si>
    <t>уютная 60(Чапаева )</t>
  </si>
  <si>
    <t>47.1157, 37.5424</t>
  </si>
  <si>
    <t>Даша подтынная</t>
  </si>
  <si>
    <t>+79497485996</t>
  </si>
  <si>
    <t>киевская 46</t>
  </si>
  <si>
    <t>Александр 3 Металлургов</t>
  </si>
  <si>
    <t>+79497176548</t>
  </si>
  <si>
    <t>металлургов 179</t>
  </si>
  <si>
    <t>47.1248, 37.5657</t>
  </si>
  <si>
    <t>Александр 3 База</t>
  </si>
  <si>
    <t>База</t>
  </si>
  <si>
    <t>47.1256, 37.5073</t>
  </si>
  <si>
    <t>Богдан</t>
  </si>
  <si>
    <t>+79497394765</t>
  </si>
  <si>
    <t>Кронштадтская 4</t>
  </si>
  <si>
    <t>Эдуард</t>
  </si>
  <si>
    <t>+79497189442</t>
  </si>
  <si>
    <t>Новоселовка /Чапаева</t>
  </si>
  <si>
    <t>янис</t>
  </si>
  <si>
    <t>Родион</t>
  </si>
  <si>
    <t>+79497303577</t>
  </si>
  <si>
    <t>Алена запчасти</t>
  </si>
  <si>
    <t>+79497375472</t>
  </si>
  <si>
    <t>строителей 25</t>
  </si>
  <si>
    <t>47.0740, 37.4893</t>
  </si>
  <si>
    <t>Аспаар</t>
  </si>
  <si>
    <t>+79496245802</t>
  </si>
  <si>
    <t>Мартыновский массив 8</t>
  </si>
  <si>
    <t>рестайл(Максим )</t>
  </si>
  <si>
    <t>+79685000110</t>
  </si>
  <si>
    <t>Олег Федоров</t>
  </si>
  <si>
    <t>+79497270194</t>
  </si>
  <si>
    <t>Металлургов 92</t>
  </si>
  <si>
    <t>валерий</t>
  </si>
  <si>
    <t>+79497186995</t>
  </si>
  <si>
    <t>Виктор Леонтьев</t>
  </si>
  <si>
    <t>приморский суд (строителей 52а)</t>
  </si>
  <si>
    <t>Алена фиджи</t>
  </si>
  <si>
    <t>+79498367822</t>
  </si>
  <si>
    <t>зеркальный на центральном рынке</t>
  </si>
  <si>
    <t>Татьяна</t>
  </si>
  <si>
    <t>+79497328160</t>
  </si>
  <si>
    <t>шепотиленко26</t>
  </si>
  <si>
    <t>Даниела Евгеньевна</t>
  </si>
  <si>
    <t>гранитная 112</t>
  </si>
  <si>
    <t>Реус Варя</t>
  </si>
  <si>
    <t>+79494470713</t>
  </si>
  <si>
    <t>металлургов 68</t>
  </si>
  <si>
    <t>а.б</t>
  </si>
  <si>
    <t>+79497162713</t>
  </si>
  <si>
    <t>ас2</t>
  </si>
  <si>
    <t>дима</t>
  </si>
  <si>
    <t>+79497156630</t>
  </si>
  <si>
    <t>ильичевский атб/Пентагон</t>
  </si>
  <si>
    <t>Альбина каляка</t>
  </si>
  <si>
    <t>Паша</t>
  </si>
  <si>
    <t>заправка Вог на портсити</t>
  </si>
  <si>
    <t>Сергей автоключи</t>
  </si>
  <si>
    <t>+79497195787</t>
  </si>
  <si>
    <t>Ленинградский (магазин два брата)130 Таганрогской дивизии 7</t>
  </si>
  <si>
    <t>витя</t>
  </si>
  <si>
    <t>+79497271607</t>
  </si>
  <si>
    <t>защитников Украины 78</t>
  </si>
  <si>
    <t>валик</t>
  </si>
  <si>
    <t>+79496352946</t>
  </si>
  <si>
    <t>Ленинградский /щирый кум</t>
  </si>
  <si>
    <t>Катя</t>
  </si>
  <si>
    <t>азовстальская 166</t>
  </si>
  <si>
    <t>Наталья Троицкий</t>
  </si>
  <si>
    <t>+79497248634</t>
  </si>
  <si>
    <t>заправка первого мая окко</t>
  </si>
  <si>
    <t>Владиславовна</t>
  </si>
  <si>
    <t>+79902075127</t>
  </si>
  <si>
    <t>центр по договорённости</t>
  </si>
  <si>
    <t>Антон</t>
  </si>
  <si>
    <t>+79496283799</t>
  </si>
  <si>
    <t>новые</t>
  </si>
  <si>
    <t>Илюха</t>
  </si>
  <si>
    <t>+79497224148</t>
  </si>
  <si>
    <t>бульвар Шевченко 295</t>
  </si>
  <si>
    <t>Кристина</t>
  </si>
  <si>
    <t>+79497239920</t>
  </si>
  <si>
    <t>новая</t>
  </si>
  <si>
    <t>александра</t>
  </si>
  <si>
    <t>+79497283548</t>
  </si>
  <si>
    <t>комсомольский 52</t>
  </si>
  <si>
    <t>Руденко Юля</t>
  </si>
  <si>
    <t>+79497243297</t>
  </si>
  <si>
    <t>Мариуполь, Митрополитская, 60</t>
  </si>
  <si>
    <t>47.0999, 37.5500</t>
  </si>
  <si>
    <t>Виктор Электростанция</t>
  </si>
  <si>
    <t>Каменск, электростанция</t>
  </si>
  <si>
    <t>Максим рюкзак</t>
  </si>
  <si>
    <t>Наталья 12</t>
  </si>
  <si>
    <t>+79497250140</t>
  </si>
  <si>
    <t>Мирный, Моторная 36 / Строителей 52а</t>
  </si>
  <si>
    <t>47.0883, 37.5192</t>
  </si>
  <si>
    <t>Пашок</t>
  </si>
  <si>
    <t>+79496290697</t>
  </si>
  <si>
    <t>ЖД</t>
  </si>
  <si>
    <t>47.0858, 37.5549</t>
  </si>
  <si>
    <t>Лариса Лавицкого 16</t>
  </si>
  <si>
    <t>+79496146139</t>
  </si>
  <si>
    <t>Лавицкого, 16. кв. 53, домофон 38</t>
  </si>
  <si>
    <t>47.0872, 37.5194</t>
  </si>
  <si>
    <t>Горжовская Ульяна NSP</t>
  </si>
  <si>
    <t>Геннадий Генерал</t>
  </si>
  <si>
    <t>+79497529171</t>
  </si>
  <si>
    <t>Морской 48, подъезд 6</t>
  </si>
  <si>
    <t>47.0991, 37.6417</t>
  </si>
  <si>
    <t>Александр 4</t>
  </si>
  <si>
    <t>+79493061352</t>
  </si>
  <si>
    <t>Металлургов Молоко</t>
  </si>
  <si>
    <t>Лариса Кирова</t>
  </si>
  <si>
    <t>+79497266403</t>
  </si>
  <si>
    <t>Металлургов 102 1 подъезд 8 этаж</t>
  </si>
  <si>
    <t>47.1099, 37.5543</t>
  </si>
  <si>
    <t>Елена Вадима</t>
  </si>
  <si>
    <t>+79497167702</t>
  </si>
  <si>
    <t>Елена пер. Фруктовый</t>
  </si>
  <si>
    <t>+79497190408</t>
  </si>
  <si>
    <t>Проектная 10</t>
  </si>
  <si>
    <t>47.1281, 37.5732</t>
  </si>
  <si>
    <t>Кирилл Урицкого 104</t>
  </si>
  <si>
    <t>+79496096498</t>
  </si>
  <si>
    <t>Урицкого 104</t>
  </si>
  <si>
    <t>47.1212, 37.5172</t>
  </si>
  <si>
    <t>Наталья Вельвет</t>
  </si>
  <si>
    <t>+79497385016</t>
  </si>
  <si>
    <t>Шевченко 285А</t>
  </si>
  <si>
    <t>47.1169, 37.5258</t>
  </si>
  <si>
    <t>Ирина Металлургов 165</t>
  </si>
  <si>
    <t>+79497134203</t>
  </si>
  <si>
    <t>Металлургов 165</t>
  </si>
  <si>
    <t>47.1234, 37.5646</t>
  </si>
  <si>
    <t>Антон Максимовка</t>
  </si>
  <si>
    <t>+79497250221</t>
  </si>
  <si>
    <t>Браво</t>
  </si>
  <si>
    <t>Константин Пионерское</t>
  </si>
  <si>
    <t>+79498039849</t>
  </si>
  <si>
    <t>Пионерское</t>
  </si>
  <si>
    <t>Константин Маркет</t>
  </si>
  <si>
    <t>+79497220575</t>
  </si>
  <si>
    <t>Строителей 132 ТЦ Терра маг. TEXNOSTORE</t>
  </si>
  <si>
    <t>47.1099, 37.5242</t>
  </si>
  <si>
    <t>Екатерина Писсуар</t>
  </si>
  <si>
    <t>+79497383556</t>
  </si>
  <si>
    <t>Грушевского 5 подъезд 1</t>
  </si>
  <si>
    <t>47.1194, 37.5141</t>
  </si>
  <si>
    <t>Галина Шевченко 248</t>
  </si>
  <si>
    <t>+79497449616</t>
  </si>
  <si>
    <t>Шевченко 248</t>
  </si>
  <si>
    <t>47.1153, 37.5207</t>
  </si>
  <si>
    <t>Карина Кравченко 17</t>
  </si>
  <si>
    <t>+79496144975</t>
  </si>
  <si>
    <t>пер. Кравченко 17</t>
  </si>
  <si>
    <t>47.1586, 37.6203</t>
  </si>
  <si>
    <t>Макс Куприна</t>
  </si>
  <si>
    <t>+79490055870</t>
  </si>
  <si>
    <t>Куприна 7</t>
  </si>
  <si>
    <t>47.1027, 37.5095</t>
  </si>
  <si>
    <t>Татьяна Торговая 100</t>
  </si>
  <si>
    <t>+79497267699</t>
  </si>
  <si>
    <t>Торговая 100</t>
  </si>
  <si>
    <t>47.1034, 37.5633</t>
  </si>
  <si>
    <t>Александр Каскад</t>
  </si>
  <si>
    <t>+79497172395</t>
  </si>
  <si>
    <t>Торговая 45</t>
  </si>
  <si>
    <t>47.0982, 37.5627</t>
  </si>
  <si>
    <t>Елена Ларисына</t>
  </si>
  <si>
    <t>+79497398064</t>
  </si>
  <si>
    <t>Металлургов, 97</t>
  </si>
  <si>
    <t>47.1070, 37.5542</t>
  </si>
  <si>
    <t>Антон Кондитерка</t>
  </si>
  <si>
    <t>Людмила Эдельвейс</t>
  </si>
  <si>
    <t>+79496019237</t>
  </si>
  <si>
    <t>47.1053, 37.5483</t>
  </si>
  <si>
    <t>Александр Радин</t>
  </si>
  <si>
    <t>+79497277100</t>
  </si>
  <si>
    <t>Артема 132</t>
  </si>
  <si>
    <t>47.1085, 37.5599</t>
  </si>
  <si>
    <t>ПерксХеарт</t>
  </si>
  <si>
    <t>+79498122698</t>
  </si>
  <si>
    <t>Родниковая, 6</t>
  </si>
  <si>
    <t>47.1424, 37.6121</t>
  </si>
  <si>
    <t>Наталья Азовстальская</t>
  </si>
  <si>
    <t>+79497246366</t>
  </si>
  <si>
    <t>Азовстальская 91 подъезд 1</t>
  </si>
  <si>
    <t>47.1008, 37.6529</t>
  </si>
  <si>
    <t>Евгения Восточный</t>
  </si>
  <si>
    <t>Наталья Урицкого</t>
  </si>
  <si>
    <t>+79497106271</t>
  </si>
  <si>
    <t>Урицкого 77</t>
  </si>
  <si>
    <t>47.1228, 37.5167</t>
  </si>
  <si>
    <t>Олег Гагарина 6</t>
  </si>
  <si>
    <t>+79495842838</t>
  </si>
  <si>
    <t>Гагарина 6</t>
  </si>
  <si>
    <t>47.0660, 37.5061</t>
  </si>
  <si>
    <t>Елена Пентагон</t>
  </si>
  <si>
    <t>Инесса</t>
  </si>
  <si>
    <t>+79497247286</t>
  </si>
  <si>
    <t>Владимирская 23/53 кв 3</t>
  </si>
  <si>
    <t>47.1064, 37.6409</t>
  </si>
  <si>
    <t>Наталья Зелинского</t>
  </si>
  <si>
    <t>+79497428404</t>
  </si>
  <si>
    <t>Зелинского 94</t>
  </si>
  <si>
    <t>47.1008, 37.5167</t>
  </si>
  <si>
    <t>Татьяна Олимпийская 65</t>
  </si>
  <si>
    <t>+79497270827</t>
  </si>
  <si>
    <t>Олимпийская 65, кв 28</t>
  </si>
  <si>
    <t>47.1086, 37.6706</t>
  </si>
  <si>
    <t>Импульс</t>
  </si>
  <si>
    <t>+79498133071</t>
  </si>
  <si>
    <t>Нептун</t>
  </si>
  <si>
    <t>47.1310, 37.5671</t>
  </si>
  <si>
    <t>Дарья</t>
  </si>
  <si>
    <t>Александра 50 лет СССР</t>
  </si>
  <si>
    <t>+79497167877</t>
  </si>
  <si>
    <t>50 лет СССР 20 кв 92</t>
  </si>
  <si>
    <t>47.1112, 37.5224</t>
  </si>
  <si>
    <t>Наталья 60 лет СССР</t>
  </si>
  <si>
    <t>+79497094719</t>
  </si>
  <si>
    <t>60 лет СССР 2Б</t>
  </si>
  <si>
    <t>47.1178, 37.5121</t>
  </si>
  <si>
    <t>Виктория Энгельса</t>
  </si>
  <si>
    <t>Телеграм</t>
  </si>
  <si>
    <t>Энгельса 1</t>
  </si>
  <si>
    <t>47.0902, 37.5456</t>
  </si>
  <si>
    <t>Александр электростанция</t>
  </si>
  <si>
    <t>@Filin9819</t>
  </si>
  <si>
    <t>Заря</t>
  </si>
  <si>
    <t>47.3002, 37.5931</t>
  </si>
  <si>
    <t>Валерий СТО ОРИОН</t>
  </si>
  <si>
    <t>+79497398357</t>
  </si>
  <si>
    <t>Макара Мазая 41</t>
  </si>
  <si>
    <t>Даша Калифорния</t>
  </si>
  <si>
    <t>+79496248226</t>
  </si>
  <si>
    <t>Шевченко 274</t>
  </si>
  <si>
    <t>47.1149, 37.5127</t>
  </si>
  <si>
    <t>Юля Ларисына</t>
  </si>
  <si>
    <t>+79497114644</t>
  </si>
  <si>
    <t>Анна соседка</t>
  </si>
  <si>
    <t>+79497105263</t>
  </si>
  <si>
    <t>Казанцева 31</t>
  </si>
  <si>
    <t>47.1070, 37.5475</t>
  </si>
  <si>
    <t>Константин СТО Оптима</t>
  </si>
  <si>
    <t>+79496340956</t>
  </si>
  <si>
    <t>47.1361, 37.5817</t>
  </si>
  <si>
    <t>Дмитрий Виноградная 29</t>
  </si>
  <si>
    <t>+79498470110</t>
  </si>
  <si>
    <t>Виноградная 29</t>
  </si>
  <si>
    <t>47.0924, 37.6476</t>
  </si>
  <si>
    <t>Игорь свалка</t>
  </si>
  <si>
    <t>Городская свалка</t>
  </si>
  <si>
    <t>47.1372, 37.6280</t>
  </si>
  <si>
    <t>Лида корма</t>
  </si>
  <si>
    <t>+79497081831</t>
  </si>
  <si>
    <t>Шевченко 289А</t>
  </si>
  <si>
    <t>47.1168, 37.5229</t>
  </si>
  <si>
    <t>Сергей Кононенко</t>
  </si>
  <si>
    <t>+79497420538</t>
  </si>
  <si>
    <t>Сормовская 2</t>
  </si>
  <si>
    <t>47.1353, 37.5803</t>
  </si>
  <si>
    <t>Екатерина Сартана</t>
  </si>
  <si>
    <t>+79496334298</t>
  </si>
  <si>
    <t>Сартана, Колхозная 21а</t>
  </si>
  <si>
    <t>47.1786, 37.7015</t>
  </si>
  <si>
    <t>Надежда Витамины</t>
  </si>
  <si>
    <t>+79497169864</t>
  </si>
  <si>
    <t>пер. Ейский 9</t>
  </si>
  <si>
    <t>47.0898, 37.5062</t>
  </si>
  <si>
    <t>Артем</t>
  </si>
  <si>
    <t>Клиент от Вадима</t>
  </si>
  <si>
    <t>+79497054651</t>
  </si>
  <si>
    <t>Александра Шлаковый</t>
  </si>
  <si>
    <t>+79896220139</t>
  </si>
  <si>
    <t>Шлаковый, 19</t>
  </si>
  <si>
    <t>47.1233, 37.5704</t>
  </si>
  <si>
    <t>Анатолий Правый</t>
  </si>
  <si>
    <t>+79145805375</t>
  </si>
  <si>
    <t>Верхний блок 144а-2</t>
  </si>
  <si>
    <t>47.1149, 37.5903</t>
  </si>
  <si>
    <t>Татьяна Бригантина</t>
  </si>
  <si>
    <t>+79497336840</t>
  </si>
  <si>
    <t>Бригантина 152</t>
  </si>
  <si>
    <t>47.0779, 37.4879</t>
  </si>
  <si>
    <t>Любовь Виталий</t>
  </si>
  <si>
    <t>+79497386112</t>
  </si>
  <si>
    <t>Шевченко 325</t>
  </si>
  <si>
    <t>47.1193, 37.5172</t>
  </si>
  <si>
    <t>Ольга Македоновка</t>
  </si>
  <si>
    <t>+79497187572</t>
  </si>
  <si>
    <t>Македоновка</t>
  </si>
  <si>
    <t>47.2383, 37.5537</t>
  </si>
  <si>
    <t>Ева</t>
  </si>
  <si>
    <t>https://t.me/EBAKA10</t>
  </si>
  <si>
    <t>Евгений Пономарев</t>
  </si>
  <si>
    <t>+79497382807</t>
  </si>
  <si>
    <t>2 Кальчик 126</t>
  </si>
  <si>
    <t>47.1171, 37.5803</t>
  </si>
  <si>
    <t>Татьяна Леонидовна</t>
  </si>
  <si>
    <t>+79497064345</t>
  </si>
  <si>
    <t>Шевченко 270</t>
  </si>
  <si>
    <t>47.1157, 37.5138</t>
  </si>
  <si>
    <t>Лакарова Татьяна</t>
  </si>
  <si>
    <t>+79497089129</t>
  </si>
  <si>
    <t>Энгельса 28А</t>
  </si>
  <si>
    <t>47.0964, 37.5459</t>
  </si>
  <si>
    <t>Алла Калининград</t>
  </si>
  <si>
    <t>+79498264190</t>
  </si>
  <si>
    <t>Киевская, 66, 1 подъезд</t>
  </si>
  <si>
    <t>47.1213, 37.6846</t>
  </si>
  <si>
    <t>Андрей Бердянское</t>
  </si>
  <si>
    <t>+79498409685</t>
  </si>
  <si>
    <t>Бердянское</t>
  </si>
  <si>
    <t>47.0884, 37.7837</t>
  </si>
  <si>
    <t>Оксна 17 Цветы</t>
  </si>
  <si>
    <t>Троицкая 46</t>
  </si>
  <si>
    <t>47.1119, 37.5147</t>
  </si>
  <si>
    <t>Аня Мирный</t>
  </si>
  <si>
    <t>+79497115237</t>
  </si>
  <si>
    <t>пер Станционный 8</t>
  </si>
  <si>
    <t>47.1640, 37.5780</t>
  </si>
  <si>
    <t>Светлана Федоровна</t>
  </si>
  <si>
    <t>+79497213168</t>
  </si>
  <si>
    <t>Шопена 92</t>
  </si>
  <si>
    <t>47.1582, 37.6032</t>
  </si>
  <si>
    <t>Светлана от Александра</t>
  </si>
  <si>
    <t>+79497262176</t>
  </si>
  <si>
    <t>Металлургов 179, кв 114</t>
  </si>
  <si>
    <t>Максим МВД</t>
  </si>
  <si>
    <t>+79497010929</t>
  </si>
  <si>
    <t>Строителей 145</t>
  </si>
  <si>
    <t>47.1130, 37.5268</t>
  </si>
  <si>
    <t>Андрей Кулигин</t>
  </si>
  <si>
    <t>+79497106171</t>
  </si>
  <si>
    <t>Шевченко 258, 4 подъезд</t>
  </si>
  <si>
    <t>47.1157, 37.5176</t>
  </si>
  <si>
    <t>Лана</t>
  </si>
  <si>
    <t>+79497488953</t>
  </si>
  <si>
    <t>47.0982, 37.4785</t>
  </si>
  <si>
    <t>ДонтГиВап</t>
  </si>
  <si>
    <t>+79490027060</t>
  </si>
  <si>
    <t>Кронштадсткая 6</t>
  </si>
  <si>
    <t>47.0797, 37.5153</t>
  </si>
  <si>
    <t>Валентина</t>
  </si>
  <si>
    <t>+79497095480</t>
  </si>
  <si>
    <t>Трамвайный 10</t>
  </si>
  <si>
    <t>47.1044, 37.5233</t>
  </si>
  <si>
    <t>Олеся магазин</t>
  </si>
  <si>
    <t>Грушевского 2б</t>
  </si>
  <si>
    <t>Елена Шевченко 217</t>
  </si>
  <si>
    <t>+79496334882</t>
  </si>
  <si>
    <t>Шевченко 217</t>
  </si>
  <si>
    <t>47.1130, 37.5406</t>
  </si>
  <si>
    <t>Диана</t>
  </si>
  <si>
    <t>+79497145703</t>
  </si>
  <si>
    <t>Строителей 164 подезд 1</t>
  </si>
  <si>
    <t>47.1206, 37.5251</t>
  </si>
  <si>
    <t>Лиия Живописная</t>
  </si>
  <si>
    <t>+79497097873</t>
  </si>
  <si>
    <t>Живописная 7 зеленая крыша</t>
  </si>
  <si>
    <t>47.1237, 37.5313</t>
  </si>
  <si>
    <t>Асланов Владимир</t>
  </si>
  <si>
    <t>+79495000573</t>
  </si>
  <si>
    <t>Металлургов 183</t>
  </si>
  <si>
    <t>47.1266, 37.5650</t>
  </si>
  <si>
    <t>Аннет</t>
  </si>
  <si>
    <t>+79498429781</t>
  </si>
  <si>
    <t>Крымская 42</t>
  </si>
  <si>
    <t>47.1389, 37.5091</t>
  </si>
  <si>
    <t>Конечный потребитель</t>
  </si>
  <si>
    <t>Нет адреса</t>
  </si>
  <si>
    <t>Нет</t>
  </si>
  <si>
    <t>Наталья магазин</t>
  </si>
  <si>
    <t>АлисаСофия</t>
  </si>
  <si>
    <t>+79495521868, +79495332409</t>
  </si>
  <si>
    <t>Нахимова 100</t>
  </si>
  <si>
    <t>47.0793, 37.5157</t>
  </si>
  <si>
    <t>Лариса Терраспорт</t>
  </si>
  <si>
    <t>+79497054056</t>
  </si>
  <si>
    <t>47.1100, 37.5242</t>
  </si>
  <si>
    <t>Виктория операционная</t>
  </si>
  <si>
    <t>+79497057045</t>
  </si>
  <si>
    <t>Бахмутская 20</t>
  </si>
  <si>
    <t>47.1157, 37.5479</t>
  </si>
  <si>
    <t>Светлана Кулаки</t>
  </si>
  <si>
    <t>+79497179245</t>
  </si>
  <si>
    <t>Ткаченко Петренко 3</t>
  </si>
  <si>
    <t>47.0853, 37.5071</t>
  </si>
  <si>
    <t>Подруга Ларисы</t>
  </si>
  <si>
    <t>+79497087468</t>
  </si>
  <si>
    <t>Фрунзе 20</t>
  </si>
  <si>
    <t>47.1190, 37.5418</t>
  </si>
  <si>
    <t>orderNum</t>
  </si>
  <si>
    <t>date</t>
  </si>
  <si>
    <t>client</t>
  </si>
  <si>
    <t>orderSumm</t>
  </si>
  <si>
    <t>deliverySumm</t>
  </si>
  <si>
    <t>totalSumm</t>
  </si>
  <si>
    <t>Delivery</t>
  </si>
  <si>
    <t>Маричка</t>
  </si>
  <si>
    <t>Итог</t>
  </si>
  <si>
    <t>Сумма закупки</t>
  </si>
  <si>
    <t>Заказ:</t>
  </si>
  <si>
    <t>Сумма доставки</t>
  </si>
  <si>
    <t>Доставка:</t>
  </si>
  <si>
    <t>Итого к оплате</t>
  </si>
  <si>
    <t>Всего оплачено</t>
  </si>
  <si>
    <t>Нам должны</t>
  </si>
  <si>
    <t>Посылок в пути</t>
  </si>
  <si>
    <t>item</t>
  </si>
  <si>
    <t>abroad</t>
  </si>
  <si>
    <t>dateTo</t>
  </si>
  <si>
    <t>quantity</t>
  </si>
  <si>
    <t>discountPrice</t>
  </si>
  <si>
    <t>discountSumm</t>
  </si>
  <si>
    <t>price</t>
  </si>
  <si>
    <t>deliveryPost</t>
  </si>
  <si>
    <t>payment</t>
  </si>
  <si>
    <t>Остаток</t>
  </si>
  <si>
    <t>pvzName</t>
  </si>
  <si>
    <t>Туфли</t>
  </si>
  <si>
    <t>WB ДНТ Мирный 8А</t>
  </si>
  <si>
    <t>Сумка</t>
  </si>
  <si>
    <t>LK282924447CN</t>
  </si>
  <si>
    <t>OZON ДНТ Мирный 8А</t>
  </si>
  <si>
    <t>Носки</t>
  </si>
  <si>
    <t>Книга</t>
  </si>
  <si>
    <t>Конфеты Мишка</t>
  </si>
  <si>
    <t>Помада губная</t>
  </si>
  <si>
    <t>Помада для бровей</t>
  </si>
  <si>
    <t>Дешеддер</t>
  </si>
  <si>
    <t>Расческа, триммер</t>
  </si>
  <si>
    <t>Кора из сосны</t>
  </si>
  <si>
    <t>Триферн</t>
  </si>
  <si>
    <t>Горшки для цветов</t>
  </si>
  <si>
    <t>Нитковдеватель</t>
  </si>
  <si>
    <t>Маска для сужения</t>
  </si>
  <si>
    <t>Горшки для орхидей</t>
  </si>
  <si>
    <t>WB Сызранова 23а</t>
  </si>
  <si>
    <t>Тестер блок автомобиля</t>
  </si>
  <si>
    <t>LK282578283CN</t>
  </si>
  <si>
    <t>ПочтаРФ Чехова 269</t>
  </si>
  <si>
    <t>Набор измер. Инструментов</t>
  </si>
  <si>
    <t>LK282577518CN</t>
  </si>
  <si>
    <t>Мини платье</t>
  </si>
  <si>
    <t>Из за рубежа</t>
  </si>
  <si>
    <t>Протеин Maxler</t>
  </si>
  <si>
    <t>Кольцо</t>
  </si>
  <si>
    <t>Книга Том 2</t>
  </si>
  <si>
    <t>Скульптор стик для лица</t>
  </si>
  <si>
    <t>Книга Мартин Иден</t>
  </si>
  <si>
    <t>Стикеры закладки</t>
  </si>
  <si>
    <t>Маркеры</t>
  </si>
  <si>
    <t>Набор Мармеладские игры</t>
  </si>
  <si>
    <t>Кислородный очиститель</t>
  </si>
  <si>
    <t>OZON Сызранова 25б</t>
  </si>
  <si>
    <t>Книга Цветы для Элджернона</t>
  </si>
  <si>
    <t>Наушники</t>
  </si>
  <si>
    <t>Накладка консоли Mercedes</t>
  </si>
  <si>
    <t>ПочтаРФ Сызранова 6</t>
  </si>
  <si>
    <t>Тиски</t>
  </si>
  <si>
    <t>Телефон Samsung</t>
  </si>
  <si>
    <t>Чехол</t>
  </si>
  <si>
    <t>Подсумок</t>
  </si>
  <si>
    <t>Прикормка для рыбалки</t>
  </si>
  <si>
    <t>Подсак для рыбалки</t>
  </si>
  <si>
    <t>Катушка для рыбалки</t>
  </si>
  <si>
    <t>Прикормка для рыбалки Dunaev</t>
  </si>
  <si>
    <t>Рюкзак</t>
  </si>
  <si>
    <t>Прикормка чеснок</t>
  </si>
  <si>
    <t>Пижама</t>
  </si>
  <si>
    <t>Контейнер для еды</t>
  </si>
  <si>
    <t>Discreet 100шт</t>
  </si>
  <si>
    <t>Туалетный блок с хлор</t>
  </si>
  <si>
    <t>Discreet 54шт</t>
  </si>
  <si>
    <t>Туалетный блок цветочный</t>
  </si>
  <si>
    <t>Крепление для телека</t>
  </si>
  <si>
    <t>Экзаменационные билеты</t>
  </si>
  <si>
    <t>Коврик для мыши</t>
  </si>
  <si>
    <t>Снеки</t>
  </si>
  <si>
    <t>Кокосовая сгущенка</t>
  </si>
  <si>
    <t>Соевое Мясо</t>
  </si>
  <si>
    <t>Арахисовая паста</t>
  </si>
  <si>
    <t>Бобы Соевые</t>
  </si>
  <si>
    <t>Чехол противоударный</t>
  </si>
  <si>
    <t>Фен строительный</t>
  </si>
  <si>
    <t>Кеды</t>
  </si>
  <si>
    <t>Монитор</t>
  </si>
  <si>
    <t>OZON Натальевка</t>
  </si>
  <si>
    <t>Трамблер</t>
  </si>
  <si>
    <t>СДЭК Чехова 269</t>
  </si>
  <si>
    <t>Котелок ВДВ</t>
  </si>
  <si>
    <t>АВИТО</t>
  </si>
  <si>
    <t>Зубная щетка</t>
  </si>
  <si>
    <t>Ершики межзубные</t>
  </si>
  <si>
    <t>Книга Шах и мат</t>
  </si>
  <si>
    <t>Папка планшет А5</t>
  </si>
  <si>
    <t>Планшет с зажимом А4</t>
  </si>
  <si>
    <t>Набор маркеров 8 шт</t>
  </si>
  <si>
    <t>Магнитный держатель</t>
  </si>
  <si>
    <t>Книга Триумфальная арка</t>
  </si>
  <si>
    <t>Книга Грозовой перевал</t>
  </si>
  <si>
    <t>Тинт для губ корейский матовый</t>
  </si>
  <si>
    <t xml:space="preserve">Картина по номерам на холсте </t>
  </si>
  <si>
    <t>Подставка магнитная для маркеров</t>
  </si>
  <si>
    <t>Шиномонтаж курьер</t>
  </si>
  <si>
    <t>Посылка СДЭК кофемашина</t>
  </si>
  <si>
    <t>СДЭК Пархоменко 56</t>
  </si>
  <si>
    <t>Чайник электрический</t>
  </si>
  <si>
    <t>Заказ</t>
  </si>
  <si>
    <t>Картриджи Venus</t>
  </si>
  <si>
    <t>Кабель питания</t>
  </si>
  <si>
    <t>Клемма магнитная</t>
  </si>
  <si>
    <t>Стеллаж для туалета</t>
  </si>
  <si>
    <t>Гель для стирки</t>
  </si>
  <si>
    <t>Чеснокодавка</t>
  </si>
  <si>
    <t>Холофайбер</t>
  </si>
  <si>
    <t>Пряжа зеленый</t>
  </si>
  <si>
    <t>Пряжа бирюзовый</t>
  </si>
  <si>
    <t>Пряжа фиолетовый</t>
  </si>
  <si>
    <t>Форма для пельменей</t>
  </si>
  <si>
    <t>Капучинатор для молока</t>
  </si>
  <si>
    <t>Пакеты для хранения</t>
  </si>
  <si>
    <t>Корректор для ног</t>
  </si>
  <si>
    <t>Книга Мышонок Тим</t>
  </si>
  <si>
    <t>Шарф палатнин синий</t>
  </si>
  <si>
    <t>Шарф красный</t>
  </si>
  <si>
    <t>Свитер оверсайз</t>
  </si>
  <si>
    <t>Сок лопуха</t>
  </si>
  <si>
    <t>Журнал Шишкин лес</t>
  </si>
  <si>
    <t>Планшет для рисования</t>
  </si>
  <si>
    <t>Книга Кротик</t>
  </si>
  <si>
    <t>Платок палантин</t>
  </si>
  <si>
    <t>Книга Простые чудеса</t>
  </si>
  <si>
    <t>Книга Шел к богу человек</t>
  </si>
  <si>
    <t>Мука льняная</t>
  </si>
  <si>
    <t>Настойка чистотела</t>
  </si>
  <si>
    <t>Футболка PANIN</t>
  </si>
  <si>
    <t>Футболка PANIN черная</t>
  </si>
  <si>
    <t>Футболка черная принт хлопок</t>
  </si>
  <si>
    <t>Наклейки на окна</t>
  </si>
  <si>
    <t>Наклейки на окна двухсторонние</t>
  </si>
  <si>
    <t>Сима Ленд Наклейки</t>
  </si>
  <si>
    <t>Диффузор для дома</t>
  </si>
  <si>
    <t>Ароматизатор для дома</t>
  </si>
  <si>
    <t>Искусственное растение, дерево</t>
  </si>
  <si>
    <t>Тапочки салатовый</t>
  </si>
  <si>
    <t>Тапочки домашние</t>
  </si>
  <si>
    <t>Гидрофильное масло</t>
  </si>
  <si>
    <t>LK280477579CN</t>
  </si>
  <si>
    <t>LK267944841CN</t>
  </si>
  <si>
    <t>Boxberry Сызранова 25б</t>
  </si>
  <si>
    <t>Плюшевая пряжа</t>
  </si>
  <si>
    <t>Пряжа для вязания</t>
  </si>
  <si>
    <t>Ершик для унитаза</t>
  </si>
  <si>
    <t>Фольга пищевая</t>
  </si>
  <si>
    <t>Перчатки  нитриловые</t>
  </si>
  <si>
    <t>Чистящее средство</t>
  </si>
  <si>
    <t>Шумовка паутинка</t>
  </si>
  <si>
    <t>Мягкая игрушка Гусь</t>
  </si>
  <si>
    <t>Глазки для игрушек</t>
  </si>
  <si>
    <t>Глазки черные для игрушек</t>
  </si>
  <si>
    <t>Блок предохранителей</t>
  </si>
  <si>
    <t>Дорожка ковровая</t>
  </si>
  <si>
    <t>Турецкий ковер</t>
  </si>
  <si>
    <t>Катушка</t>
  </si>
  <si>
    <t>Спининг</t>
  </si>
  <si>
    <t>Планшет зел, красн</t>
  </si>
  <si>
    <t>Кротик, мягкая игрушка</t>
  </si>
  <si>
    <t>Яндекс Сызранова 23а</t>
  </si>
  <si>
    <t>Тостер</t>
  </si>
  <si>
    <t>Набор резинок для волос</t>
  </si>
  <si>
    <t>Стразы для волос</t>
  </si>
  <si>
    <t>Магнитная щетка для окон</t>
  </si>
  <si>
    <t>Кран для кухни</t>
  </si>
  <si>
    <t>Полка для ванной</t>
  </si>
  <si>
    <t>Пакеты фасовочные</t>
  </si>
  <si>
    <t>Пакет майка</t>
  </si>
  <si>
    <t>Кондитерский мешок</t>
  </si>
  <si>
    <t>Шпатель скребок кондитерский</t>
  </si>
  <si>
    <t>Садок для рыбы</t>
  </si>
  <si>
    <t>WB Сызранова 22</t>
  </si>
  <si>
    <t>Патчи против морщин</t>
  </si>
  <si>
    <t>Книга Кусочек праздника в кармане</t>
  </si>
  <si>
    <t>Танаксол форте</t>
  </si>
  <si>
    <t>Яйца фаберже матрешка</t>
  </si>
  <si>
    <t>Книга Кротик и штанишки</t>
  </si>
  <si>
    <t>Книга Кротик и зонтик</t>
  </si>
  <si>
    <t>Набор инструментов</t>
  </si>
  <si>
    <t>Коврик для йоги</t>
  </si>
  <si>
    <t>Планшет</t>
  </si>
  <si>
    <t>Средство антиплесень</t>
  </si>
  <si>
    <t>Обои</t>
  </si>
  <si>
    <t>Сироп солёная карамель</t>
  </si>
  <si>
    <t>Набор для плетения сумки</t>
  </si>
  <si>
    <t>Глазки с искоркой</t>
  </si>
  <si>
    <t>Набор Пряж велюр 3шт</t>
  </si>
  <si>
    <t>Пряжа</t>
  </si>
  <si>
    <t>Набор Пряж Чернава 2шт</t>
  </si>
  <si>
    <t>Поилка для собак</t>
  </si>
  <si>
    <t>Набор кастрюль</t>
  </si>
  <si>
    <t>Штора</t>
  </si>
  <si>
    <t>Тюль</t>
  </si>
  <si>
    <t>Комбинезон для собак</t>
  </si>
  <si>
    <t>Бумага туалетная</t>
  </si>
  <si>
    <t>Джойстик регулировки зеркал</t>
  </si>
  <si>
    <t>Пряжа Пехорка Детская 4шт</t>
  </si>
  <si>
    <t>Носики розовые</t>
  </si>
  <si>
    <t>Носики черные</t>
  </si>
  <si>
    <t>Набор Майка спортивная 3шт</t>
  </si>
  <si>
    <t>Помада для губ</t>
  </si>
  <si>
    <t>Карта памяти 64</t>
  </si>
  <si>
    <t>Джинсы корсет 30 размер</t>
  </si>
  <si>
    <t>Подвеска Лунница Лады</t>
  </si>
  <si>
    <t>Набор отверток 6шт</t>
  </si>
  <si>
    <t>Гель для ресниц</t>
  </si>
  <si>
    <t>Паяльная станция</t>
  </si>
  <si>
    <t>Lady's formula Для волос</t>
  </si>
  <si>
    <t>Вафельница</t>
  </si>
  <si>
    <t>Масло персика</t>
  </si>
  <si>
    <t>Чехол iPhone зеленый</t>
  </si>
  <si>
    <t>Чехол iPhone Серый</t>
  </si>
  <si>
    <t>Лак для ногтей</t>
  </si>
  <si>
    <t>Крем тональный телесный</t>
  </si>
  <si>
    <t>Крем тональный светлобежевый</t>
  </si>
  <si>
    <t>Пудра фиксирующая</t>
  </si>
  <si>
    <t>Матирующая пудра</t>
  </si>
  <si>
    <t>Крабики заколка металл</t>
  </si>
  <si>
    <t>Крабики заколка маленький</t>
  </si>
  <si>
    <t>Парад штор Блэкаут</t>
  </si>
  <si>
    <t>Ошейник светящийся</t>
  </si>
  <si>
    <t>Сумка для тележки</t>
  </si>
  <si>
    <t>Сумка для тележки синяя</t>
  </si>
  <si>
    <t>Калькулятор</t>
  </si>
  <si>
    <t>Пряжа Пехорка Детская 5шт</t>
  </si>
  <si>
    <t>Пряжа детская ЯрнАрт 5шт</t>
  </si>
  <si>
    <t>Тостер 650вт</t>
  </si>
  <si>
    <t>Пряжа Пехорка цвет 166</t>
  </si>
  <si>
    <t>Беспроводные наушники</t>
  </si>
  <si>
    <t>Браслет цепочка</t>
  </si>
  <si>
    <t>Стилус активный</t>
  </si>
  <si>
    <t>Наушники беспроводные</t>
  </si>
  <si>
    <t>Водолазка красная</t>
  </si>
  <si>
    <t>Водолазка черная</t>
  </si>
  <si>
    <t>Тапочки массажные</t>
  </si>
  <si>
    <t>Ежедневник датированный</t>
  </si>
  <si>
    <t>Картхолдер</t>
  </si>
  <si>
    <t>Губка массажная для ванной</t>
  </si>
  <si>
    <t>Заколка для волос</t>
  </si>
  <si>
    <t>Наклейки длля ногтей</t>
  </si>
  <si>
    <t>Брелок клевер</t>
  </si>
  <si>
    <t>Жалюзи самоклеющиеся</t>
  </si>
  <si>
    <t>Чеснок сушеный</t>
  </si>
  <si>
    <t>Открывалка для банок и бутылок</t>
  </si>
  <si>
    <t>Кюретка двухсторонняя</t>
  </si>
  <si>
    <t>Шлейка для собак</t>
  </si>
  <si>
    <t>Ультразвуковой отпугиватель</t>
  </si>
  <si>
    <t>Набор сиропов Barinoff</t>
  </si>
  <si>
    <t>Леска рыболовная</t>
  </si>
  <si>
    <t>Крысоловка</t>
  </si>
  <si>
    <t>Плата для стиральных машин</t>
  </si>
  <si>
    <t>Замок люка</t>
  </si>
  <si>
    <t>Прессостат</t>
  </si>
  <si>
    <t>Плата управления</t>
  </si>
  <si>
    <t>Тройник</t>
  </si>
  <si>
    <t>Полотенце вафельное</t>
  </si>
  <si>
    <t>Крючки слесарные</t>
  </si>
  <si>
    <t>Термоусадка</t>
  </si>
  <si>
    <t>Кабель для подключения</t>
  </si>
  <si>
    <t>Тестер автомобильных реле</t>
  </si>
  <si>
    <t>Лазерный уровень</t>
  </si>
  <si>
    <t>Книга запретная гробница</t>
  </si>
  <si>
    <t>Книга первому игроку приготовиться</t>
  </si>
  <si>
    <t>Книга царство греха</t>
  </si>
  <si>
    <t>Зонт прозрачный детский</t>
  </si>
  <si>
    <t>Платье трикотажное красное</t>
  </si>
  <si>
    <t>Платье трикотажное с лимонами</t>
  </si>
  <si>
    <t>Набо футболок с принтом 5шт</t>
  </si>
  <si>
    <t>Пижамы, одежда для дома</t>
  </si>
  <si>
    <t>Сетка москитная</t>
  </si>
  <si>
    <t>Москитная лента</t>
  </si>
  <si>
    <t>Шапочка для душа</t>
  </si>
  <si>
    <t>Наклейка интерьерная</t>
  </si>
  <si>
    <t>Блок для туалета</t>
  </si>
  <si>
    <t>Панели самоклеющиеся</t>
  </si>
  <si>
    <t>Бальзам живокост</t>
  </si>
  <si>
    <t>Миксер кухонный</t>
  </si>
  <si>
    <t>Очки для зрения 1,75</t>
  </si>
  <si>
    <t>Набор цветных карандашей</t>
  </si>
  <si>
    <t>Набор для создания украшений</t>
  </si>
  <si>
    <t>Планшет Teclast T50</t>
  </si>
  <si>
    <t>Чехол для Teclast T50 отмена</t>
  </si>
  <si>
    <t>Чехол для Teclast T50</t>
  </si>
  <si>
    <t>Клей прозрачный</t>
  </si>
  <si>
    <t>Стержни для клеевого пистолета</t>
  </si>
  <si>
    <t>Посылка</t>
  </si>
  <si>
    <t>0000203343511</t>
  </si>
  <si>
    <t>0000203342080</t>
  </si>
  <si>
    <t>1550013904</t>
  </si>
  <si>
    <t>1550903748</t>
  </si>
  <si>
    <t>Посылка СДЭК</t>
  </si>
  <si>
    <t>1550403384</t>
  </si>
  <si>
    <t>1550775407</t>
  </si>
  <si>
    <t>Набор шестигранников</t>
  </si>
  <si>
    <t>Морской коллаген</t>
  </si>
  <si>
    <t>Пластырь для похудения</t>
  </si>
  <si>
    <t>Масло оливковое</t>
  </si>
  <si>
    <t>Набо шампунь + маска</t>
  </si>
  <si>
    <t>Набор для распиновки</t>
  </si>
  <si>
    <t>Зеркало смотровое телескопическое</t>
  </si>
  <si>
    <t>Набо щеток мини</t>
  </si>
  <si>
    <t>Держатель для инструмента</t>
  </si>
  <si>
    <t>Сироп Груша</t>
  </si>
  <si>
    <t>Сироп соленая карамель для кофе</t>
  </si>
  <si>
    <t>Жидкий ключ</t>
  </si>
  <si>
    <t>Пряжа плюшевая</t>
  </si>
  <si>
    <t>Пряжа лавандовый</t>
  </si>
  <si>
    <t>Пряжа плюшевая 2шт</t>
  </si>
  <si>
    <t>Пряжа комплект 5шт</t>
  </si>
  <si>
    <t>Пленка защитная для планшета</t>
  </si>
  <si>
    <t>Кисть для румян</t>
  </si>
  <si>
    <t>Помада стойкая 10 тон</t>
  </si>
  <si>
    <t>Бронзер для лица</t>
  </si>
  <si>
    <t>Косметические повязки</t>
  </si>
  <si>
    <t>Тушь для ресниц</t>
  </si>
  <si>
    <t>Игра настольная библейская</t>
  </si>
  <si>
    <t>Палочки для мороженого</t>
  </si>
  <si>
    <t>Стикеры BQBQERT</t>
  </si>
  <si>
    <t>Есть сила благодатная</t>
  </si>
  <si>
    <t>80092796038318</t>
  </si>
  <si>
    <t>Книга Детские праздники</t>
  </si>
  <si>
    <t>80111196789443</t>
  </si>
  <si>
    <t>Книга Солнце улыбается</t>
  </si>
  <si>
    <t>AGP313787694</t>
  </si>
  <si>
    <t>Книга Пасхальные и рождественские песни</t>
  </si>
  <si>
    <t>Книга Рождественские и народные песни</t>
  </si>
  <si>
    <t>Книга Рождество Христово …</t>
  </si>
  <si>
    <t>Набор рождественских звезд</t>
  </si>
  <si>
    <t>Книга Мои милые малыши</t>
  </si>
  <si>
    <t>Книга Познаем и исследуем</t>
  </si>
  <si>
    <t>Книга Учимся вместе с Бимкой</t>
  </si>
  <si>
    <t>Книжка на елочку звездочка …</t>
  </si>
  <si>
    <t>Книжка на елочку Дед Мороз…</t>
  </si>
  <si>
    <t>Книга Время. Времена года</t>
  </si>
  <si>
    <t>Учебник Родная природа</t>
  </si>
  <si>
    <t>Наклейки интерьерные Пасхальная корзина</t>
  </si>
  <si>
    <t>Наклейки на окна Кленовые листья</t>
  </si>
  <si>
    <t>Возврат</t>
  </si>
  <si>
    <t>Карточки мини христианские</t>
  </si>
  <si>
    <t>Стикеры 3D, Наклейки</t>
  </si>
  <si>
    <t>Чехол Huawey P40 Lite</t>
  </si>
  <si>
    <t>Игра Детская спортивная</t>
  </si>
  <si>
    <t>Обложка для паспорта</t>
  </si>
  <si>
    <t>Робот пылесос</t>
  </si>
  <si>
    <t>Браслет из натуральных камней</t>
  </si>
  <si>
    <t>Пастила мята</t>
  </si>
  <si>
    <t>Пастила натуральная ассорти</t>
  </si>
  <si>
    <t>Пастила шариковая</t>
  </si>
  <si>
    <t>Кольцо женское серебро</t>
  </si>
  <si>
    <t>Кольцо с аметистом</t>
  </si>
  <si>
    <t>Ювелирное кольцо женское</t>
  </si>
  <si>
    <t>Сетка москитная на дверь</t>
  </si>
  <si>
    <t>Боди с длинным рукавом</t>
  </si>
  <si>
    <t>Катушка для спининга</t>
  </si>
  <si>
    <t>Спиннинг телескопический</t>
  </si>
  <si>
    <t>1552314478</t>
  </si>
  <si>
    <t>1553413608</t>
  </si>
  <si>
    <t>Диапроектор звуковой</t>
  </si>
  <si>
    <t>Диафильм Кот в сапогах</t>
  </si>
  <si>
    <t>Диафильм Красная шапочка</t>
  </si>
  <si>
    <t>Диафильм Теремок</t>
  </si>
  <si>
    <t>Диафильм Серая шейка</t>
  </si>
  <si>
    <t>Диафильм Мама для мамонтенка</t>
  </si>
  <si>
    <t>Диафильм Трям! Здравствуйте!</t>
  </si>
  <si>
    <t>Диафильм Колобок, Курочка Ряба</t>
  </si>
  <si>
    <t>Диафильм Зимняя сказка</t>
  </si>
  <si>
    <t>Пазл Котенок по имени ГАВ</t>
  </si>
  <si>
    <t>Куртка Futurino р158</t>
  </si>
  <si>
    <t>ТЦ Москва</t>
  </si>
  <si>
    <t>Куртка Futurino Cool р158</t>
  </si>
  <si>
    <t>Куртка Futurino р146</t>
  </si>
  <si>
    <t>Ролики детские</t>
  </si>
  <si>
    <t>0000203687057</t>
  </si>
  <si>
    <t>Кроссовки ролики 35 размер</t>
  </si>
  <si>
    <t>80512396148571</t>
  </si>
  <si>
    <t>Плюшевая пряжа набор №5</t>
  </si>
  <si>
    <t>Искусственные цветы</t>
  </si>
  <si>
    <t>Кастрюля 6,3л с крышкой</t>
  </si>
  <si>
    <t>Длинная скалка 41 см</t>
  </si>
  <si>
    <t>Пряжа плюшевая 3шт 27 ванильный крем</t>
  </si>
  <si>
    <t>Пряжа плюшевая 3шт 01 белый</t>
  </si>
  <si>
    <t>Отпариватель ручной с дисплеем BAUHAUS</t>
  </si>
  <si>
    <t>Алмазная мозаика</t>
  </si>
  <si>
    <t>Брадсы для скрапбукинга</t>
  </si>
  <si>
    <t>Набор очков</t>
  </si>
  <si>
    <t>Босоножки с завязками</t>
  </si>
  <si>
    <t>Чехол на Xiaomi Redmi 9A</t>
  </si>
  <si>
    <t>Игра поймай мяч 2 ракетки</t>
  </si>
  <si>
    <t>0000203703665</t>
  </si>
  <si>
    <t>0000203624791</t>
  </si>
  <si>
    <t>1553177469</t>
  </si>
  <si>
    <t>Ингалятор OMRON C21</t>
  </si>
  <si>
    <t>Пастила мята, кофе, корица</t>
  </si>
  <si>
    <t>Кабельный тестер</t>
  </si>
  <si>
    <t>Кабельный наконечник</t>
  </si>
  <si>
    <t>Клещи переставные</t>
  </si>
  <si>
    <t>Букет из мыла</t>
  </si>
  <si>
    <t>Полотенце махровое</t>
  </si>
  <si>
    <t>Статуэтка Ника</t>
  </si>
  <si>
    <t>Столовые приборы</t>
  </si>
  <si>
    <t>Подвеска золото красное</t>
  </si>
  <si>
    <t>Подарочный пакет</t>
  </si>
  <si>
    <t>Шубка-кофта розовый</t>
  </si>
  <si>
    <t>Шубка-кофта молочный</t>
  </si>
  <si>
    <t>Ресницы для игрушек</t>
  </si>
  <si>
    <t>Пряжа тонкая плюшевая 5шт разноцвет</t>
  </si>
  <si>
    <t>Тройник ПНД</t>
  </si>
  <si>
    <t>ПНД заглушка 40</t>
  </si>
  <si>
    <t>Поляризованные очки</t>
  </si>
  <si>
    <t>Набор нот церковных 13шт</t>
  </si>
  <si>
    <t>Наклейки "Золотая осень"</t>
  </si>
  <si>
    <t>Наклейка "Бабочки"</t>
  </si>
  <si>
    <t>Витражная пленка</t>
  </si>
  <si>
    <t>Наклейка статическая тюльпаны</t>
  </si>
  <si>
    <t>Наклейка статическая ромашки</t>
  </si>
  <si>
    <t>Наклейка статическая луговые цветы</t>
  </si>
  <si>
    <t>Наклейка статическая Луговые островки</t>
  </si>
  <si>
    <t>Наклейка статическая Кролики в траве</t>
  </si>
  <si>
    <t>Купальник раздельный р28</t>
  </si>
  <si>
    <t>Букварь 1994г.</t>
  </si>
  <si>
    <t>Набор книг 2шт.</t>
  </si>
  <si>
    <t>0000204116867</t>
  </si>
  <si>
    <t>Ксиноксин 15%</t>
  </si>
  <si>
    <t>Ксиноксин 5%</t>
  </si>
  <si>
    <t>Скакалка</t>
  </si>
  <si>
    <t>OZON Чехова 373</t>
  </si>
  <si>
    <t>Глазки для игрушек винтовые</t>
  </si>
  <si>
    <t>Глазки для игрушек блестящие</t>
  </si>
  <si>
    <t>Туалетный утенок</t>
  </si>
  <si>
    <t>Синтепух гиппоалергенный</t>
  </si>
  <si>
    <t>Ложка кулинарная</t>
  </si>
  <si>
    <t>Глазки для игрушек 8мм</t>
  </si>
  <si>
    <t>Бумажные полотенца</t>
  </si>
  <si>
    <t>Гель для душа</t>
  </si>
  <si>
    <t>Чехол Xiaomi Redmi Note 12</t>
  </si>
  <si>
    <t>WB Чехова 373</t>
  </si>
  <si>
    <t>Чехол силиконовый Infinix Note 30 Pro</t>
  </si>
  <si>
    <t>Спаше ароматическое для белья</t>
  </si>
  <si>
    <t>Духи стойкие Treselle</t>
  </si>
  <si>
    <t>Носки детские</t>
  </si>
  <si>
    <t>Ящик для хранения вещей</t>
  </si>
  <si>
    <t>Тестер утечки в цилиндрах</t>
  </si>
  <si>
    <t>Зонт от солнца</t>
  </si>
  <si>
    <t>Программатор</t>
  </si>
  <si>
    <t>Гантели</t>
  </si>
  <si>
    <t>OZON Курьрер</t>
  </si>
  <si>
    <t>EVELINE Экспресс удалитель</t>
  </si>
  <si>
    <t>Пилинг носочки</t>
  </si>
  <si>
    <t>Жалюзи самоклеющиеся серая</t>
  </si>
  <si>
    <t>Жалюзи самоклеющиеся белая</t>
  </si>
  <si>
    <t>Вешалка напольная</t>
  </si>
  <si>
    <t>Цветы искусственные декоративные</t>
  </si>
  <si>
    <t>Половник</t>
  </si>
  <si>
    <t>Пряжа детская 02</t>
  </si>
  <si>
    <t>Сахарозаменитель 1200</t>
  </si>
  <si>
    <t>Силиконовая массажная мочалка</t>
  </si>
  <si>
    <t>Носики для игрушек</t>
  </si>
  <si>
    <t>Платье для девочки 104р.</t>
  </si>
  <si>
    <t>Набор подарочный для волос</t>
  </si>
  <si>
    <t>Ободок для волос</t>
  </si>
  <si>
    <t>Заколки для волос цветные косички</t>
  </si>
  <si>
    <t>Халат домашний</t>
  </si>
  <si>
    <t>Карандаш для отбеливания зубов 2шт</t>
  </si>
  <si>
    <t>Масло от растяжек</t>
  </si>
  <si>
    <t>Подушка для беременных</t>
  </si>
  <si>
    <t>Блендер поративный</t>
  </si>
  <si>
    <t>Настольный вентилятор</t>
  </si>
  <si>
    <t>Отпариватель ручной для одежды</t>
  </si>
  <si>
    <t>Полотенце кухонное набор 3шт</t>
  </si>
  <si>
    <t>Петли функциональные</t>
  </si>
  <si>
    <t>Яндекс Чучева, 48/2</t>
  </si>
  <si>
    <t>Конструктор Гарри Потер</t>
  </si>
  <si>
    <t>Зостерин Ультра 60%</t>
  </si>
  <si>
    <t>Хлорофилл тайский порошок</t>
  </si>
  <si>
    <t>Бальзам ополаскиватель</t>
  </si>
  <si>
    <t>Гидролизат плаценты</t>
  </si>
  <si>
    <t>Культиватор ручной</t>
  </si>
  <si>
    <t>Кран стартовый 50шт</t>
  </si>
  <si>
    <t>Муфта соединительная</t>
  </si>
  <si>
    <t>Спрей лента 100м</t>
  </si>
  <si>
    <t>80088297060484</t>
  </si>
  <si>
    <t>ПочтаРФ Чехова 373</t>
  </si>
  <si>
    <t>0000204097585</t>
  </si>
  <si>
    <t>0000602799416</t>
  </si>
  <si>
    <t>10000219844</t>
  </si>
  <si>
    <t>10002750378</t>
  </si>
  <si>
    <t>СДЭК Чехова 336-в</t>
  </si>
  <si>
    <t>Рукавицы SENI</t>
  </si>
  <si>
    <t>Каша овсяная УВЕЛКА 20шт</t>
  </si>
  <si>
    <t>Крем моющий SENI CARE 3 in 1</t>
  </si>
  <si>
    <t>Коврик для ванной 3D</t>
  </si>
  <si>
    <t>Коврик для ванной массажный</t>
  </si>
  <si>
    <t>Костюм домашний</t>
  </si>
  <si>
    <t>Чехол на диван на резинке</t>
  </si>
  <si>
    <t>Полотенце банное</t>
  </si>
  <si>
    <t>Бриджи домашние</t>
  </si>
  <si>
    <t>Чехол на Xiaomi Redmi 12</t>
  </si>
  <si>
    <t>10004230642</t>
  </si>
  <si>
    <t>80512097797344</t>
  </si>
  <si>
    <t>0000204358558</t>
  </si>
  <si>
    <t>0000603154630</t>
  </si>
  <si>
    <t>Кошелек</t>
  </si>
  <si>
    <t>Вал-удлинитель фрезы</t>
  </si>
  <si>
    <t>Антимоскитный костюм</t>
  </si>
  <si>
    <t>Пленка силиконовая на подоконник</t>
  </si>
  <si>
    <t>Карниз телескопический</t>
  </si>
  <si>
    <t>Тканевая штора для ванной</t>
  </si>
  <si>
    <t>Купальник раздельный р64</t>
  </si>
  <si>
    <t>Чехол для дивана</t>
  </si>
  <si>
    <t>Пылесос вертикальный</t>
  </si>
  <si>
    <t>Паста томатная иранская</t>
  </si>
  <si>
    <t>Пряжа 1шт цвет 550 ярко-желтый</t>
  </si>
  <si>
    <t>Процессор Intel Core i5-2400</t>
  </si>
  <si>
    <t>Планшет X-PRIME A73 6/128</t>
  </si>
  <si>
    <t>Игра - магнитные куклы</t>
  </si>
  <si>
    <t>Книга для девочек 500 наклеек</t>
  </si>
  <si>
    <t>Детская косметика набор</t>
  </si>
  <si>
    <t>Ресницы накладные</t>
  </si>
  <si>
    <t>Генератор мыльных пузырей</t>
  </si>
  <si>
    <t>Наволочка 50х70 набор 2шт</t>
  </si>
  <si>
    <t>Подушка бамбук 50х70</t>
  </si>
  <si>
    <t>Раствор для мыль. пузырей 1л</t>
  </si>
  <si>
    <t>Ремешок для часов</t>
  </si>
  <si>
    <t>Чехол для планшета</t>
  </si>
  <si>
    <t>Пленка матовая X-Prime A73</t>
  </si>
  <si>
    <t>Бур садовый</t>
  </si>
  <si>
    <t>Лапа культиватора</t>
  </si>
  <si>
    <t>Пропольник-плоскорез</t>
  </si>
  <si>
    <t>Шлепанцы Forio</t>
  </si>
  <si>
    <t>Шлепанцы Smile</t>
  </si>
  <si>
    <t>Плоскорез садовый</t>
  </si>
  <si>
    <t>Корпус печки Ford mondeo IV</t>
  </si>
  <si>
    <t>Boxberry Чехова 373</t>
  </si>
  <si>
    <t>Майка для собак</t>
  </si>
  <si>
    <t>Футболка для животных</t>
  </si>
  <si>
    <t>Панама для собак</t>
  </si>
  <si>
    <t>Кеды для собак</t>
  </si>
  <si>
    <t>Жидкое мыло 1л</t>
  </si>
  <si>
    <t>Нитки капроновые</t>
  </si>
  <si>
    <t>Костюм спортивный</t>
  </si>
  <si>
    <t>Шампунь для волос</t>
  </si>
  <si>
    <t>Уничтожитель плесени</t>
  </si>
  <si>
    <t>Шампунь дегтярный</t>
  </si>
  <si>
    <t>Кюретка педикюрная</t>
  </si>
  <si>
    <t>Жиросжигатель</t>
  </si>
  <si>
    <t>Набор воина OZVерин</t>
  </si>
  <si>
    <t>10008115987</t>
  </si>
  <si>
    <t>Игрушка интерактивная собака</t>
  </si>
  <si>
    <t>Носик винтовой с заглушкой</t>
  </si>
  <si>
    <t>Глазки для игрушек 16мм</t>
  </si>
  <si>
    <t>Реснички для кукол</t>
  </si>
  <si>
    <t>Калейдоскоп синий</t>
  </si>
  <si>
    <t>Игра магнитная Одевашки Анюта</t>
  </si>
  <si>
    <t>Накладные ресницы</t>
  </si>
  <si>
    <t>LK354867392CN</t>
  </si>
  <si>
    <t>Диадема</t>
  </si>
  <si>
    <t>Очки для уточки</t>
  </si>
  <si>
    <t>Пряжа детская ассорти</t>
  </si>
  <si>
    <t>Пряжа плюшевая тонкая №3</t>
  </si>
  <si>
    <t>Холодильник автомобильный</t>
  </si>
  <si>
    <t>Колокольчик рыболовный</t>
  </si>
  <si>
    <t>Жидкость для чистки экранов</t>
  </si>
  <si>
    <t>Псиллиум</t>
  </si>
  <si>
    <t>Бесшумные часы настенные</t>
  </si>
  <si>
    <t>Пластина защитная для техники</t>
  </si>
  <si>
    <t>Мячик масажный с шипами</t>
  </si>
  <si>
    <t>Календарики карманные</t>
  </si>
  <si>
    <t>Щетка для чистки межплиточных швов</t>
  </si>
  <si>
    <t>Пряжа детская 166 суровый</t>
  </si>
  <si>
    <t>Миска для теста</t>
  </si>
  <si>
    <t>Румяна для лица</t>
  </si>
  <si>
    <t>Пряжа для вязания 4шт</t>
  </si>
  <si>
    <t>Набор крючков для вязания</t>
  </si>
  <si>
    <t>Ковер ТамиТафт 1,5х2</t>
  </si>
  <si>
    <t>Чехол для кресла компьютерного</t>
  </si>
  <si>
    <t>Чехол для кресла</t>
  </si>
  <si>
    <t>Защита для катания</t>
  </si>
  <si>
    <t>Сухое молоко</t>
  </si>
  <si>
    <t>Сливки сухие</t>
  </si>
  <si>
    <t>Внешний аккумулятор</t>
  </si>
  <si>
    <t>Powerbank 40000</t>
  </si>
  <si>
    <t>Ноутбук Б/У</t>
  </si>
  <si>
    <t>P000143805126</t>
  </si>
  <si>
    <t>5Post Чучева, 48</t>
  </si>
  <si>
    <t>Хлоровил жидкий с мятой 500</t>
  </si>
  <si>
    <t>Дневник школьный 1-4 класс</t>
  </si>
  <si>
    <t>Нотный сборник Прекрасное далеко</t>
  </si>
  <si>
    <t>Часы настольные электронные</t>
  </si>
  <si>
    <t>Переходник для автосканера</t>
  </si>
  <si>
    <t>Пряжа детская акрил 100%</t>
  </si>
  <si>
    <t>Набор посуды тарелки 3шт</t>
  </si>
  <si>
    <t>Комплект трусов 4шт</t>
  </si>
  <si>
    <t>Средство от клопов</t>
  </si>
  <si>
    <t>Наклейка на холодильник</t>
  </si>
  <si>
    <t>Наклейка на унитаз</t>
  </si>
  <si>
    <t>Ночник Морф Дота 2</t>
  </si>
  <si>
    <t>Скатерть 80*120</t>
  </si>
  <si>
    <t>Станки для бритья</t>
  </si>
  <si>
    <t>Наклейки декоративные</t>
  </si>
  <si>
    <t>Наклейки на стену детские</t>
  </si>
  <si>
    <t>Бкскаркасный диван-кровать</t>
  </si>
  <si>
    <t>Буровая станция</t>
  </si>
  <si>
    <t>ПЭК Пархоменко 22А</t>
  </si>
  <si>
    <t>Сабо на платформе</t>
  </si>
  <si>
    <t>Туника свободная рубашка</t>
  </si>
  <si>
    <t>Туника больших размеров</t>
  </si>
  <si>
    <t>Бюстгалтер</t>
  </si>
  <si>
    <t>Трусы слипы хлопок</t>
  </si>
  <si>
    <t>Рюкзак школьный</t>
  </si>
  <si>
    <t>Хлорофилл жидкий пищевой</t>
  </si>
  <si>
    <t>Кордицепс мицелий</t>
  </si>
  <si>
    <t>Ежовик гребенчатый мицелий</t>
  </si>
  <si>
    <t>Чехол на кресло</t>
  </si>
  <si>
    <t>Синтепух 1кг</t>
  </si>
  <si>
    <t>Домофон трубка</t>
  </si>
  <si>
    <t>Точилка для ножей</t>
  </si>
  <si>
    <t>Набор колец</t>
  </si>
  <si>
    <t>iPhone X 64Mb</t>
  </si>
  <si>
    <t>Отпариватель ручной</t>
  </si>
  <si>
    <t>Ночник в розетку</t>
  </si>
  <si>
    <t>Элевит витамины для женщин</t>
  </si>
  <si>
    <t>Трусы</t>
  </si>
  <si>
    <t>Шлепки резиновые</t>
  </si>
  <si>
    <t>Детский крем для сосков груди</t>
  </si>
  <si>
    <t>Вкладыши для груди</t>
  </si>
  <si>
    <t>Сиденья для унитаза 30шт</t>
  </si>
  <si>
    <t>Послеродовые прокладки</t>
  </si>
  <si>
    <t>Пенеки детские 10шт</t>
  </si>
  <si>
    <t>Трусы набор 3шт</t>
  </si>
  <si>
    <t>Сорочка для рожениц</t>
  </si>
  <si>
    <t>Бесшовный бюстгалтер</t>
  </si>
  <si>
    <t>Сумка в роддом</t>
  </si>
  <si>
    <t>Соковыжималки для цитрусовых</t>
  </si>
  <si>
    <t>Портативная игровая приставка</t>
  </si>
  <si>
    <t>Штора для ванной</t>
  </si>
  <si>
    <t>Коврик для ванной</t>
  </si>
  <si>
    <t>Карниз для ванной</t>
  </si>
  <si>
    <t>0000205542743</t>
  </si>
  <si>
    <t>0000205544621</t>
  </si>
  <si>
    <t>0000205564329</t>
  </si>
  <si>
    <t>Таганок туристический 5л</t>
  </si>
  <si>
    <t>Потолочный светильник</t>
  </si>
  <si>
    <t>Таблетки для унитаза</t>
  </si>
  <si>
    <t>Держатель для тиуалетной бумаги</t>
  </si>
  <si>
    <t>Чудо трияпуи для уборки</t>
  </si>
  <si>
    <t>Ватные палочки</t>
  </si>
  <si>
    <t>Салфетки влажные</t>
  </si>
  <si>
    <t>Коврик для ванной большой</t>
  </si>
  <si>
    <t>Набор для ванной керамический</t>
  </si>
  <si>
    <t>Пижама Сити Текс</t>
  </si>
  <si>
    <t>Умные весы</t>
  </si>
  <si>
    <t>Сумка женская</t>
  </si>
  <si>
    <t>Ткань для шитья</t>
  </si>
  <si>
    <t>Футболка поло</t>
  </si>
  <si>
    <t>Чехол для iPhone 15 Pro</t>
  </si>
  <si>
    <t>Флешка USB</t>
  </si>
  <si>
    <t>Книга Мы с дедушкой друзья</t>
  </si>
  <si>
    <t>Книга Птичкин Мы живем в гостях…</t>
  </si>
  <si>
    <t>Энциклопедия для маленьких</t>
  </si>
  <si>
    <t>29350096004884</t>
  </si>
  <si>
    <t>ПочтаДонбасса Куприна 11</t>
  </si>
  <si>
    <t>10016371290</t>
  </si>
  <si>
    <t>10019642308</t>
  </si>
  <si>
    <t>10019673737</t>
  </si>
  <si>
    <t>10019677031</t>
  </si>
  <si>
    <t>0000205874645</t>
  </si>
  <si>
    <t>10019527472</t>
  </si>
  <si>
    <t>10019844754</t>
  </si>
  <si>
    <t>0000604454240</t>
  </si>
  <si>
    <t>Фен щетка для волос с вращением</t>
  </si>
  <si>
    <t>Мыло хозяйственное жидкое</t>
  </si>
  <si>
    <t>Электропривод багажника</t>
  </si>
  <si>
    <t>Пеленки одноразовые</t>
  </si>
  <si>
    <t>10020006057</t>
  </si>
  <si>
    <t>Телефон</t>
  </si>
  <si>
    <t>10021973655</t>
  </si>
  <si>
    <t>Сушилка напольная</t>
  </si>
  <si>
    <t>Шагомер</t>
  </si>
  <si>
    <t>Брелок</t>
  </si>
  <si>
    <t>Туалетный блок</t>
  </si>
  <si>
    <t>Пряжа детская №8</t>
  </si>
  <si>
    <t>Капсулы для стирки</t>
  </si>
  <si>
    <t>Краска для волос ESTEL</t>
  </si>
  <si>
    <t>Крем обезбаливающий для суставов</t>
  </si>
  <si>
    <t>Дозатор для жидкого мыла</t>
  </si>
  <si>
    <t>Пилки для ногтей</t>
  </si>
  <si>
    <t>Икра лососевая</t>
  </si>
  <si>
    <t>Краска для волос Ollin</t>
  </si>
  <si>
    <t>Лосьон после бритья</t>
  </si>
  <si>
    <t>Комплект нипельного поения для кур</t>
  </si>
  <si>
    <t>Багажник на крышу авто</t>
  </si>
  <si>
    <t>10022022311</t>
  </si>
  <si>
    <t>10022118658</t>
  </si>
  <si>
    <t>10021768476</t>
  </si>
  <si>
    <t>10022027969</t>
  </si>
  <si>
    <t>Коробка для вещей</t>
  </si>
  <si>
    <t>Шторы</t>
  </si>
  <si>
    <t>Стеллажные коробки</t>
  </si>
  <si>
    <t>Тюль сетка</t>
  </si>
  <si>
    <t>Ножницы</t>
  </si>
  <si>
    <t>Плед</t>
  </si>
  <si>
    <t>Стол письменный</t>
  </si>
  <si>
    <t>Компрессионные колготки</t>
  </si>
  <si>
    <t>Трусы боксеры</t>
  </si>
  <si>
    <t>10022495421</t>
  </si>
  <si>
    <t>10022850087</t>
  </si>
  <si>
    <t>10023288130</t>
  </si>
  <si>
    <t>10020892818</t>
  </si>
  <si>
    <t>Пульт для телевизора</t>
  </si>
  <si>
    <t>Набор гиалуроновый крем</t>
  </si>
  <si>
    <t>10023414837</t>
  </si>
  <si>
    <t>10024023579</t>
  </si>
  <si>
    <t>Блузка SFO</t>
  </si>
  <si>
    <t>Рубашка Qianzhidu</t>
  </si>
  <si>
    <t>Рубашка FELLA</t>
  </si>
  <si>
    <t>Дождевик детский</t>
  </si>
  <si>
    <t>Набор гель для стирки</t>
  </si>
  <si>
    <t>Органайзер для белья</t>
  </si>
  <si>
    <t>Платье в садик</t>
  </si>
  <si>
    <t>Паста чистящая Pink Clam</t>
  </si>
  <si>
    <t>Наклейки на стену</t>
  </si>
  <si>
    <t>Органайзер для пакетов</t>
  </si>
  <si>
    <t>10024949051</t>
  </si>
  <si>
    <t>10024203136</t>
  </si>
  <si>
    <t>Наклейка для ногтей осень листья</t>
  </si>
  <si>
    <t>Наклейка для ногтей цветы лето</t>
  </si>
  <si>
    <t>Наклейка для ногтей цветы листья</t>
  </si>
  <si>
    <t>Наклейка для ногтей водные цветы стразы</t>
  </si>
  <si>
    <t>Наклейка для ногтей LAQUE STIKERS</t>
  </si>
  <si>
    <t>Наклейка для ногтей водные цветы лето</t>
  </si>
  <si>
    <t>Фартук для кухни</t>
  </si>
  <si>
    <t>Крючки для штор</t>
  </si>
  <si>
    <t>Обои моющиеся виниловые</t>
  </si>
  <si>
    <t>Термос 2л</t>
  </si>
  <si>
    <t>Дата</t>
  </si>
  <si>
    <t>Summ</t>
  </si>
  <si>
    <t>№ Заказов</t>
  </si>
  <si>
    <t>Мест</t>
  </si>
  <si>
    <t>Шаблон</t>
  </si>
  <si>
    <t>Юля Нептун</t>
  </si>
  <si>
    <t>47.1300, 37.5656</t>
  </si>
  <si>
    <t>Витамины</t>
  </si>
  <si>
    <t>ОТ Порт сити</t>
  </si>
  <si>
    <t>Куприна 60</t>
  </si>
  <si>
    <t>47.1172, 37.5089</t>
  </si>
  <si>
    <t>Оксана 17 цветы</t>
  </si>
  <si>
    <t>17 МКР цветы</t>
  </si>
  <si>
    <t>Елена 17 рынок</t>
  </si>
  <si>
    <t>17 МКР Рынок</t>
  </si>
  <si>
    <t>47.1123, 37.5157</t>
  </si>
  <si>
    <t>Валера Фагот</t>
  </si>
  <si>
    <t>Краснофлотская 132</t>
  </si>
  <si>
    <t>47.0917, 37.4968</t>
  </si>
  <si>
    <t>Наталья</t>
  </si>
  <si>
    <t>Санаторная 25</t>
  </si>
  <si>
    <t>47.0743, 37.5089</t>
  </si>
  <si>
    <t>Металлургов 97</t>
  </si>
  <si>
    <t>47.1071, 37.5544</t>
  </si>
  <si>
    <t>54, 58, 59</t>
  </si>
  <si>
    <t>Елена от Ани</t>
  </si>
  <si>
    <t>64, 75</t>
  </si>
  <si>
    <t>59, 69</t>
  </si>
  <si>
    <t>Экорынок</t>
  </si>
  <si>
    <t>47.1066, 37.5484</t>
  </si>
  <si>
    <t>Лена Ларисына</t>
  </si>
  <si>
    <t>1, 68</t>
  </si>
  <si>
    <t>79, 86</t>
  </si>
  <si>
    <t>82, 88, 78</t>
  </si>
  <si>
    <t>99, 110</t>
  </si>
  <si>
    <t>97, 105</t>
  </si>
  <si>
    <t>80, 17</t>
  </si>
  <si>
    <t>88, 109, 25</t>
  </si>
  <si>
    <t>97, 20</t>
  </si>
  <si>
    <t>79, 20</t>
  </si>
  <si>
    <t>114,  70</t>
  </si>
  <si>
    <t>25,  119</t>
  </si>
  <si>
    <t>122  124</t>
  </si>
  <si>
    <t>96  110</t>
  </si>
  <si>
    <t>43  121  128</t>
  </si>
  <si>
    <t>115  136</t>
  </si>
  <si>
    <t>129  139</t>
  </si>
  <si>
    <t>137  145</t>
  </si>
  <si>
    <t>147  160</t>
  </si>
  <si>
    <t>145  152  162</t>
  </si>
  <si>
    <t>142  155</t>
  </si>
  <si>
    <t>158,  165</t>
  </si>
  <si>
    <t>160  164</t>
  </si>
  <si>
    <t>155  169</t>
  </si>
  <si>
    <t>улица Бахчиванджи, 14</t>
  </si>
  <si>
    <t>47.0912, 37.5245</t>
  </si>
  <si>
    <t>Крендель с Нахимова</t>
  </si>
  <si>
    <t>Нахимова 104</t>
  </si>
  <si>
    <t>47.0940, 37.5130</t>
  </si>
  <si>
    <t>147  160  172</t>
  </si>
  <si>
    <t>165  175</t>
  </si>
  <si>
    <t>162  177</t>
  </si>
  <si>
    <t>155  179</t>
  </si>
  <si>
    <t>Металлургов 143 подъезд 4</t>
  </si>
  <si>
    <t>47.1200, 37.5644</t>
  </si>
  <si>
    <t>177  178  181</t>
  </si>
  <si>
    <t>160  184</t>
  </si>
  <si>
    <t>Денис</t>
  </si>
  <si>
    <t>Ц. рынок</t>
  </si>
  <si>
    <t>47.1005, 37.5466</t>
  </si>
  <si>
    <t>Екатерина</t>
  </si>
  <si>
    <t>+79490351867</t>
  </si>
  <si>
    <t>Нахимова 204</t>
  </si>
  <si>
    <t>47.0956, 37.5382</t>
  </si>
  <si>
    <t>192  205  211</t>
  </si>
  <si>
    <t>189  215</t>
  </si>
  <si>
    <t>204  191</t>
  </si>
  <si>
    <t>Почта 37 отделение</t>
  </si>
  <si>
    <t>Нет данных</t>
  </si>
  <si>
    <t>Куприна 11</t>
  </si>
  <si>
    <t>47.1023, 37.5129</t>
  </si>
  <si>
    <t>47.1200, 37.5645</t>
  </si>
  <si>
    <t>217  226</t>
  </si>
  <si>
    <t>Сумка мессенджер</t>
  </si>
  <si>
    <t>Чехол для iPhone 11 Pro макс</t>
  </si>
  <si>
    <t>Чехол для iPhone 11 Pro</t>
  </si>
  <si>
    <t>Часы наручные Кварцевые</t>
  </si>
  <si>
    <t>Владимир Зайцев</t>
  </si>
  <si>
    <t>Мочеприемник</t>
  </si>
  <si>
    <t>+79497090163</t>
  </si>
  <si>
    <t>Фотоальбом</t>
  </si>
  <si>
    <t>Набор книг Учимся читать</t>
  </si>
  <si>
    <t>Букварь и прописи</t>
  </si>
  <si>
    <t>Избранные обработки народных песен</t>
  </si>
  <si>
    <t>10026468500</t>
  </si>
  <si>
    <t>10026567842</t>
  </si>
  <si>
    <t>10026803989</t>
  </si>
  <si>
    <t>Мокасины</t>
  </si>
  <si>
    <t>Жилет</t>
  </si>
  <si>
    <t>Пятновыводитель спрей</t>
  </si>
  <si>
    <t>Резинка для рукоделия</t>
  </si>
  <si>
    <t>Бальзам для волос</t>
  </si>
  <si>
    <t>Крем лечебный заживляющий</t>
  </si>
  <si>
    <t>Напяточники силиконовые</t>
  </si>
  <si>
    <t>Напяточники силиконовые 2шт</t>
  </si>
  <si>
    <t>Мыльница</t>
  </si>
  <si>
    <t>Мыльница керамическая</t>
  </si>
  <si>
    <t>Мыльница для ванной</t>
  </si>
  <si>
    <t>Губки для посуды</t>
  </si>
  <si>
    <t>10027911739</t>
  </si>
  <si>
    <t>217  235</t>
  </si>
  <si>
    <t>191  234</t>
  </si>
  <si>
    <t>211  222</t>
  </si>
  <si>
    <t>Наталья Молокозавод</t>
  </si>
  <si>
    <t>Свободы 7</t>
  </si>
  <si>
    <t>47.1184, 37.5442</t>
  </si>
  <si>
    <t>+79497083587</t>
  </si>
  <si>
    <t>Евгения Охотник</t>
  </si>
  <si>
    <t>+79497263506</t>
  </si>
  <si>
    <t>Серг</t>
  </si>
  <si>
    <t>+79498362080</t>
  </si>
  <si>
    <t>Лазурная 1</t>
  </si>
  <si>
    <t>47.0965, 37.6638</t>
  </si>
  <si>
    <t>Евгений Васильев</t>
  </si>
  <si>
    <t>+79495654131</t>
  </si>
  <si>
    <t>Таганрогская 40а</t>
  </si>
  <si>
    <t>47.1246, 37.6566</t>
  </si>
  <si>
    <t>Светлана Шота 18</t>
  </si>
  <si>
    <t>Шота 18</t>
  </si>
  <si>
    <t>+79497251443</t>
  </si>
  <si>
    <t>47.1194, 37.5396</t>
  </si>
  <si>
    <t>Жанна Наташина</t>
  </si>
  <si>
    <t>Зелинского 98а</t>
  </si>
  <si>
    <t>47.1022, 37.5165</t>
  </si>
  <si>
    <t>+79495529124</t>
  </si>
  <si>
    <t>Аэродромная 4</t>
  </si>
  <si>
    <t>47.1087, 37.5254</t>
  </si>
  <si>
    <t>61260091385122</t>
  </si>
  <si>
    <t>Терка овощерезка</t>
  </si>
  <si>
    <t>Коврики для холодильника</t>
  </si>
  <si>
    <t>Сковорода антипригарная</t>
  </si>
  <si>
    <t>Парфюмированный гель</t>
  </si>
  <si>
    <t>Терка для ног</t>
  </si>
  <si>
    <t>Шампунь Dove</t>
  </si>
  <si>
    <t>Брюки черные</t>
  </si>
  <si>
    <t>Галстук</t>
  </si>
  <si>
    <t>Подарочный набор</t>
  </si>
  <si>
    <t>Набор серебро 925 серьги</t>
  </si>
  <si>
    <t>Набор подарочный женский</t>
  </si>
  <si>
    <t>Подарок живая роза</t>
  </si>
  <si>
    <t>Домашняя пижама</t>
  </si>
  <si>
    <t>Куртка джинсовая</t>
  </si>
  <si>
    <t>Стол обеденный</t>
  </si>
  <si>
    <t>Стол журнальный</t>
  </si>
  <si>
    <t>10028441125</t>
  </si>
  <si>
    <t>10028574238</t>
  </si>
  <si>
    <t>10029133477</t>
  </si>
  <si>
    <t>10029154288</t>
  </si>
  <si>
    <t>10029155922</t>
  </si>
  <si>
    <t>80110499569004</t>
  </si>
  <si>
    <t>Данил Шевченко</t>
  </si>
  <si>
    <t>+79495529137</t>
  </si>
  <si>
    <t>Ремкомплект ограничителей</t>
  </si>
  <si>
    <t>Ручка КПП Ford Focus 5 ступ.</t>
  </si>
  <si>
    <t>Ручка КПП Mazda BK BL</t>
  </si>
  <si>
    <t>233  244</t>
  </si>
  <si>
    <t>235  245</t>
  </si>
  <si>
    <t>+79497095528</t>
  </si>
  <si>
    <t>Людмила Кордицепс</t>
  </si>
  <si>
    <t>9 Авиадивизии 28</t>
  </si>
  <si>
    <t>47.1235, 37.5191</t>
  </si>
  <si>
    <t>Наталья Сергеевна</t>
  </si>
  <si>
    <t>Ленина 63/2</t>
  </si>
  <si>
    <t>+79497369642</t>
  </si>
  <si>
    <t>47.0971, 37.5481</t>
  </si>
  <si>
    <t>Гранитная 138</t>
  </si>
  <si>
    <t>47.1260, 37.5132</t>
  </si>
  <si>
    <t>Валерий Фагот</t>
  </si>
  <si>
    <t>Елена Индол</t>
  </si>
  <si>
    <t>+79497177018</t>
  </si>
  <si>
    <t>Троицка 75, Рынок Юмовила</t>
  </si>
  <si>
    <t>47.1121, 37.5156</t>
  </si>
  <si>
    <t>+79497196221</t>
  </si>
  <si>
    <t>Елена Трансфер</t>
  </si>
  <si>
    <t>47.1179, 37.5163</t>
  </si>
  <si>
    <t>+79497288148</t>
  </si>
  <si>
    <t>Пряжа сиреневый меланж</t>
  </si>
  <si>
    <t>Ножницы перекусы</t>
  </si>
  <si>
    <t>Постельное белье</t>
  </si>
  <si>
    <t>Нить капроновая</t>
  </si>
  <si>
    <t>Шампунь и гель для волос</t>
  </si>
  <si>
    <t>Переходная рамка Daewoo Matiz</t>
  </si>
  <si>
    <t>Мышь А4 X89</t>
  </si>
  <si>
    <t>Наклейка для ногтей</t>
  </si>
  <si>
    <t>Сумка тактическая</t>
  </si>
  <si>
    <t>47.1846, 37.5596</t>
  </si>
  <si>
    <t>Гантели хром 30кг</t>
  </si>
  <si>
    <t>Мяч баскетбольный №6</t>
  </si>
  <si>
    <t>Кольцо баскетбольное 45см</t>
  </si>
  <si>
    <t>Аюр Гармаев Мирный</t>
  </si>
  <si>
    <t>Мирный электростанция</t>
  </si>
  <si>
    <t>10030013400</t>
  </si>
  <si>
    <t>10030266432</t>
  </si>
  <si>
    <t>10030283493</t>
  </si>
  <si>
    <t>10030461545</t>
  </si>
  <si>
    <t>10030731111</t>
  </si>
  <si>
    <t>10030733260</t>
  </si>
  <si>
    <t>10030954209</t>
  </si>
  <si>
    <t>10031356741</t>
  </si>
  <si>
    <t>10031396212</t>
  </si>
  <si>
    <t>10031404731</t>
  </si>
  <si>
    <t>80110601923410</t>
  </si>
  <si>
    <t>80512701935643</t>
  </si>
  <si>
    <t>Ручки для кондиционера</t>
  </si>
  <si>
    <t>Кожух для Mazda</t>
  </si>
  <si>
    <t>Ручка для Mazda</t>
  </si>
  <si>
    <t>Мультиметр</t>
  </si>
  <si>
    <t>Кабелерез ручной</t>
  </si>
  <si>
    <t>Михаил Куприна</t>
  </si>
  <si>
    <t>+79497178586</t>
  </si>
  <si>
    <t>Куприна 51</t>
  </si>
  <si>
    <t>47.1094, 37.5104</t>
  </si>
  <si>
    <t>10031673435</t>
  </si>
  <si>
    <t>Лавицкого 20</t>
  </si>
  <si>
    <t>Анна Лавицкого</t>
  </si>
  <si>
    <t>47.0877, 37.5175</t>
  </si>
  <si>
    <t>Ленина 183 подъезд 1 (Изумрудный)</t>
  </si>
  <si>
    <t>47.0450, 37.4792</t>
  </si>
  <si>
    <t>Азовской флотилии 2</t>
  </si>
  <si>
    <t>Кондиционер для белья</t>
  </si>
  <si>
    <t>Пакет для хранения продуктов</t>
  </si>
  <si>
    <t>Томатная паста</t>
  </si>
  <si>
    <t>мазь для суставов</t>
  </si>
  <si>
    <t>Валентин Елена</t>
  </si>
  <si>
    <t>+79498018213, +79498018178</t>
  </si>
  <si>
    <t>Мамина Сибиряка, 16</t>
  </si>
  <si>
    <t>47.1496, 37.6041</t>
  </si>
  <si>
    <t>Очки VR с джойстиком</t>
  </si>
  <si>
    <t>Елена Гайдар</t>
  </si>
  <si>
    <t>Салфетки влажные Клубника</t>
  </si>
  <si>
    <t>Семена чиа для похудения</t>
  </si>
  <si>
    <t>Закваска для йогурта</t>
  </si>
  <si>
    <t>Шампунь для собак</t>
  </si>
  <si>
    <t>Салфетки для уборки</t>
  </si>
  <si>
    <t>Игрушка утка для собак</t>
  </si>
  <si>
    <t>Даня Краснофлотская</t>
  </si>
  <si>
    <t>+79498025966</t>
  </si>
  <si>
    <t>Демократическая, 27</t>
  </si>
  <si>
    <t>47.0730, 37.4997</t>
  </si>
  <si>
    <t>47.0990, 37.6424</t>
  </si>
  <si>
    <t>10032706281</t>
  </si>
  <si>
    <t>10033343270</t>
  </si>
  <si>
    <t>Мелатонин + Магний</t>
  </si>
  <si>
    <t>Dior Sauvage 100мл</t>
  </si>
  <si>
    <t>Цинк пиколинат</t>
  </si>
  <si>
    <t>Креатин моногидрат</t>
  </si>
  <si>
    <t>+79494015912</t>
  </si>
  <si>
    <t>Куприна 17</t>
  </si>
  <si>
    <t>47.1034, 37.5110</t>
  </si>
  <si>
    <t>Кирилл Куприна</t>
  </si>
  <si>
    <t>Очки для зрения +0,5</t>
  </si>
  <si>
    <t>Очки для зрения +2,5</t>
  </si>
  <si>
    <t>Гель для стирки Персил</t>
  </si>
  <si>
    <t>Нитевдеватель</t>
  </si>
  <si>
    <t>Книга Снежная долина</t>
  </si>
  <si>
    <t>Книга Веселый зоопарк</t>
  </si>
  <si>
    <t>Игрушка Олень</t>
  </si>
  <si>
    <t>Прописи многоразовые</t>
  </si>
  <si>
    <t>Фиточай Татарник</t>
  </si>
  <si>
    <t>Погремушка для новорожденных</t>
  </si>
  <si>
    <t>Книга Энциклопедия добрых дел</t>
  </si>
  <si>
    <t>Книга Энциклопедия хорошего поведения</t>
  </si>
  <si>
    <t>Книга Котята и кошки</t>
  </si>
  <si>
    <t>Книга Светозарное</t>
  </si>
  <si>
    <t>Книга Мурзилка</t>
  </si>
  <si>
    <t>Маркеры для доски</t>
  </si>
  <si>
    <t>Книга Зайчик Сева</t>
  </si>
  <si>
    <t>Книга Энциклопедия Красная Книга</t>
  </si>
  <si>
    <t>Книга Времена года</t>
  </si>
  <si>
    <t>Книга Математика</t>
  </si>
  <si>
    <t>Книга Английский в картинках</t>
  </si>
  <si>
    <t>Книги картины из пластилинап</t>
  </si>
  <si>
    <t>Книга Посмотри и раскрась</t>
  </si>
  <si>
    <t>Гинкго Билоба</t>
  </si>
  <si>
    <t>Плеер Азбукварик</t>
  </si>
  <si>
    <t>Книга Английский для малышей</t>
  </si>
  <si>
    <t>Книга Учим Английский с мамой</t>
  </si>
  <si>
    <t>Книга Хвостатая азбука</t>
  </si>
  <si>
    <t>Книга Арифметика Сложение</t>
  </si>
  <si>
    <t>Книга Арифметика Вычитание</t>
  </si>
  <si>
    <t>Labirint</t>
  </si>
  <si>
    <t>Ингалятор портативный</t>
  </si>
  <si>
    <t>97995535</t>
  </si>
  <si>
    <t>Книга Ваша жизнь это моя жизнь</t>
  </si>
  <si>
    <t>Lampada.su</t>
  </si>
  <si>
    <t>Книга От улыбки станет всем светлей</t>
  </si>
  <si>
    <t>Книга Зайчик Сева делится с друзьями</t>
  </si>
  <si>
    <t>Книга Зайчик Сева едет к бабушке</t>
  </si>
  <si>
    <t>Книга Зайчик Сева обиделся</t>
  </si>
  <si>
    <t>Книга Зайчик Сева не любит чистить зубы</t>
  </si>
  <si>
    <t>Лопатка кухонная универсальная</t>
  </si>
  <si>
    <t>Таз складной 5л</t>
  </si>
  <si>
    <t>Часы настенные</t>
  </si>
  <si>
    <t>Ведро мусорное</t>
  </si>
  <si>
    <t>Крючки вешалка 10шт</t>
  </si>
  <si>
    <t>Пижама домашняя</t>
  </si>
  <si>
    <t>Смесь семян для салатов</t>
  </si>
  <si>
    <t>Набор серьги, кольца</t>
  </si>
  <si>
    <t>Органайзер универсальный для косметики</t>
  </si>
  <si>
    <t>Терка для овощей</t>
  </si>
  <si>
    <t>Кошелек для денег</t>
  </si>
  <si>
    <t>Набор полотенец из микрофибры</t>
  </si>
  <si>
    <t>Маски для лица тканевые</t>
  </si>
  <si>
    <t>Набор полотенец вафельных</t>
  </si>
  <si>
    <t>Полка подвесная на липучках</t>
  </si>
  <si>
    <t>+79494631318</t>
  </si>
  <si>
    <t>Алена Зелинского</t>
  </si>
  <si>
    <t>Зелинского 69</t>
  </si>
  <si>
    <t>+79496433686</t>
  </si>
  <si>
    <t>267  276</t>
  </si>
  <si>
    <t>47.1043, 37.5188</t>
  </si>
  <si>
    <t>Порошок стиральный Ариель</t>
  </si>
  <si>
    <t>Футболка белая</t>
  </si>
  <si>
    <t>Мягкая игрушка Мопс</t>
  </si>
  <si>
    <t>Кольца бижутерия</t>
  </si>
  <si>
    <t>Нож складной</t>
  </si>
  <si>
    <t>Татьяна Дьяченко</t>
  </si>
  <si>
    <t>+79497084226</t>
  </si>
  <si>
    <t>Халтурина 93</t>
  </si>
  <si>
    <t>47.1148, 37.5300</t>
  </si>
  <si>
    <t>47.0874, 37.5265</t>
  </si>
  <si>
    <t>Площадь Комсомола</t>
  </si>
  <si>
    <t>Вера Надеждына</t>
  </si>
  <si>
    <t>+79497169849</t>
  </si>
  <si>
    <t>47.1122, 37.5146</t>
  </si>
  <si>
    <t>17 рынок Грация</t>
  </si>
  <si>
    <t>Полотенца кухонные</t>
  </si>
  <si>
    <t>Расческа для новорожденных</t>
  </si>
  <si>
    <t>Ножницы детские</t>
  </si>
  <si>
    <t>Гамак для купания новорожденных</t>
  </si>
  <si>
    <t>Футляр для соски</t>
  </si>
  <si>
    <t>Бутылочка антиколиковая</t>
  </si>
  <si>
    <t>Плед для новорожденных</t>
  </si>
  <si>
    <t>Наматрасник детский</t>
  </si>
  <si>
    <t>Нано терка для ног</t>
  </si>
  <si>
    <t>Массажер для ног</t>
  </si>
  <si>
    <t>Массажер для спины</t>
  </si>
  <si>
    <t>Сыворотка для лица</t>
  </si>
  <si>
    <t>Маска увлажняющая ночная</t>
  </si>
  <si>
    <t>Маска глиняная для лица</t>
  </si>
  <si>
    <t>Духи CHANEL</t>
  </si>
  <si>
    <t>Одежда для собак</t>
  </si>
  <si>
    <t>Крем от прыщей</t>
  </si>
  <si>
    <t>10035749674</t>
  </si>
  <si>
    <t>10035857072</t>
  </si>
  <si>
    <t>10036130545</t>
  </si>
  <si>
    <t>10036509553</t>
  </si>
  <si>
    <t>10036746823</t>
  </si>
  <si>
    <t>10037952691</t>
  </si>
  <si>
    <t>10038486847</t>
  </si>
  <si>
    <t>10038791333</t>
  </si>
  <si>
    <t>10038890368</t>
  </si>
  <si>
    <t>Соколовский Е. И.</t>
  </si>
  <si>
    <t>+79110356721</t>
  </si>
  <si>
    <t>посылка</t>
  </si>
  <si>
    <t>Наталья Лунина 13</t>
  </si>
  <si>
    <t>Лунина 13а</t>
  </si>
  <si>
    <t>+79493770183</t>
  </si>
  <si>
    <t>47.0682, 37.5102</t>
  </si>
  <si>
    <t>Алина Азовстальская</t>
  </si>
  <si>
    <t>+79498437061</t>
  </si>
  <si>
    <t>Азовстальская 93 подъезд 1</t>
  </si>
  <si>
    <t>47.1001, 37.6539</t>
  </si>
  <si>
    <t>Стакан светящийся</t>
  </si>
  <si>
    <t>Кукла для девочек</t>
  </si>
  <si>
    <t>Пассата 350г</t>
  </si>
  <si>
    <t>Набор молоко сгущенное</t>
  </si>
  <si>
    <t>Набор сквиши 10шт</t>
  </si>
  <si>
    <t>Кружка керамическая именная</t>
  </si>
  <si>
    <t>Средство для мытья посуды</t>
  </si>
  <si>
    <t>Стул складной</t>
  </si>
  <si>
    <t>Термокружка</t>
  </si>
  <si>
    <t>Александр экскаваторщик</t>
  </si>
  <si>
    <t>+79786814650</t>
  </si>
  <si>
    <t>Чехол для ножа</t>
  </si>
  <si>
    <t>Нано коврик для сушки посуды</t>
  </si>
  <si>
    <t>Набор носки 10 пар</t>
  </si>
  <si>
    <t>Средство для унитаза</t>
  </si>
  <si>
    <t>Носки теплые 3 пары</t>
  </si>
  <si>
    <t>Набо расчесок</t>
  </si>
  <si>
    <t>Жидкое гибкое стекло</t>
  </si>
  <si>
    <t>Духи масляный Императрица</t>
  </si>
  <si>
    <t>Паста чистящая для посуды</t>
  </si>
  <si>
    <t>Тушь Ленинградская 2шт</t>
  </si>
  <si>
    <t>Табурет ступенька детская</t>
  </si>
  <si>
    <t>Краска для волос</t>
  </si>
  <si>
    <t>Спрей для волос</t>
  </si>
  <si>
    <t>Томаты вяленые в масле</t>
  </si>
  <si>
    <t>Комплект трусов 5шт</t>
  </si>
  <si>
    <t>Наклейки интерьерные на стену</t>
  </si>
  <si>
    <t>ё</t>
  </si>
  <si>
    <t>Пушка тепловая</t>
  </si>
  <si>
    <t>10040437795</t>
  </si>
  <si>
    <t>Обувь для собак</t>
  </si>
  <si>
    <t>Поглотитель запаха для холодильника</t>
  </si>
  <si>
    <t>Костюм для собак</t>
  </si>
  <si>
    <t>Лента самоклеющаяся Липучка</t>
  </si>
  <si>
    <t>Игрушка для собак</t>
  </si>
  <si>
    <t>273  295</t>
  </si>
  <si>
    <t>Ирина Станция крови</t>
  </si>
  <si>
    <t>Шевченко 317 Грация</t>
  </si>
  <si>
    <t>47.1179, 37.5162</t>
  </si>
  <si>
    <t>Татьяна коллаген</t>
  </si>
  <si>
    <t>+79497182166, +79498485245</t>
  </si>
  <si>
    <t>Мира 48</t>
  </si>
  <si>
    <t>47.0946, 37.5506</t>
  </si>
  <si>
    <t>+79497301213</t>
  </si>
  <si>
    <t>Металлургов 143</t>
  </si>
  <si>
    <t>47.1199, 37.5643</t>
  </si>
  <si>
    <t>Сумка для инструмента</t>
  </si>
  <si>
    <t>Клеммы обжимные 1300шт</t>
  </si>
  <si>
    <t>Клеммы обжимные 678шт</t>
  </si>
  <si>
    <t>Плоскогубцы индикатор</t>
  </si>
  <si>
    <t>Набор отверток</t>
  </si>
  <si>
    <t>Расческа для волос</t>
  </si>
  <si>
    <t>Корзина для хранения пакетов</t>
  </si>
  <si>
    <t>Кружка с двойными стенками</t>
  </si>
  <si>
    <t>Нитки капроновые 1+1</t>
  </si>
  <si>
    <t>Набор клей Момент 2шт</t>
  </si>
  <si>
    <t>Корм сухой для собак</t>
  </si>
  <si>
    <t>Пряжа для вязания10шт</t>
  </si>
  <si>
    <t>Салатник керамический</t>
  </si>
  <si>
    <t>Конструктор для девочек</t>
  </si>
  <si>
    <t>Кофе Jacobs Moarch 500г</t>
  </si>
  <si>
    <t>Набор Носки капроновые 20шт</t>
  </si>
  <si>
    <t>Средство для мытья посуды 5л</t>
  </si>
  <si>
    <t>Антиперспирант</t>
  </si>
  <si>
    <t>Термостат комнатный</t>
  </si>
  <si>
    <t>Складной нож электрика</t>
  </si>
  <si>
    <t>Худи</t>
  </si>
  <si>
    <t>Брюки спортивные</t>
  </si>
  <si>
    <t>Набор Воскоплав баночный</t>
  </si>
  <si>
    <t>Футболка брендовая мужская</t>
  </si>
  <si>
    <t>Футболка оверсайз</t>
  </si>
  <si>
    <t>Масло муравьиное</t>
  </si>
  <si>
    <t>Ароматизаор Сандал</t>
  </si>
  <si>
    <t>Ароматизаор Амбра</t>
  </si>
  <si>
    <t>Ароматизаор Шафран</t>
  </si>
  <si>
    <t>Лента бордюрная для ванны</t>
  </si>
  <si>
    <t>Капсулы для стирки 100шт</t>
  </si>
  <si>
    <t>Капсулы для стирки 5в1</t>
  </si>
  <si>
    <t>Глутамат натрия</t>
  </si>
  <si>
    <t>Прописи маркером</t>
  </si>
  <si>
    <t>Антизасор</t>
  </si>
  <si>
    <t>Перец черный горошек</t>
  </si>
  <si>
    <t>Зажимы для шнурков</t>
  </si>
  <si>
    <t>Мочалка для душа</t>
  </si>
  <si>
    <t>Одеяло 1,5 спальное</t>
  </si>
  <si>
    <t>Духи масляные</t>
  </si>
  <si>
    <t>Органайзер для носков</t>
  </si>
  <si>
    <t>Collagen</t>
  </si>
  <si>
    <t>Таблетки для набора веса</t>
  </si>
  <si>
    <t>Кирил Креатин</t>
  </si>
  <si>
    <t>+79497336592</t>
  </si>
  <si>
    <t>272  294</t>
  </si>
  <si>
    <t>293  304</t>
  </si>
  <si>
    <t>258  299</t>
  </si>
  <si>
    <t>Татьяна маг Лидия</t>
  </si>
  <si>
    <t>+79497253811</t>
  </si>
  <si>
    <t>Ленина 91</t>
  </si>
  <si>
    <t>47.0992, 37.5338</t>
  </si>
  <si>
    <t>Светлана Стамбул</t>
  </si>
  <si>
    <t>+79496299684</t>
  </si>
  <si>
    <t>Шевченко 313</t>
  </si>
  <si>
    <t>47.1174, 37.5172</t>
  </si>
  <si>
    <t>Сапоги для собак</t>
  </si>
  <si>
    <t>Мусс-пенка для умывания</t>
  </si>
  <si>
    <t>Ароматизаор для дома 3шт</t>
  </si>
  <si>
    <t>Крышка SRS airbag</t>
  </si>
  <si>
    <t>10044866248</t>
  </si>
  <si>
    <t>Трость тактильная</t>
  </si>
  <si>
    <t>Часы говорящие</t>
  </si>
  <si>
    <t>Мяч массажный</t>
  </si>
  <si>
    <t>Сторож для кипячения молока</t>
  </si>
  <si>
    <t>Тонометр на запястье</t>
  </si>
  <si>
    <t>Гель для стирки 5л</t>
  </si>
  <si>
    <t>Ручка для пакетов, сумок</t>
  </si>
  <si>
    <t>Браслет</t>
  </si>
  <si>
    <t>Сумка рыболовная</t>
  </si>
  <si>
    <t>Термос зеленый</t>
  </si>
  <si>
    <t>Календарь перекидной настольный</t>
  </si>
  <si>
    <t>Зажим для штор</t>
  </si>
  <si>
    <t>Штаны спортивные</t>
  </si>
  <si>
    <t>Набор трусы 6шт</t>
  </si>
  <si>
    <t>Навесная кормушка</t>
  </si>
  <si>
    <t>Часы настенные круглые</t>
  </si>
  <si>
    <t>Часы настенные интерьерные</t>
  </si>
  <si>
    <t>Сувенир свиток</t>
  </si>
  <si>
    <t>Блокнот в клетку А5</t>
  </si>
  <si>
    <t>Фонарь задний левый</t>
  </si>
  <si>
    <t>Фонарь задний правый</t>
  </si>
  <si>
    <t>Месяц</t>
  </si>
  <si>
    <t>Доставка</t>
  </si>
  <si>
    <t>Булавки на круге</t>
  </si>
  <si>
    <t>Мыло хозяйственное</t>
  </si>
  <si>
    <t>Пряжа плюшевая 3шт</t>
  </si>
  <si>
    <t>Томаты в собственном соку</t>
  </si>
  <si>
    <t>Елена от Светланы</t>
  </si>
  <si>
    <t>Сироп Бронхосип</t>
  </si>
  <si>
    <t>Сетевой фильтр</t>
  </si>
  <si>
    <t>Фонарь LED кемпинговый</t>
  </si>
  <si>
    <t>+79497237937</t>
  </si>
  <si>
    <t>Сеченова 96 подъезд 1</t>
  </si>
  <si>
    <t>Металлургов 171</t>
  </si>
  <si>
    <t>Фотоштора арка</t>
  </si>
  <si>
    <t>10043489963</t>
  </si>
  <si>
    <t>10043881553</t>
  </si>
  <si>
    <t>10046029325</t>
  </si>
  <si>
    <t>10046252894</t>
  </si>
  <si>
    <t>306  314  317</t>
  </si>
  <si>
    <t>295  307</t>
  </si>
  <si>
    <t>47.1242, 37.5652</t>
  </si>
  <si>
    <t>Паяльник</t>
  </si>
  <si>
    <t>Набор паяльный</t>
  </si>
  <si>
    <t>Мультиметр цифровой</t>
  </si>
  <si>
    <t>Тестер кабельный, трассоискатель</t>
  </si>
  <si>
    <t>Ответвитель прокалывающий</t>
  </si>
  <si>
    <t>Термоусадка с припоем</t>
  </si>
  <si>
    <t>Маркер строительный</t>
  </si>
  <si>
    <t>Пассатижи</t>
  </si>
  <si>
    <t>Шпонка</t>
  </si>
  <si>
    <t>Тройник пластиковый</t>
  </si>
  <si>
    <t>P000186683170</t>
  </si>
  <si>
    <t>Валентина от Светланы</t>
  </si>
  <si>
    <t>+79497273525</t>
  </si>
  <si>
    <t>Обои бумажные</t>
  </si>
  <si>
    <t>Обои бумажные лира фон</t>
  </si>
  <si>
    <t>Клей обойный</t>
  </si>
  <si>
    <t>Клей полимерный</t>
  </si>
  <si>
    <t>Кисть малярная пластиковая</t>
  </si>
  <si>
    <t>Кисть малярная стандарт</t>
  </si>
  <si>
    <t>Бордюр для обоев</t>
  </si>
  <si>
    <t xml:space="preserve">Лента бордюрная </t>
  </si>
  <si>
    <t>Кольца для штор в ванную</t>
  </si>
  <si>
    <t>Оля Пашина сестра</t>
  </si>
  <si>
    <t>+79497230972</t>
  </si>
  <si>
    <t>Книга Волшебник изумрудного города</t>
  </si>
  <si>
    <t>Зажигалка</t>
  </si>
  <si>
    <t>Мультитул</t>
  </si>
  <si>
    <t>Фонарь карманный</t>
  </si>
  <si>
    <t>Набор для перформатора</t>
  </si>
  <si>
    <t>Насадка сабельной пилы</t>
  </si>
  <si>
    <t>Дрель шуруповерт</t>
  </si>
  <si>
    <t>10042370478</t>
  </si>
  <si>
    <t>Елена сахар</t>
  </si>
  <si>
    <t>Киевская 37</t>
  </si>
  <si>
    <t>47.1225, 37.6861</t>
  </si>
  <si>
    <t>10047784103</t>
  </si>
  <si>
    <t>10047154582</t>
  </si>
  <si>
    <t>10047241359</t>
  </si>
  <si>
    <t>Комплект постельного белья</t>
  </si>
  <si>
    <t>Лежанка для собак</t>
  </si>
  <si>
    <t>314  317</t>
  </si>
  <si>
    <t>47.1263, 37.5623</t>
  </si>
  <si>
    <t>Ольга Мелованова</t>
  </si>
  <si>
    <t>+79490023562</t>
  </si>
  <si>
    <t>Ленина 46/54</t>
  </si>
  <si>
    <t>47.0947, 37.5488</t>
  </si>
  <si>
    <t>Металлургов 199</t>
  </si>
  <si>
    <t>47.1286, 37.5670</t>
  </si>
  <si>
    <t>Виктория Порт Сити</t>
  </si>
  <si>
    <t>+79497271852</t>
  </si>
  <si>
    <t>47.1176, 37.5083</t>
  </si>
  <si>
    <t>Запорожское шоссе 2</t>
  </si>
  <si>
    <t>Металлургов 169</t>
  </si>
  <si>
    <t>47.1244, 37.5643</t>
  </si>
  <si>
    <t>Урицкого 118/16</t>
  </si>
  <si>
    <t>47.1223, 37.5125</t>
  </si>
  <si>
    <t>Лакомство для собак</t>
  </si>
  <si>
    <t>Сливки для крема</t>
  </si>
  <si>
    <t>Синтешар 2кг</t>
  </si>
  <si>
    <t>Дутики</t>
  </si>
  <si>
    <t>Ботинки</t>
  </si>
  <si>
    <t>Ботинки CREANOVA</t>
  </si>
  <si>
    <t>Тени для макияжа</t>
  </si>
  <si>
    <t>Коврик для сушки посуды</t>
  </si>
  <si>
    <t>Кисти для макияжа</t>
  </si>
  <si>
    <t>Детские носки махровые</t>
  </si>
  <si>
    <t>Почтовый ящик с замком</t>
  </si>
  <si>
    <t>Ограничитель открывания окон</t>
  </si>
  <si>
    <t>Звонок дверной беспроводной</t>
  </si>
  <si>
    <t>Орхидея искусственная</t>
  </si>
  <si>
    <t>Диффузор для дома 100мл</t>
  </si>
  <si>
    <t>Диффузор для дома 50мл</t>
  </si>
  <si>
    <t>Диффузор для дома Ваниль</t>
  </si>
  <si>
    <t>Купальник гимнастический</t>
  </si>
  <si>
    <t>Орехи гинкго</t>
  </si>
  <si>
    <t>Азбукварик</t>
  </si>
  <si>
    <t>Карапузов</t>
  </si>
  <si>
    <t>Органайзер для вещей</t>
  </si>
  <si>
    <t>Книга Если б я слоненком был</t>
  </si>
  <si>
    <t>Книга Играть легко</t>
  </si>
  <si>
    <t>Книга Веселая музыкальная грамота</t>
  </si>
  <si>
    <t>Книга Нотная азбука</t>
  </si>
  <si>
    <t>Шапка женская</t>
  </si>
  <si>
    <t>Комбинезон для новорожденных</t>
  </si>
  <si>
    <t>Газоотводная трубка</t>
  </si>
  <si>
    <t>Парфюм KIRKE</t>
  </si>
  <si>
    <t>Мобиль в кроватку для новорожденных</t>
  </si>
  <si>
    <t>Бутылочка для кормления новорожденных</t>
  </si>
  <si>
    <t>Масло для губ блеск</t>
  </si>
  <si>
    <t xml:space="preserve">Духи масляные </t>
  </si>
  <si>
    <t>Кофта для малыша</t>
  </si>
  <si>
    <t>Ложка силиконовая обучающая</t>
  </si>
  <si>
    <t>Щеточка для умывания лица</t>
  </si>
  <si>
    <t>Слюнявчик непромокаемый</t>
  </si>
  <si>
    <t>Триммер мужской</t>
  </si>
  <si>
    <t>Жидкая изолента</t>
  </si>
  <si>
    <t>Набор сверл</t>
  </si>
  <si>
    <t>Костюм мужской летний</t>
  </si>
  <si>
    <t>Кроссовки</t>
  </si>
  <si>
    <t>10049221589</t>
  </si>
  <si>
    <t>10049426845</t>
  </si>
  <si>
    <t>10050403736</t>
  </si>
  <si>
    <t>10050775076</t>
  </si>
  <si>
    <t>Светильник</t>
  </si>
  <si>
    <t>Алексей Бамси</t>
  </si>
  <si>
    <t>+79496014075</t>
  </si>
  <si>
    <t>10047631770</t>
  </si>
  <si>
    <t>Названия строк</t>
  </si>
  <si>
    <t>Общий итог</t>
  </si>
  <si>
    <t>+79497178192</t>
  </si>
  <si>
    <t>Новороссийская 28, ЖД Больница</t>
  </si>
  <si>
    <t>47.0718, 37.4881</t>
  </si>
  <si>
    <t>Нахимова 53, СК Ильичевец</t>
  </si>
  <si>
    <t>47.0876, 37.5293</t>
  </si>
  <si>
    <t>Ольга ЖД больница</t>
  </si>
  <si>
    <t>Бур для перформатора</t>
  </si>
  <si>
    <t>Видеоэндоскоп для смартфона</t>
  </si>
  <si>
    <t>Комплект беспроводная мини камера</t>
  </si>
  <si>
    <t>Гонды 46</t>
  </si>
  <si>
    <t>47.1282, 37.5697</t>
  </si>
  <si>
    <t>Удобрение Азофоска</t>
  </si>
  <si>
    <t>Наколенники</t>
  </si>
  <si>
    <t>Лидия Цысь</t>
  </si>
  <si>
    <t>+79496136002</t>
  </si>
  <si>
    <t>50 лет СССР 40</t>
  </si>
  <si>
    <t>47.1100, 37.5165</t>
  </si>
  <si>
    <t>Маска восстанавливающая</t>
  </si>
  <si>
    <t>Помада жидкая матовая</t>
  </si>
  <si>
    <t>Комплект втулок для мясорубки</t>
  </si>
  <si>
    <t>Фонарь карманный светодиодный</t>
  </si>
  <si>
    <t>Кофе растворимый</t>
  </si>
  <si>
    <t>Контейнер для еды стекло</t>
  </si>
  <si>
    <t>Кукла Айси</t>
  </si>
  <si>
    <t>Протеин</t>
  </si>
  <si>
    <t>Аргинин</t>
  </si>
  <si>
    <t>Куртка демисезонная</t>
  </si>
  <si>
    <t>Очиститель для стиральных машин</t>
  </si>
  <si>
    <t>Семена льна</t>
  </si>
  <si>
    <t>Набор бытовой химии</t>
  </si>
  <si>
    <t>Утенок туалетный</t>
  </si>
  <si>
    <t>Блок для унитаза</t>
  </si>
  <si>
    <t>Юрий от Вадима</t>
  </si>
  <si>
    <t>+79497304640</t>
  </si>
  <si>
    <t>Реле бензонасоса</t>
  </si>
  <si>
    <t>10051625678</t>
  </si>
  <si>
    <t>10052752576</t>
  </si>
  <si>
    <t>Кронштейн поворотный</t>
  </si>
  <si>
    <t>Диафильмы</t>
  </si>
  <si>
    <t>Дарья Урицкого</t>
  </si>
  <si>
    <t>Урицкого 109</t>
  </si>
  <si>
    <t>47.1252, 37.5081</t>
  </si>
  <si>
    <t>+79498198335</t>
  </si>
  <si>
    <t>Татьяна Тулина</t>
  </si>
  <si>
    <t>+79496057692</t>
  </si>
  <si>
    <t>Ровная 43а подъезд 6</t>
  </si>
  <si>
    <t>47.1500, 37.6147</t>
  </si>
  <si>
    <t>Валентина Сычева</t>
  </si>
  <si>
    <t>+79497388231</t>
  </si>
  <si>
    <t>Леваневского 58</t>
  </si>
  <si>
    <t>47.1007, 37.5310</t>
  </si>
  <si>
    <t>Виктория Урицкого 93а</t>
  </si>
  <si>
    <t>+79497309448</t>
  </si>
  <si>
    <t>Урицкого 93а</t>
  </si>
  <si>
    <t>47.1238, 37.5116</t>
  </si>
  <si>
    <t>Марьинская 145 Новоселовка Церковь</t>
  </si>
  <si>
    <t>Сетка кулинарная</t>
  </si>
  <si>
    <t>Нитритная соль</t>
  </si>
  <si>
    <t>Набор украшений</t>
  </si>
  <si>
    <t>Комплект маек</t>
  </si>
  <si>
    <t>Колготки для девочки</t>
  </si>
  <si>
    <t>Книжка с наклейками</t>
  </si>
  <si>
    <t>Набор для опытов</t>
  </si>
  <si>
    <t>Конструктор липучка</t>
  </si>
  <si>
    <t>Сыворотка для ресниц</t>
  </si>
  <si>
    <t>Ковер комнатный</t>
  </si>
  <si>
    <t>Трусы хлопковые детские</t>
  </si>
  <si>
    <t>Колодка клемная</t>
  </si>
  <si>
    <t>Лобзик ручной</t>
  </si>
  <si>
    <t>Дронго</t>
  </si>
  <si>
    <t>+7949</t>
  </si>
  <si>
    <t>Казанцева 116</t>
  </si>
  <si>
    <t>47.1036, 37.5427</t>
  </si>
  <si>
    <t>Игровой ноутбук</t>
  </si>
  <si>
    <t>Игрушка для детей</t>
  </si>
  <si>
    <t>Клавиатура и мышь игровая</t>
  </si>
  <si>
    <t>Будильник кубик</t>
  </si>
  <si>
    <t>Лампа для холодильника</t>
  </si>
  <si>
    <t>Маска для роста волос</t>
  </si>
  <si>
    <t>Славик Чунихин</t>
  </si>
  <si>
    <t>+79497257726 +79494365737</t>
  </si>
  <si>
    <t>47.1183, 37.6600</t>
  </si>
  <si>
    <t>Панфилова 128</t>
  </si>
  <si>
    <t>Пемза для пяток</t>
  </si>
  <si>
    <t>Духи женские</t>
  </si>
  <si>
    <t>Водолазка</t>
  </si>
  <si>
    <t>Очки для зрения +2,75</t>
  </si>
  <si>
    <t>Защитный экран на плиту</t>
  </si>
  <si>
    <t>Дезодорант для ног</t>
  </si>
  <si>
    <t>Сушилка для обуви</t>
  </si>
  <si>
    <t>Стакан</t>
  </si>
  <si>
    <t>Набор стаканов</t>
  </si>
  <si>
    <t>Футболка</t>
  </si>
  <si>
    <t>+79497486910</t>
  </si>
  <si>
    <t>50 лет СССР 32 подъезд 3 кв 95</t>
  </si>
  <si>
    <t>47.1099, 37.5190</t>
  </si>
  <si>
    <t>Ольга Родион 17</t>
  </si>
  <si>
    <t>Вахтангова 15а</t>
  </si>
  <si>
    <t>47.0882, 37.5117</t>
  </si>
  <si>
    <t>+79495228017</t>
  </si>
  <si>
    <t>Татьяна Вахтангова</t>
  </si>
  <si>
    <t>SR</t>
  </si>
  <si>
    <t>+79490353603</t>
  </si>
  <si>
    <t>47.0814, 37.5132</t>
  </si>
  <si>
    <t>Кронштадстская 14</t>
  </si>
  <si>
    <t>Доменная 25</t>
  </si>
  <si>
    <t>47.1378, 37.5922</t>
  </si>
  <si>
    <t>Ц Рынок</t>
  </si>
  <si>
    <t>47.1003, 37.5462</t>
  </si>
  <si>
    <t>Стриппер для зачистки проводов</t>
  </si>
  <si>
    <t>Наконечник втулочный 10</t>
  </si>
  <si>
    <t>Наконечник втулочный 6</t>
  </si>
  <si>
    <t>Дальномер лазерный</t>
  </si>
  <si>
    <t>Шаблон для подрезетников</t>
  </si>
  <si>
    <t>Шкаф тканевый</t>
  </si>
  <si>
    <t>Этажерка для ванной</t>
  </si>
  <si>
    <t>Тюль в спальню</t>
  </si>
  <si>
    <t>Брелок карманный защита от собак</t>
  </si>
  <si>
    <t>Батарейка для слуховых аппаратов</t>
  </si>
  <si>
    <t>Насадка для майонеза</t>
  </si>
  <si>
    <t>Маркер для плиточных швов</t>
  </si>
  <si>
    <t>Порошок стиральный 5кг</t>
  </si>
  <si>
    <t>Белье постельное 1,5</t>
  </si>
  <si>
    <t>Кольцо серебро 925 размер 16,5</t>
  </si>
  <si>
    <t>Кольцо серебро 925 размер 18</t>
  </si>
  <si>
    <t>Стимулятор роста</t>
  </si>
  <si>
    <t>Удобрение</t>
  </si>
  <si>
    <t>Кокосовый субстрат</t>
  </si>
  <si>
    <t>Плитка пенопласт</t>
  </si>
  <si>
    <t>Ботинки зимние</t>
  </si>
  <si>
    <t>Набобр крючков для елки</t>
  </si>
  <si>
    <t>Звезда для елки</t>
  </si>
  <si>
    <t>Патчи для глаз</t>
  </si>
  <si>
    <t>Бенгальские огни</t>
  </si>
  <si>
    <t>Свечи декоративные</t>
  </si>
  <si>
    <t>Бальзам успокаивающий</t>
  </si>
  <si>
    <t>Крем для лица увлажняющий</t>
  </si>
  <si>
    <t>Гель для умывания</t>
  </si>
  <si>
    <t>Таймер кухонный</t>
  </si>
  <si>
    <t>Плед 150х200</t>
  </si>
  <si>
    <t>Электродрель ударная</t>
  </si>
  <si>
    <t>Жир медвежий</t>
  </si>
  <si>
    <t>Лента бордюрная прозрачная</t>
  </si>
  <si>
    <t>Масло какао от кашля</t>
  </si>
  <si>
    <t>Фартук кухонный</t>
  </si>
  <si>
    <t>Наволочки декоративные</t>
  </si>
  <si>
    <t>Покрывало на кровать</t>
  </si>
  <si>
    <t>Поилка автоматическая</t>
  </si>
  <si>
    <t>Шланг</t>
  </si>
  <si>
    <t>Слипоны</t>
  </si>
  <si>
    <t>Самокат</t>
  </si>
  <si>
    <t>Капкан</t>
  </si>
  <si>
    <t>Стекло двери передней правой</t>
  </si>
  <si>
    <t>Время</t>
  </si>
  <si>
    <t>10060116274</t>
  </si>
  <si>
    <t>Оксана Максима Рюкзак</t>
  </si>
  <si>
    <t>Сумская 42</t>
  </si>
  <si>
    <t>+79497342758</t>
  </si>
  <si>
    <t>Фито лампа для цветов</t>
  </si>
  <si>
    <t>Патрон с проводом</t>
  </si>
  <si>
    <t>Увлажнитель воздуха</t>
  </si>
  <si>
    <t>Лосины зимние</t>
  </si>
  <si>
    <t>Прокладки 15шт</t>
  </si>
  <si>
    <t>Прокладки 12шт</t>
  </si>
  <si>
    <t>Прокладки 20шт</t>
  </si>
  <si>
    <t>Резинки и заколки</t>
  </si>
  <si>
    <t>Ланцеты для глюкометра</t>
  </si>
  <si>
    <t>Набор пазлов</t>
  </si>
  <si>
    <t>Пазлы для детей</t>
  </si>
  <si>
    <t>Ободок</t>
  </si>
  <si>
    <t>Коврик в прихожую</t>
  </si>
  <si>
    <t>Крабик для волос</t>
  </si>
  <si>
    <t>Пижама с бриджами</t>
  </si>
  <si>
    <t>Румяна</t>
  </si>
  <si>
    <t>Дозадор для масла</t>
  </si>
  <si>
    <t>Колготки школьные</t>
  </si>
  <si>
    <t>Водоросли для суши</t>
  </si>
  <si>
    <t>Плед 200х220</t>
  </si>
  <si>
    <t>Термометр уличный</t>
  </si>
  <si>
    <t>Термометр уличный 2шт</t>
  </si>
  <si>
    <t>Велосипедки</t>
  </si>
  <si>
    <t>Масло эфирное</t>
  </si>
  <si>
    <t>Книга Я дружу с музыкой</t>
  </si>
  <si>
    <t>Набор карточек игровых</t>
  </si>
  <si>
    <t>Ночник</t>
  </si>
  <si>
    <t>Книжка на липучках</t>
  </si>
  <si>
    <t>Мазь при мастопатии</t>
  </si>
  <si>
    <t>Рыжик посевной</t>
  </si>
  <si>
    <t>Ветка искусственная Брусника</t>
  </si>
  <si>
    <t>Книга 100 уроков сольфеджио</t>
  </si>
  <si>
    <t>Кабель Micro-USB 3м</t>
  </si>
  <si>
    <t>Кабель Type-C 3м</t>
  </si>
  <si>
    <t>Колонки для компьютера</t>
  </si>
  <si>
    <t>Подарок бабушке</t>
  </si>
  <si>
    <t>Часы смарт</t>
  </si>
  <si>
    <t>Перфоратор</t>
  </si>
  <si>
    <t>Сортер для малышей</t>
  </si>
  <si>
    <t>Лонгслив 3шт</t>
  </si>
  <si>
    <t>Четки</t>
  </si>
  <si>
    <t>Духи</t>
  </si>
  <si>
    <t>Омега 3</t>
  </si>
  <si>
    <t>Брюки с начесом</t>
  </si>
  <si>
    <t>Измельчитель электрический</t>
  </si>
  <si>
    <t>Напиток чайный</t>
  </si>
  <si>
    <t>Мед натуральный</t>
  </si>
  <si>
    <t>Шампунь</t>
  </si>
  <si>
    <t>Концентрат для волос</t>
  </si>
  <si>
    <t>Пазлы для детей На ферме</t>
  </si>
  <si>
    <t>Пазлы для детей В лесу</t>
  </si>
  <si>
    <t>Пуговицы декоративные</t>
  </si>
  <si>
    <t>Паприка молотая</t>
  </si>
  <si>
    <t>Яндекс станция лайт</t>
  </si>
  <si>
    <t>47.1128, 37.6679</t>
  </si>
  <si>
    <t>Жемчужный 6/2</t>
  </si>
  <si>
    <t>Лампа 14V 3мм</t>
  </si>
  <si>
    <t>10060274292</t>
  </si>
  <si>
    <t>10059708434</t>
  </si>
  <si>
    <t>10059015808</t>
  </si>
  <si>
    <t>+79497050485</t>
  </si>
  <si>
    <t>Татьяна Курпина 13</t>
  </si>
  <si>
    <t>Куприна 13</t>
  </si>
  <si>
    <t>47.1026, 37.5111</t>
  </si>
  <si>
    <t>Пугачева 23</t>
  </si>
  <si>
    <t>Олеся Пугачева 23</t>
  </si>
  <si>
    <t>+79497113447</t>
  </si>
  <si>
    <t>47.1190, 37.5327</t>
  </si>
  <si>
    <t>+79497195898</t>
  </si>
  <si>
    <t>Наталья Школа 53</t>
  </si>
  <si>
    <t>Сумка для ноутбука</t>
  </si>
  <si>
    <t>Набор пробников</t>
  </si>
  <si>
    <t>Дезодорант антиперспирант</t>
  </si>
  <si>
    <t>Дезодорант минеральный</t>
  </si>
  <si>
    <t>Губка пилинг</t>
  </si>
  <si>
    <t>Паста-герметик</t>
  </si>
  <si>
    <t>Сетка от грызунов</t>
  </si>
  <si>
    <t>Гамак для собак</t>
  </si>
  <si>
    <t>Подушка деекоративная</t>
  </si>
  <si>
    <t>Наволочка на подушку</t>
  </si>
  <si>
    <t>Свеча светодиодная</t>
  </si>
  <si>
    <t>Шапка Деда Мороза</t>
  </si>
  <si>
    <t>Плед 180х200</t>
  </si>
  <si>
    <t>Плед 180х200 синий</t>
  </si>
  <si>
    <t>Тряпка для пола</t>
  </si>
  <si>
    <t>Подсвечник с иглой</t>
  </si>
  <si>
    <t>Термоусадочная трубка</t>
  </si>
  <si>
    <t>Сумка монтажника</t>
  </si>
  <si>
    <t>Набор коронок по дереву</t>
  </si>
  <si>
    <t>Отвертка тестер</t>
  </si>
  <si>
    <t>Плоскогубцы для электрика</t>
  </si>
  <si>
    <t>Набор термоусадок</t>
  </si>
  <si>
    <t>Набор буров для удаления саморезов</t>
  </si>
  <si>
    <t>Косарева Елена</t>
  </si>
  <si>
    <t>LK425213546CN</t>
  </si>
  <si>
    <t>CEL2012125547CD</t>
  </si>
  <si>
    <t>LZ130857007CN</t>
  </si>
  <si>
    <t>Кофеварка</t>
  </si>
  <si>
    <t>Фигура светодиодная</t>
  </si>
  <si>
    <t>Ночник Flamingo</t>
  </si>
  <si>
    <r>
      <t>614996</t>
    </r>
    <r>
      <rPr>
        <b/>
        <sz val="12"/>
        <color theme="1"/>
        <rFont val="Calibri"/>
        <family val="2"/>
        <charset val="204"/>
        <scheme val="minor"/>
      </rPr>
      <t>0147</t>
    </r>
  </si>
  <si>
    <t>ТЦ Мармелад, Зоозавр</t>
  </si>
  <si>
    <t>Лена Чунихина</t>
  </si>
  <si>
    <t>+79497112064</t>
  </si>
  <si>
    <t>47.1041, 37.5481</t>
  </si>
  <si>
    <t>Металлургов, 84</t>
  </si>
  <si>
    <t>Книга Монархи Британии</t>
  </si>
  <si>
    <t>Книга Биссмарк</t>
  </si>
  <si>
    <t>Книга Фавориты Екатерины Великой</t>
  </si>
  <si>
    <t>Роман Свиридов</t>
  </si>
  <si>
    <t>+79496346903</t>
  </si>
  <si>
    <t>47.1952, 37.3223</t>
  </si>
  <si>
    <t>Володарск, Володарского 41</t>
  </si>
  <si>
    <t>Камера видеонаблюдения уличная</t>
  </si>
  <si>
    <t>Оксана Моцная</t>
  </si>
  <si>
    <t>Книга для рецеатов</t>
  </si>
  <si>
    <t>Сейф копилка</t>
  </si>
  <si>
    <t>Глобус</t>
  </si>
  <si>
    <t>Кружка пивная</t>
  </si>
  <si>
    <t>Скатерть 120х150</t>
  </si>
  <si>
    <t>Игрушки елочные Сосульки</t>
  </si>
  <si>
    <t>Туника</t>
  </si>
  <si>
    <t>Пивной бокал</t>
  </si>
  <si>
    <t>+79495872741</t>
  </si>
  <si>
    <t>Колготки детские</t>
  </si>
  <si>
    <t>Пистолет для прокалывания ушей</t>
  </si>
  <si>
    <t>Пистолет для пирсинга носа</t>
  </si>
  <si>
    <t>Колготки</t>
  </si>
  <si>
    <t>Стекло защитное для планшета</t>
  </si>
  <si>
    <t>Магнит Рождественские гуляния</t>
  </si>
  <si>
    <t>Магнит С Рождеством Христовым</t>
  </si>
  <si>
    <t>Модель Ангел над храмом</t>
  </si>
  <si>
    <t>Магнит Счастья, любви и добра</t>
  </si>
  <si>
    <t>Магнит 3D С рождеством Христовым</t>
  </si>
  <si>
    <t>Набор магнитов С Рождеством Христовым</t>
  </si>
  <si>
    <t>Набор магнитов Новогодний</t>
  </si>
  <si>
    <t>Магнит Новогодняя ночь</t>
  </si>
  <si>
    <t>Магнит Снегирь</t>
  </si>
  <si>
    <t>Магнит С Рождеством Христовым Снегирь</t>
  </si>
  <si>
    <t>P000216695539</t>
  </si>
  <si>
    <t>10065096300</t>
  </si>
  <si>
    <t>10065096298</t>
  </si>
  <si>
    <t>Елизавета Водоканал</t>
  </si>
  <si>
    <t>Варганова 7</t>
  </si>
  <si>
    <t>47.0989, 37.5429</t>
  </si>
  <si>
    <t>Парфюм</t>
  </si>
  <si>
    <t>Гранитная 148 подъезд 2, кв. 68</t>
  </si>
  <si>
    <t>47.1253, 37.5129</t>
  </si>
  <si>
    <t>Коля Чунихин</t>
  </si>
  <si>
    <t>Строителей 191</t>
  </si>
  <si>
    <t>47.1231, 37.5279</t>
  </si>
  <si>
    <t>+79494368263</t>
  </si>
  <si>
    <t>47.1322, 37.5637</t>
  </si>
  <si>
    <t>Сеченова 64</t>
  </si>
  <si>
    <t>Сумка на плечо</t>
  </si>
  <si>
    <t>Троицкая 61</t>
  </si>
  <si>
    <t>Антон Старокрымский</t>
  </si>
  <si>
    <t>+79497437389</t>
  </si>
  <si>
    <t>47.1121, 37.5175</t>
  </si>
  <si>
    <t>Брюки Hello Kitty</t>
  </si>
  <si>
    <t>Книга Иван Калита</t>
  </si>
  <si>
    <t>Алексендр Невский</t>
  </si>
  <si>
    <t>Книга Полководцы Святой Руси</t>
  </si>
  <si>
    <t>Книга Полководцы первых Романовых</t>
  </si>
  <si>
    <t>Книга Ермак</t>
  </si>
  <si>
    <t>Молодая Гвардия</t>
  </si>
  <si>
    <t>Клавиатура игровая</t>
  </si>
  <si>
    <t>Пепельница ветрозащитная</t>
  </si>
  <si>
    <t>Переходник USB 4 порта</t>
  </si>
  <si>
    <t xml:space="preserve">    </t>
  </si>
  <si>
    <t>Светлана Ленина 45</t>
  </si>
  <si>
    <t>47.0958, 37.5526</t>
  </si>
  <si>
    <t>Ленина 45</t>
  </si>
  <si>
    <t>Витамины 1</t>
  </si>
  <si>
    <t>Витамины 2</t>
  </si>
  <si>
    <t>Витамины 3</t>
  </si>
  <si>
    <t>Витамины 4</t>
  </si>
  <si>
    <t>Витамины 5</t>
  </si>
  <si>
    <t>Витамины 6</t>
  </si>
  <si>
    <t>Тэн для бойлера</t>
  </si>
  <si>
    <t>Кастрюля эмалированная</t>
  </si>
  <si>
    <t>Коврик силиконовый</t>
  </si>
  <si>
    <t>Кофемолка электрическая</t>
  </si>
  <si>
    <t>Насадка для пылесоса</t>
  </si>
  <si>
    <t>Крем питательный ночной</t>
  </si>
  <si>
    <t>Баллон газовый 5л</t>
  </si>
  <si>
    <t>Тюль шторы</t>
  </si>
  <si>
    <t>Обои моющиеся бумажные</t>
  </si>
  <si>
    <t>Кусачки педикюрные</t>
  </si>
  <si>
    <t>Мягкая игрушка</t>
  </si>
  <si>
    <t>Таблетки для похудения</t>
  </si>
  <si>
    <t>Сахарозаменитель</t>
  </si>
  <si>
    <t>Молоко сухое</t>
  </si>
  <si>
    <t>Тест полоски для глюкометра</t>
  </si>
  <si>
    <t>10069984049</t>
  </si>
  <si>
    <t>LC612911425CN</t>
  </si>
  <si>
    <t>RM593901391HK</t>
  </si>
  <si>
    <t>Нивелир лазерный</t>
  </si>
  <si>
    <t>Строителей 156, кв. 83</t>
  </si>
  <si>
    <t>+79497543529</t>
  </si>
  <si>
    <t>Вита Строителей</t>
  </si>
  <si>
    <t>Белье нижнее женское</t>
  </si>
  <si>
    <t>Рыбочистка</t>
  </si>
  <si>
    <t>Сеченова 74, подъезд 2</t>
  </si>
  <si>
    <t>47.1316, 37.5623</t>
  </si>
  <si>
    <t>Ярослав Еременко</t>
  </si>
  <si>
    <t>Медицинский центр</t>
  </si>
  <si>
    <t>Boxberry Большая бульварная 11</t>
  </si>
  <si>
    <t>+79497162549</t>
  </si>
  <si>
    <t>Наталья Шевченко</t>
  </si>
  <si>
    <t>Шевченко 295 подъезд 3</t>
  </si>
  <si>
    <t>+79497399662</t>
  </si>
  <si>
    <t>47.1179, 37.5217</t>
  </si>
  <si>
    <t>Кольцо Сваровски</t>
  </si>
  <si>
    <t>Пленка самоклеющаяся</t>
  </si>
  <si>
    <t>Плинтус для столешницы</t>
  </si>
  <si>
    <t>Гирлянда</t>
  </si>
  <si>
    <t>Освежитель воздуха</t>
  </si>
  <si>
    <t>Полотенца бумажные</t>
  </si>
  <si>
    <t>Коврик комнатный</t>
  </si>
  <si>
    <t>Стул для ванной</t>
  </si>
  <si>
    <t>Мягкая косточка для животных</t>
  </si>
  <si>
    <t>Голосовая кнопка</t>
  </si>
  <si>
    <t>Вячеслав Протонов</t>
  </si>
  <si>
    <t>+79497036395</t>
  </si>
  <si>
    <t>Металлургов 187</t>
  </si>
  <si>
    <t>47.1270, 37.5662</t>
  </si>
  <si>
    <t>Кобура для оружия</t>
  </si>
  <si>
    <t>Пистолет пневматический</t>
  </si>
  <si>
    <t>Зарядное устройство для рации</t>
  </si>
  <si>
    <t>Зарядный стакан для радиостанции</t>
  </si>
  <si>
    <t>Игрушка для кошек</t>
  </si>
  <si>
    <t>USB HUB 8 в 1</t>
  </si>
  <si>
    <t>Нож обвалочный</t>
  </si>
  <si>
    <t>Перчатка кольчужная</t>
  </si>
  <si>
    <t>Куртка флисовая</t>
  </si>
  <si>
    <t>КИТ Володарское шоссе 1</t>
  </si>
  <si>
    <t>Кепка тактическая</t>
  </si>
  <si>
    <t>Набор патчей</t>
  </si>
  <si>
    <t>Рамка для фото</t>
  </si>
  <si>
    <t>10074052074</t>
  </si>
  <si>
    <t>10073832816</t>
  </si>
  <si>
    <t>Виноградное, Маяковского, 4</t>
  </si>
  <si>
    <t>47.0897, 37.6622</t>
  </si>
  <si>
    <t>80511005124951</t>
  </si>
  <si>
    <t>+79498350206</t>
  </si>
  <si>
    <t>Власта консалтинг</t>
  </si>
  <si>
    <t>Металлургов 33</t>
  </si>
  <si>
    <t>47.0952, 37.5438</t>
  </si>
  <si>
    <t>Витамины 7</t>
  </si>
  <si>
    <t>Лиля Эдельвейс</t>
  </si>
  <si>
    <t>+79497248825</t>
  </si>
  <si>
    <t>Витамины 8</t>
  </si>
  <si>
    <t>47.1067, 37.5486</t>
  </si>
  <si>
    <t>Писарева 28</t>
  </si>
  <si>
    <t>+79497377568</t>
  </si>
  <si>
    <t>Сеченова 70</t>
  </si>
  <si>
    <t>47.1319, 37.5636</t>
  </si>
  <si>
    <t>Лейка для душа</t>
  </si>
  <si>
    <t>Сергей Гуржи</t>
  </si>
  <si>
    <t>+79498208824</t>
  </si>
  <si>
    <t>Пылесос для автомобиля</t>
  </si>
  <si>
    <t>Бутсы футбольные</t>
  </si>
  <si>
    <t>Бутсы футбольные шиповки</t>
  </si>
  <si>
    <t>Носки футбольные 3шт</t>
  </si>
  <si>
    <t>Шорты спортивные</t>
  </si>
  <si>
    <t>Бутсы футбольные с шипами</t>
  </si>
  <si>
    <t>Кроссовки джорданы</t>
  </si>
  <si>
    <t>Шорты Nike</t>
  </si>
  <si>
    <t>Толстовка Nike</t>
  </si>
  <si>
    <t>Носки белые 10шт</t>
  </si>
  <si>
    <t>+79493787340</t>
  </si>
  <si>
    <t>Ренат Строителей 145</t>
  </si>
  <si>
    <t>Шубка-кофта</t>
  </si>
  <si>
    <t>Снеговик каркасный</t>
  </si>
  <si>
    <t>Аленка 3</t>
  </si>
  <si>
    <t>+79497190212</t>
  </si>
  <si>
    <t>Металлургов 102, Казанцева 22</t>
  </si>
  <si>
    <t>10077259367</t>
  </si>
  <si>
    <t>10076017408</t>
  </si>
  <si>
    <t>пер. Металлургический 41</t>
  </si>
  <si>
    <t>47.1585, 37.6060</t>
  </si>
  <si>
    <t>42010804800962</t>
  </si>
  <si>
    <t>10077582338</t>
  </si>
  <si>
    <t>ТЦ Мармелад, Лэтуаль</t>
  </si>
  <si>
    <t>47.1053, 37.5487</t>
  </si>
  <si>
    <t>47.1402, 37.5942</t>
  </si>
  <si>
    <t>+79495807738</t>
  </si>
  <si>
    <t>Юлия АТБ кольцо</t>
  </si>
  <si>
    <t>Витамины 9</t>
  </si>
  <si>
    <t>47.0991, 37.5384</t>
  </si>
  <si>
    <t>пер. Новгородский 41</t>
  </si>
  <si>
    <t xml:space="preserve">КИТ </t>
  </si>
  <si>
    <t>Володарское шоссе 1</t>
  </si>
  <si>
    <t>Ленина 85б подъезд 4</t>
  </si>
  <si>
    <t>47.1204, 37.5045</t>
  </si>
  <si>
    <t>-</t>
  </si>
  <si>
    <t>Книга Наполеон</t>
  </si>
  <si>
    <t>Книга Адмирал Колчак</t>
  </si>
  <si>
    <t>Книга Ричард I Львиное сердце</t>
  </si>
  <si>
    <t>10077608430</t>
  </si>
  <si>
    <t>Комплект одежды</t>
  </si>
  <si>
    <t>Набор кухонных полотенец</t>
  </si>
  <si>
    <t>Триммер для домашних животных</t>
  </si>
  <si>
    <t>Чешки</t>
  </si>
  <si>
    <t>Лента для гимнастики</t>
  </si>
  <si>
    <t>Блок для йоги</t>
  </si>
  <si>
    <t>Пила аккумуляторная</t>
  </si>
  <si>
    <t>Прокладки ежедневки</t>
  </si>
  <si>
    <t>Удлинитель сетевой 5м.</t>
  </si>
  <si>
    <t>Вакуумные пакеты для вещей</t>
  </si>
  <si>
    <t>Подсвечник металлический</t>
  </si>
  <si>
    <t>Мойка высокого давления</t>
  </si>
  <si>
    <t>Паста для чистки сковородок</t>
  </si>
  <si>
    <t>Светильник светодиодный</t>
  </si>
  <si>
    <t>10078321272</t>
  </si>
  <si>
    <t>10078487733</t>
  </si>
  <si>
    <t>Книга Кодекс об админ. Нарушениях</t>
  </si>
  <si>
    <t>Носки 10шт</t>
  </si>
  <si>
    <t>Кастрюля 4,4л</t>
  </si>
  <si>
    <t>Массажер для лица</t>
  </si>
  <si>
    <t>Забрал сам</t>
  </si>
  <si>
    <t>Татьяна Писарева 28</t>
  </si>
  <si>
    <t>+79497124527</t>
  </si>
  <si>
    <t>Оксана Шевченко 240</t>
  </si>
  <si>
    <t>Шевченко 240 подъезд 3</t>
  </si>
  <si>
    <t>47.1153, 37.5222</t>
  </si>
  <si>
    <t>+79497168896</t>
  </si>
  <si>
    <t>47.1065, 37.5478</t>
  </si>
  <si>
    <t>Лента клейкая</t>
  </si>
  <si>
    <t>Лента бордюрная</t>
  </si>
  <si>
    <t>Пакет подарочный</t>
  </si>
  <si>
    <t>Набор ложек именной Татьяна</t>
  </si>
  <si>
    <t>Набор ложек именной Светлана</t>
  </si>
  <si>
    <t>Набор ложек именной Давид</t>
  </si>
  <si>
    <t>Набор ложек именной Евгений</t>
  </si>
  <si>
    <t>Набор ложек именной Павел</t>
  </si>
  <si>
    <t>Кружка хамелеон</t>
  </si>
  <si>
    <t>Набор ложек именной Захар</t>
  </si>
  <si>
    <t>Усилитель</t>
  </si>
  <si>
    <t>Олег Задорожный</t>
  </si>
  <si>
    <t>+79497294948</t>
  </si>
  <si>
    <t>Автошампунь антидождь</t>
  </si>
  <si>
    <t>Автошампунь розовая</t>
  </si>
  <si>
    <t>Стаканы одноразовые</t>
  </si>
  <si>
    <t>Стаканы одноразовые пластиковые</t>
  </si>
  <si>
    <t>Средство для очистки труб</t>
  </si>
  <si>
    <t>Средство от засоров</t>
  </si>
  <si>
    <t>Духи набор пробников</t>
  </si>
  <si>
    <t>Лилия Полонская</t>
  </si>
  <si>
    <t>+79497505974</t>
  </si>
  <si>
    <t>Металлургов, 84Б</t>
  </si>
  <si>
    <t>47.1037, 37.5484</t>
  </si>
  <si>
    <t>Дискус композитум</t>
  </si>
  <si>
    <t>127306764</t>
  </si>
  <si>
    <t>Аптека Магнит Шило 249Б</t>
  </si>
  <si>
    <t>Сноубутсы</t>
  </si>
  <si>
    <t>Футболка 54</t>
  </si>
  <si>
    <t>Футболка 52</t>
  </si>
  <si>
    <t>Лосины для девочки</t>
  </si>
  <si>
    <t>Заглушки для сережек</t>
  </si>
  <si>
    <t>Отруби</t>
  </si>
  <si>
    <t>Тени для век</t>
  </si>
  <si>
    <t>Палетка теней</t>
  </si>
  <si>
    <t>Фиксатор для ковров</t>
  </si>
  <si>
    <t>Очки солнцезащитные</t>
  </si>
  <si>
    <t>Сорочка ночная</t>
  </si>
  <si>
    <t>Сумка детская</t>
  </si>
  <si>
    <t>Желатин пищевой</t>
  </si>
  <si>
    <t>Маска для волос</t>
  </si>
  <si>
    <t>Крем для лица</t>
  </si>
  <si>
    <t>Коврик массажный</t>
  </si>
  <si>
    <t>Сироп Черная смородина</t>
  </si>
  <si>
    <t>10078147196</t>
  </si>
  <si>
    <t>10079616346</t>
  </si>
  <si>
    <t>Татьяна Лаванда</t>
  </si>
  <si>
    <t>+79498079642</t>
  </si>
  <si>
    <t>26 квартал 3</t>
  </si>
  <si>
    <t>47.1295, 37.5580</t>
  </si>
  <si>
    <t>+79493276190</t>
  </si>
  <si>
    <t>Михаил Строителей 145</t>
  </si>
  <si>
    <t>Жевательная резинка</t>
  </si>
  <si>
    <t>Шапка вязаная</t>
  </si>
  <si>
    <t>47.1150, 37.5467</t>
  </si>
  <si>
    <t>Ирина Зелинского 106а</t>
  </si>
  <si>
    <t>Зелинского 106а</t>
  </si>
  <si>
    <t>47.1059, 37.5155</t>
  </si>
  <si>
    <t>Босоножки</t>
  </si>
  <si>
    <t>Куртка</t>
  </si>
  <si>
    <t>10082403731</t>
  </si>
  <si>
    <t>10079417382</t>
  </si>
  <si>
    <t>Футболка черная</t>
  </si>
  <si>
    <t xml:space="preserve">Гейнер </t>
  </si>
  <si>
    <t>Резинка для фитнеса</t>
  </si>
  <si>
    <t>ИнДоб</t>
  </si>
  <si>
    <t>Лариса Западный</t>
  </si>
  <si>
    <t>+79497185141</t>
  </si>
  <si>
    <t>Урицкого, 118/16</t>
  </si>
  <si>
    <t>Процессор Intel Core i7-2670QM</t>
  </si>
  <si>
    <t>Крем краска для волос</t>
  </si>
  <si>
    <t>Альфа-липоевая кислота</t>
  </si>
  <si>
    <t>Масло для волос</t>
  </si>
  <si>
    <t>Масло для кончиков волос</t>
  </si>
  <si>
    <t>Прокладки 30шт</t>
  </si>
  <si>
    <t>Набо зубных паст</t>
  </si>
  <si>
    <t>Руска 3D</t>
  </si>
  <si>
    <t>Зубная паста</t>
  </si>
  <si>
    <t>Папка для тетрадей</t>
  </si>
  <si>
    <t>Шапочка для мелирования</t>
  </si>
  <si>
    <t>Ароматизатор в машину</t>
  </si>
  <si>
    <t>Прокладки 8шт</t>
  </si>
  <si>
    <t>Бальзам блонда</t>
  </si>
  <si>
    <t>Масло какао</t>
  </si>
  <si>
    <t>Нож для мясорубки</t>
  </si>
  <si>
    <t>Набор открыток</t>
  </si>
  <si>
    <t>Атлас мира</t>
  </si>
  <si>
    <t>Комплект атласов</t>
  </si>
  <si>
    <t>Юлина Мама</t>
  </si>
  <si>
    <t>47.1318, 37.5637</t>
  </si>
  <si>
    <t>+79497352267</t>
  </si>
  <si>
    <t>Шкаф в ванную</t>
  </si>
  <si>
    <t>Диспенцер для моющего средства</t>
  </si>
  <si>
    <t>Пакеты на тарелку</t>
  </si>
  <si>
    <t>Зубная щетка электрическая</t>
  </si>
  <si>
    <t>Набор косметики декоративной</t>
  </si>
  <si>
    <t>Крючки настенные</t>
  </si>
  <si>
    <t>Оксана молокозавод</t>
  </si>
  <si>
    <t>Людмила Федоровна</t>
  </si>
  <si>
    <t>Урицкого 104 подъезд 2 кв. 43</t>
  </si>
  <si>
    <t>+79496243970</t>
  </si>
  <si>
    <t>Оксана заправка</t>
  </si>
  <si>
    <t>Куприна 32</t>
  </si>
  <si>
    <t>47.1083, 37.5082</t>
  </si>
  <si>
    <t>+79497135589</t>
  </si>
  <si>
    <t>47.1164, 37.5459</t>
  </si>
  <si>
    <t>47.1212, 37.5174</t>
  </si>
  <si>
    <t>+79497166829</t>
  </si>
  <si>
    <t>Элла маг у дома</t>
  </si>
  <si>
    <t>Варганова 3</t>
  </si>
  <si>
    <t>47.0985, 37.5461</t>
  </si>
  <si>
    <t>Виктория ГБСМП</t>
  </si>
  <si>
    <t>47.1159, 37.5478</t>
  </si>
  <si>
    <t>Новоселовка</t>
  </si>
  <si>
    <t>P000243559463</t>
  </si>
  <si>
    <t>P000243883445</t>
  </si>
  <si>
    <t>LO-565108386</t>
  </si>
  <si>
    <t>LO-565257873</t>
  </si>
  <si>
    <t>LO-565359881</t>
  </si>
  <si>
    <t>LO-566670235</t>
  </si>
  <si>
    <t>LO-566695286</t>
  </si>
  <si>
    <t>LO-561962138</t>
  </si>
  <si>
    <t>0000209677793</t>
  </si>
  <si>
    <t>Макс Шаповалов</t>
  </si>
  <si>
    <t>+79494150502</t>
  </si>
  <si>
    <t>Матрац 160х200</t>
  </si>
  <si>
    <t>Двуспальная кровать 160х200</t>
  </si>
  <si>
    <t>Шевченко 291 подъезд 4</t>
  </si>
  <si>
    <t>47.1183, 37.5234</t>
  </si>
  <si>
    <t>Металлургов 235</t>
  </si>
  <si>
    <t>47.1382, 37.5684</t>
  </si>
  <si>
    <t>Виталик Металлургов 235</t>
  </si>
  <si>
    <t>47.1258, 37.5636</t>
  </si>
  <si>
    <t>Металлургов 156</t>
  </si>
  <si>
    <t>47.1396, 37.5937</t>
  </si>
  <si>
    <t>Екатерина Металлургов 129</t>
  </si>
  <si>
    <t>+79495256416</t>
  </si>
  <si>
    <t>Металлургов 129</t>
  </si>
  <si>
    <t>47.1123, 37.5582</t>
  </si>
  <si>
    <t>Левченко 1</t>
  </si>
  <si>
    <t>Блокпост Евгений</t>
  </si>
  <si>
    <t>47.0400, 37.4742</t>
  </si>
  <si>
    <t>+79494540143</t>
  </si>
  <si>
    <t>Покровское</t>
  </si>
  <si>
    <t>1000 мелочей Сергей водитель</t>
  </si>
  <si>
    <t>+79530891297</t>
  </si>
  <si>
    <t>Площадь свободы</t>
  </si>
  <si>
    <t>47.0984, 37.5253</t>
  </si>
  <si>
    <t>Игорь</t>
  </si>
  <si>
    <t>Фоамиран для творчества</t>
  </si>
  <si>
    <t>Изолон 5м</t>
  </si>
  <si>
    <t>Пленка зеркальная</t>
  </si>
  <si>
    <t>Набор просечек</t>
  </si>
  <si>
    <t>Пила японская ручная</t>
  </si>
  <si>
    <t>Слюда для микроволновки</t>
  </si>
  <si>
    <t>Сверло ступенчатое</t>
  </si>
  <si>
    <t>Светильник ЭРА</t>
  </si>
  <si>
    <t>Платы модулей питания</t>
  </si>
  <si>
    <t>+79490034774</t>
  </si>
  <si>
    <t>Рельефная 58</t>
  </si>
  <si>
    <t>Гель для посуды</t>
  </si>
  <si>
    <t>Гель для мытья посуды</t>
  </si>
  <si>
    <t>Лезвия Mach3 8шт</t>
  </si>
  <si>
    <t>Крем-лосьон для тела</t>
  </si>
  <si>
    <t>Пудра для лица</t>
  </si>
  <si>
    <t>Палочки спиртовые</t>
  </si>
  <si>
    <t>Поплавок</t>
  </si>
  <si>
    <t>Самоподсекатель</t>
  </si>
  <si>
    <t>Желатин говяжий</t>
  </si>
  <si>
    <t>Ковш сотейник</t>
  </si>
  <si>
    <t xml:space="preserve">Платки носовые </t>
  </si>
  <si>
    <t>Шапка</t>
  </si>
  <si>
    <t>Шнурки-резинки</t>
  </si>
  <si>
    <t>Шнурки-резинки черные</t>
  </si>
  <si>
    <t>Венчик</t>
  </si>
  <si>
    <t>Семена томатов</t>
  </si>
  <si>
    <t>Батончики протеиновые</t>
  </si>
  <si>
    <t>Духи Испахан</t>
  </si>
  <si>
    <t>Тендерайзер для мяса</t>
  </si>
  <si>
    <t>LO-569259518</t>
  </si>
  <si>
    <t>BMW</t>
  </si>
  <si>
    <t>+79490810530</t>
  </si>
  <si>
    <t>Металлургов 233 подъезд 2</t>
  </si>
  <si>
    <t>47.1377, 37.5683</t>
  </si>
  <si>
    <t>Оксана Черноморская</t>
  </si>
  <si>
    <t>+79497078921</t>
  </si>
  <si>
    <t>47.0767, 37.5101</t>
  </si>
  <si>
    <t>Черноморская 17</t>
  </si>
  <si>
    <t>+79497183952</t>
  </si>
  <si>
    <t>Ксения Краснофлотская</t>
  </si>
  <si>
    <t>Краснофлотская 167</t>
  </si>
  <si>
    <t>47.0910, 37.4981</t>
  </si>
  <si>
    <t>47.1353, 37.5730</t>
  </si>
  <si>
    <t>Фоамиран 50 листов</t>
  </si>
  <si>
    <t>Мини ручная швейная машинка</t>
  </si>
  <si>
    <t>Набор круглых пробойников</t>
  </si>
  <si>
    <t>Игорь Рельефная</t>
  </si>
  <si>
    <t>Терморегулятор</t>
  </si>
  <si>
    <t>Набор стабилизаторов</t>
  </si>
  <si>
    <t>Теплые полы</t>
  </si>
  <si>
    <t>Диод 5шт</t>
  </si>
  <si>
    <t>Подушка 2шт</t>
  </si>
  <si>
    <t>Константин от Наталья</t>
  </si>
  <si>
    <t>+79515014981</t>
  </si>
  <si>
    <t>Корзина для белья</t>
  </si>
  <si>
    <t>Бритва EVE</t>
  </si>
  <si>
    <t>Майка 2шт</t>
  </si>
  <si>
    <t>Лук жареный</t>
  </si>
  <si>
    <t>Ваза декоративная</t>
  </si>
  <si>
    <t>Мальвина Оглу</t>
  </si>
  <si>
    <t>@Malivinaogly</t>
  </si>
  <si>
    <t>Шеврон</t>
  </si>
  <si>
    <t>Смарт часы</t>
  </si>
  <si>
    <t>Патчи для лба</t>
  </si>
  <si>
    <t>Гель для унитаза</t>
  </si>
  <si>
    <t>Расширитель для бюстгалтера</t>
  </si>
  <si>
    <t>Топ спортивный</t>
  </si>
  <si>
    <t>Чехол для Xiaomi</t>
  </si>
  <si>
    <t>Прокладки 336шт</t>
  </si>
  <si>
    <t>10091280453</t>
  </si>
  <si>
    <t>10091339301</t>
  </si>
  <si>
    <t>Лариса</t>
  </si>
  <si>
    <t>Строителей 19/16</t>
  </si>
  <si>
    <t>47.0813, 37.5126</t>
  </si>
  <si>
    <t>Рубашка в клетку</t>
  </si>
  <si>
    <t>Рубашка 54</t>
  </si>
  <si>
    <t>Робот мойщик окон</t>
  </si>
  <si>
    <t>Блендер ручной</t>
  </si>
  <si>
    <t>Мебель для кухонного домика</t>
  </si>
  <si>
    <t>Библия</t>
  </si>
  <si>
    <t>Халат махровый</t>
  </si>
  <si>
    <t>Подушка на стул</t>
  </si>
  <si>
    <t>Пластик для 3D ручки</t>
  </si>
  <si>
    <t>Прокладки 16шт</t>
  </si>
  <si>
    <t>Ручки пиши стирай</t>
  </si>
  <si>
    <t>Цветы искусственные</t>
  </si>
  <si>
    <t>Помпа для воды 19л</t>
  </si>
  <si>
    <t>Трусы кружевные</t>
  </si>
  <si>
    <t>Тюльпаны искусственные</t>
  </si>
  <si>
    <t>Пакеты вакуумные</t>
  </si>
  <si>
    <t>Нарциссы искусственные</t>
  </si>
  <si>
    <t>Гейнер шоколад</t>
  </si>
  <si>
    <t>Гейнер печенье</t>
  </si>
  <si>
    <t>Обложка на паспорт</t>
  </si>
  <si>
    <t>Вентилятор настольный</t>
  </si>
  <si>
    <t>10089686629</t>
  </si>
  <si>
    <t>10094174617</t>
  </si>
  <si>
    <t>P000255219026</t>
  </si>
  <si>
    <t>P000256120732</t>
  </si>
  <si>
    <t>LC820436030CN</t>
  </si>
  <si>
    <t>LC818411860CN</t>
  </si>
  <si>
    <t>LC818387644CN</t>
  </si>
  <si>
    <t>P000258513818</t>
  </si>
  <si>
    <t>CoralClub</t>
  </si>
  <si>
    <t>Шевченко</t>
  </si>
  <si>
    <t>47.1080, 37.5525</t>
  </si>
  <si>
    <t>Шевченко Грация</t>
  </si>
  <si>
    <t>Резистор алюминиевый 2шт</t>
  </si>
  <si>
    <t>Чип резистор 39Ом</t>
  </si>
  <si>
    <t>Колпачек для магнетрона</t>
  </si>
  <si>
    <t>Преобразователь понижающий</t>
  </si>
  <si>
    <t>Удилище 5,4</t>
  </si>
  <si>
    <t>Пакет для льда</t>
  </si>
  <si>
    <t>Кардиган</t>
  </si>
  <si>
    <t>Юбка</t>
  </si>
  <si>
    <t>Футболка 46</t>
  </si>
  <si>
    <t>Футболка 46 желтая</t>
  </si>
  <si>
    <t>Футболка 46 сирейневая</t>
  </si>
  <si>
    <t>Сумка через плечо</t>
  </si>
  <si>
    <t>Оплата по тел. +79497180371</t>
  </si>
  <si>
    <t>Промсвязьбанк или Т-Банк или ВТБ</t>
  </si>
  <si>
    <t>Душ походный</t>
  </si>
  <si>
    <t>Масло льняное</t>
  </si>
  <si>
    <t>Крем тональный</t>
  </si>
  <si>
    <t>Наволочки 50х70</t>
  </si>
  <si>
    <t>Простыня 1,5</t>
  </si>
  <si>
    <t>Трусики для девочек</t>
  </si>
  <si>
    <t>Пятновыводитель кислородный</t>
  </si>
  <si>
    <t>Оболочка для колбасы</t>
  </si>
  <si>
    <t>Гольфы белые</t>
  </si>
  <si>
    <t>Блок управления ДВС</t>
  </si>
  <si>
    <t>Книга Фортепианная игра</t>
  </si>
  <si>
    <t>Коляска для пупсика</t>
  </si>
  <si>
    <t>Набор семья оленей</t>
  </si>
  <si>
    <t>Игра на липучках</t>
  </si>
  <si>
    <t>Книжки-малышки</t>
  </si>
  <si>
    <t>Книга Мы рисуем праздник</t>
  </si>
  <si>
    <t>Набор мини открыток</t>
  </si>
  <si>
    <t>Набор книг Автивити</t>
  </si>
  <si>
    <t>Яйцо на подставке</t>
  </si>
  <si>
    <t>Игра Пасхальные яйца</t>
  </si>
  <si>
    <t>Книга Бабушкино сокровище</t>
  </si>
  <si>
    <t>Набор закладок Светлой Пасхи!</t>
  </si>
  <si>
    <t>Игрушка Кулич</t>
  </si>
  <si>
    <t>Набор для открытки Яйцо</t>
  </si>
  <si>
    <t>Пазл Светлой Пасхи</t>
  </si>
  <si>
    <t>Набор закладок Христос Воскрес</t>
  </si>
  <si>
    <t>Сувенир Пасхальный Корзиночка</t>
  </si>
  <si>
    <t>Книга Мама меня любит</t>
  </si>
  <si>
    <t>Яйцо деревянное Цветы</t>
  </si>
  <si>
    <t>P000262161340</t>
  </si>
  <si>
    <t>P000261460998</t>
  </si>
  <si>
    <t>47.1237, 37.6819</t>
  </si>
  <si>
    <t>Кепка</t>
  </si>
  <si>
    <t>P000256771041</t>
  </si>
  <si>
    <t>+79496474362</t>
  </si>
  <si>
    <t>Леонид Камелия</t>
  </si>
  <si>
    <t>Олимпийская 177, Камелия</t>
  </si>
  <si>
    <t>80511207844633</t>
  </si>
  <si>
    <t>42393666113</t>
  </si>
  <si>
    <t>80097407733309</t>
  </si>
  <si>
    <t>P000260671160</t>
  </si>
  <si>
    <t>LO-584739636</t>
  </si>
  <si>
    <t>Кол-во</t>
  </si>
  <si>
    <t>80512307080556</t>
  </si>
  <si>
    <t>Кирилл Строителей</t>
  </si>
  <si>
    <t>47.1130, 37.5265</t>
  </si>
  <si>
    <t>Роман Куприна</t>
  </si>
  <si>
    <t>+79494817063</t>
  </si>
  <si>
    <t>Куприна 17, подъезд 1</t>
  </si>
  <si>
    <t>Яйцо-сюрприз</t>
  </si>
  <si>
    <t>Ершик для туалета</t>
  </si>
  <si>
    <t>Щетки для межплиточных швов</t>
  </si>
  <si>
    <t>Сумка для девочек</t>
  </si>
  <si>
    <t>Ваза для цветов</t>
  </si>
  <si>
    <t>Крышка для кастрюли</t>
  </si>
  <si>
    <t>Цыпленок в с/с</t>
  </si>
  <si>
    <t>Рис Басмати</t>
  </si>
  <si>
    <t>Кордицепс элексир</t>
  </si>
  <si>
    <t>Кордицепс экстракт</t>
  </si>
  <si>
    <t>Экстракт сирени</t>
  </si>
  <si>
    <t>Сок одуванчика</t>
  </si>
  <si>
    <t>Галит Рапа соленого озера</t>
  </si>
  <si>
    <t>Маклюравен</t>
  </si>
  <si>
    <t>Маклюра ОСТЕО</t>
  </si>
  <si>
    <t>Владимир Миленко</t>
  </si>
  <si>
    <t>Бахчиванджи 55</t>
  </si>
  <si>
    <t>Стенд для свечей</t>
  </si>
  <si>
    <t>Лоферы женские</t>
  </si>
  <si>
    <t>Штаны для похудения</t>
  </si>
  <si>
    <t>Вантуз</t>
  </si>
  <si>
    <t>Панама</t>
  </si>
  <si>
    <t>Стельки</t>
  </si>
  <si>
    <t>Триммер для лица</t>
  </si>
  <si>
    <t>Желе для ног</t>
  </si>
  <si>
    <t>Носки 10шт Nike</t>
  </si>
  <si>
    <t>Носки 10шт черные</t>
  </si>
  <si>
    <t>Набор трусов</t>
  </si>
  <si>
    <t>Мультивитамины</t>
  </si>
  <si>
    <t>P000265010484</t>
  </si>
  <si>
    <t>+79836342386</t>
  </si>
  <si>
    <t>47.0948, 37.5426</t>
  </si>
  <si>
    <t>Здоровье женщины</t>
  </si>
  <si>
    <t>Топ Ultra</t>
  </si>
  <si>
    <t>Рубашка Colins</t>
  </si>
  <si>
    <t>Джинсы VEAVEND</t>
  </si>
  <si>
    <t>Джинсы Georgio Ferretti</t>
  </si>
  <si>
    <t>Шевченко 305</t>
  </si>
  <si>
    <t>+79495995496</t>
  </si>
  <si>
    <t>Юля Шевченко 305</t>
  </si>
  <si>
    <t>Таблетки от недержания мочи</t>
  </si>
  <si>
    <t>Шафран молотый</t>
  </si>
  <si>
    <t>+79493895679</t>
  </si>
  <si>
    <t>Андрей BAB</t>
  </si>
  <si>
    <t>Митрополитская</t>
  </si>
  <si>
    <t>Любовь Металлургов 158</t>
  </si>
  <si>
    <t>Металлургов 158</t>
  </si>
  <si>
    <t>+79497379017</t>
  </si>
  <si>
    <t>47.1266, 37.5631</t>
  </si>
  <si>
    <t>Марина 50 Лет СССР 16</t>
  </si>
  <si>
    <t>50 Лет СССР 16</t>
  </si>
  <si>
    <t>47.1106, 37.5233</t>
  </si>
  <si>
    <t>Виктория Страховка</t>
  </si>
  <si>
    <t>+79497163227</t>
  </si>
  <si>
    <t>Артема 44</t>
  </si>
  <si>
    <t>47.0943, 37.5487</t>
  </si>
  <si>
    <t>+79497049936</t>
  </si>
  <si>
    <t>Алена Грация</t>
  </si>
  <si>
    <t>+79497108197</t>
  </si>
  <si>
    <t>Леси Украинки 24</t>
  </si>
  <si>
    <t>Лилия Леси Украинки</t>
  </si>
  <si>
    <t>47.1035, 37.5324</t>
  </si>
  <si>
    <t>Витамины 10</t>
  </si>
  <si>
    <t>Роутер</t>
  </si>
  <si>
    <t>Кабель Type-C</t>
  </si>
  <si>
    <t>Быстрая зарядка 120w</t>
  </si>
  <si>
    <t>Кабель HDMI</t>
  </si>
  <si>
    <t>10102261407</t>
  </si>
  <si>
    <t>P000267427229</t>
  </si>
  <si>
    <t>P000267562155</t>
  </si>
  <si>
    <t>P000268478484</t>
  </si>
  <si>
    <t>Артем 9 Авиадивизии</t>
  </si>
  <si>
    <t>+79490042184</t>
  </si>
  <si>
    <t>9 Авиадивизии 30</t>
  </si>
  <si>
    <t>47.1234, 37.5200</t>
  </si>
  <si>
    <t>LK600958561CN</t>
  </si>
  <si>
    <t>LC831697566CN</t>
  </si>
  <si>
    <t>(пусто)</t>
  </si>
  <si>
    <t>10101439156</t>
  </si>
  <si>
    <t>10099994226</t>
  </si>
  <si>
    <t>47.1185, 37.5198</t>
  </si>
  <si>
    <t>Халат</t>
  </si>
  <si>
    <t>Органайзер для специй</t>
  </si>
  <si>
    <t>Смесь болгарских перцев</t>
  </si>
  <si>
    <t>Органайзер для косметики</t>
  </si>
  <si>
    <t>Набор заколок</t>
  </si>
  <si>
    <t>Набор для стрижки</t>
  </si>
  <si>
    <t>Футболка 56</t>
  </si>
  <si>
    <t>Набор из яиц</t>
  </si>
  <si>
    <t>Платье домашнее</t>
  </si>
  <si>
    <t>gps</t>
  </si>
  <si>
    <t>&lt;Клиент не выбран&gt;</t>
  </si>
  <si>
    <t>Средство от комаров</t>
  </si>
  <si>
    <t>Гель после укусов комаров</t>
  </si>
  <si>
    <t>Палочки от комаров</t>
  </si>
  <si>
    <t>percent</t>
  </si>
  <si>
    <t>_id</t>
  </si>
  <si>
    <t>10103147913</t>
  </si>
  <si>
    <t>67f56eca575fff8fe23c7a0b</t>
  </si>
  <si>
    <t>67f56eca575fff8fe23c7a0c</t>
  </si>
  <si>
    <t>67f56eca575fff8fe23c7a0d</t>
  </si>
  <si>
    <t>67f56eca575fff8fe23c7a0e</t>
  </si>
  <si>
    <t>67f56eca575fff8fe23c7a0f</t>
  </si>
  <si>
    <t>67f56eca575fff8fe23c7a10</t>
  </si>
  <si>
    <t>67f56eca575fff8fe23c7a11</t>
  </si>
  <si>
    <t>67f56eca575fff8fe23c7a12</t>
  </si>
  <si>
    <t>67f56eca575fff8fe23c7a13</t>
  </si>
  <si>
    <t>67f56eca575fff8fe23c7a14</t>
  </si>
  <si>
    <t>67f56eca575fff8fe23c7a15</t>
  </si>
  <si>
    <t>67f56eca575fff8fe23c7a16</t>
  </si>
  <si>
    <t>67f56eca575fff8fe23c7a17</t>
  </si>
  <si>
    <t>67f56eca575fff8fe23c7a18</t>
  </si>
  <si>
    <t>67f56eca575fff8fe23c7a19</t>
  </si>
  <si>
    <t>67f56eca575fff8fe23c7a1a</t>
  </si>
  <si>
    <t>67f56eca575fff8fe23c7a1b</t>
  </si>
  <si>
    <t>67f56eca575fff8fe23c7a1c</t>
  </si>
  <si>
    <t>67f56eca575fff8fe23c7a1d</t>
  </si>
  <si>
    <t>67f56eca575fff8fe23c7a1e</t>
  </si>
  <si>
    <t>67f56eca575fff8fe23c7a1f</t>
  </si>
  <si>
    <t>67f56eca575fff8fe23c7a20</t>
  </si>
  <si>
    <t>67f56eca575fff8fe23c7a21</t>
  </si>
  <si>
    <t>67f56eca575fff8fe23c7a22</t>
  </si>
  <si>
    <t>67f56eca575fff8fe23c7a23</t>
  </si>
  <si>
    <t>67f56eca575fff8fe23c7a24</t>
  </si>
  <si>
    <t>67f56eca575fff8fe23c7a25</t>
  </si>
  <si>
    <t>67f56eca575fff8fe23c7a26</t>
  </si>
  <si>
    <t>67f56eca575fff8fe23c7a27</t>
  </si>
  <si>
    <t>67f56eca575fff8fe23c7a28</t>
  </si>
  <si>
    <t>67f56eca575fff8fe23c7a29</t>
  </si>
  <si>
    <t>67f56eca575fff8fe23c7a2a</t>
  </si>
  <si>
    <t>67f56eca575fff8fe23c7a2b</t>
  </si>
  <si>
    <t>67f56eca575fff8fe23c7a2c</t>
  </si>
  <si>
    <t>67f56eca575fff8fe23c7a2d</t>
  </si>
  <si>
    <t>67f56eca575fff8fe23c7a2e</t>
  </si>
  <si>
    <t>67f56eca575fff8fe23c7a2f</t>
  </si>
  <si>
    <t>67f56eca575fff8fe23c7a30</t>
  </si>
  <si>
    <t>67f56eca575fff8fe23c7a31</t>
  </si>
  <si>
    <t>67f56eca575fff8fe23c7a32</t>
  </si>
  <si>
    <t>67f56eca575fff8fe23c7a33</t>
  </si>
  <si>
    <t>67f56eca575fff8fe23c7a34</t>
  </si>
  <si>
    <t>67f56eca575fff8fe23c7a35</t>
  </si>
  <si>
    <t>67f56eca575fff8fe23c7a36</t>
  </si>
  <si>
    <t>67f56eca575fff8fe23c7a37</t>
  </si>
  <si>
    <t>67f56eca575fff8fe23c7a38</t>
  </si>
  <si>
    <t>67f56eca575fff8fe23c7a39</t>
  </si>
  <si>
    <t>67f56eca575fff8fe23c7a3a</t>
  </si>
  <si>
    <t>67f56eca575fff8fe23c7a3b</t>
  </si>
  <si>
    <t>67f56eca575fff8fe23c7a3c</t>
  </si>
  <si>
    <t>67f56eca575fff8fe23c7a3d</t>
  </si>
  <si>
    <t>67f56eca575fff8fe23c7a3e</t>
  </si>
  <si>
    <t>67f56eca575fff8fe23c7a3f</t>
  </si>
  <si>
    <t>67f56eca575fff8fe23c7a40</t>
  </si>
  <si>
    <t>67f56eca575fff8fe23c7a41</t>
  </si>
  <si>
    <t>67f56eca575fff8fe23c7a42</t>
  </si>
  <si>
    <t>67f56eca575fff8fe23c7a43</t>
  </si>
  <si>
    <t>67f56eca575fff8fe23c7a44</t>
  </si>
  <si>
    <t>67f56eca575fff8fe23c7a45</t>
  </si>
  <si>
    <t>67f56eca575fff8fe23c7a46</t>
  </si>
  <si>
    <t>67f56eca575fff8fe23c7a47</t>
  </si>
  <si>
    <t>67f56eca575fff8fe23c7a48</t>
  </si>
  <si>
    <t>67f56eca575fff8fe23c7a49</t>
  </si>
  <si>
    <t>67f56eca575fff8fe23c7a4a</t>
  </si>
  <si>
    <t>67f56eca575fff8fe23c7a4b</t>
  </si>
  <si>
    <t>67f56eca575fff8fe23c7a4c</t>
  </si>
  <si>
    <t>67f56eca575fff8fe23c7a4d</t>
  </si>
  <si>
    <t>67f56eca575fff8fe23c7a4e</t>
  </si>
  <si>
    <t>67f56eca575fff8fe23c7a4f</t>
  </si>
  <si>
    <t>67f56eca575fff8fe23c7a50</t>
  </si>
  <si>
    <t>67f56eca575fff8fe23c7a51</t>
  </si>
  <si>
    <t>67f56eca575fff8fe23c7a52</t>
  </si>
  <si>
    <t>67f56eca575fff8fe23c7a53</t>
  </si>
  <si>
    <t>67f56eca575fff8fe23c7a54</t>
  </si>
  <si>
    <t>67f56eca575fff8fe23c7a55</t>
  </si>
  <si>
    <t>67f56eca575fff8fe23c7a56</t>
  </si>
  <si>
    <t>67f56eca575fff8fe23c7a57</t>
  </si>
  <si>
    <t>67f56eca575fff8fe23c7a58</t>
  </si>
  <si>
    <t>67f56eca575fff8fe23c7a59</t>
  </si>
  <si>
    <t>67f56eca575fff8fe23c7a5a</t>
  </si>
  <si>
    <t>67f56eca575fff8fe23c7a5b</t>
  </si>
  <si>
    <t>67f56eca575fff8fe23c7a5c</t>
  </si>
  <si>
    <t>67f56eca575fff8fe23c7a5d</t>
  </si>
  <si>
    <t>67f56eca575fff8fe23c7a5e</t>
  </si>
  <si>
    <t>67f56eca575fff8fe23c7a5f</t>
  </si>
  <si>
    <t>67f56eca575fff8fe23c7a60</t>
  </si>
  <si>
    <t>67f56eca575fff8fe23c7a61</t>
  </si>
  <si>
    <t>67f56eca575fff8fe23c7a62</t>
  </si>
  <si>
    <t>67f56eca575fff8fe23c7a63</t>
  </si>
  <si>
    <t>67f56eca575fff8fe23c7a64</t>
  </si>
  <si>
    <t>67f56eca575fff8fe23c7a65</t>
  </si>
  <si>
    <t>67f56eca575fff8fe23c7a66</t>
  </si>
  <si>
    <t>67f56eca575fff8fe23c7a67</t>
  </si>
  <si>
    <t>67f56eca575fff8fe23c7a68</t>
  </si>
  <si>
    <t>67f56eca575fff8fe23c7a69</t>
  </si>
  <si>
    <t>67f56eca575fff8fe23c7a6a</t>
  </si>
  <si>
    <t>67f56eca575fff8fe23c7a6b</t>
  </si>
  <si>
    <t>67f56eca575fff8fe23c7a6c</t>
  </si>
  <si>
    <t>67f56eca575fff8fe23c7a6d</t>
  </si>
  <si>
    <t>67f56eca575fff8fe23c7a6e</t>
  </si>
  <si>
    <t>67f56eca575fff8fe23c7a6f</t>
  </si>
  <si>
    <t>67f56eca575fff8fe23c7a70</t>
  </si>
  <si>
    <t>67f56eca575fff8fe23c7a71</t>
  </si>
  <si>
    <t>67f56eca575fff8fe23c7a72</t>
  </si>
  <si>
    <t>67f56eca575fff8fe23c7a73</t>
  </si>
  <si>
    <t>67f56eca575fff8fe23c7a74</t>
  </si>
  <si>
    <t>67f56eca575fff8fe23c7a75</t>
  </si>
  <si>
    <t>67f56eca575fff8fe23c7a76</t>
  </si>
  <si>
    <t>67f56eca575fff8fe23c7a77</t>
  </si>
  <si>
    <t>67f56eca575fff8fe23c7a78</t>
  </si>
  <si>
    <t>67f56eca575fff8fe23c7a79</t>
  </si>
  <si>
    <t>67f56eca575fff8fe23c7a7a</t>
  </si>
  <si>
    <t>67f56eca575fff8fe23c7a7b</t>
  </si>
  <si>
    <t>67f56eca575fff8fe23c7a7c</t>
  </si>
  <si>
    <t>67f56eca575fff8fe23c7a7d</t>
  </si>
  <si>
    <t>67f56eca575fff8fe23c7a7e</t>
  </si>
  <si>
    <t>67f56eca575fff8fe23c7a7f</t>
  </si>
  <si>
    <t>67f56eca575fff8fe23c7a80</t>
  </si>
  <si>
    <t>67f56eca575fff8fe23c7a81</t>
  </si>
  <si>
    <t>67f56eca575fff8fe23c7a82</t>
  </si>
  <si>
    <t>67f56eca575fff8fe23c7a83</t>
  </si>
  <si>
    <t>67f56eca575fff8fe23c7a84</t>
  </si>
  <si>
    <t>67f56eca575fff8fe23c7a85</t>
  </si>
  <si>
    <t>67f56eca575fff8fe23c7a86</t>
  </si>
  <si>
    <t>67f56eca575fff8fe23c7a87</t>
  </si>
  <si>
    <t>67f56eca575fff8fe23c7a88</t>
  </si>
  <si>
    <t>67f56eca575fff8fe23c7a89</t>
  </si>
  <si>
    <t>67f56eca575fff8fe23c7a8a</t>
  </si>
  <si>
    <t>67f56eca575fff8fe23c7a8b</t>
  </si>
  <si>
    <t>67f56eca575fff8fe23c7a8c</t>
  </si>
  <si>
    <t>67f56eca575fff8fe23c7a8d</t>
  </si>
  <si>
    <t>67f56eca575fff8fe23c7a8e</t>
  </si>
  <si>
    <t>67f56eca575fff8fe23c7a8f</t>
  </si>
  <si>
    <t>67f56eca575fff8fe23c7a90</t>
  </si>
  <si>
    <t>67f56eca575fff8fe23c7a91</t>
  </si>
  <si>
    <t>67f56eca575fff8fe23c7a92</t>
  </si>
  <si>
    <t>67f56eca575fff8fe23c7a93</t>
  </si>
  <si>
    <t>67f56eca575fff8fe23c7a94</t>
  </si>
  <si>
    <t>67f56eca575fff8fe23c7a95</t>
  </si>
  <si>
    <t>67f56eca575fff8fe23c7a96</t>
  </si>
  <si>
    <t>67f56eca575fff8fe23c7a97</t>
  </si>
  <si>
    <t>67f56eca575fff8fe23c7a98</t>
  </si>
  <si>
    <t>67f56eca575fff8fe23c7a99</t>
  </si>
  <si>
    <t>67f56eca575fff8fe23c7a9a</t>
  </si>
  <si>
    <t>67f56eca575fff8fe23c7a9b</t>
  </si>
  <si>
    <t>67f56eca575fff8fe23c7a9c</t>
  </si>
  <si>
    <t>67f56eca575fff8fe23c7a9d</t>
  </si>
  <si>
    <t>67f56eca575fff8fe23c7a9e</t>
  </si>
  <si>
    <t>67f56eca575fff8fe23c7a9f</t>
  </si>
  <si>
    <t>67f56eca575fff8fe23c7aa0</t>
  </si>
  <si>
    <t>67f56eca575fff8fe23c7aa1</t>
  </si>
  <si>
    <t>67f56eca575fff8fe23c7aa2</t>
  </si>
  <si>
    <t>67f56eca575fff8fe23c7aa3</t>
  </si>
  <si>
    <t>67f56eca575fff8fe23c7aa4</t>
  </si>
  <si>
    <t>67f56eca575fff8fe23c7aa5</t>
  </si>
  <si>
    <t>67f56eca575fff8fe23c7aa6</t>
  </si>
  <si>
    <t>67f56eca575fff8fe23c7aa7</t>
  </si>
  <si>
    <t>67f56eca575fff8fe23c7aa8</t>
  </si>
  <si>
    <t>67f56eca575fff8fe23c7aa9</t>
  </si>
  <si>
    <t>67f56eca575fff8fe23c7aaa</t>
  </si>
  <si>
    <t>67f56eca575fff8fe23c7aab</t>
  </si>
  <si>
    <t>67f56eca575fff8fe23c7aac</t>
  </si>
  <si>
    <t>67f56eca575fff8fe23c7aad</t>
  </si>
  <si>
    <t>67f56eca575fff8fe23c7aae</t>
  </si>
  <si>
    <t>67f56eca575fff8fe23c7aaf</t>
  </si>
  <si>
    <t>67f56eca575fff8fe23c7ab0</t>
  </si>
  <si>
    <t>67f56eca575fff8fe23c7ab1</t>
  </si>
  <si>
    <t>67f56eca575fff8fe23c7ab2</t>
  </si>
  <si>
    <t>67f56eca575fff8fe23c7ab3</t>
  </si>
  <si>
    <t>67f56eca575fff8fe23c7ab4</t>
  </si>
  <si>
    <t>67f56eca575fff8fe23c7ab5</t>
  </si>
  <si>
    <t>67f56eca575fff8fe23c7ab6</t>
  </si>
  <si>
    <t>67f56eca575fff8fe23c7ab7</t>
  </si>
  <si>
    <t>67f56eca575fff8fe23c7ab8</t>
  </si>
  <si>
    <t>67f56eca575fff8fe23c7ab9</t>
  </si>
  <si>
    <t>67f56eca575fff8fe23c7aba</t>
  </si>
  <si>
    <t>67f56eca575fff8fe23c7abb</t>
  </si>
  <si>
    <t>67f56eca575fff8fe23c7abc</t>
  </si>
  <si>
    <t>67f56eca575fff8fe23c7abd</t>
  </si>
  <si>
    <t>67f56eca575fff8fe23c7abe</t>
  </si>
  <si>
    <t>67f56eca575fff8fe23c7abf</t>
  </si>
  <si>
    <t>67f56eca575fff8fe23c7ac0</t>
  </si>
  <si>
    <t>67f56eca575fff8fe23c7ac1</t>
  </si>
  <si>
    <t>67f56eca575fff8fe23c7ac2</t>
  </si>
  <si>
    <t>67f56eca575fff8fe23c7ac3</t>
  </si>
  <si>
    <t>67f56eca575fff8fe23c7ac4</t>
  </si>
  <si>
    <t>67f56eca575fff8fe23c7ac5</t>
  </si>
  <si>
    <t>67f56eca575fff8fe23c7ac6</t>
  </si>
  <si>
    <t>67f56eca575fff8fe23c7ac7</t>
  </si>
  <si>
    <t>67f56eca575fff8fe23c7ac8</t>
  </si>
  <si>
    <t>67f56eca575fff8fe23c7ac9</t>
  </si>
  <si>
    <t>67f56eca575fff8fe23c7aca</t>
  </si>
  <si>
    <t>67f56eca575fff8fe23c7acb</t>
  </si>
  <si>
    <t>67f56eca575fff8fe23c7acc</t>
  </si>
  <si>
    <t>67f56eca575fff8fe23c7acd</t>
  </si>
  <si>
    <t>67f56eca575fff8fe23c7ace</t>
  </si>
  <si>
    <t>67f56eca575fff8fe23c7acf</t>
  </si>
  <si>
    <t>67f56eca575fff8fe23c7ad0</t>
  </si>
  <si>
    <t>67f56eca575fff8fe23c7ad1</t>
  </si>
  <si>
    <t>67f56eca575fff8fe23c7ad2</t>
  </si>
  <si>
    <t>67f56eca575fff8fe23c7ad3</t>
  </si>
  <si>
    <t>67f56eca575fff8fe23c7ad4</t>
  </si>
  <si>
    <t>67f56eca575fff8fe23c7ad5</t>
  </si>
  <si>
    <t>67f56eca575fff8fe23c7ad6</t>
  </si>
  <si>
    <t>67f56eca575fff8fe23c7ad7</t>
  </si>
  <si>
    <t>67f56eca575fff8fe23c7ad8</t>
  </si>
  <si>
    <t>67f56eca575fff8fe23c7ad9</t>
  </si>
  <si>
    <t>67f56eca575fff8fe23c7ada</t>
  </si>
  <si>
    <t>67f56eca575fff8fe23c7adb</t>
  </si>
  <si>
    <t>67f56eca575fff8fe23c7adc</t>
  </si>
  <si>
    <t>67f56eca575fff8fe23c7add</t>
  </si>
  <si>
    <t>67f56eca575fff8fe23c7ade</t>
  </si>
  <si>
    <t>67f56eca575fff8fe23c7adf</t>
  </si>
  <si>
    <t>67f56eca575fff8fe23c7ae0</t>
  </si>
  <si>
    <t>67f56eca575fff8fe23c7ae1</t>
  </si>
  <si>
    <t>67f56eca575fff8fe23c7ae2</t>
  </si>
  <si>
    <t>67f56eca575fff8fe23c7ae3</t>
  </si>
  <si>
    <t>67f56eca575fff8fe23c7ae4</t>
  </si>
  <si>
    <t>67f56eca575fff8fe23c7ae5</t>
  </si>
  <si>
    <t>67f56eca575fff8fe23c7ae6</t>
  </si>
  <si>
    <t>67f56eca575fff8fe23c7ae7</t>
  </si>
  <si>
    <t>67f56eca575fff8fe23c7ae8</t>
  </si>
  <si>
    <t>67f56eca575fff8fe23c7ae9</t>
  </si>
  <si>
    <t>67f56eca575fff8fe23c7aea</t>
  </si>
  <si>
    <t>67f56eca575fff8fe23c7aeb</t>
  </si>
  <si>
    <t>67f56eca575fff8fe23c7aec</t>
  </si>
  <si>
    <t>67f56eca575fff8fe23c7aed</t>
  </si>
  <si>
    <t>67f56eca575fff8fe23c7aee</t>
  </si>
  <si>
    <t>67f56eca575fff8fe23c7aef</t>
  </si>
  <si>
    <t>67f56eca575fff8fe23c7af0</t>
  </si>
  <si>
    <t>67f56eca575fff8fe23c7af1</t>
  </si>
  <si>
    <t>67f56eca575fff8fe23c7af2</t>
  </si>
  <si>
    <t>67f56eca575fff8fe23c7af3</t>
  </si>
  <si>
    <t>67f56eca575fff8fe23c7af4</t>
  </si>
  <si>
    <t>67f56eca575fff8fe23c7af5</t>
  </si>
  <si>
    <t>67f56eca575fff8fe23c7af6</t>
  </si>
  <si>
    <t>67f56eca575fff8fe23c7af7</t>
  </si>
  <si>
    <t>67f56eca575fff8fe23c7af8</t>
  </si>
  <si>
    <t>67f56eca575fff8fe23c7af9</t>
  </si>
  <si>
    <t>67f56eca575fff8fe23c7afa</t>
  </si>
  <si>
    <t>67f56eca575fff8fe23c7afb</t>
  </si>
  <si>
    <t>67f56eca575fff8fe23c7afc</t>
  </si>
  <si>
    <t>67f56eca575fff8fe23c7afd</t>
  </si>
  <si>
    <t>67f56eca575fff8fe23c7afe</t>
  </si>
  <si>
    <t>67f56eca575fff8fe23c7aff</t>
  </si>
  <si>
    <t>67f56eca575fff8fe23c7b00</t>
  </si>
  <si>
    <t>67f56eca575fff8fe23c7b01</t>
  </si>
  <si>
    <t>67f56eca575fff8fe23c7b02</t>
  </si>
  <si>
    <t>67f56eca575fff8fe23c7b03</t>
  </si>
  <si>
    <t>67f56eca575fff8fe23c7b04</t>
  </si>
  <si>
    <t>67f56eca575fff8fe23c7b05</t>
  </si>
  <si>
    <t>67f56eca575fff8fe23c7b06</t>
  </si>
  <si>
    <t>67f56eca575fff8fe23c7b07</t>
  </si>
  <si>
    <t>67f56eca575fff8fe23c7b08</t>
  </si>
  <si>
    <t>67f56eca575fff8fe23c7b09</t>
  </si>
  <si>
    <t>67f56eca575fff8fe23c7b0a</t>
  </si>
  <si>
    <t>67f56eca575fff8fe23c7b0b</t>
  </si>
  <si>
    <t>clientId</t>
  </si>
  <si>
    <t>pai</t>
  </si>
  <si>
    <t>ship</t>
  </si>
  <si>
    <t>rec</t>
  </si>
  <si>
    <t>true</t>
  </si>
  <si>
    <t>false</t>
  </si>
  <si>
    <t>ord</t>
  </si>
  <si>
    <t>Дюбель 41</t>
  </si>
  <si>
    <t>Дюбель 44</t>
  </si>
  <si>
    <t>Площадка для хомутов</t>
  </si>
  <si>
    <t>Сумка электрика</t>
  </si>
  <si>
    <t>Обжимной инструмент</t>
  </si>
  <si>
    <t>Елена жена Александра</t>
  </si>
  <si>
    <t>+79497216198</t>
  </si>
  <si>
    <t>Металлургов, 175 Парикмахерская Максим</t>
  </si>
  <si>
    <t>47.1250, 37.5644</t>
  </si>
  <si>
    <t>Автотестер автомобильный</t>
  </si>
  <si>
    <t>Указатель напряжения</t>
  </si>
  <si>
    <t>6149960147</t>
  </si>
  <si>
    <t>Сарафан</t>
  </si>
  <si>
    <t>Раствор для контактных линз</t>
  </si>
  <si>
    <t>Джинсы</t>
  </si>
  <si>
    <t>10104342752</t>
  </si>
  <si>
    <t>+79495524078</t>
  </si>
  <si>
    <t>Елена Ленина 87</t>
  </si>
  <si>
    <t>Ленина 87</t>
  </si>
  <si>
    <t>47.0980, 37.5374</t>
  </si>
  <si>
    <t>+79493850065</t>
  </si>
  <si>
    <t>Любовь 17</t>
  </si>
  <si>
    <t>47.1143, 37.5157</t>
  </si>
  <si>
    <t>Рынок Юмовила</t>
  </si>
  <si>
    <t>Сын Надежды</t>
  </si>
  <si>
    <t>Краснофлотская 165</t>
  </si>
  <si>
    <t>47.0904, 37.4974</t>
  </si>
  <si>
    <t>+79495996151</t>
  </si>
  <si>
    <t>Топливо для зажигалок</t>
  </si>
  <si>
    <t>Переходник для заправки зажигалок</t>
  </si>
  <si>
    <t>+79495600470</t>
  </si>
  <si>
    <t>Нахимова 168</t>
  </si>
  <si>
    <t>47.0884, 37.5258</t>
  </si>
  <si>
    <t>Педикюр-желе для ног</t>
  </si>
  <si>
    <t>Набор тату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</si>
</sst>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;[Red]\-0\ "/>
    <numFmt numFmtId="165" formatCode="#,##0_ ;[Red]\-#,##0\ "/>
    <numFmt numFmtId="166" formatCode="[$-F400]h:mm:ss\ AM/PM"/>
    <numFmt numFmtId="167" formatCode="yyyy\-mm\-dd"/>
  </numFmts>
  <fonts count="19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11"/>
      <name val="Arial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u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EA6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4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08">
    <xf numFmtId="0" fontId="0" fillId="0" borderId="0" xfId="0"/>
    <xf numFmtId="14" fontId="0" fillId="0" borderId="0" xfId="0" applyNumberFormat="1"/>
    <xf numFmtId="0" fontId="6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2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49" fontId="3" fillId="0" borderId="0" xfId="0" applyNumberFormat="1" applyFont="1"/>
    <xf numFmtId="49" fontId="2" fillId="0" borderId="0" xfId="0" applyNumberFormat="1" applyFont="1"/>
    <xf numFmtId="0" fontId="8" fillId="0" borderId="0" xfId="0" applyFont="1"/>
    <xf numFmtId="0" fontId="0" fillId="0" borderId="0" xfId="0" applyAlignment="1">
      <alignment horizontal="left"/>
    </xf>
    <xf numFmtId="0" fontId="6" fillId="0" borderId="0" xfId="2" applyFont="1" applyFill="1"/>
    <xf numFmtId="0" fontId="2" fillId="0" borderId="4" xfId="0" applyFont="1" applyBorder="1"/>
    <xf numFmtId="3" fontId="0" fillId="0" borderId="0" xfId="0" applyNumberFormat="1"/>
    <xf numFmtId="49" fontId="1" fillId="0" borderId="0" xfId="2" applyNumberFormat="1" applyFill="1" applyAlignment="1"/>
    <xf numFmtId="165" fontId="0" fillId="0" borderId="0" xfId="0" applyNumberFormat="1"/>
    <xf numFmtId="49" fontId="0" fillId="0" borderId="0" xfId="0" applyNumberFormat="1"/>
    <xf numFmtId="0" fontId="0" fillId="3" borderId="0" xfId="0" applyFill="1"/>
    <xf numFmtId="0" fontId="0" fillId="0" borderId="0" xfId="0" applyFill="1"/>
    <xf numFmtId="0" fontId="2" fillId="0" borderId="0" xfId="0" applyFont="1" applyFill="1" applyAlignment="1"/>
    <xf numFmtId="49" fontId="2" fillId="0" borderId="0" xfId="0" applyNumberFormat="1" applyFont="1" applyFill="1" applyAlignment="1"/>
    <xf numFmtId="0" fontId="2" fillId="0" borderId="0" xfId="0" applyFont="1" applyFill="1" applyAlignment="1">
      <alignment horizontal="right"/>
    </xf>
    <xf numFmtId="1" fontId="0" fillId="0" borderId="0" xfId="0" applyNumberFormat="1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49" fontId="0" fillId="0" borderId="0" xfId="0" applyNumberFormat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49" fontId="0" fillId="2" borderId="0" xfId="0" applyNumberFormat="1" applyFill="1" applyAlignment="1" applyProtection="1">
      <alignment horizontal="center"/>
      <protection locked="0"/>
    </xf>
    <xf numFmtId="14" fontId="0" fillId="2" borderId="0" xfId="0" applyNumberFormat="1" applyFill="1" applyAlignment="1" applyProtection="1">
      <alignment horizontal="center"/>
      <protection locked="0"/>
    </xf>
    <xf numFmtId="0" fontId="1" fillId="0" borderId="0" xfId="2" applyProtection="1">
      <protection locked="0"/>
    </xf>
    <xf numFmtId="49" fontId="1" fillId="0" borderId="0" xfId="2" applyNumberFormat="1" applyProtection="1">
      <protection locked="0"/>
    </xf>
    <xf numFmtId="14" fontId="0" fillId="0" borderId="0" xfId="0" applyNumberFormat="1" applyProtection="1">
      <protection locked="0"/>
    </xf>
    <xf numFmtId="0" fontId="1" fillId="0" borderId="0" xfId="2" applyProtection="1">
      <protection locked="0"/>
    </xf>
    <xf numFmtId="49" fontId="1" fillId="0" borderId="0" xfId="2" applyNumberFormat="1" applyProtection="1">
      <protection locked="0"/>
    </xf>
    <xf numFmtId="0" fontId="1" fillId="0" borderId="0" xfId="2" applyFill="1" applyProtection="1">
      <protection locked="0"/>
    </xf>
    <xf numFmtId="0" fontId="0" fillId="4" borderId="0" xfId="0" applyFill="1" applyProtection="1">
      <protection locked="0"/>
    </xf>
    <xf numFmtId="0" fontId="0" fillId="5" borderId="0" xfId="0" applyFill="1" applyProtection="1">
      <protection locked="0"/>
    </xf>
    <xf numFmtId="0" fontId="0" fillId="6" borderId="0" xfId="0" applyFill="1" applyProtection="1">
      <protection locked="0"/>
    </xf>
    <xf numFmtId="49" fontId="0" fillId="0" borderId="0" xfId="0" applyNumberFormat="1" applyFont="1" applyProtection="1">
      <protection locked="0"/>
    </xf>
    <xf numFmtId="0" fontId="0" fillId="0" borderId="0" xfId="0" applyFill="1" applyProtection="1">
      <protection locked="0"/>
    </xf>
    <xf numFmtId="49" fontId="0" fillId="5" borderId="0" xfId="0" applyNumberFormat="1" applyFill="1" applyProtection="1">
      <protection locked="0"/>
    </xf>
    <xf numFmtId="49" fontId="0" fillId="0" borderId="0" xfId="0" applyNumberFormat="1" applyFill="1" applyProtection="1">
      <protection locked="0"/>
    </xf>
    <xf numFmtId="49" fontId="0" fillId="7" borderId="0" xfId="0" applyNumberFormat="1" applyFill="1" applyProtection="1">
      <protection locked="0"/>
    </xf>
    <xf numFmtId="49" fontId="6" fillId="0" borderId="0" xfId="0" applyNumberFormat="1" applyFont="1" applyFill="1" applyProtection="1">
      <protection locked="0"/>
    </xf>
    <xf numFmtId="49" fontId="6" fillId="0" borderId="0" xfId="0" applyNumberFormat="1" applyFont="1" applyProtection="1">
      <protection locked="0"/>
    </xf>
    <xf numFmtId="0" fontId="13" fillId="5" borderId="0" xfId="2" applyFont="1" applyFill="1" applyProtection="1">
      <protection locked="0"/>
    </xf>
    <xf numFmtId="0" fontId="13" fillId="0" borderId="0" xfId="2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0" fontId="6" fillId="0" borderId="0" xfId="0" applyFont="1" applyProtection="1">
      <protection locked="0"/>
    </xf>
    <xf numFmtId="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11" fillId="5" borderId="0" xfId="0" applyFont="1" applyFill="1" applyProtection="1">
      <protection locked="0"/>
    </xf>
    <xf numFmtId="3" fontId="7" fillId="0" borderId="0" xfId="0" applyNumberFormat="1" applyFont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3" fontId="0" fillId="0" borderId="0" xfId="0" applyNumberFormat="1" applyProtection="1">
      <protection locked="0"/>
    </xf>
    <xf numFmtId="3" fontId="8" fillId="0" borderId="0" xfId="0" applyNumberFormat="1" applyFont="1" applyProtection="1">
      <protection locked="0"/>
    </xf>
    <xf numFmtId="0" fontId="8" fillId="0" borderId="0" xfId="0" applyFont="1" applyProtection="1">
      <protection locked="0"/>
    </xf>
    <xf numFmtId="3" fontId="0" fillId="2" borderId="0" xfId="0" applyNumberFormat="1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164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4" fontId="0" fillId="0" borderId="0" xfId="0" applyNumberForma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14" fontId="12" fillId="0" borderId="0" xfId="0" applyNumberFormat="1" applyFont="1" applyProtection="1">
      <protection locked="0"/>
    </xf>
    <xf numFmtId="0" fontId="1" fillId="0" borderId="0" xfId="2" applyFill="1"/>
    <xf numFmtId="10" fontId="0" fillId="0" borderId="0" xfId="0" applyNumberFormat="1" applyProtection="1">
      <protection locked="0"/>
    </xf>
    <xf numFmtId="0" fontId="7" fillId="0" borderId="0" xfId="0" applyFont="1"/>
    <xf numFmtId="10" fontId="0" fillId="0" borderId="0" xfId="0" applyNumberFormat="1"/>
    <xf numFmtId="10" fontId="0" fillId="0" borderId="0" xfId="1" applyNumberFormat="1" applyFont="1"/>
    <xf numFmtId="0" fontId="0" fillId="3" borderId="0" xfId="0" applyFill="1" applyProtection="1">
      <protection locked="0"/>
    </xf>
    <xf numFmtId="0" fontId="15" fillId="0" borderId="0" xfId="0" applyFont="1"/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9" fontId="0" fillId="8" borderId="0" xfId="0" applyNumberFormat="1" applyFill="1" applyProtection="1">
      <protection locked="0"/>
    </xf>
    <xf numFmtId="14" fontId="0" fillId="5" borderId="0" xfId="0" applyNumberFormat="1" applyFill="1" applyProtection="1">
      <protection locked="0"/>
    </xf>
    <xf numFmtId="17" fontId="0" fillId="0" borderId="0" xfId="0" applyNumberFormat="1"/>
    <xf numFmtId="20" fontId="0" fillId="0" borderId="0" xfId="0" applyNumberFormat="1"/>
    <xf numFmtId="0" fontId="15" fillId="0" borderId="0" xfId="0" applyFont="1" applyFill="1" applyAlignment="1"/>
    <xf numFmtId="0" fontId="16" fillId="0" borderId="1" xfId="2" applyFont="1" applyBorder="1"/>
    <xf numFmtId="0" fontId="16" fillId="0" borderId="0" xfId="2" applyFont="1" applyFill="1" applyBorder="1" applyAlignment="1"/>
    <xf numFmtId="49" fontId="0" fillId="0" borderId="0" xfId="0" applyNumberFormat="1" applyAlignment="1" applyProtection="1">
      <alignment wrapText="1"/>
      <protection locked="0"/>
    </xf>
    <xf numFmtId="0" fontId="1" fillId="0" borderId="0" xfId="2" applyProtection="1">
      <protection locked="0"/>
    </xf>
    <xf numFmtId="0" fontId="4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2" applyFill="1"/>
    <xf numFmtId="0" fontId="6" fillId="0" borderId="0" xfId="0" applyFont="1" applyFill="1"/>
    <xf numFmtId="0" fontId="6" fillId="0" borderId="0" xfId="0" applyFont="1" applyFill="1" applyProtection="1">
      <protection locked="0"/>
    </xf>
    <xf numFmtId="0" fontId="1" fillId="0" borderId="0" xfId="3" applyProtection="1">
      <protection locked="0"/>
    </xf>
    <xf numFmtId="20" fontId="6" fillId="0" borderId="0" xfId="0" applyNumberFormat="1" applyFont="1"/>
    <xf numFmtId="0" fontId="0" fillId="0" borderId="0" xfId="0" applyNumberFormat="1"/>
    <xf numFmtId="0" fontId="0" fillId="0" borderId="0" xfId="0" applyNumberFormat="1" applyProtection="1">
      <protection locked="0"/>
    </xf>
    <xf numFmtId="0" fontId="12" fillId="0" borderId="0" xfId="0" applyFont="1" applyProtection="1">
      <protection locked="0"/>
    </xf>
    <xf numFmtId="166" fontId="0" fillId="0" borderId="0" xfId="0" applyNumberFormat="1"/>
    <xf numFmtId="0" fontId="12" fillId="0" borderId="0" xfId="0" applyNumberFormat="1" applyFont="1" applyProtection="1">
      <protection locked="0"/>
    </xf>
    <xf numFmtId="20" fontId="0" fillId="0" borderId="0" xfId="0" applyNumberFormat="1" applyAlignment="1">
      <alignment horizontal="left"/>
    </xf>
    <xf numFmtId="0" fontId="2" fillId="0" borderId="1" xfId="2" applyFont="1" applyFill="1" applyBorder="1" applyAlignment="1"/>
    <xf numFmtId="0" fontId="2" fillId="0" borderId="0" xfId="2" applyFont="1" applyFill="1" applyBorder="1" applyAlignment="1"/>
    <xf numFmtId="0" fontId="4" fillId="2" borderId="5" xfId="0" applyFont="1" applyFill="1" applyBorder="1" applyAlignment="1">
      <alignment horizontal="center"/>
    </xf>
    <xf numFmtId="0" fontId="15" fillId="0" borderId="0" xfId="0" applyNumberFormat="1" applyFont="1" applyFill="1" applyAlignment="1"/>
    <xf numFmtId="167" fontId="0" fillId="2" borderId="0" xfId="0" applyNumberFormat="1" applyFill="1"/>
    <xf numFmtId="167" fontId="0" fillId="0" borderId="0" xfId="0" applyNumberFormat="1"/>
    <xf numFmtId="22" fontId="0" fillId="0" borderId="0" xfId="0" applyNumberFormat="1"/>
  </cellXfs>
  <cellStyles count="4">
    <cellStyle name="Hyperlink" xfId="2" xr:uid="{00000000-000B-0000-0000-000008000000}"/>
    <cellStyle name="Гиперссылка" xfId="3" builtinId="8"/>
    <cellStyle name="Обычный" xfId="0" builtinId="0"/>
    <cellStyle name="Процентный" xfId="1" builtinId="5"/>
  </cellStyles>
  <dxfs count="63"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protection locked="0" hidden="0"/>
    </dxf>
    <dxf>
      <numFmt numFmtId="164" formatCode="0_ ;[Red]\-0\ "/>
      <protection locked="0" hidden="0"/>
    </dxf>
    <dxf>
      <numFmt numFmtId="3" formatCode="#,##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30" formatCode="@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fill>
        <patternFill patternType="solid">
          <bgColor rgb="FF00EA6A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numFmt numFmtId="165" formatCode="#,##0_ ;[Red]\-#,##0\ "/>
    </dxf>
    <dxf>
      <numFmt numFmtId="165" formatCode="#,##0_ ;[Red]\-#,##0\ "/>
    </dxf>
    <dxf>
      <numFmt numFmtId="165" formatCode="#,##0_ ;[Red]\-#,##0\ "/>
    </dxf>
    <dxf>
      <numFmt numFmtId="165" formatCode="#,##0_ ;[Red]\-#,##0\ "/>
    </dxf>
    <dxf>
      <numFmt numFmtId="167" formatCode="yyyy\-mm\-dd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numFmt numFmtId="164" formatCode="0_ ;[Red]\-0\ "/>
      <protection locked="0" hidden="0"/>
    </dxf>
    <dxf>
      <numFmt numFmtId="3" formatCode="#,##0"/>
      <protection locked="0" hidden="0"/>
    </dxf>
    <dxf>
      <numFmt numFmtId="0" formatCode="General"/>
    </dxf>
    <dxf>
      <numFmt numFmtId="0" formatCode="General"/>
    </dxf>
    <dxf>
      <numFmt numFmtId="0" formatCode="General"/>
      <protection locked="0" hidden="0"/>
    </dxf>
    <dxf>
      <protection locked="0" hidden="0"/>
    </dxf>
    <dxf>
      <numFmt numFmtId="0" formatCode="General"/>
    </dxf>
    <dxf>
      <numFmt numFmtId="0" formatCode="General"/>
      <protection locked="0" hidden="0"/>
    </dxf>
    <dxf>
      <numFmt numFmtId="0" formatCode="General"/>
      <protection locked="0" hidden="0"/>
    </dxf>
    <dxf>
      <numFmt numFmtId="19" formatCode="dd/mm/yyyy"/>
      <protection locked="0" hidden="0"/>
    </dxf>
    <dxf>
      <numFmt numFmtId="30" formatCode="@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protection locked="0" hidden="0"/>
    </dxf>
    <dxf>
      <numFmt numFmtId="19" formatCode="dd/mm/yyyy"/>
    </dxf>
    <dxf>
      <numFmt numFmtId="0" formatCode="General"/>
    </dxf>
    <dxf>
      <numFmt numFmtId="19" formatCode="dd/mm/yyyy"/>
    </dxf>
    <dxf>
      <protection locked="0" hidden="0"/>
    </dxf>
    <dxf>
      <alignment horizontal="center" vertical="bottom" textRotation="0" wrapText="0" indent="0" justifyLastLine="0" shrinkToFit="0" readingOrder="0"/>
    </dxf>
    <dxf>
      <numFmt numFmtId="165" formatCode="#,##0_ ;[Red]\-#,##0\ "/>
    </dxf>
    <dxf>
      <numFmt numFmtId="165" formatCode="#,##0_ ;[Red]\-#,##0\ "/>
    </dxf>
    <dxf>
      <numFmt numFmtId="165" formatCode="#,##0_ ;[Red]\-#,##0\ "/>
    </dxf>
    <dxf>
      <numFmt numFmtId="165" formatCode="#,##0_ ;[Red]\-#,##0\ "/>
    </dxf>
    <dxf>
      <numFmt numFmtId="0" formatCode="General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204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204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204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charset val="204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charset val="204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charset val="204"/>
        <scheme val="none"/>
      </font>
      <fill>
        <patternFill patternType="solid">
          <fgColor indexed="64"/>
          <bgColor rgb="FFFFFF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EA6A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лексей Шурыгин" refreshedDate="45765.712557407409" createdVersion="7" refreshedVersion="7" minRefreshableVersion="3" recordCount="2157" xr:uid="{D4244E9C-5708-4308-A783-EFFC0AB52624}">
  <cacheSource type="worksheet">
    <worksheetSource name="ТабПозиции"/>
  </cacheSource>
  <cacheFields count="22">
    <cacheField name="orderNum" numFmtId="0">
      <sharedItems containsString="0" containsBlank="1" containsNumber="1" containsInteger="1" minValue="1" maxValue="576"/>
    </cacheField>
    <cacheField name="date" numFmtId="14">
      <sharedItems containsDate="1" containsMixedTypes="1" minDate="2024-03-10T00:00:00" maxDate="2025-12-30T00:00:00"/>
    </cacheField>
    <cacheField name="Месяц" numFmtId="0">
      <sharedItems/>
    </cacheField>
    <cacheField name="client" numFmtId="14">
      <sharedItems count="131">
        <s v="Полинка"/>
        <s v="Руденко Юля"/>
        <s v="маричка"/>
        <s v="Митрофанов Евгений"/>
        <s v="Марк Полинкин"/>
        <s v="петроград"/>
        <s v="Виктор Электростанция"/>
        <s v="ято кен"/>
        <s v="Алена запчасти"/>
        <s v="Александр 3 Металлургов"/>
        <s v="Максим рюкзак"/>
        <s v="Наталья 12"/>
        <s v="виктор"/>
        <s v="григорий(танковый )"/>
        <s v="Пашок"/>
        <s v="Вадим"/>
        <s v="Алексей перфоратор"/>
        <s v="Кристина Босанец"/>
        <s v="Наталья Троицкий"/>
        <s v="Лариса Лавицкого 16"/>
        <s v="Горжовская Ульяна NSP"/>
        <s v="Александр 4"/>
        <s v="Геннадий Генерал"/>
        <s v="Лариса Кирова"/>
        <s v="Галина Агабекова(церковь)"/>
        <s v="Александр 1"/>
        <s v="Максим телевизор"/>
        <s v="Алена Бондаренко"/>
        <s v="Антон Максимовка"/>
        <s v="Константин Маркет"/>
        <s v="Константин Пионерское"/>
        <s v="Галина Шевченко 248"/>
        <s v="Карина Кравченко 17"/>
        <s v="Макс Куприна"/>
        <s v="Елена Ларисына"/>
        <s v="Александр Каскад"/>
        <s v="алекса фиери"/>
        <s v="Антон Кондитерка"/>
        <s v="Людмила Эдельвейс"/>
        <s v="Александр Радин"/>
        <s v="Кристина дет.мир"/>
        <s v="Олег Гагарина 6"/>
        <s v="Инесса"/>
        <s v="Татьяна Олимпийская 65"/>
        <s v="Александра 50 лет СССР"/>
        <s v="Александр 3 База"/>
        <s v="Александр электростанция"/>
        <s v="Юля Ларисына"/>
        <s v="Алена шмалко"/>
        <s v="Дмитрий Виноградная 29"/>
        <s v="Елена гайдар"/>
        <s v="Сергей Кононенко"/>
        <s v="Екатерина Сартана"/>
        <s v="Артем"/>
        <s v="Клиент от Вадима"/>
        <s v="Александра Шлаковый"/>
        <s v="Анатолий Правый"/>
        <s v="Ольга Македоновка"/>
        <s v="Евгений Пономарев"/>
        <s v="Алла Калининград"/>
        <s v="Андрей Бердянское"/>
        <s v="Светлана от Александра"/>
        <s v="Максим МВД"/>
        <s v="Андрей Кулигин"/>
        <s v="Лана"/>
        <s v="Диана"/>
        <s v="Аннет"/>
        <s v="АлисаСофия"/>
        <s v="Владимир Зайцев"/>
        <s v="Серг"/>
        <s v="Евгений Васильев"/>
        <s v="Данил Шевченко"/>
        <s v="Аюр Гармаев Мирный"/>
        <s v="Михаил Куприна"/>
        <s v="Анна Лавицкого"/>
        <s v="Даня Краснофлотская"/>
        <s v="Кирилл Куприна"/>
        <s v="Алена Зелинского"/>
        <s v="Соколовский Е. И."/>
        <s v="Наталья Лунина 13"/>
        <s v="Алина Азовстальская"/>
        <s v="Александр экскаваторщик"/>
        <s v="Кирил Креатин"/>
        <s v="Елена от Светланы"/>
        <s v="Оля Пашина сестра"/>
        <s v="Валентина от Светланы"/>
        <s v="Елена сахар"/>
        <s v="Алексей Бамси"/>
        <s v="Лидия Цысь"/>
        <s v="Лакарова Татьяна"/>
        <s v="Юрий от Вадима"/>
        <s v="Дарья Урицкого"/>
        <s v="Дронго"/>
        <s v="Славик Чунихин"/>
        <s v="Ольга Родион 17"/>
        <s v="SR"/>
        <s v="Оксана Максима Рюкзак"/>
        <s v="Косарева Елена"/>
        <s v="Коля Чунихин"/>
        <s v="Роман Свиридов"/>
        <s v="Оксана Моцная"/>
        <s v="Антон Старокрымский"/>
        <s v="Вита Строителей"/>
        <s v="Ярослав Еременко"/>
        <s v="Вячеслав Протонов"/>
        <s v="Родион"/>
        <s v="Сергей Гуржи"/>
        <s v="Ренат Строителей 145"/>
        <s v="Аленка 3"/>
        <s v="Олег Федоров"/>
        <s v="Олег Задорожный"/>
        <s v="Лилия Полонская"/>
        <s v="Михаил Строителей 145"/>
        <s v="ИнДоб"/>
        <s v="Юлина Мама"/>
        <s v="Макс Шаповалов"/>
        <s v="Виталик Металлургов 235"/>
        <s v="Игорь Рельефная"/>
        <s v="Константин от Наталья"/>
        <s v="Мальвина Оглу"/>
        <s v="Леонид Камелия"/>
        <s v="Роман Куприна"/>
        <s v="Владимир Миленко"/>
        <s v="Юля Шевченко 305"/>
        <s v="Андрей BAB"/>
        <s v="Артем 9 Авиадивизии"/>
        <s v="Елена жена Александра"/>
        <s v=""/>
        <s v="Лена Чунихина" u="1"/>
        <s v="Игорь" u="1"/>
        <s v="Валентин Елена" u="1"/>
      </sharedItems>
    </cacheField>
    <cacheField name="item" numFmtId="0">
      <sharedItems containsBlank="1" count="1507">
        <s v="Туфли"/>
        <s v="Сумка"/>
        <s v="Носки"/>
        <s v="Книга"/>
        <s v="Конфеты Мишка"/>
        <s v="Помада губная"/>
        <s v="Помада для бровей"/>
        <s v="Дешеддер"/>
        <s v="Расческа, триммер"/>
        <s v="Кора из сосны"/>
        <s v="Триферн"/>
        <s v="Горшки для цветов"/>
        <s v="Нитковдеватель"/>
        <s v="Маска для сужения"/>
        <s v="Горшки для орхидей"/>
        <s v="Тестер блок автомобиля"/>
        <s v="Набор измер. Инструментов"/>
        <s v="Мини платье"/>
        <s v="Из за рубежа"/>
        <s v="Протеин Maxler"/>
        <s v="Кольцо"/>
        <s v="Книга Том 2"/>
        <s v="Скульптор стик для лица"/>
        <s v="Книга Мартин Иден"/>
        <s v="Стикеры закладки"/>
        <s v="Маркеры"/>
        <s v="Набор Мармеладские игры"/>
        <s v="Кислородный очиститель"/>
        <s v="Книга Цветы для Элджернона"/>
        <s v="Наушники"/>
        <s v="Накладка консоли Mercedes"/>
        <s v="Тиски"/>
        <s v="Телефон Samsung"/>
        <s v="Чехол"/>
        <s v="Подсумок"/>
        <s v="Прикормка для рыбалки"/>
        <s v="Подсак для рыбалки"/>
        <s v="Катушка для рыбалки"/>
        <s v="Прикормка для рыбалки Dunaev"/>
        <s v="Рюкзак"/>
        <s v="Прикормка чеснок"/>
        <s v="Пижама"/>
        <s v="Контейнер для еды"/>
        <s v="Discreet 100шт"/>
        <s v="Туалетный блок с хлор"/>
        <s v="Discreet 54шт"/>
        <s v="Туалетный блок цветочный"/>
        <s v="Крепление для телека"/>
        <s v="Экзаменационные билеты"/>
        <s v="Коврик для мыши"/>
        <s v="Снеки"/>
        <s v="Кокосовая сгущенка"/>
        <s v="Соевое Мясо"/>
        <s v="Арахисовая паста"/>
        <s v="Бобы Соевые"/>
        <s v="Чехол противоударный"/>
        <s v="Фен строительный"/>
        <s v="Кеды"/>
        <s v="Монитор"/>
        <s v="Трамблер"/>
        <s v="Котелок ВДВ"/>
        <s v="Зубная щетка"/>
        <s v="Ершики межзубные"/>
        <s v="Книга Шах и мат"/>
        <s v="Папка планшет А5"/>
        <s v="Планшет с зажимом А4"/>
        <s v="Набор маркеров 8 шт"/>
        <s v="Магнитный держатель"/>
        <s v="Книга Триумфальная арка"/>
        <s v="Книга Грозовой перевал"/>
        <s v="Тинт для губ корейский матовый"/>
        <s v="Картина по номерам на холсте "/>
        <s v="Подставка магнитная для маркеров"/>
        <s v="По штрихкоду"/>
        <s v="Посылка СДЭК кофемашина"/>
        <s v="Чайник электрический"/>
        <s v="Заказ"/>
        <s v="Картриджи Venus"/>
        <s v="Кабель питания"/>
        <s v="Клемма магнитная"/>
        <s v="Стеллаж для туалета"/>
        <s v="Гель для стирки"/>
        <s v="Чеснокодавка"/>
        <s v="Холофайбер"/>
        <s v="Пряжа зеленый"/>
        <s v="Пряжа бирюзовый"/>
        <s v="Пряжа фиолетовый"/>
        <s v="Форма для пельменей"/>
        <s v="Капучинатор для молока"/>
        <s v="Пакеты для хранения"/>
        <s v="Корректор для ног"/>
        <s v="Книга Мышонок Тим"/>
        <s v="Шарф палатнин синий"/>
        <s v="Шарф красный"/>
        <s v="Свитер оверсайз"/>
        <s v="Сок лопуха"/>
        <s v="Журнал Шишкин лес"/>
        <s v="Планшет для рисования"/>
        <s v="Книга Кротик"/>
        <s v="Платок палантин"/>
        <s v="Книга Простые чудеса"/>
        <s v="Книга Шел к богу человек"/>
        <s v="Мука льняная"/>
        <s v="Настойка чистотела"/>
        <s v="Футболка PANIN"/>
        <s v="Футболка PANIN черная"/>
        <s v="Футболка черная принт хлопок"/>
        <s v="Наклейки на окна"/>
        <s v="Наклейки на окна двухсторонние"/>
        <s v="Сима Ленд Наклейки"/>
        <s v="Диффузор для дома"/>
        <s v="Ароматизатор для дома"/>
        <s v="Искусственное растение, дерево"/>
        <s v="Тапочки салатовый"/>
        <s v="Тапочки домашние"/>
        <s v="Гидрофильное масло"/>
        <s v="Плюшевая пряжа"/>
        <s v="Пряжа для вязания"/>
        <s v="Ершик для унитаза"/>
        <s v="Фольга пищевая"/>
        <s v="Перчатки  нитриловые"/>
        <s v="Чистящее средство"/>
        <s v="Шумовка паутинка"/>
        <s v="Мягкая игрушка Гусь"/>
        <s v="Глазки для игрушек"/>
        <s v="Глазки черные для игрушек"/>
        <s v="Блок предохранителей"/>
        <s v="Дорожка ковровая"/>
        <s v="Турецкий ковер"/>
        <s v="Катушка"/>
        <s v="Спининг"/>
        <s v="Планшет зел, красн"/>
        <s v="Кротик, мягкая игрушка"/>
        <s v="Тостер"/>
        <s v="Набор резинок для волос"/>
        <s v="Стразы для волос"/>
        <s v="Магнитная щетка для окон"/>
        <s v="Кран для кухни"/>
        <s v="Полка для ванной"/>
        <s v="Пакеты фасовочные"/>
        <s v="Пакет майка"/>
        <s v="Кондитерский мешок"/>
        <s v="Шпатель скребок кондитерский"/>
        <s v="Садок для рыбы"/>
        <s v="Патчи против морщин"/>
        <s v="Книга Кусочек праздника в кармане"/>
        <s v="Танаксол форте"/>
        <s v="Яйца фаберже матрешка"/>
        <s v="Книга Кротик и штанишки"/>
        <s v="Книга Кротик и зонтик"/>
        <s v="Набор инструментов"/>
        <s v="Коврик для йоги"/>
        <s v="Планшет"/>
        <s v="Средство антиплесень"/>
        <s v="Обои"/>
        <s v="Сироп солёная карамель"/>
        <s v="Набор для плетения сумки"/>
        <s v="Глазки с искоркой"/>
        <s v="Набор Пряж велюр 3шт"/>
        <s v="Пряжа"/>
        <s v="Набор Пряж Чернава 2шт"/>
        <s v="Поилка для собак"/>
        <s v="Набор кастрюль"/>
        <s v="Штора"/>
        <s v="Тюль"/>
        <s v="Комбинезон для собак"/>
        <s v="Бумага туалетная"/>
        <s v="Джойстик регулировки зеркал"/>
        <s v="Пряжа Пехорка Детская 4шт"/>
        <s v="Носики розовые"/>
        <s v="Носики черные"/>
        <s v="Набор Майка спортивная 3шт"/>
        <s v="Помада для губ"/>
        <s v="Карта памяти 64"/>
        <s v="Джинсы корсет 30 размер"/>
        <s v="Подвеска Лунница Лады"/>
        <s v="Набор отверток 6шт"/>
        <s v="Гель для ресниц"/>
        <s v="Паяльная станция"/>
        <s v="Lady's formula Для волос"/>
        <s v="Вафельница"/>
        <s v="Масло персика"/>
        <s v="Чехол iPhone зеленый"/>
        <s v="Чехол iPhone Серый"/>
        <s v="Лак для ногтей"/>
        <s v="Крем тональный телесный"/>
        <s v="Крем тональный светлобежевый"/>
        <s v="Пудра фиксирующая"/>
        <s v="Матирующая пудра"/>
        <s v="Крабики заколка металл"/>
        <s v="Крабики заколка маленький"/>
        <s v="Парад штор Блэкаут"/>
        <s v="Ошейник светящийся"/>
        <s v="Сумка для тележки"/>
        <s v="Сумка для тележки синяя"/>
        <s v="Калькулятор"/>
        <s v="Пряжа Пехорка Детская 5шт"/>
        <s v="Пряжа детская ЯрнАрт 5шт"/>
        <s v="Тостер 650вт"/>
        <s v="Пряжа Пехорка цвет 166"/>
        <s v="Беспроводные наушники"/>
        <s v="Браслет цепочка"/>
        <s v="Стилус активный"/>
        <s v="Наушники беспроводные"/>
        <s v="Водолазка красная"/>
        <s v="Водолазка черная"/>
        <s v="Тапочки массажные"/>
        <s v="Ежедневник датированный"/>
        <s v="Картхолдер"/>
        <s v="Губка массажная для ванной"/>
        <s v="Заколка для волос"/>
        <s v="Наклейки длля ногтей"/>
        <s v="Брелок клевер"/>
        <s v="Жалюзи самоклеющиеся"/>
        <s v="Чеснок сушеный"/>
        <s v="Открывалка для банок и бутылок"/>
        <s v="Кюретка двухсторонняя"/>
        <s v="Шлейка для собак"/>
        <s v="Ультразвуковой отпугиватель"/>
        <s v="Набор сиропов Barinoff"/>
        <s v="Леска рыболовная"/>
        <s v="Крысоловка"/>
        <s v="Плата для стиральных машин"/>
        <s v="Замок люка"/>
        <s v="Прессостат"/>
        <s v="Плата управления"/>
        <s v="Тройник"/>
        <s v="Полотенце вафельное"/>
        <s v="Крючки слесарные"/>
        <s v="Термоусадка"/>
        <s v="Кабель для подключения"/>
        <s v="Тестер автомобильных реле"/>
        <s v="Лазерный уровень"/>
        <s v="Книга запретная гробница"/>
        <s v="Книга первому игроку приготовиться"/>
        <s v="Книга царство греха"/>
        <s v="Зонт прозрачный детский"/>
        <s v="Платье трикотажное красное"/>
        <s v="Платье трикотажное с лимонами"/>
        <s v="Набо футболок с принтом 5шт"/>
        <s v="Пижамы, одежда для дома"/>
        <s v="Сетка москитная"/>
        <s v="Москитная лента"/>
        <s v="Шапочка для душа"/>
        <s v="Наклейка интерьерная"/>
        <s v="Блок для туалета"/>
        <s v="Панели самоклеющиеся"/>
        <s v="Бальзам живокост"/>
        <s v="Миксер кухонный"/>
        <s v="Очки для зрения 1,75"/>
        <s v="Набор цветных карандашей"/>
        <s v="Набор для создания украшений"/>
        <s v="Планшет Teclast T50"/>
        <s v="Чехол для Teclast T50 отмена"/>
        <s v="Чехол для Teclast T50"/>
        <s v="Клей прозрачный"/>
        <s v="Стержни для клеевого пистолета"/>
        <s v="Посылка"/>
        <s v="Посылка СДЭК"/>
        <s v="Набор шестигранников"/>
        <s v="Морской коллаген"/>
        <s v="Пластырь для похудения"/>
        <s v="Масло оливковое"/>
        <s v="Набо шампунь + маска"/>
        <s v="Набор для распиновки"/>
        <s v="Зеркало смотровое телескопическое"/>
        <s v="Набо щеток мини"/>
        <s v="Держатель для инструмента"/>
        <s v="Сироп Груша"/>
        <s v="Сироп соленая карамель для кофе"/>
        <s v="Жидкий ключ"/>
        <s v="Пряжа плюшевая"/>
        <s v="Пряжа лавандовый"/>
        <s v="Пряжа плюшевая 2шт"/>
        <s v="Пряжа комплект 5шт"/>
        <s v="Пленка защитная для планшета"/>
        <s v="Кисть для румян"/>
        <s v="Помада стойкая 10 тон"/>
        <s v="Бронзер для лица"/>
        <s v="Косметические повязки"/>
        <s v="Тушь для ресниц"/>
        <s v="Игра настольная библейская"/>
        <s v="Палочки для мороженого"/>
        <s v="Стикеры BQBQERT"/>
        <s v="Есть сила благодатная"/>
        <s v="Книга Детские праздники"/>
        <s v="Книга Солнце улыбается"/>
        <s v="Книга Пасхальные и рождественские песни"/>
        <s v="Книга Рождественские и народные песни"/>
        <s v="Книга Рождество Христово …"/>
        <s v="Набор рождественских звезд"/>
        <s v="Книга Мои милые малыши"/>
        <s v="Книга Познаем и исследуем"/>
        <s v="Книга Учимся вместе с Бимкой"/>
        <s v="Книжка на елочку звездочка …"/>
        <s v="Книжка на елочку Дед Мороз…"/>
        <s v="Книга Время. Времена года"/>
        <s v="Учебник Родная природа"/>
        <s v="Наклейки интерьерные Пасхальная корзина"/>
        <s v="Наклейки на окна Кленовые листья"/>
        <s v="Возврат"/>
        <s v="Карточки мини христианские"/>
        <s v="Стикеры 3D, Наклейки"/>
        <s v="Чехол Huawey P40 Lite"/>
        <s v="Игра Детская спортивная"/>
        <s v="Обложка для паспорта"/>
        <s v="Робот пылесос"/>
        <s v="Браслет из натуральных камней"/>
        <s v="Пастила мята"/>
        <s v="Пастила натуральная ассорти"/>
        <s v="Пастила шариковая"/>
        <s v="Кольцо женское серебро"/>
        <s v="Кольцо с аметистом"/>
        <s v="Ювелирное кольцо женское"/>
        <s v="Сетка москитная на дверь"/>
        <s v="Боди с длинным рукавом"/>
        <s v="Катушка для спининга"/>
        <s v="Спиннинг телескопический"/>
        <s v="Диапроектор звуковой"/>
        <s v="Диафильм Кот в сапогах"/>
        <s v="Диафильм Красная шапочка"/>
        <s v="Диафильм Теремок"/>
        <s v="Диафильм Серая шейка"/>
        <s v="Диафильм Мама для мамонтенка"/>
        <s v="Диафильм Трям! Здравствуйте!"/>
        <s v="Диафильм Колобок, Курочка Ряба"/>
        <s v="Диафильм Зимняя сказка"/>
        <s v="Пазл Котенок по имени ГАВ"/>
        <s v="Куртка Futurino р158"/>
        <s v="Куртка Futurino Cool р158"/>
        <s v="Куртка Futurino р146"/>
        <s v="Ролики детские"/>
        <s v="Кроссовки ролики 35 размер"/>
        <s v="Плюшевая пряжа набор №5"/>
        <s v="Искусственные цветы"/>
        <s v="Кастрюля 6,3л с крышкой"/>
        <s v="Длинная скалка 41 см"/>
        <s v="Пряжа плюшевая 3шт 27 ванильный крем"/>
        <s v="Пряжа плюшевая 3шт 01 белый"/>
        <s v="Отпариватель ручной с дисплеем BAUHAUS"/>
        <s v="Алмазная мозаика"/>
        <s v="Брадсы для скрапбукинга"/>
        <s v="Набор очков"/>
        <s v="Босоножки с завязками"/>
        <s v="Чехол на Xiaomi Redmi 9A"/>
        <s v="Игра поймай мяч 2 ракетки"/>
        <s v="Ингалятор OMRON C21"/>
        <s v="Пастила мята, кофе, корица"/>
        <s v="Кабельный тестер"/>
        <s v="Кабельный наконечник"/>
        <s v="Клещи переставные"/>
        <s v="Букет из мыла"/>
        <s v="Полотенце махровое"/>
        <s v="Статуэтка Ника"/>
        <s v="Столовые приборы"/>
        <s v="Подвеска золото красное"/>
        <s v="Подарочный пакет"/>
        <s v="Шубка-кофта розовый"/>
        <s v="Шубка-кофта молочный"/>
        <s v="Ресницы для игрушек"/>
        <s v="Пряжа тонкая плюшевая 5шт разноцвет"/>
        <s v="Тройник ПНД"/>
        <s v="ПНД заглушка 40"/>
        <s v="Поляризованные очки"/>
        <s v="Набор нот церковных 13шт"/>
        <s v="Наклейки &quot;Золотая осень&quot;"/>
        <s v="Наклейка &quot;Бабочки&quot;"/>
        <s v="Витражная пленка"/>
        <s v="Наклейка статическая тюльпаны"/>
        <s v="Наклейка статическая ромашки"/>
        <s v="Наклейка статическая луговые цветы"/>
        <s v="Наклейка статическая Луговые островки"/>
        <s v="Наклейка статическая Кролики в траве"/>
        <s v="Купальник раздельный р28"/>
        <s v="Букварь 1994г."/>
        <s v="Набор книг 2шт."/>
        <s v="Ксиноксин 15%"/>
        <s v="Ксиноксин 5%"/>
        <s v="Скакалка"/>
        <s v="Глазки для игрушек винтовые"/>
        <s v="Глазки для игрушек блестящие"/>
        <s v="Туалетный утенок"/>
        <s v="Синтепух гиппоалергенный"/>
        <s v="Ложка кулинарная"/>
        <s v="Глазки для игрушек 8мм"/>
        <s v="Бумажные полотенца"/>
        <s v="Гель для душа"/>
        <s v="Чехол Xiaomi Redmi Note 12"/>
        <s v="Чехол силиконовый Infinix Note 30 Pro"/>
        <s v="Спаше ароматическое для белья"/>
        <s v="Духи стойкие Treselle"/>
        <s v="Носки детские"/>
        <s v="Ящик для хранения вещей"/>
        <s v="Тестер утечки в цилиндрах"/>
        <s v="Зонт от солнца"/>
        <s v="Программатор"/>
        <s v="Гантели"/>
        <s v="EVELINE Экспресс удалитель"/>
        <s v="Пилинг носочки"/>
        <s v="Жалюзи самоклеющиеся серая"/>
        <s v="Жалюзи самоклеющиеся белая"/>
        <s v="Вешалка напольная"/>
        <s v="Цветы искусственные декоративные"/>
        <s v="Половник"/>
        <s v="Пряжа детская 02"/>
        <s v="Сахарозаменитель 1200"/>
        <s v="Силиконовая массажная мочалка"/>
        <s v="Носики для игрушек"/>
        <s v="Платье для девочки 104р."/>
        <s v="Набор подарочный для волос"/>
        <s v="Ободок для волос"/>
        <s v="Заколки для волос цветные косички"/>
        <s v="Халат домашний"/>
        <s v="Карандаш для отбеливания зубов 2шт"/>
        <s v="Масло от растяжек"/>
        <s v="Подушка для беременных"/>
        <s v="Блендер поративный"/>
        <s v="Настольный вентилятор"/>
        <s v="Отпариватель ручной для одежды"/>
        <s v="Полотенце кухонное набор 3шт"/>
        <s v="Петли функциональные"/>
        <s v="Конструктор Гарри Потер"/>
        <s v="Зостерин Ультра 60%"/>
        <s v="Хлорофилл тайский порошок"/>
        <s v="Бальзам ополаскиватель"/>
        <s v="Гидролизат плаценты"/>
        <s v="Культиватор ручной"/>
        <s v="Кран стартовый 50шт"/>
        <s v="Муфта соединительная"/>
        <s v="Спрей лента 100м"/>
        <s v="Рукавицы SENI"/>
        <s v="Каша овсяная УВЕЛКА 20шт"/>
        <s v="Крем моющий SENI CARE 3 in 1"/>
        <s v="Коврик для ванной 3D"/>
        <s v="Коврик для ванной массажный"/>
        <s v="Костюм домашний"/>
        <s v="Чехол на диван на резинке"/>
        <s v="Полотенце банное"/>
        <s v="Бриджи домашние"/>
        <s v="Чехол на Xiaomi Redmi 12"/>
        <s v="Кошелек"/>
        <s v="Вал-удлинитель фрезы"/>
        <s v="Антимоскитный костюм"/>
        <s v="Пленка силиконовая на подоконник"/>
        <s v="Карниз телескопический"/>
        <s v="Тканевая штора для ванной"/>
        <s v="Купальник раздельный р64"/>
        <s v="Чехол для дивана"/>
        <s v="Пылесос вертикальный"/>
        <s v="Паста томатная иранская"/>
        <s v="Пряжа 1шт цвет 550 ярко-желтый"/>
        <s v="Процессор Intel Core i5-2400"/>
        <s v="Планшет X-PRIME A73 6/128"/>
        <s v="Игра - магнитные куклы"/>
        <s v="Книга для девочек 500 наклеек"/>
        <s v="Детская косметика набор"/>
        <s v="Ресницы накладные"/>
        <s v="Генератор мыльных пузырей"/>
        <s v="Наволочка 50х70 набор 2шт"/>
        <s v="Подушка бамбук 50х70"/>
        <s v="Раствор для мыль. пузырей 1л"/>
        <s v="Ремешок для часов"/>
        <s v="Чехол для планшета"/>
        <s v="Пленка матовая X-Prime A73"/>
        <s v="Бур садовый"/>
        <s v="Лапа культиватора"/>
        <s v="Пропольник-плоскорез"/>
        <s v="Шлепанцы Forio"/>
        <s v="Шлепанцы Smile"/>
        <s v="Плоскорез садовый"/>
        <s v="Корпус печки Ford mondeo IV"/>
        <s v="Майка для собак"/>
        <s v="Футболка для животных"/>
        <s v="Панама для собак"/>
        <s v="Кеды для собак"/>
        <s v="Жидкое мыло 1л"/>
        <s v="Нитки капроновые"/>
        <s v="Костюм спортивный"/>
        <s v="Шампунь для волос"/>
        <s v="Уничтожитель плесени"/>
        <s v="Шампунь дегтярный"/>
        <s v="Кюретка педикюрная"/>
        <s v="Жиросжигатель"/>
        <s v="Набор воина OZVерин"/>
        <s v="Игрушка интерактивная собака"/>
        <s v="Носик винтовой с заглушкой"/>
        <s v="Глазки для игрушек 16мм"/>
        <s v="Реснички для кукол"/>
        <s v="Калейдоскоп синий"/>
        <s v="Игра магнитная Одевашки Анюта"/>
        <s v="Накладные ресницы"/>
        <s v="Диадема"/>
        <s v="Очки для уточки"/>
        <s v="Пряжа детская ассорти"/>
        <s v="Пряжа плюшевая тонкая №3"/>
        <s v="Холодильник автомобильный"/>
        <s v="Колокольчик рыболовный"/>
        <s v="Жидкость для чистки экранов"/>
        <s v="Псиллиум"/>
        <s v="Бесшумные часы настенные"/>
        <s v="Пластина защитная для техники"/>
        <s v="Мячик масажный с шипами"/>
        <s v="Календарики карманные"/>
        <s v="Щетка для чистки межплиточных швов"/>
        <s v="Пряжа детская 166 суровый"/>
        <s v="Миска для теста"/>
        <s v="Румяна для лица"/>
        <s v="Пряжа для вязания 4шт"/>
        <s v="Набор крючков для вязания"/>
        <s v="Ковер ТамиТафт 1,5х2"/>
        <s v="Чехол для кресла компьютерного"/>
        <s v="Чехол для кресла"/>
        <s v="Защита для катания"/>
        <s v="Сухое молоко"/>
        <s v="Сливки сухие"/>
        <s v="Внешний аккумулятор"/>
        <s v="Powerbank 40000"/>
        <s v="Ноутбук Б/У"/>
        <s v="Хлоровил жидкий с мятой 500"/>
        <s v="Дневник школьный 1-4 класс"/>
        <s v="Нотный сборник Прекрасное далеко"/>
        <s v="Часы настольные электронные"/>
        <s v="Переходник для автосканера"/>
        <s v="Пряжа детская акрил 100%"/>
        <s v="Набор посуды тарелки 3шт"/>
        <s v="Комплект трусов 4шт"/>
        <s v="Средство от клопов"/>
        <s v="Наклейка на холодильник"/>
        <s v="Наклейка на унитаз"/>
        <s v="Ночник Морф Дота 2"/>
        <s v="Скатерть 80*120"/>
        <s v="Станки для бритья"/>
        <s v="Наклейки декоративные"/>
        <s v="Наклейки на стену детские"/>
        <s v="Бкскаркасный диван-кровать"/>
        <s v="Буровая станция"/>
        <s v="Сабо на платформе"/>
        <s v="Туника свободная рубашка"/>
        <s v="Туника больших размеров"/>
        <s v="Бюстгалтер"/>
        <s v="Трусы слипы хлопок"/>
        <s v="Рюкзак школьный"/>
        <s v="Хлорофилл жидкий пищевой"/>
        <s v="Кордицепс мицелий"/>
        <s v="Ежовик гребенчатый мицелий"/>
        <s v="Чехол на кресло"/>
        <s v="Синтепух 1кг"/>
        <s v="Домофон трубка"/>
        <s v="Точилка для ножей"/>
        <s v="Набор колец"/>
        <s v="iPhone X 64Mb"/>
        <s v="Отпариватель ручной"/>
        <s v="Ночник в розетку"/>
        <s v="Элевит витамины для женщин"/>
        <s v="Трусы"/>
        <s v="Шлепки резиновые"/>
        <s v="Детский крем для сосков груди"/>
        <s v="Вкладыши для груди"/>
        <s v="Сиденья для унитаза 30шт"/>
        <s v="Послеродовые прокладки"/>
        <s v="Пенеки детские 10шт"/>
        <s v="Трусы набор 3шт"/>
        <s v="Сорочка для рожениц"/>
        <s v="Бесшовный бюстгалтер"/>
        <s v="Сумка в роддом"/>
        <s v="Соковыжималки для цитрусовых"/>
        <s v="Портативная игровая приставка"/>
        <s v="Штора для ванной"/>
        <s v="Коврик для ванной"/>
        <s v="Карниз для ванной"/>
        <s v="Таганок туристический 5л"/>
        <s v="Потолочный светильник"/>
        <s v="Таблетки для унитаза"/>
        <s v="Держатель для тиуалетной бумаги"/>
        <s v="Чудо трияпуи для уборки"/>
        <s v="Ватные палочки"/>
        <s v="Салфетки влажные"/>
        <s v="Коврик для ванной большой"/>
        <s v="Набор для ванной керамический"/>
        <s v="Пижама Сити Текс"/>
        <s v="Умные весы"/>
        <s v="Сумка женская"/>
        <s v="Ткань для шитья"/>
        <s v="Футболка поло"/>
        <s v="Чехол для iPhone 15 Pro"/>
        <s v="Флешка USB"/>
        <s v="Книга Мы с дедушкой друзья"/>
        <s v="Книга Птичкин Мы живем в гостях…"/>
        <s v="Энциклопедия для маленьких"/>
        <s v="Диск запись"/>
        <s v="Фен щетка для волос с вращением"/>
        <s v="Мыло хозяйственное жидкое"/>
        <s v="Электропривод багажника"/>
        <s v="Пеленки одноразовые"/>
        <s v="Телефон"/>
        <s v="Сушилка напольная"/>
        <s v="Шагомер"/>
        <s v="Брелок"/>
        <s v="Туалетный блок"/>
        <s v="Пряжа детская №8"/>
        <s v="Капсулы для стирки"/>
        <s v="Краска для волос ESTEL"/>
        <s v="Крем обезбаливающий для суставов"/>
        <s v="Дозатор для жидкого мыла"/>
        <s v="Пилки для ногтей"/>
        <s v="Икра лососевая"/>
        <s v="Краска для волос Ollin"/>
        <s v="Лосьон после бритья"/>
        <s v="Комплект нипельного поения для кур"/>
        <s v="Багажник на крышу авто"/>
        <s v="Коробка для вещей"/>
        <s v="Шторы"/>
        <s v="Стеллажные коробки"/>
        <s v="Тюль сетка"/>
        <s v="Ножницы"/>
        <s v="Плед"/>
        <s v="Стол письменный"/>
        <s v="Компрессионные колготки"/>
        <s v="Трусы боксеры"/>
        <s v="Пульт для телевизора"/>
        <s v="Набор гиалуроновый крем"/>
        <s v="Блузка SFO"/>
        <s v="Рубашка Qianzhidu"/>
        <s v="Рубашка FELLA"/>
        <s v="Дождевик детский"/>
        <s v="Набор гель для стирки"/>
        <s v="Органайзер для белья"/>
        <s v="Платье в садик"/>
        <s v="Паста чистящая Pink Clam"/>
        <s v="Наклейки на стену"/>
        <s v="Органайзер для пакетов"/>
        <s v="Наклейка для ногтей осень листья"/>
        <s v="Наклейка для ногтей цветы лето"/>
        <s v="Наклейка для ногтей цветы листья"/>
        <s v="Наклейка для ногтей водные цветы стразы"/>
        <s v="Наклейка для ногтей LAQUE STIKERS"/>
        <s v="Наклейка для ногтей водные цветы лето"/>
        <s v="Фартук для кухни"/>
        <s v="Крючки для штор"/>
        <s v="Обои моющиеся виниловые"/>
        <s v="Термос 2л"/>
        <s v="Сумка мессенджер"/>
        <s v="Чехол для iPhone 11 Pro макс"/>
        <s v="Чехол для iPhone 11 Pro"/>
        <s v="Часы наручные Кварцевые"/>
        <s v="Мочеприемник"/>
        <s v="Фотоальбом"/>
        <s v="Набор книг Учимся читать"/>
        <s v="Букварь и прописи"/>
        <s v="Избранные обработки народных песен"/>
        <s v="Мокасины"/>
        <s v="Жилет"/>
        <s v="Пятновыводитель спрей"/>
        <s v="Резинка для рукоделия"/>
        <s v="Бальзам для волос"/>
        <s v="Крем лечебный заживляющий"/>
        <s v="Напяточники силиконовые"/>
        <s v="Напяточники силиконовые 2шт"/>
        <s v="Мыльница"/>
        <s v="Мыльница керамическая"/>
        <s v="Мыльница для ванной"/>
        <s v="Губки для посуды"/>
        <s v="Терка овощерезка"/>
        <s v="Коврики для холодильника"/>
        <s v="Сковорода антипригарная"/>
        <s v="Парфюмированный гель"/>
        <s v="Терка для ног"/>
        <s v="Шампунь Dove"/>
        <s v="Брюки черные"/>
        <s v="Галстук"/>
        <s v="Подарочный набор"/>
        <s v="Набор серебро 925 серьги"/>
        <s v="Набор подарочный женский"/>
        <s v="Подарок живая роза"/>
        <s v="Домашняя пижама"/>
        <s v="Куртка джинсовая"/>
        <s v="Стол обеденный"/>
        <s v="Стол журнальный"/>
        <s v="Ремкомплект ограничителей"/>
        <s v="Ручка КПП Ford Focus 5 ступ."/>
        <s v="Ручка КПП Mazda BK BL"/>
        <s v="Пряжа сиреневый меланж"/>
        <s v="Ножницы перекусы"/>
        <s v="Постельное белье"/>
        <s v="Нить капроновая"/>
        <s v="Шампунь и гель для волос"/>
        <s v="Переходная рамка Daewoo Matiz"/>
        <s v="Мышь А4 X89"/>
        <s v="Наклейка для ногтей"/>
        <s v="Сумка тактическая"/>
        <s v="Гантели хром 30кг"/>
        <s v="Мяч баскетбольный №6"/>
        <s v="Кольцо баскетбольное 45см"/>
        <s v="Ручки для кондиционера"/>
        <s v="Кожух для Mazda"/>
        <s v="Ручка для Mazda"/>
        <s v="Мультиметр"/>
        <s v="Кабелерез ручной"/>
        <s v="Кондиционер для белья"/>
        <s v="Пакет для хранения продуктов"/>
        <s v="Томатная паста"/>
        <s v="мазь для суставов"/>
        <s v="Очки VR с джойстиком"/>
        <s v="Салфетки влажные Клубника"/>
        <s v="Семена чиа для похудения"/>
        <s v="Закваска для йогурта"/>
        <s v="Шампунь для собак"/>
        <s v="Салфетки для уборки"/>
        <s v="Игрушка утка для собак"/>
        <s v="Мелатонин + Магний"/>
        <s v="Dior Sauvage 100мл"/>
        <s v="Цинк пиколинат"/>
        <s v="Креатин моногидрат"/>
        <s v="Очки для зрения +0,5"/>
        <s v="Очки для зрения +2,5"/>
        <s v="Гель для стирки Персил"/>
        <s v="Нитевдеватель"/>
        <s v="Книга Энциклопедия хорошего поведения"/>
        <s v="Книга Зайчик Сева"/>
        <s v="Книга Энциклопедия Красная Книга"/>
        <s v="Книга Снежная долина"/>
        <s v="Книга Веселый зоопарк"/>
        <s v="Книга Энциклопедия добрых дел"/>
        <s v="Книга Мурзилка"/>
        <s v="Игрушка Олень"/>
        <s v="Прописи многоразовые"/>
        <s v="Погремушка для новорожденных"/>
        <s v="Маркеры для доски"/>
        <s v="Книга Времена года"/>
        <s v="Книга Математика"/>
        <s v="Гинкго Билоба"/>
        <s v="Плеер Азбукварик"/>
        <s v="Книга Хвостатая азбука"/>
        <s v="Книга Арифметика Сложение"/>
        <s v="Книга Арифметика Вычитание"/>
        <s v="Книга Светозарное"/>
        <s v="Фиточай Татарник"/>
        <s v="Книга Английский в картинках"/>
        <s v="Книги картины из пластилинап"/>
        <s v="Книга Посмотри и раскрась"/>
        <s v="Книга Английский для малышей"/>
        <s v="Книга Учим Английский с мамой"/>
        <s v="Книга Котята и кошки"/>
        <s v="Ингалятор портативный"/>
        <s v="Книга Ваша жизнь это моя жизнь"/>
        <s v="Книга От улыбки станет всем светлей"/>
        <s v="Книга Зайчик Сева делится с друзьями"/>
        <s v="Книга Зайчик Сева едет к бабушке"/>
        <s v="Книга Зайчик Сева обиделся"/>
        <s v="Книга Зайчик Сева не любит чистить зубы"/>
        <s v="Лопатка кухонная универсальная"/>
        <s v="Таз складной 5л"/>
        <s v="Часы настенные"/>
        <s v="Ведро мусорное"/>
        <s v="Крючки вешалка 10шт"/>
        <s v="Пижама домашняя"/>
        <s v="Смесь семян для салатов"/>
        <s v="Набор серьги, кольца"/>
        <s v="Органайзер универсальный для косметики"/>
        <s v="Терка для овощей"/>
        <s v="Кошелек для денег"/>
        <s v="Набор полотенец из микрофибры"/>
        <s v="Маски для лица тканевые"/>
        <s v="Набор полотенец вафельных"/>
        <s v="Полка подвесная на липучках"/>
        <s v="Порошок стиральный Ариель"/>
        <s v="Футболка белая"/>
        <s v="Мягкая игрушка Мопс"/>
        <s v="Кольца бижутерия"/>
        <s v="Нож складной"/>
        <s v="Полотенца кухонные"/>
        <s v="Расческа для новорожденных"/>
        <s v="Ножницы детские"/>
        <s v="Гамак для купания новорожденных"/>
        <s v="Футляр для соски"/>
        <s v="Бутылочка антиколиковая"/>
        <s v="Плед для новорожденных"/>
        <s v="Наматрасник детский"/>
        <s v="Нано терка для ног"/>
        <s v="Массажер для ног"/>
        <s v="Массажер для спины"/>
        <s v="Сыворотка для лица"/>
        <s v="Маска увлажняющая ночная"/>
        <s v="Маска глиняная для лица"/>
        <s v="Духи CHANEL"/>
        <s v="Одежда для собак"/>
        <s v="Крем от прыщей"/>
        <s v="Стул складной"/>
        <s v="Термокружка"/>
        <s v="Стакан светящийся"/>
        <s v="Кукла для девочек"/>
        <s v="Пассата 350г"/>
        <s v="Набор молоко сгущенное"/>
        <s v="Набор сквиши 10шт"/>
        <s v="Кружка керамическая именная"/>
        <s v="Средство для мытья посуды"/>
        <s v="Чехол для ножа"/>
        <s v="Нано коврик для сушки посуды"/>
        <s v="Набор носки 10 пар"/>
        <s v="Средство для унитаза"/>
        <s v="Носки теплые 3 пары"/>
        <s v="Набо расчесок"/>
        <s v="Жидкое гибкое стекло"/>
        <s v="Духи масляный Императрица"/>
        <s v="Паста чистящая для посуды"/>
        <s v="Тушь Ленинградская 2шт"/>
        <s v="Табурет ступенька детская"/>
        <s v="Краска для волос"/>
        <s v="Спрей для волос"/>
        <s v="Томаты вяленые в масле"/>
        <s v="Комплект трусов 5шт"/>
        <s v="Наклейки интерьерные на стену"/>
        <s v="Пушка тепловая"/>
        <s v="Обувь для собак"/>
        <s v="Поглотитель запаха для холодильника"/>
        <s v="Костюм для собак"/>
        <s v="Лента самоклеющаяся Липучка"/>
        <s v="Игрушка для собак"/>
        <s v="Сумка для инструмента"/>
        <s v="Клеммы обжимные 678шт"/>
        <s v="Клеммы обжимные 1300шт"/>
        <s v="Набор отверток"/>
        <s v="Плоскогубцы индикатор"/>
        <s v="Расческа для волос"/>
        <s v="Корзина для хранения пакетов"/>
        <s v="Кружка с двойными стенками"/>
        <s v="Нитки капроновые 1+1"/>
        <s v="Набор клей Момент 2шт"/>
        <s v="Корм сухой для собак"/>
        <s v="Пряжа для вязания10шт"/>
        <s v="Салатник керамический"/>
        <s v="Конструктор для девочек"/>
        <s v="Кофе Jacobs Moarch 500г"/>
        <s v="Набор Носки капроновые 20шт"/>
        <s v="Средство для мытья посуды 5л"/>
        <s v="Антиперспирант"/>
        <s v="Термостат комнатный"/>
        <s v="Складной нож электрика"/>
        <s v="Худи"/>
        <s v="Брюки спортивные"/>
        <s v="Набор Воскоплав баночный"/>
        <s v="Футболка брендовая мужская"/>
        <s v="Футболка оверсайз"/>
        <s v="Масло муравьиное"/>
        <s v="Ароматизаор Сандал"/>
        <s v="Ароматизаор Амбра"/>
        <s v="Ароматизаор Шафран"/>
        <s v="Лента бордюрная для ванны"/>
        <s v="Капсулы для стирки 100шт"/>
        <s v="Капсулы для стирки 5в1"/>
        <s v="Глутамат натрия"/>
        <s v="Прописи маркером"/>
        <s v="Антизасор"/>
        <s v="Перец черный горошек"/>
        <s v="Зажимы для шнурков"/>
        <s v="Мочалка для душа"/>
        <s v="Одеяло 1,5 спальное"/>
        <s v="Духи масляные"/>
        <s v="Органайзер для носков"/>
        <s v="Collagen"/>
        <s v="Таблетки для набора веса"/>
        <s v="Сапоги для собак"/>
        <s v="Мусс-пенка для умывания"/>
        <s v="Ароматизаор для дома 3шт"/>
        <s v="Крышка SRS airbag"/>
        <s v="Трость тактильная"/>
        <s v="Часы говорящие"/>
        <s v="Мяч массажный"/>
        <s v="Сторож для кипячения молока"/>
        <s v="Тонометр на запястье"/>
        <s v="Гель для стирки 5л"/>
        <s v="Ручка для пакетов, сумок"/>
        <s v="Браслет"/>
        <s v="Сумка рыболовная"/>
        <s v="Термос зеленый"/>
        <s v="Календарь перекидной настольный"/>
        <s v="Зажим для штор"/>
        <s v="Штаны спортивные"/>
        <s v="Набор трусы 6шт"/>
        <s v="Навесная кормушка"/>
        <s v="Часы настенные круглые"/>
        <s v="Часы настенные интерьерные"/>
        <s v="Сувенир свиток"/>
        <s v="Блокнот в клетку А5"/>
        <s v="Фонарь задний левый"/>
        <s v="Фонарь задний правый"/>
        <s v="Булавки на круге"/>
        <s v="Мыло хозяйственное"/>
        <s v="Пряжа плюшевая 3шт"/>
        <s v="Томаты в собственном соку"/>
        <s v="Сироп Бронхосип"/>
        <s v="Сетевой фильтр"/>
        <s v="Фонарь LED кемпинговый"/>
        <s v="Фотоштора арка"/>
        <s v="Шпонка"/>
        <s v="Паяльник"/>
        <s v="Набор паяльный"/>
        <s v="Мультиметр цифровой"/>
        <s v="Тестер кабельный, трассоискатель"/>
        <s v="Ответвитель прокалывающий"/>
        <s v="Термоусадка с припоем"/>
        <s v="Маркер строительный"/>
        <s v="Пассатижи"/>
        <s v="Тройник пластиковый"/>
        <s v="Книга Волшебник изумрудного города"/>
        <s v="Обои бумажные"/>
        <s v="Обои бумажные лира фон"/>
        <s v="Клей обойный"/>
        <s v="Клей полимерный"/>
        <s v="Кисть малярная пластиковая"/>
        <s v="Кисть малярная стандарт"/>
        <s v="Бордюр для обоев"/>
        <s v="Лента бордюрная "/>
        <s v="Кольца для штор в ванную"/>
        <s v="Зажигалка"/>
        <s v="Мультитул"/>
        <s v="Фонарь карманный"/>
        <s v="Набор для перформатора"/>
        <s v="Насадка сабельной пилы"/>
        <s v="Дрель шуруповерт"/>
        <s v="Комплект постельного белья"/>
        <s v="Лежанка для собак"/>
        <s v="Лакомство для собак"/>
        <s v="Сливки для крема"/>
        <s v="Синтешар 2кг"/>
        <s v="Дутики"/>
        <s v="Ботинки"/>
        <s v="Ботинки CREANOVA"/>
        <s v="Тени для макияжа"/>
        <s v="Коврик для сушки посуды"/>
        <s v="Кисти для макияжа"/>
        <s v="Детские носки махровые"/>
        <s v="Почтовый ящик с замком"/>
        <s v="Ограничитель открывания окон"/>
        <s v="Звонок дверной беспроводной"/>
        <s v="Орхидея искусственная"/>
        <s v="Диффузор для дома 100мл"/>
        <s v="Диффузор для дома 50мл"/>
        <s v="Диффузор для дома Ваниль"/>
        <s v="Купальник гимнастический"/>
        <s v="Орехи гинкго"/>
        <s v="Азбукварик"/>
        <s v="Органайзер для вещей"/>
        <s v="Книга Если б я слоненком был"/>
        <s v="Книга Играть легко"/>
        <s v="Книга Веселая музыкальная грамота"/>
        <s v="Книга Нотная азбука"/>
        <s v="Шапка женская"/>
        <s v="Комбинезон для новорожденных"/>
        <s v="Газоотводная трубка"/>
        <s v="Парфюм KIRKE"/>
        <s v="Мобиль в кроватку для новорожденных"/>
        <s v="Бутылочка для кормления новорожденных"/>
        <s v="Масло для губ блеск"/>
        <s v="Духи масляные "/>
        <s v="Кофта для малыша"/>
        <s v="Ложка силиконовая обучающая"/>
        <s v="Щеточка для умывания лица"/>
        <s v="Слюнявчик непромокаемый"/>
        <s v="Триммер мужской"/>
        <s v="Жидкая изолента"/>
        <s v="Набор сверл"/>
        <s v="Костюм мужской летний"/>
        <s v="Кроссовки"/>
        <s v="Светильник"/>
        <s v="Бур для перформатора"/>
        <s v="Видеоэндоскоп для смартфона"/>
        <s v="Комплект беспроводная мини камера"/>
        <s v="Удобрение Азофоска"/>
        <s v="Наколенники"/>
        <s v="Маска восстанавливающая"/>
        <s v="Помада жидкая матовая"/>
        <s v="Комплект втулок для мясорубки"/>
        <s v="Фонарь карманный светодиодный"/>
        <s v="Кофе растворимый"/>
        <s v="Контейнер для еды стекло"/>
        <s v="Кукла Айси"/>
        <s v="Протеин"/>
        <s v="Аргинин"/>
        <s v="Куртка демисезонная"/>
        <s v="Очиститель для стиральных машин"/>
        <s v="Семена льна"/>
        <s v="Набор бытовой химии"/>
        <s v="Утенок туалетный"/>
        <s v="Блок для унитаза"/>
        <s v="Реле бензонасоса"/>
        <s v="Кронштейн поворотный"/>
        <s v="Диафильмы"/>
        <s v="Сетка кулинарная"/>
        <s v="Нитритная соль"/>
        <s v="Набор украшений"/>
        <s v="Комплект маек"/>
        <s v="Колготки для девочки"/>
        <s v="Книжка с наклейками"/>
        <s v="Набор для опытов"/>
        <s v="Конструктор липучка"/>
        <s v="Сыворотка для ресниц"/>
        <s v="Ковер комнатный"/>
        <s v="Трусы хлопковые детские"/>
        <s v="Колодка клемная"/>
        <s v="Лобзик ручной"/>
        <s v="Игровой ноутбук"/>
        <s v="Игрушка для детей"/>
        <s v="Клавиатура и мышь игровая"/>
        <s v="Будильник кубик"/>
        <s v="Лампа для холодильника"/>
        <s v="Маска для роста волос"/>
        <s v="Пемза для пяток"/>
        <s v="Духи женские"/>
        <s v="Водолазка"/>
        <s v="Очки для зрения +2,75"/>
        <s v="Защитный экран на плиту"/>
        <s v="Дезодорант для ног"/>
        <s v="Сушилка для обуви"/>
        <s v="Стакан"/>
        <s v="Набор стаканов"/>
        <s v="Футболка"/>
        <s v="Стриппер для зачистки проводов"/>
        <s v="Наконечник втулочный 10"/>
        <s v="Наконечник втулочный 6"/>
        <s v="Дальномер лазерный"/>
        <s v="Шаблон для подрезетников"/>
        <s v="Шкаф тканевый"/>
        <s v="Этажерка для ванной"/>
        <s v="Тюль в спальню"/>
        <s v="Брелок карманный защита от собак"/>
        <s v="Батарейка для слуховых аппаратов"/>
        <s v="Насадка для майонеза"/>
        <s v="Маркер для плиточных швов"/>
        <s v="Порошок стиральный 5кг"/>
        <s v="Белье постельное 1,5"/>
        <s v="Кольцо серебро 925 размер 16,5"/>
        <s v="Кольцо серебро 925 размер 18"/>
        <s v="Стимулятор роста"/>
        <s v="Удобрение"/>
        <s v="Кокосовый субстрат"/>
        <s v="Плитка пенопласт"/>
        <s v="Ботинки зимние"/>
        <s v="Набобр крючков для елки"/>
        <s v="Звезда для елки"/>
        <s v="Патчи для глаз"/>
        <s v="Бенгальские огни"/>
        <s v="Свечи декоративные"/>
        <s v="Бальзам успокаивающий"/>
        <s v="Крем для лица увлажняющий"/>
        <s v="Гель для умывания"/>
        <s v="Таймер кухонный"/>
        <s v="Плед 150х200"/>
        <s v="Электродрель ударная"/>
        <s v="Жир медвежий"/>
        <s v="Лента бордюрная прозрачная"/>
        <s v="Масло какао от кашля"/>
        <s v="Фартук кухонный"/>
        <s v="Наволочки декоративные"/>
        <s v="Покрывало на кровать"/>
        <s v="Поилка автоматическая"/>
        <s v="Шланг"/>
        <s v="Слипоны"/>
        <s v="Самокат"/>
        <s v="Капкан"/>
        <s v="Стекло двери передней правой"/>
        <s v="Фито лампа для цветов"/>
        <s v="Патрон с проводом"/>
        <s v="Увлажнитель воздуха"/>
        <s v="Лосины зимние"/>
        <s v="Прокладки 20шт"/>
        <s v="Прокладки 12шт"/>
        <s v="Прокладки 15шт"/>
        <s v="Резинки и заколки"/>
        <s v="Ланцеты для глюкометра"/>
        <s v="Набор пазлов"/>
        <s v="Пазлы для детей"/>
        <s v="Ободок"/>
        <s v="Коврик в прихожую"/>
        <s v="Крабик для волос"/>
        <s v="Пижама с бриджами"/>
        <s v="Румяна"/>
        <s v="Дозадор для масла"/>
        <s v="Колготки школьные"/>
        <s v="Водоросли для суши"/>
        <s v="Плед 200х220"/>
        <s v="Термометр уличный"/>
        <s v="Термометр уличный 2шт"/>
        <s v="Велосипедки"/>
        <s v="Масло эфирное"/>
        <s v="Книга Я дружу с музыкой"/>
        <s v="Набор карточек игровых"/>
        <s v="Ночник"/>
        <s v="Книжка на липучках"/>
        <s v="Мазь при мастопатии"/>
        <s v="Рыжик посевной"/>
        <s v="Ветка искусственная Брусника"/>
        <s v="Книга 100 уроков сольфеджио"/>
        <s v="Кабель Type-C 3м"/>
        <s v="Кабель Micro-USB 3м"/>
        <s v="Колонки для компьютера"/>
        <s v="Подарок бабушке"/>
        <s v="Часы смарт"/>
        <s v="Перфоратор"/>
        <s v="Сортер для малышей"/>
        <s v="Лонгслив 3шт"/>
        <s v="Четки"/>
        <s v="Духи"/>
        <s v="Омега 3"/>
        <s v="Брюки с начесом"/>
        <s v="Измельчитель электрический"/>
        <s v="Напиток чайный"/>
        <s v="Мед натуральный"/>
        <s v="Шампунь"/>
        <s v="Концентрат для волос"/>
        <s v="Пазлы для детей В лесу"/>
        <s v="Пазлы для детей На ферме"/>
        <s v="Пуговицы декоративные"/>
        <s v="Паприка молотая"/>
        <s v="Яндекс станция лайт"/>
        <s v="Лампа 14V 3мм"/>
        <s v="Сумка для ноутбука"/>
        <s v="Набор пробников"/>
        <s v="Дезодорант антиперспирант"/>
        <s v="Дезодорант минеральный"/>
        <s v="Губка пилинг"/>
        <s v="Паста-герметик"/>
        <s v="Сетка от грызунов"/>
        <s v="Гамак для собак"/>
        <s v="Подушка деекоративная"/>
        <s v="Наволочка на подушку"/>
        <s v="Свеча светодиодная"/>
        <s v="Шапка Деда Мороза"/>
        <s v="Плед 180х200"/>
        <s v="Плед 180х200 синий"/>
        <s v="Тряпка для пола"/>
        <s v="Подсвечник с иглой"/>
        <s v="Термоусадочная трубка"/>
        <s v="Сумка монтажника"/>
        <s v="Набор коронок по дереву"/>
        <s v="Отвертка тестер"/>
        <s v="Плоскогубцы для электрика"/>
        <s v="Набор термоусадок"/>
        <s v="Набор буров для удаления саморезов"/>
        <s v="Кофеварка"/>
        <s v="Фигура светодиодная"/>
        <s v="Ночник Flamingo"/>
        <s v="Книга Биссмарк"/>
        <s v="Книга Монархи Британии"/>
        <s v="Книга Фавориты Екатерины Великой"/>
        <s v="Камера видеонаблюдения уличная"/>
        <s v="Пивной бокал"/>
        <s v="Книга для рецеатов"/>
        <s v="Сейф копилка"/>
        <s v="Глобус"/>
        <s v="Кружка пивная"/>
        <s v="Скатерть 120х150"/>
        <s v="Игрушки елочные Сосульки"/>
        <s v="Туника"/>
        <s v="Колготки детские"/>
        <s v="Пистолет для прокалывания ушей"/>
        <s v="Пистолет для пирсинга носа"/>
        <s v="Колготки"/>
        <s v="Стекло защитное для планшета"/>
        <s v="Магнит Рождественские гуляния"/>
        <s v="Магнит С Рождеством Христовым"/>
        <s v="Модель Ангел над храмом"/>
        <s v="Магнит Счастья, любви и добра"/>
        <s v="Магнит 3D С рождеством Христовым"/>
        <s v="Набор магнитов С Рождеством Христовым"/>
        <s v="Набор магнитов Новогодний"/>
        <s v="Магнит Новогодняя ночь"/>
        <s v="Магнит Снегирь"/>
        <s v="Магнит С Рождеством Христовым Снегирь"/>
        <s v="Сумка на плечо"/>
        <s v="Брюки Hello Kitty"/>
        <s v="Книга Иван Калита"/>
        <s v="Алексендр Невский"/>
        <s v="Книга Полководцы Святой Руси"/>
        <s v="Книга Полководцы первых Романовых"/>
        <s v="Книга Ермак"/>
        <s v="Клавиатура игровая"/>
        <s v="Пепельница ветрозащитная"/>
        <s v="Переходник USB 4 порта"/>
        <s v="Тэн для бойлера"/>
        <s v="Рыбочистка"/>
        <s v="Кастрюля эмалированная"/>
        <s v="Коврик силиконовый"/>
        <s v="Нивелир лазерный"/>
        <s v="Кофемолка электрическая"/>
        <s v="Насадка для пылесоса"/>
        <s v="Крем питательный ночной"/>
        <s v="Баллон газовый 5л"/>
        <s v="Тюль шторы"/>
        <s v="Обои моющиеся бумажные"/>
        <s v="Кусачки педикюрные"/>
        <s v="Мягкая игрушка"/>
        <s v="Таблетки для похудения"/>
        <s v="Сахарозаменитель"/>
        <s v="Молоко сухое"/>
        <s v="Тест полоски для глюкометра"/>
        <s v="Белье нижнее женское"/>
        <s v="Кольцо Сваровски"/>
        <s v="Пленка самоклеющаяся"/>
        <s v="Плинтус для столешницы"/>
        <s v="Гирлянда"/>
        <s v="Освежитель воздуха"/>
        <s v="Полотенца бумажные"/>
        <s v="Коврик комнатный"/>
        <s v="Стул для ванной"/>
        <s v="Мягкая косточка для животных"/>
        <s v="Голосовая кнопка"/>
        <s v="Кобура для оружия"/>
        <s v="Пистолет пневматический"/>
        <s v="Зарядное устройство для рации"/>
        <s v="Зарядный стакан для радиостанции"/>
        <s v="Игрушка для кошек"/>
        <s v="USB HUB 8 в 1"/>
        <s v="Нож обвалочный"/>
        <s v="Перчатка кольчужная"/>
        <s v="Куртка флисовая"/>
        <s v="Кепка тактическая"/>
        <s v="Набор патчей"/>
        <s v="Рамка для фото"/>
        <s v="Лейка для душа"/>
        <s v="Пылесос для автомобиля"/>
        <s v="Бутсы футбольные"/>
        <s v="Бутсы футбольные шиповки"/>
        <s v="Носки футбольные 3шт"/>
        <s v="Шорты спортивные"/>
        <s v="Бутсы футбольные с шипами"/>
        <s v="Кроссовки джорданы"/>
        <s v="Шорты Nike"/>
        <s v="Толстовка Nike"/>
        <s v="Носки белые 10шт"/>
        <s v="Шубка-кофта"/>
        <s v="Снеговик каркасный"/>
        <s v="Забрал сам"/>
        <s v="Книга Наполеон"/>
        <s v="Книга Адмирал Колчак"/>
        <s v="Книга Ричард I Львиное сердце"/>
        <s v="Комплект одежды"/>
        <s v="Набор кухонных полотенец"/>
        <s v="Триммер для домашних животных"/>
        <s v="Чешки"/>
        <s v="Лента для гимнастики"/>
        <s v="Блок для йоги"/>
        <s v="Пила аккумуляторная"/>
        <s v="Прокладки ежедневки"/>
        <s v="Удлинитель сетевой 5м."/>
        <s v="Вакуумные пакеты для вещей"/>
        <s v="Подсвечник металлический"/>
        <s v="Мойка высокого давления"/>
        <s v="Паста для чистки сковородок"/>
        <s v="Светильник светодиодный"/>
        <s v="Книга Кодекс об админ. Нарушениях"/>
        <s v="Носки 10шт"/>
        <s v="Кастрюля 4,4л"/>
        <s v="Массажер для лица"/>
        <s v="Лента клейкая"/>
        <s v="Лента бордюрная"/>
        <s v="Пакет подарочный"/>
        <s v="Набор ложек именной Давид"/>
        <s v="Набор ложек именной Светлана"/>
        <s v="Набор ложек именной Татьяна"/>
        <s v="Набор ложек именной Евгений"/>
        <s v="Набор ложек именной Павел"/>
        <s v="Кружка хамелеон"/>
        <s v="Набор ложек именной Захар"/>
        <s v="Усилитель"/>
        <s v="Автошампунь антидождь"/>
        <s v="Автошампунь розовая"/>
        <s v="Стаканы одноразовые"/>
        <s v="Стаканы одноразовые пластиковые"/>
        <s v="Средство для очистки труб"/>
        <s v="Средство от засоров"/>
        <s v="Духи набор пробников"/>
        <s v="Дискус композитум"/>
        <s v="Сноубутсы"/>
        <s v="Футболка 54"/>
        <s v="Футболка 52"/>
        <s v="Лосины для девочки"/>
        <s v="Заглушки для сережек"/>
        <s v="Отруби"/>
        <s v="Тени для век"/>
        <s v="Палетка теней"/>
        <s v="Фиксатор для ковров"/>
        <s v="Очки солнцезащитные"/>
        <s v="Сорочка ночная"/>
        <s v="Сумка детская"/>
        <s v="Желатин пищевой"/>
        <s v="Маска для волос"/>
        <s v="Крем для лица"/>
        <s v="Коврик массажный"/>
        <s v="Сироп Черная смородина"/>
        <s v="Жевательная резинка"/>
        <s v="Шапка вязаная"/>
        <s v="Босоножки"/>
        <s v="Куртка"/>
        <s v="Футболка черная"/>
        <s v="Гейнер "/>
        <s v="Резинка для фитнеса"/>
        <s v="Процессор Intel Core i7-2670QM"/>
        <s v="Крем краска для волос"/>
        <s v="Альфа-липоевая кислота"/>
        <s v="Масло для волос"/>
        <s v="Масло для кончиков волос"/>
        <s v="Прокладки 30шт"/>
        <s v="Набо зубных паст"/>
        <s v="Руска 3D"/>
        <s v="Зубная паста"/>
        <s v="Папка для тетрадей"/>
        <s v="Шапочка для мелирования"/>
        <s v="Ароматизатор в машину"/>
        <s v="Прокладки 8шт"/>
        <s v="Бальзам блонда"/>
        <s v="Масло какао"/>
        <s v="Нож для мясорубки"/>
        <s v="Набор открыток"/>
        <s v="Атлас мира"/>
        <s v="Комплект атласов"/>
        <s v="Шкаф в ванную"/>
        <s v="Диспенцер для моющего средства"/>
        <s v="Пакеты на тарелку"/>
        <s v="Зубная щетка электрическая"/>
        <s v="Набор косметики декоративной"/>
        <s v="Крючки настенные"/>
        <s v="Двуспальная кровать 160х200"/>
        <s v="Матрац 160х200"/>
        <s v="Фоамиран для творчества"/>
        <s v="Изолон 5м"/>
        <s v="Пленка зеркальная"/>
        <s v="Набор просечек"/>
        <s v="Пила японская ручная"/>
        <s v="Слюда для микроволновки"/>
        <s v="Сверло ступенчатое"/>
        <s v="Светильник ЭРА"/>
        <s v="Фоамиран 50 листов"/>
        <s v="Платы модулей питания"/>
        <s v="Гель для посуды"/>
        <s v="Гель для мытья посуды"/>
        <s v="Лезвия Mach3 8шт"/>
        <s v="Крем-лосьон для тела"/>
        <s v="Пудра для лица"/>
        <s v="Палочки спиртовые"/>
        <s v="Поплавок"/>
        <s v="Самоподсекатель"/>
        <s v="Желатин говяжий"/>
        <s v="Ковш сотейник"/>
        <s v="Платки носовые "/>
        <s v="Шапка"/>
        <s v="Шнурки-резинки"/>
        <s v="Шнурки-резинки черные"/>
        <s v="Венчик"/>
        <s v="Семена томатов"/>
        <s v="Батончики протеиновые"/>
        <s v="Духи Испахан"/>
        <s v="Тендерайзер для мяса"/>
        <s v="Мини ручная швейная машинка"/>
        <s v="Набор круглых пробойников"/>
        <s v="Терморегулятор"/>
        <s v="Набор стабилизаторов"/>
        <s v="Теплые полы"/>
        <s v="Диод 5шт"/>
        <s v="Подушка 2шт"/>
        <s v="Корзина для белья"/>
        <s v="Бритва EVE"/>
        <s v="Майка 2шт"/>
        <s v="Лук жареный"/>
        <s v="Ваза декоративная"/>
        <s v="Шеврон"/>
        <s v="Смарт часы"/>
        <s v="Патчи для лба"/>
        <s v="Гель для унитаза"/>
        <s v="Расширитель для бюстгалтера"/>
        <s v="Топ спортивный"/>
        <s v="Чехол для Xiaomi"/>
        <s v="Прокладки 336шт"/>
        <s v="Рубашка в клетку"/>
        <s v="Рубашка 54"/>
        <s v="Робот мойщик окон"/>
        <s v="Блендер ручной"/>
        <s v="Мебель для кухонного домика"/>
        <s v="Библия"/>
        <s v="Халат махровый"/>
        <s v="Подушка на стул"/>
        <s v="Пластик для 3D ручки"/>
        <s v="Прокладки 16шт"/>
        <s v="Ручки пиши стирай"/>
        <s v="Цветы искусственные"/>
        <s v="Помпа для воды 19л"/>
        <s v="Трусы кружевные"/>
        <s v="Тюльпаны искусственные"/>
        <s v="Пакеты вакуумные"/>
        <s v="Нарциссы искусственные"/>
        <s v="Гейнер печенье"/>
        <s v="Гейнер шоколад"/>
        <s v="Обложка на паспорт"/>
        <s v="Вентилятор настольный"/>
        <s v="Резистор алюминиевый 2шт"/>
        <s v="Чип резистор 39Ом"/>
        <s v="Колпачек для магнетрона"/>
        <s v="Преобразователь понижающий"/>
        <s v="Удилище 5,4"/>
        <s v="Пакет для льда"/>
        <s v="Кардиган"/>
        <s v="Юбка"/>
        <s v="Футболка 46"/>
        <s v="Футболка 46 желтая"/>
        <s v="Футболка 46 сирейневая"/>
        <s v="Сумка через плечо"/>
        <s v="Душ походный"/>
        <s v="Масло льняное"/>
        <s v="Крем тональный"/>
        <s v="Наволочки 50х70"/>
        <s v="Простыня 1,5"/>
        <s v="Трусики для девочек"/>
        <s v="Пятновыводитель кислородный"/>
        <s v="Оболочка для колбасы"/>
        <s v="Гольфы белые"/>
        <s v="Блок управления ДВС"/>
        <s v="Книга Фортепианная игра"/>
        <s v="Коляска для пупсика"/>
        <s v="Набор семья оленей"/>
        <s v="Игра на липучках"/>
        <s v="Книжки-малышки"/>
        <s v="Книга Мы рисуем праздник"/>
        <s v="Набор мини открыток"/>
        <s v="Набор книг Автивити"/>
        <s v="Яйцо на подставке"/>
        <s v="Игра Пасхальные яйца"/>
        <s v="Книга Бабушкино сокровище"/>
        <s v="Набор закладок Светлой Пасхи!"/>
        <s v="Игрушка Кулич"/>
        <s v="Набор для открытки Яйцо"/>
        <s v="Пазл Светлой Пасхи"/>
        <s v="Набор закладок Христос Воскрес"/>
        <s v="Сувенир Пасхальный Корзиночка"/>
        <s v="Яйцо деревянное Цветы"/>
        <s v="Книга Мама меня любит"/>
        <s v="Кепка"/>
        <s v="Яйцо-сюрприз"/>
        <s v="Ершик для туалета"/>
        <s v="Щетки для межплиточных швов"/>
        <s v="Сумка для девочек"/>
        <s v="Ваза для цветов"/>
        <s v="Крышка для кастрюли"/>
        <s v="Цыпленок в с/с"/>
        <s v="Рис Басмати"/>
        <s v="Стенд для свечей"/>
        <s v="Кордицепс экстракт"/>
        <s v="Кордицепс элексир"/>
        <s v="Экстракт сирени"/>
        <s v="Сок одуванчика"/>
        <s v="Галит Рапа соленого озера"/>
        <s v="Маклюравен"/>
        <s v="Маклюра ОСТЕО"/>
        <s v="Лоферы женские"/>
        <s v="Штаны для похудения"/>
        <s v="Вантуз"/>
        <s v="Панама"/>
        <s v="Стельки"/>
        <s v="Триммер для лица"/>
        <s v="Желе для ног"/>
        <s v="Носки 10шт черные"/>
        <s v="Носки 10шт Nike"/>
        <s v="Набор трусов"/>
        <s v="Мультивитамины"/>
        <s v="Топ Ultra"/>
        <s v="Рубашка Colins"/>
        <s v="Джинсы VEAVEND"/>
        <s v="Джинсы Georgio Ferretti"/>
        <s v="Здоровье женщины"/>
        <s v="Таблетки от недержания мочи"/>
        <s v="Шафран молотый"/>
        <s v="Роутер"/>
        <s v="Кабель Type-C"/>
        <s v="Быстрая зарядка 120w"/>
        <s v="Кабель HDMI"/>
        <s v="Халат"/>
        <s v="Органайзер для специй"/>
        <s v="Смесь болгарских перцев"/>
        <s v="Органайзер для косметики"/>
        <s v="Набор заколок"/>
        <s v="Набор для стрижки"/>
        <s v="Футболка 56"/>
        <s v="Набор из яиц"/>
        <s v="Платье домашнее"/>
        <s v="Средство от комаров"/>
        <s v="Гель после укусов комаров"/>
        <s v="Палочки от комаров"/>
        <s v="Дюбель 41"/>
        <s v="Дюбель 44"/>
        <s v="Площадка для хомутов"/>
        <s v="Сумка электрика"/>
        <s v="Обжимной инструмент"/>
        <s v="Автотестер автомобильный"/>
        <s v="Указатель напряжения"/>
        <s v="Сарафан"/>
        <s v="Раствор для контактных линз"/>
        <s v="Джинсы"/>
        <s v="Топливо для зажигалок"/>
        <s v="Переходник для заправки зажигалок"/>
        <m/>
        <s v="Рвбочистка" u="1"/>
        <s v="Пробирка стекляная" u="1"/>
        <s v="Крем увлажняющий" u="1"/>
        <s v="Фоамин 50 листов" u="1"/>
        <s v="Удочка 5м" u="1"/>
        <s v="Удилище 500см" u="1"/>
        <s v="Прокладки 10шт" u="1"/>
        <s v="Ниливер лазерный" u="1"/>
      </sharedItems>
    </cacheField>
    <cacheField name="rec" numFmtId="0">
      <sharedItems count="2">
        <s v="true"/>
        <s v="false"/>
      </sharedItems>
    </cacheField>
    <cacheField name="abroad" numFmtId="49">
      <sharedItems containsBlank="1" count="186">
        <m/>
        <s v="LK282924447CN"/>
        <s v="LK282578283CN"/>
        <s v="LK282577518CN"/>
        <s v="LK280477579CN"/>
        <s v="LK267944841CN"/>
        <s v="0000203343511"/>
        <s v="0000203342080"/>
        <s v="1550013904"/>
        <s v="1550903748"/>
        <s v="1550403384"/>
        <s v="1550775407"/>
        <s v="80092796038318"/>
        <s v="80111196789443"/>
        <s v="AGP313787694"/>
        <s v="1552314478"/>
        <s v="1553413608"/>
        <s v="0000203687057"/>
        <s v="80512396148571"/>
        <s v="0000203703665"/>
        <s v="0000203624791"/>
        <s v="1553177469"/>
        <s v="0000204116867"/>
        <s v="80088297060484"/>
        <s v="0000204097585"/>
        <s v="0000602799416"/>
        <s v="10000219844"/>
        <s v="10002750378"/>
        <s v="10004230642"/>
        <s v="80512097797344"/>
        <s v="0000204358558"/>
        <s v="0000603154630"/>
        <s v="10008115987"/>
        <s v="LK354867392CN"/>
        <s v="P000143805126"/>
        <s v="0000205542743"/>
        <s v="0000205544621"/>
        <s v="0000205564329"/>
        <s v="29350096004884"/>
        <s v="10016371290"/>
        <s v="10019642308"/>
        <s v="10019673737"/>
        <s v="10019677031"/>
        <s v="0000205874645"/>
        <s v="10019527472"/>
        <s v="10019844754"/>
        <s v="0000604454240"/>
        <s v="10020006057"/>
        <s v="10021973655"/>
        <s v="10022022311"/>
        <s v="10022118658"/>
        <s v="10021768476"/>
        <s v="10022027969"/>
        <s v="10022495421"/>
        <s v="10022850087"/>
        <s v="10023288130"/>
        <s v="10020892818"/>
        <s v="10023414837"/>
        <s v="10024023579"/>
        <s v="10024949051"/>
        <s v="10024203136"/>
        <s v="10026468500"/>
        <s v="10026567842"/>
        <s v="10026803989"/>
        <s v="10027911739"/>
        <s v="61260091385122"/>
        <s v="10028441125"/>
        <s v="10028574238"/>
        <s v="10029133477"/>
        <s v="10029154288"/>
        <s v="10029155922"/>
        <s v="80110499569004"/>
        <s v="80512701935643"/>
        <s v="10030013400"/>
        <s v="10030266432"/>
        <s v="10030283493"/>
        <s v="10030461545"/>
        <s v="10030731111"/>
        <s v="10030733260"/>
        <s v="10030954209"/>
        <s v="10031356741"/>
        <s v="10031396212"/>
        <s v="10031404731"/>
        <s v="80110601923410"/>
        <s v="10031673435"/>
        <s v="10032706281"/>
        <s v="10033343270"/>
        <s v="97995535"/>
        <s v="10035749674"/>
        <s v="10035857072"/>
        <s v="10036130545"/>
        <s v="10036509553"/>
        <s v="10036746823"/>
        <s v="10037952691"/>
        <s v="10038486847"/>
        <s v="10038791333"/>
        <s v="10038890368"/>
        <s v="10040437795"/>
        <s v="10044866248"/>
        <s v="P000186683170"/>
        <s v="10046029325"/>
        <s v="10043489963"/>
        <s v="10043881553"/>
        <s v="10047631770"/>
        <s v="10046252894"/>
        <s v="10042370478"/>
        <s v="10047784103"/>
        <s v="10047154582"/>
        <s v="10047241359"/>
        <s v="LK425213546CN"/>
        <s v="10049221589"/>
        <s v="10049426845"/>
        <s v="10050403736"/>
        <s v="10050775076"/>
        <s v="10051625678"/>
        <s v="10052752576"/>
        <s v="10060116274"/>
        <s v="LZ130857007CN"/>
        <s v="CEL2012125547CD"/>
        <s v="10060274292"/>
        <s v="10059015808"/>
        <s v="10059708434"/>
        <s v="6149960147"/>
        <s v="P000216695539"/>
        <s v="RM593901391HK"/>
        <s v="LC612911425CN"/>
        <s v="10065096300"/>
        <s v="10065096298"/>
        <s v="    "/>
        <s v="42010804800962"/>
        <s v="10069984049"/>
        <s v="10074052074"/>
        <s v="10073832816"/>
        <s v="80511005124951"/>
        <s v="10077259367"/>
        <s v="10076017408"/>
        <s v="10077608430"/>
        <s v="10077582338"/>
        <s v="10078321272"/>
        <s v="10078487733"/>
        <s v="127306764"/>
        <s v="10078147196"/>
        <s v="10079616346"/>
        <s v="10082403731"/>
        <s v="10079417382"/>
        <s v="P000243559463"/>
        <s v="P000243883445"/>
        <s v="0000209677793"/>
        <s v="LO-565108386"/>
        <s v="LO-565257873"/>
        <s v="LO-565359881"/>
        <s v="LO-566670235"/>
        <s v="LO-566695286"/>
        <s v="LO-561962138"/>
        <s v="LO-569259518"/>
        <s v="10091280453"/>
        <s v="10091339301"/>
        <s v="80511207844633"/>
        <s v="10089686629"/>
        <s v="10094174617"/>
        <s v="P000255219026"/>
        <s v="P000256120732"/>
        <s v="LC820436030CN"/>
        <s v="LC818411860CN"/>
        <s v="LC818387644CN"/>
        <s v="P000258513818"/>
        <s v="42393666113"/>
        <s v="P000261460998"/>
        <s v="P000262161340"/>
        <s v="80512307080556"/>
        <s v="LO-584739636"/>
        <s v="80097407733309"/>
        <s v="P000256771041"/>
        <s v="P000260671160"/>
        <s v="P000265010484"/>
        <s v="10101439156"/>
        <s v="10102261407"/>
        <s v="P000267427229"/>
        <s v="P000267562155"/>
        <s v="P000268478484"/>
        <s v="LK600958561CN"/>
        <s v="LC831697566CN"/>
        <s v="10099994226"/>
        <s v="10103147913"/>
        <s v="10104342752"/>
        <s v="10101794388" u="1"/>
      </sharedItems>
    </cacheField>
    <cacheField name="dateTo" numFmtId="14">
      <sharedItems containsNonDate="0" containsDate="1" containsString="0" containsBlank="1" minDate="1900-01-10T00:57:36" maxDate="2025-05-15T00:00:00" count="390">
        <d v="2024-03-12T00:00:00"/>
        <d v="2024-04-08T00:00:00"/>
        <d v="2024-03-13T00:00:00"/>
        <d v="2024-03-23T00:00:00"/>
        <d v="2024-03-16T00:00:00"/>
        <d v="2024-03-18T00:00:00"/>
        <d v="2024-03-19T00:00:00"/>
        <d v="2024-03-15T00:00:00"/>
        <d v="2024-04-05T00:00:00"/>
        <d v="2024-03-28T00:00:00"/>
        <d v="2024-03-17T00:00:00"/>
        <d v="2024-03-22T00:00:00"/>
        <d v="2024-03-24T00:00:00"/>
        <d v="2024-03-20T00:00:00"/>
        <d v="2024-03-21T00:00:00"/>
        <d v="2024-03-29T00:00:00"/>
        <d v="2024-03-25T00:00:00"/>
        <d v="2024-03-26T00:00:00"/>
        <d v="2024-03-27T00:00:00"/>
        <d v="2024-03-31T00:00:00"/>
        <d v="2024-03-30T00:00:00"/>
        <d v="2024-04-01T00:00:00"/>
        <d v="2024-04-02T00:00:00"/>
        <d v="2024-04-03T00:00:00"/>
        <m/>
        <d v="2024-04-06T00:00:00"/>
        <d v="2024-04-04T00:00:00"/>
        <d v="2024-04-09T00:00:00"/>
        <d v="2024-04-10T00:00:00"/>
        <d v="2024-04-12T00:00:00"/>
        <d v="2024-04-14T00:00:00"/>
        <d v="2024-04-11T00:00:00"/>
        <d v="2024-04-15T00:00:00"/>
        <d v="2024-04-18T00:00:00"/>
        <d v="2024-04-16T00:00:00"/>
        <d v="2024-04-19T00:00:00"/>
        <d v="1900-01-10T00:57:36"/>
        <d v="2024-04-17T00:00:00"/>
        <d v="2024-04-13T00:00:00"/>
        <d v="2024-04-21T00:00:00"/>
        <d v="2024-04-23T00:00:00"/>
        <d v="2024-04-20T00:00:00"/>
        <d v="2024-04-24T00:00:00"/>
        <d v="2024-04-22T00:00:00"/>
        <d v="2024-04-25T00:00:00"/>
        <d v="2024-05-01T00:00:00"/>
        <d v="2024-04-26T00:00:00"/>
        <d v="2024-04-28T00:00:00"/>
        <d v="2024-04-29T00:00:00"/>
        <d v="2024-05-06T00:00:00"/>
        <d v="2024-05-04T00:00:00"/>
        <d v="2024-05-20T00:00:00"/>
        <d v="2024-06-06T00:00:00"/>
        <d v="2024-05-03T00:00:00"/>
        <d v="2024-04-30T00:00:00"/>
        <d v="2024-05-08T00:00:00"/>
        <d v="2024-05-26T00:00:00"/>
        <d v="2024-05-05T00:00:00"/>
        <d v="2024-05-10T00:00:00"/>
        <d v="2024-05-07T00:00:00"/>
        <d v="2024-05-09T00:00:00"/>
        <d v="2024-05-13T00:00:00"/>
        <d v="2024-06-20T00:00:00"/>
        <d v="2024-05-15T00:00:00"/>
        <d v="2024-05-16T00:00:00"/>
        <d v="2024-05-12T00:00:00"/>
        <d v="2024-05-17T00:00:00"/>
        <d v="2024-05-11T00:00:00"/>
        <d v="2024-05-14T00:00:00"/>
        <d v="2024-05-18T00:00:00"/>
        <d v="2024-05-25T00:00:00"/>
        <d v="2024-05-23T00:00:00"/>
        <d v="2024-05-27T00:00:00"/>
        <d v="2024-05-22T00:00:00"/>
        <d v="2024-05-19T00:00:00"/>
        <d v="2024-06-02T00:00:00"/>
        <d v="2024-05-21T00:00:00"/>
        <d v="2024-06-12T00:00:00"/>
        <d v="2024-06-01T00:00:00"/>
        <d v="2024-05-30T00:00:00"/>
        <d v="2024-05-31T00:00:00"/>
        <d v="2024-05-28T00:00:00"/>
        <d v="2024-06-03T00:00:00"/>
        <d v="2024-06-05T00:00:00"/>
        <d v="2024-06-08T00:00:00"/>
        <d v="2024-06-13T00:00:00"/>
        <d v="2024-06-04T00:00:00"/>
        <d v="2024-06-09T00:00:00"/>
        <d v="2024-06-07T00:00:00"/>
        <d v="1901-02-17T00:00:00"/>
        <d v="2024-06-10T00:00:00"/>
        <d v="2024-06-11T00:00:00"/>
        <d v="2024-06-14T00:00:00"/>
        <d v="2024-06-16T00:00:00"/>
        <d v="2024-06-17T00:00:00"/>
        <d v="2024-06-15T00:00:00"/>
        <d v="2024-06-28T00:00:00"/>
        <d v="2024-06-19T00:00:00"/>
        <d v="2024-06-21T00:00:00"/>
        <d v="2024-06-22T00:00:00"/>
        <d v="2024-06-24T00:00:00"/>
        <d v="2024-06-23T00:00:00"/>
        <d v="2024-06-18T00:00:00"/>
        <d v="2024-06-29T00:00:00"/>
        <d v="2024-06-25T00:00:00"/>
        <d v="2024-07-02T00:00:00"/>
        <d v="2024-06-26T00:00:00"/>
        <d v="2024-06-30T00:00:00"/>
        <d v="2024-07-19T00:00:00"/>
        <d v="2024-06-27T00:00:00"/>
        <d v="2024-07-03T00:00:00"/>
        <d v="2024-07-01T00:00:00"/>
        <d v="2024-07-04T00:00:00"/>
        <d v="2024-07-28T00:00:00"/>
        <d v="2024-07-08T00:00:00"/>
        <d v="2024-07-12T00:00:00"/>
        <d v="2024-07-11T00:00:00"/>
        <d v="2024-07-05T00:00:00"/>
        <d v="2024-07-07T00:00:00"/>
        <d v="2024-07-10T00:00:00"/>
        <d v="2024-07-30T00:00:00"/>
        <d v="2024-07-15T00:00:00"/>
        <d v="2024-07-06T00:00:00"/>
        <d v="2024-07-17T00:00:00"/>
        <d v="2024-07-09T00:00:00"/>
        <d v="2024-07-13T00:00:00"/>
        <d v="2024-07-14T00:00:00"/>
        <d v="2024-07-16T00:00:00"/>
        <d v="2024-07-21T00:00:00"/>
        <d v="2024-07-20T00:00:00"/>
        <d v="2024-07-18T00:00:00"/>
        <d v="2024-07-22T00:00:00"/>
        <d v="2024-07-25T00:00:00"/>
        <d v="2024-07-23T00:00:00"/>
        <d v="2024-07-26T00:00:00"/>
        <d v="2024-07-27T00:00:00"/>
        <d v="2024-07-29T00:00:00"/>
        <d v="2024-08-18T00:00:00"/>
        <d v="2024-07-31T00:00:00"/>
        <d v="2024-08-09T00:00:00"/>
        <d v="2024-08-02T00:00:00"/>
        <d v="2024-08-21T00:00:00"/>
        <d v="2024-08-01T00:00:00"/>
        <d v="2024-08-05T00:00:00"/>
        <d v="2024-08-31T00:00:00"/>
        <d v="2024-08-20T00:00:00"/>
        <d v="2024-08-08T00:00:00"/>
        <d v="2024-08-07T00:00:00"/>
        <d v="2024-08-11T00:00:00"/>
        <d v="2024-08-16T00:00:00"/>
        <d v="2024-08-17T00:00:00"/>
        <d v="2024-08-12T00:00:00"/>
        <d v="2024-08-10T00:00:00"/>
        <d v="2024-08-15T00:00:00"/>
        <d v="2024-08-14T00:00:00"/>
        <d v="2024-08-13T00:00:00"/>
        <d v="2024-08-30T00:00:00"/>
        <d v="2024-08-23T00:00:00"/>
        <d v="2024-08-26T00:00:00"/>
        <d v="2024-09-06T00:00:00"/>
        <d v="2024-08-22T00:00:00"/>
        <d v="2024-09-12T00:00:00"/>
        <d v="2024-08-29T00:00:00"/>
        <d v="2024-08-27T00:00:00"/>
        <d v="2024-08-25T00:00:00"/>
        <d v="2024-09-01T00:00:00"/>
        <d v="2024-08-28T00:00:00"/>
        <d v="2024-09-04T00:00:00"/>
        <d v="2024-09-08T00:00:00"/>
        <d v="2024-09-03T00:00:00"/>
        <d v="2024-09-05T00:00:00"/>
        <d v="2024-09-07T00:00:00"/>
        <d v="2024-09-23T00:00:00"/>
        <d v="2024-09-10T00:00:00"/>
        <d v="2024-09-09T00:00:00"/>
        <d v="2024-09-13T00:00:00"/>
        <d v="2024-09-11T00:00:00"/>
        <d v="2024-09-16T00:00:00"/>
        <d v="2024-09-17T00:00:00"/>
        <d v="2024-09-18T00:00:00"/>
        <d v="2024-09-15T00:00:00"/>
        <d v="2024-09-14T00:00:00"/>
        <d v="2024-09-28T00:00:00"/>
        <d v="2024-09-25T00:00:00"/>
        <d v="2024-09-21T00:00:00"/>
        <d v="2024-09-19T00:00:00"/>
        <d v="2024-09-24T00:00:00"/>
        <d v="2024-09-30T00:00:00"/>
        <d v="2024-10-01T00:00:00"/>
        <d v="2024-10-05T00:00:00"/>
        <d v="2024-09-27T00:00:00"/>
        <d v="2024-09-20T00:00:00"/>
        <d v="2024-09-22T00:00:00"/>
        <d v="2024-09-26T00:00:00"/>
        <d v="2024-10-04T00:00:00"/>
        <d v="2024-10-03T00:00:00"/>
        <d v="2024-10-02T00:00:00"/>
        <d v="2024-10-07T00:00:00"/>
        <d v="2024-10-09T00:00:00"/>
        <d v="2024-10-08T00:00:00"/>
        <d v="2024-10-10T00:00:00"/>
        <d v="2024-10-12T00:00:00"/>
        <d v="2024-10-06T00:00:00"/>
        <d v="2024-10-24T00:00:00"/>
        <d v="2024-10-14T00:00:00"/>
        <d v="2024-10-16T00:00:00"/>
        <d v="2024-10-15T00:00:00"/>
        <d v="2024-10-18T00:00:00"/>
        <d v="2024-10-11T00:00:00"/>
        <d v="2024-10-17T00:00:00"/>
        <d v="2024-10-20T00:00:00"/>
        <d v="2024-10-25T00:00:00"/>
        <d v="2024-10-19T00:00:00"/>
        <d v="2024-10-21T00:00:00"/>
        <d v="2024-10-22T00:00:00"/>
        <d v="2024-10-29T00:00:00"/>
        <d v="2024-10-23T00:00:00"/>
        <d v="2024-10-27T00:00:00"/>
        <d v="2024-10-28T00:00:00"/>
        <d v="2024-10-26T00:00:00"/>
        <d v="2024-11-03T00:00:00"/>
        <d v="2024-11-02T00:00:00"/>
        <d v="2024-11-04T00:00:00"/>
        <d v="2024-11-01T00:00:00"/>
        <d v="2024-10-31T00:00:00"/>
        <d v="2024-11-05T00:00:00"/>
        <d v="2024-11-07T00:00:00"/>
        <d v="2024-11-08T00:00:00"/>
        <d v="2024-11-06T00:00:00"/>
        <d v="2024-12-07T00:00:00"/>
        <d v="2024-11-09T00:00:00"/>
        <d v="2024-11-13T00:00:00"/>
        <d v="2024-11-11T00:00:00"/>
        <d v="2024-11-12T00:00:00"/>
        <d v="2024-11-10T00:00:00"/>
        <d v="2024-11-19T00:00:00"/>
        <d v="2024-11-30T00:00:00"/>
        <d v="2024-11-14T00:00:00"/>
        <d v="2024-12-10T00:00:00"/>
        <d v="2024-11-15T00:00:00"/>
        <d v="2024-11-17T00:00:00"/>
        <d v="2024-11-16T00:00:00"/>
        <d v="2024-12-02T00:00:00"/>
        <d v="2024-12-16T00:00:00"/>
        <d v="2024-11-21T00:00:00"/>
        <d v="2024-11-18T00:00:00"/>
        <d v="2024-11-23T00:00:00"/>
        <d v="2024-11-20T00:00:00"/>
        <d v="2024-11-22T00:00:00"/>
        <d v="2024-11-24T00:00:00"/>
        <d v="2024-11-29T00:00:00"/>
        <d v="2024-12-01T00:00:00"/>
        <d v="2024-11-27T00:00:00"/>
        <d v="2024-11-28T00:00:00"/>
        <d v="2024-11-26T00:00:00"/>
        <d v="2024-11-25T00:00:00"/>
        <d v="2024-12-05T00:00:00"/>
        <d v="2024-12-04T00:00:00"/>
        <d v="2024-12-23T00:00:00"/>
        <d v="2024-12-03T00:00:00"/>
        <d v="2024-12-12T00:00:00"/>
        <d v="2024-12-06T00:00:00"/>
        <d v="2024-12-09T00:00:00"/>
        <d v="2024-12-15T00:00:00"/>
        <d v="2024-12-13T00:00:00"/>
        <d v="2024-12-08T00:00:00"/>
        <d v="2024-12-11T00:00:00"/>
        <d v="2024-12-25T00:00:00"/>
        <d v="2024-12-20T00:00:00"/>
        <d v="2024-01-02T00:00:00"/>
        <d v="2024-12-14T00:00:00"/>
        <d v="2024-12-19T00:00:00"/>
        <d v="2024-01-08T00:00:00"/>
        <d v="2024-12-17T00:00:00"/>
        <d v="2024-12-21T00:00:00"/>
        <d v="2024-12-22T00:00:00"/>
        <d v="2024-12-18T00:00:00"/>
        <d v="2024-12-24T00:00:00"/>
        <d v="2024-12-26T00:00:00"/>
        <d v="2024-12-29T00:00:00"/>
        <d v="2024-12-28T00:00:00"/>
        <d v="2024-12-30T00:00:00"/>
        <d v="2024-12-27T00:00:00"/>
        <d v="2025-01-15T00:00:00"/>
        <d v="2024-01-25T00:00:00"/>
        <d v="2024-01-30T00:00:00"/>
        <d v="2024-01-12T00:00:00"/>
        <d v="2024-01-04T00:00:00"/>
        <d v="2025-01-24T00:00:00"/>
        <d v="2025-01-03T00:00:00"/>
        <d v="2025-01-05T00:00:00"/>
        <d v="2025-01-06T00:00:00"/>
        <d v="2025-01-07T00:00:00"/>
        <d v="2025-01-18T00:00:00"/>
        <d v="2025-01-08T00:00:00"/>
        <d v="2025-01-10T00:00:00"/>
        <d v="2025-01-12T00:00:00"/>
        <d v="2025-01-11T00:00:00"/>
        <d v="2025-01-14T00:00:00"/>
        <d v="2025-01-13T00:00:00"/>
        <d v="2025-01-16T00:00:00"/>
        <d v="2025-01-17T00:00:00"/>
        <d v="2025-01-23T00:00:00"/>
        <d v="2025-01-19T00:00:00"/>
        <d v="2025-01-22T00:00:00"/>
        <d v="2025-01-25T00:00:00"/>
        <d v="2025-01-26T00:00:00"/>
        <d v="2025-01-27T00:00:00"/>
        <d v="2025-01-28T00:00:00"/>
        <d v="2025-01-31T00:00:00"/>
        <d v="2025-02-24T00:00:00"/>
        <d v="2025-02-08T00:00:00"/>
        <d v="2025-02-22T00:00:00"/>
        <d v="2025-02-17T00:00:00"/>
        <d v="2025-03-30T00:00:00"/>
        <d v="2025-02-21T00:00:00"/>
        <d v="2025-02-01T00:00:00"/>
        <d v="2025-01-29T00:00:00"/>
        <d v="2025-01-30T00:00:00"/>
        <d v="2025-02-20T00:00:00"/>
        <d v="2025-03-09T00:00:00"/>
        <d v="2025-02-23T00:00:00"/>
        <d v="2025-02-02T00:00:00"/>
        <d v="2025-02-03T00:00:00"/>
        <d v="2025-02-05T00:00:00"/>
        <d v="2025-02-06T00:00:00"/>
        <d v="2025-02-04T00:00:00"/>
        <d v="2025-02-07T00:00:00"/>
        <d v="2025-03-22T00:00:00"/>
        <d v="2025-03-11T00:00:00"/>
        <d v="2025-03-03T00:00:00"/>
        <d v="2025-02-15T00:00:00"/>
        <d v="2025-02-09T00:00:00"/>
        <d v="2025-02-10T00:00:00"/>
        <d v="2025-03-08T00:00:00"/>
        <d v="2025-03-07T00:00:00"/>
        <d v="2025-02-14T00:00:00"/>
        <d v="2025-02-16T00:00:00"/>
        <d v="2025-02-25T00:00:00"/>
        <d v="2025-02-18T00:00:00"/>
        <d v="2025-02-26T00:00:00"/>
        <d v="2025-03-28T00:00:00"/>
        <d v="2025-03-21T00:00:00"/>
        <d v="2025-03-18T00:00:00"/>
        <d v="2025-02-28T00:00:00"/>
        <d v="2025-02-27T00:00:00"/>
        <d v="2025-03-01T00:00:00"/>
        <d v="2025-03-04T00:00:00"/>
        <d v="2025-03-02T00:00:00"/>
        <d v="2025-03-05T00:00:00"/>
        <d v="2025-03-23T00:00:00"/>
        <d v="2025-03-06T00:00:00"/>
        <d v="2025-03-24T00:00:00"/>
        <d v="2025-03-10T00:00:00"/>
        <d v="2025-03-13T00:00:00"/>
        <d v="2025-03-12T00:00:00"/>
        <d v="2025-03-14T00:00:00"/>
        <d v="2025-03-17T00:00:00"/>
        <d v="2025-03-15T00:00:00"/>
        <d v="2025-03-16T00:00:00"/>
        <d v="2025-04-06T00:00:00"/>
        <d v="2025-03-19T00:00:00"/>
        <d v="2025-03-20T00:00:00"/>
        <d v="2025-03-26T00:00:00"/>
        <d v="2025-03-27T00:00:00"/>
        <d v="2025-04-11T00:00:00"/>
        <d v="2025-03-29T00:00:00"/>
        <d v="2025-03-25T00:00:00"/>
        <d v="2025-04-17T00:00:00"/>
        <d v="2025-04-02T00:00:00"/>
        <d v="2025-04-03T00:00:00"/>
        <d v="2025-03-31T00:00:00"/>
        <d v="2025-04-01T00:00:00"/>
        <d v="2025-04-04T00:00:00"/>
        <d v="2025-04-05T00:00:00"/>
        <d v="2025-04-08T00:00:00"/>
        <d v="2025-04-09T00:00:00"/>
        <d v="2025-04-10T00:00:00"/>
        <d v="2025-04-13T00:00:00"/>
        <d v="2025-05-04T00:00:00"/>
        <d v="2025-04-12T00:00:00"/>
        <d v="2025-04-07T00:00:00"/>
        <d v="2025-05-14T00:00:00"/>
        <d v="2025-05-05T00:00:00"/>
        <d v="2025-04-14T00:00:00"/>
        <d v="2025-04-15T00:00:00"/>
        <d v="2025-04-18T00:00:00"/>
        <d v="2025-04-21T00:00:00"/>
        <d v="2025-05-07T00:00:00"/>
        <d v="2025-04-20T00:00:00"/>
      </sharedItems>
    </cacheField>
    <cacheField name="quantity" numFmtId="0">
      <sharedItems containsString="0" containsBlank="1" containsNumber="1" containsInteger="1" minValue="0" maxValue="9"/>
    </cacheField>
    <cacheField name="discountPrice" numFmtId="0">
      <sharedItems containsString="0" containsBlank="1" containsNumber="1" minValue="-3174" maxValue="80000"/>
    </cacheField>
    <cacheField name="discountSumm" numFmtId="0">
      <sharedItems containsSemiMixedTypes="0" containsString="0" containsNumber="1" minValue="-3174" maxValue="80000"/>
    </cacheField>
    <cacheField name="price" numFmtId="0">
      <sharedItems containsString="0" containsBlank="1" containsNumber="1" containsInteger="1" minValue="-3358" maxValue="80000"/>
    </cacheField>
    <cacheField name="orderSumm" numFmtId="0">
      <sharedItems containsSemiMixedTypes="0" containsString="0" containsNumber="1" containsInteger="1" minValue="-3358" maxValue="80000"/>
    </cacheField>
    <cacheField name="deliveryPost" numFmtId="0">
      <sharedItems containsString="0" containsBlank="1" containsNumber="1" minValue="0" maxValue="7840"/>
    </cacheField>
    <cacheField name="deliverySumm" numFmtId="0">
      <sharedItems containsBlank="1" containsMixedTypes="1" containsNumber="1" containsInteger="1" minValue="0" maxValue="8000"/>
    </cacheField>
    <cacheField name="totalSumm" numFmtId="0">
      <sharedItems containsString="0" containsBlank="1" containsNumber="1" minValue="-2854" maxValue="61113"/>
    </cacheField>
    <cacheField name="payment" numFmtId="0">
      <sharedItems containsString="0" containsBlank="1" containsNumber="1" minValue="-2854" maxValue="61113"/>
    </cacheField>
    <cacheField name="Остаток" numFmtId="164">
      <sharedItems containsSemiMixedTypes="0" containsString="0" containsNumber="1" containsInteger="1" minValue="-17" maxValue="682"/>
    </cacheField>
    <cacheField name="pvzName" numFmtId="0">
      <sharedItems containsBlank="1" count="36">
        <s v="WB ДНТ Мирный 8А"/>
        <s v="OZON ДНТ Мирный 8А"/>
        <s v="WB Сызранова 23а"/>
        <s v="ПочтаРФ Чехова 269"/>
        <s v="OZON Сызранова 25б"/>
        <s v="ПочтаРФ Сызранова 6"/>
        <s v="OZON Натальевка"/>
        <s v="СДЭК Чехова 269"/>
        <s v="АВИТО"/>
        <s v="Шиномонтаж курьер"/>
        <s v="СДЭК Пархоменко 56"/>
        <s v="Boxberry Сызранова 25б"/>
        <s v="Яндекс Сызранова 23а"/>
        <s v="WB Сызранова 22"/>
        <s v="ТЦ Москва"/>
        <s v="OZON Чехова 373"/>
        <s v="WB Чехова 373"/>
        <s v="OZON Курьрер"/>
        <s v="Яндекс Чучева, 48/2"/>
        <s v="ПочтаРФ Чехова 373"/>
        <s v="СДЭК Чехова 336-в"/>
        <s v="Boxberry Чехова 373"/>
        <s v="5Post Чучева, 48"/>
        <s v="ПЭК Пархоменко 22А"/>
        <m/>
        <s v="ПочтаДонбасса Куприна 11"/>
        <s v="Labirint"/>
        <s v="Lampada.su"/>
        <s v="Карапузов"/>
        <s v="ТЦ Мармелад, Зоозавр"/>
        <s v="Молодая Гвардия"/>
        <s v="Медицинский центр"/>
        <s v="Boxberry Большая бульварная 11"/>
        <s v="КИТ Володарское шоссе 1"/>
        <s v="ТЦ Мармелад, Лэтуаль"/>
        <s v="Аптека Магнит Шило 249Б"/>
      </sharedItems>
    </cacheField>
    <cacheField name="ord" numFmtId="0">
      <sharedItems/>
    </cacheField>
    <cacheField name="pai" numFmtId="0">
      <sharedItems/>
    </cacheField>
    <cacheField name="ship" numFmtId="0">
      <sharedItems count="2">
        <s v="true"/>
        <s v="fal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7">
  <r>
    <n v="1"/>
    <d v="2024-03-10T00:00:00"/>
    <s v="3/2024"/>
    <x v="0"/>
    <x v="0"/>
    <x v="0"/>
    <x v="0"/>
    <x v="0"/>
    <n v="1"/>
    <m/>
    <n v="0"/>
    <n v="1229"/>
    <n v="1229"/>
    <m/>
    <n v="184"/>
    <n v="1413"/>
    <n v="1413"/>
    <n v="0"/>
    <x v="0"/>
    <s v="true"/>
    <s v="true"/>
    <x v="0"/>
  </r>
  <r>
    <n v="1"/>
    <d v="2024-03-10T00:00:00"/>
    <s v="3/2024"/>
    <x v="0"/>
    <x v="1"/>
    <x v="0"/>
    <x v="1"/>
    <x v="1"/>
    <n v="1"/>
    <m/>
    <n v="0"/>
    <n v="1235"/>
    <n v="1235"/>
    <m/>
    <n v="185"/>
    <n v="1420"/>
    <n v="1420"/>
    <n v="0"/>
    <x v="1"/>
    <s v="true"/>
    <s v="true"/>
    <x v="0"/>
  </r>
  <r>
    <n v="1"/>
    <d v="2024-03-10T00:00:00"/>
    <s v="3/2024"/>
    <x v="0"/>
    <x v="2"/>
    <x v="0"/>
    <x v="0"/>
    <x v="0"/>
    <n v="1"/>
    <m/>
    <n v="0"/>
    <n v="434"/>
    <n v="434"/>
    <m/>
    <n v="65"/>
    <n v="499"/>
    <n v="499"/>
    <n v="0"/>
    <x v="0"/>
    <s v="true"/>
    <s v="true"/>
    <x v="0"/>
  </r>
  <r>
    <n v="1"/>
    <d v="2024-03-10T00:00:00"/>
    <s v="3/2024"/>
    <x v="0"/>
    <x v="3"/>
    <x v="0"/>
    <x v="0"/>
    <x v="0"/>
    <n v="1"/>
    <m/>
    <n v="0"/>
    <n v="299"/>
    <n v="299"/>
    <m/>
    <n v="45"/>
    <n v="344"/>
    <n v="344"/>
    <n v="0"/>
    <x v="0"/>
    <s v="true"/>
    <s v="true"/>
    <x v="0"/>
  </r>
  <r>
    <n v="2"/>
    <d v="2024-03-10T00:00:00"/>
    <s v="3/2024"/>
    <x v="1"/>
    <x v="4"/>
    <x v="0"/>
    <x v="0"/>
    <x v="2"/>
    <n v="1"/>
    <m/>
    <n v="0"/>
    <n v="795"/>
    <n v="795"/>
    <m/>
    <n v="80"/>
    <n v="875"/>
    <n v="875"/>
    <n v="0"/>
    <x v="0"/>
    <s v="true"/>
    <s v="true"/>
    <x v="0"/>
  </r>
  <r>
    <n v="2"/>
    <d v="2024-03-10T00:00:00"/>
    <s v="3/2024"/>
    <x v="1"/>
    <x v="5"/>
    <x v="0"/>
    <x v="0"/>
    <x v="3"/>
    <n v="1"/>
    <m/>
    <n v="0"/>
    <n v="496"/>
    <n v="496"/>
    <m/>
    <n v="50"/>
    <n v="546"/>
    <n v="546"/>
    <n v="0"/>
    <x v="0"/>
    <s v="true"/>
    <s v="true"/>
    <x v="0"/>
  </r>
  <r>
    <n v="2"/>
    <d v="2024-03-10T00:00:00"/>
    <s v="3/2024"/>
    <x v="1"/>
    <x v="6"/>
    <x v="0"/>
    <x v="0"/>
    <x v="2"/>
    <n v="1"/>
    <m/>
    <n v="0"/>
    <n v="353"/>
    <n v="353"/>
    <m/>
    <n v="35"/>
    <n v="388"/>
    <n v="388"/>
    <n v="0"/>
    <x v="0"/>
    <s v="true"/>
    <s v="true"/>
    <x v="0"/>
  </r>
  <r>
    <n v="2"/>
    <d v="2024-03-10T00:00:00"/>
    <s v="3/2024"/>
    <x v="1"/>
    <x v="5"/>
    <x v="0"/>
    <x v="0"/>
    <x v="3"/>
    <n v="1"/>
    <m/>
    <n v="0"/>
    <n v="496"/>
    <n v="496"/>
    <m/>
    <n v="50"/>
    <n v="546"/>
    <n v="546"/>
    <n v="0"/>
    <x v="0"/>
    <s v="true"/>
    <s v="true"/>
    <x v="0"/>
  </r>
  <r>
    <n v="2"/>
    <d v="2024-03-10T00:00:00"/>
    <s v="3/2024"/>
    <x v="1"/>
    <x v="5"/>
    <x v="0"/>
    <x v="0"/>
    <x v="3"/>
    <n v="1"/>
    <m/>
    <n v="0"/>
    <n v="394"/>
    <n v="394"/>
    <m/>
    <n v="39"/>
    <n v="433"/>
    <n v="433"/>
    <n v="0"/>
    <x v="0"/>
    <s v="true"/>
    <s v="true"/>
    <x v="0"/>
  </r>
  <r>
    <n v="3"/>
    <d v="2024-03-10T00:00:00"/>
    <s v="3/2024"/>
    <x v="2"/>
    <x v="7"/>
    <x v="0"/>
    <x v="0"/>
    <x v="0"/>
    <n v="1"/>
    <m/>
    <n v="0"/>
    <n v="230"/>
    <n v="230"/>
    <m/>
    <n v="35"/>
    <n v="265"/>
    <n v="265"/>
    <n v="0"/>
    <x v="1"/>
    <s v="true"/>
    <s v="true"/>
    <x v="0"/>
  </r>
  <r>
    <n v="3"/>
    <d v="2024-03-10T00:00:00"/>
    <s v="3/2024"/>
    <x v="2"/>
    <x v="8"/>
    <x v="0"/>
    <x v="0"/>
    <x v="4"/>
    <n v="1"/>
    <m/>
    <n v="0"/>
    <n v="401"/>
    <n v="401"/>
    <m/>
    <n v="60"/>
    <n v="461"/>
    <n v="461"/>
    <n v="0"/>
    <x v="1"/>
    <s v="true"/>
    <s v="true"/>
    <x v="0"/>
  </r>
  <r>
    <n v="3"/>
    <d v="2024-03-10T00:00:00"/>
    <s v="3/2024"/>
    <x v="2"/>
    <x v="9"/>
    <x v="0"/>
    <x v="0"/>
    <x v="5"/>
    <n v="1"/>
    <m/>
    <n v="0"/>
    <n v="783"/>
    <n v="783"/>
    <m/>
    <n v="117"/>
    <n v="900"/>
    <n v="900"/>
    <n v="0"/>
    <x v="1"/>
    <s v="true"/>
    <s v="true"/>
    <x v="0"/>
  </r>
  <r>
    <n v="3"/>
    <d v="2024-03-10T00:00:00"/>
    <s v="3/2024"/>
    <x v="2"/>
    <x v="10"/>
    <x v="0"/>
    <x v="0"/>
    <x v="0"/>
    <n v="1"/>
    <m/>
    <n v="0"/>
    <n v="821"/>
    <n v="821"/>
    <m/>
    <n v="123"/>
    <n v="944"/>
    <n v="944"/>
    <n v="0"/>
    <x v="1"/>
    <s v="true"/>
    <s v="true"/>
    <x v="0"/>
  </r>
  <r>
    <n v="3"/>
    <d v="2024-03-10T00:00:00"/>
    <s v="3/2024"/>
    <x v="2"/>
    <x v="11"/>
    <x v="0"/>
    <x v="0"/>
    <x v="6"/>
    <n v="2"/>
    <m/>
    <n v="0"/>
    <n v="544"/>
    <n v="1088"/>
    <m/>
    <n v="163"/>
    <n v="1251"/>
    <n v="1251"/>
    <n v="0"/>
    <x v="1"/>
    <s v="true"/>
    <s v="true"/>
    <x v="0"/>
  </r>
  <r>
    <n v="3"/>
    <d v="2024-03-10T00:00:00"/>
    <s v="3/2024"/>
    <x v="2"/>
    <x v="12"/>
    <x v="0"/>
    <x v="0"/>
    <x v="0"/>
    <n v="1"/>
    <m/>
    <n v="0"/>
    <n v="159"/>
    <n v="159"/>
    <m/>
    <n v="24"/>
    <n v="183"/>
    <n v="183"/>
    <n v="0"/>
    <x v="1"/>
    <s v="true"/>
    <s v="true"/>
    <x v="0"/>
  </r>
  <r>
    <n v="3"/>
    <d v="2024-03-10T00:00:00"/>
    <s v="3/2024"/>
    <x v="2"/>
    <x v="13"/>
    <x v="0"/>
    <x v="0"/>
    <x v="0"/>
    <n v="1"/>
    <m/>
    <n v="0"/>
    <n v="262"/>
    <n v="262"/>
    <m/>
    <n v="39"/>
    <n v="301"/>
    <n v="301"/>
    <n v="0"/>
    <x v="1"/>
    <s v="true"/>
    <s v="true"/>
    <x v="0"/>
  </r>
  <r>
    <n v="3"/>
    <d v="2024-03-10T00:00:00"/>
    <s v="3/2024"/>
    <x v="2"/>
    <x v="14"/>
    <x v="0"/>
    <x v="0"/>
    <x v="7"/>
    <n v="2"/>
    <m/>
    <n v="0"/>
    <n v="384"/>
    <n v="768"/>
    <m/>
    <n v="115"/>
    <n v="883"/>
    <n v="883"/>
    <n v="0"/>
    <x v="2"/>
    <s v="true"/>
    <s v="true"/>
    <x v="0"/>
  </r>
  <r>
    <n v="4"/>
    <d v="2024-03-10T00:00:00"/>
    <s v="3/2024"/>
    <x v="3"/>
    <x v="15"/>
    <x v="0"/>
    <x v="2"/>
    <x v="8"/>
    <n v="1"/>
    <m/>
    <n v="0"/>
    <n v="2789"/>
    <n v="2789"/>
    <m/>
    <n v="418"/>
    <n v="3207"/>
    <n v="3207"/>
    <n v="0"/>
    <x v="3"/>
    <s v="true"/>
    <s v="true"/>
    <x v="0"/>
  </r>
  <r>
    <n v="4"/>
    <d v="2024-03-10T00:00:00"/>
    <s v="3/2024"/>
    <x v="3"/>
    <x v="16"/>
    <x v="0"/>
    <x v="3"/>
    <x v="8"/>
    <n v="1"/>
    <m/>
    <n v="0"/>
    <n v="462"/>
    <n v="462"/>
    <m/>
    <n v="69"/>
    <n v="531"/>
    <n v="531"/>
    <n v="0"/>
    <x v="3"/>
    <s v="true"/>
    <s v="true"/>
    <x v="0"/>
  </r>
  <r>
    <n v="5"/>
    <d v="2024-03-14T00:00:00"/>
    <s v="3/2024"/>
    <x v="4"/>
    <x v="17"/>
    <x v="0"/>
    <x v="0"/>
    <x v="4"/>
    <n v="1"/>
    <m/>
    <n v="0"/>
    <n v="1190"/>
    <n v="1190"/>
    <m/>
    <n v="200"/>
    <n v="1390"/>
    <n v="1390"/>
    <n v="0"/>
    <x v="2"/>
    <s v="true"/>
    <s v="true"/>
    <x v="0"/>
  </r>
  <r>
    <n v="6"/>
    <d v="2024-03-14T00:00:00"/>
    <s v="3/2024"/>
    <x v="5"/>
    <x v="18"/>
    <x v="0"/>
    <x v="0"/>
    <x v="7"/>
    <n v="1"/>
    <m/>
    <n v="0"/>
    <n v="2135"/>
    <n v="2135"/>
    <m/>
    <n v="320"/>
    <n v="2455"/>
    <n v="2455"/>
    <n v="0"/>
    <x v="1"/>
    <s v="true"/>
    <s v="true"/>
    <x v="0"/>
  </r>
  <r>
    <n v="7"/>
    <d v="2024-03-16T00:00:00"/>
    <s v="3/2024"/>
    <x v="6"/>
    <x v="19"/>
    <x v="0"/>
    <x v="0"/>
    <x v="5"/>
    <n v="1"/>
    <m/>
    <n v="0"/>
    <n v="3549"/>
    <n v="3549"/>
    <m/>
    <n v="532"/>
    <n v="4081"/>
    <n v="4081"/>
    <n v="0"/>
    <x v="2"/>
    <s v="true"/>
    <s v="true"/>
    <x v="0"/>
  </r>
  <r>
    <n v="8"/>
    <d v="2024-03-16T00:00:00"/>
    <s v="3/2024"/>
    <x v="7"/>
    <x v="20"/>
    <x v="0"/>
    <x v="0"/>
    <x v="9"/>
    <n v="1"/>
    <m/>
    <n v="0"/>
    <n v="2100"/>
    <n v="2100"/>
    <m/>
    <n v="315"/>
    <n v="2415"/>
    <n v="2415"/>
    <n v="0"/>
    <x v="2"/>
    <s v="true"/>
    <s v="true"/>
    <x v="0"/>
  </r>
  <r>
    <n v="9"/>
    <d v="2024-03-16T00:00:00"/>
    <s v="3/2024"/>
    <x v="0"/>
    <x v="21"/>
    <x v="0"/>
    <x v="0"/>
    <x v="5"/>
    <n v="1"/>
    <m/>
    <n v="0"/>
    <n v="275"/>
    <n v="275"/>
    <m/>
    <n v="41"/>
    <n v="316"/>
    <n v="316"/>
    <n v="0"/>
    <x v="2"/>
    <s v="true"/>
    <s v="true"/>
    <x v="0"/>
  </r>
  <r>
    <n v="9"/>
    <d v="2024-03-16T00:00:00"/>
    <s v="3/2024"/>
    <x v="0"/>
    <x v="22"/>
    <x v="0"/>
    <x v="0"/>
    <x v="5"/>
    <n v="1"/>
    <m/>
    <n v="0"/>
    <n v="292"/>
    <n v="292"/>
    <m/>
    <n v="44"/>
    <n v="336"/>
    <n v="336"/>
    <n v="0"/>
    <x v="2"/>
    <s v="true"/>
    <s v="true"/>
    <x v="0"/>
  </r>
  <r>
    <n v="9"/>
    <d v="2024-03-16T00:00:00"/>
    <s v="3/2024"/>
    <x v="0"/>
    <x v="23"/>
    <x v="0"/>
    <x v="0"/>
    <x v="5"/>
    <n v="1"/>
    <m/>
    <n v="0"/>
    <n v="374"/>
    <n v="374"/>
    <m/>
    <n v="56"/>
    <n v="430"/>
    <n v="430"/>
    <n v="0"/>
    <x v="2"/>
    <s v="true"/>
    <s v="true"/>
    <x v="0"/>
  </r>
  <r>
    <n v="9"/>
    <d v="2024-03-16T00:00:00"/>
    <s v="3/2024"/>
    <x v="0"/>
    <x v="24"/>
    <x v="0"/>
    <x v="0"/>
    <x v="5"/>
    <n v="1"/>
    <m/>
    <n v="0"/>
    <n v="88"/>
    <n v="88"/>
    <m/>
    <n v="13"/>
    <n v="101"/>
    <n v="101"/>
    <n v="0"/>
    <x v="2"/>
    <s v="true"/>
    <s v="true"/>
    <x v="0"/>
  </r>
  <r>
    <n v="9"/>
    <d v="2024-03-16T00:00:00"/>
    <s v="3/2024"/>
    <x v="0"/>
    <x v="25"/>
    <x v="0"/>
    <x v="0"/>
    <x v="5"/>
    <n v="1"/>
    <m/>
    <n v="0"/>
    <n v="159"/>
    <n v="159"/>
    <m/>
    <n v="24"/>
    <n v="183"/>
    <n v="183"/>
    <n v="0"/>
    <x v="2"/>
    <s v="true"/>
    <s v="true"/>
    <x v="0"/>
  </r>
  <r>
    <n v="9"/>
    <d v="2024-03-16T00:00:00"/>
    <s v="3/2024"/>
    <x v="0"/>
    <x v="26"/>
    <x v="0"/>
    <x v="0"/>
    <x v="6"/>
    <n v="1"/>
    <m/>
    <n v="0"/>
    <n v="409"/>
    <n v="409"/>
    <m/>
    <n v="61"/>
    <n v="470"/>
    <n v="470"/>
    <n v="0"/>
    <x v="2"/>
    <s v="true"/>
    <s v="true"/>
    <x v="0"/>
  </r>
  <r>
    <n v="9"/>
    <d v="2024-03-16T00:00:00"/>
    <s v="3/2024"/>
    <x v="0"/>
    <x v="27"/>
    <x v="0"/>
    <x v="0"/>
    <x v="10"/>
    <n v="1"/>
    <m/>
    <n v="0"/>
    <n v="310"/>
    <n v="310"/>
    <m/>
    <n v="47"/>
    <n v="357"/>
    <n v="357"/>
    <n v="0"/>
    <x v="4"/>
    <s v="true"/>
    <s v="true"/>
    <x v="0"/>
  </r>
  <r>
    <n v="9"/>
    <d v="2024-03-16T00:00:00"/>
    <s v="3/2024"/>
    <x v="0"/>
    <x v="28"/>
    <x v="0"/>
    <x v="0"/>
    <x v="5"/>
    <n v="1"/>
    <m/>
    <n v="0"/>
    <n v="264"/>
    <n v="264"/>
    <m/>
    <n v="40"/>
    <n v="304"/>
    <n v="304"/>
    <n v="0"/>
    <x v="4"/>
    <s v="true"/>
    <s v="true"/>
    <x v="0"/>
  </r>
  <r>
    <n v="10"/>
    <d v="2024-03-17T00:00:00"/>
    <s v="3/2024"/>
    <x v="6"/>
    <x v="29"/>
    <x v="0"/>
    <x v="0"/>
    <x v="5"/>
    <n v="1"/>
    <m/>
    <n v="0"/>
    <n v="2189"/>
    <n v="2189"/>
    <m/>
    <n v="328"/>
    <n v="2517"/>
    <n v="2517"/>
    <n v="0"/>
    <x v="2"/>
    <s v="true"/>
    <s v="true"/>
    <x v="0"/>
  </r>
  <r>
    <n v="11"/>
    <d v="2024-03-17T00:00:00"/>
    <s v="3/2024"/>
    <x v="8"/>
    <x v="30"/>
    <x v="0"/>
    <x v="0"/>
    <x v="3"/>
    <n v="1"/>
    <m/>
    <n v="0"/>
    <n v="1301"/>
    <n v="1301"/>
    <m/>
    <n v="200"/>
    <n v="1501"/>
    <n v="1501"/>
    <n v="0"/>
    <x v="5"/>
    <s v="true"/>
    <s v="true"/>
    <x v="0"/>
  </r>
  <r>
    <n v="12"/>
    <d v="2024-03-17T00:00:00"/>
    <s v="3/2024"/>
    <x v="9"/>
    <x v="31"/>
    <x v="0"/>
    <x v="0"/>
    <x v="3"/>
    <n v="1"/>
    <m/>
    <n v="0"/>
    <n v="1477"/>
    <n v="1477"/>
    <m/>
    <n v="222"/>
    <n v="1699"/>
    <n v="1699"/>
    <n v="0"/>
    <x v="4"/>
    <s v="true"/>
    <s v="true"/>
    <x v="0"/>
  </r>
  <r>
    <n v="13"/>
    <d v="2024-03-18T00:00:00"/>
    <s v="3/2024"/>
    <x v="2"/>
    <x v="32"/>
    <x v="0"/>
    <x v="0"/>
    <x v="11"/>
    <n v="1"/>
    <m/>
    <n v="0"/>
    <n v="29654"/>
    <n v="29654"/>
    <n v="1483"/>
    <n v="2965"/>
    <n v="34102"/>
    <n v="34102"/>
    <n v="0"/>
    <x v="4"/>
    <s v="true"/>
    <s v="true"/>
    <x v="0"/>
  </r>
  <r>
    <n v="13"/>
    <d v="2024-03-18T00:00:00"/>
    <s v="3/2024"/>
    <x v="2"/>
    <x v="33"/>
    <x v="0"/>
    <x v="0"/>
    <x v="12"/>
    <n v="1"/>
    <m/>
    <n v="0"/>
    <n v="307"/>
    <n v="307"/>
    <m/>
    <n v="31"/>
    <n v="338"/>
    <n v="338"/>
    <n v="0"/>
    <x v="4"/>
    <s v="true"/>
    <s v="true"/>
    <x v="0"/>
  </r>
  <r>
    <n v="14"/>
    <d v="2024-03-18T00:00:00"/>
    <s v="3/2024"/>
    <x v="10"/>
    <x v="34"/>
    <x v="0"/>
    <x v="0"/>
    <x v="13"/>
    <n v="1"/>
    <m/>
    <n v="0"/>
    <n v="425"/>
    <n v="425"/>
    <m/>
    <n v="200"/>
    <n v="625"/>
    <n v="625"/>
    <n v="0"/>
    <x v="4"/>
    <s v="true"/>
    <s v="true"/>
    <x v="0"/>
  </r>
  <r>
    <n v="15"/>
    <d v="2024-03-19T00:00:00"/>
    <s v="3/2024"/>
    <x v="11"/>
    <x v="35"/>
    <x v="0"/>
    <x v="0"/>
    <x v="14"/>
    <n v="1"/>
    <m/>
    <n v="0"/>
    <n v="229"/>
    <n v="229"/>
    <m/>
    <n v="34"/>
    <n v="263"/>
    <n v="263"/>
    <n v="0"/>
    <x v="4"/>
    <s v="true"/>
    <s v="true"/>
    <x v="0"/>
  </r>
  <r>
    <n v="15"/>
    <d v="2024-03-19T00:00:00"/>
    <s v="3/2024"/>
    <x v="11"/>
    <x v="36"/>
    <x v="0"/>
    <x v="0"/>
    <x v="15"/>
    <n v="1"/>
    <m/>
    <n v="0"/>
    <n v="1399"/>
    <n v="1399"/>
    <m/>
    <n v="210"/>
    <n v="1609"/>
    <n v="1609"/>
    <n v="0"/>
    <x v="4"/>
    <s v="true"/>
    <s v="true"/>
    <x v="0"/>
  </r>
  <r>
    <n v="15"/>
    <d v="2024-03-19T00:00:00"/>
    <s v="3/2024"/>
    <x v="11"/>
    <x v="37"/>
    <x v="0"/>
    <x v="0"/>
    <x v="14"/>
    <n v="1"/>
    <m/>
    <n v="0"/>
    <n v="570"/>
    <n v="570"/>
    <m/>
    <n v="86"/>
    <n v="656"/>
    <n v="656"/>
    <n v="0"/>
    <x v="4"/>
    <s v="true"/>
    <s v="true"/>
    <x v="0"/>
  </r>
  <r>
    <n v="15"/>
    <d v="2024-03-19T00:00:00"/>
    <s v="3/2024"/>
    <x v="11"/>
    <x v="38"/>
    <x v="0"/>
    <x v="0"/>
    <x v="11"/>
    <n v="1"/>
    <m/>
    <n v="0"/>
    <n v="212"/>
    <n v="212"/>
    <m/>
    <n v="32"/>
    <n v="244"/>
    <n v="244"/>
    <n v="0"/>
    <x v="4"/>
    <s v="true"/>
    <s v="true"/>
    <x v="0"/>
  </r>
  <r>
    <n v="15"/>
    <d v="2024-03-19T00:00:00"/>
    <s v="3/2024"/>
    <x v="11"/>
    <x v="39"/>
    <x v="0"/>
    <x v="0"/>
    <x v="3"/>
    <n v="1"/>
    <m/>
    <n v="0"/>
    <n v="1246"/>
    <n v="1246"/>
    <m/>
    <n v="187"/>
    <n v="1433"/>
    <n v="1433"/>
    <n v="0"/>
    <x v="4"/>
    <s v="true"/>
    <s v="true"/>
    <x v="0"/>
  </r>
  <r>
    <n v="15"/>
    <d v="2024-03-19T00:00:00"/>
    <s v="3/2024"/>
    <x v="11"/>
    <x v="40"/>
    <x v="0"/>
    <x v="0"/>
    <x v="12"/>
    <n v="1"/>
    <m/>
    <n v="0"/>
    <n v="388"/>
    <n v="388"/>
    <m/>
    <n v="58"/>
    <n v="446"/>
    <n v="446"/>
    <n v="0"/>
    <x v="4"/>
    <s v="true"/>
    <s v="true"/>
    <x v="0"/>
  </r>
  <r>
    <n v="15"/>
    <d v="2024-03-19T00:00:00"/>
    <s v="3/2024"/>
    <x v="11"/>
    <x v="41"/>
    <x v="0"/>
    <x v="0"/>
    <x v="14"/>
    <n v="1"/>
    <m/>
    <n v="0"/>
    <n v="531"/>
    <n v="531"/>
    <m/>
    <n v="80"/>
    <n v="611"/>
    <n v="611"/>
    <n v="0"/>
    <x v="4"/>
    <s v="true"/>
    <s v="true"/>
    <x v="0"/>
  </r>
  <r>
    <n v="16"/>
    <d v="2024-03-20T00:00:00"/>
    <s v="3/2024"/>
    <x v="1"/>
    <x v="42"/>
    <x v="0"/>
    <x v="0"/>
    <x v="11"/>
    <n v="1"/>
    <m/>
    <n v="0"/>
    <n v="1199"/>
    <n v="1199"/>
    <m/>
    <n v="120"/>
    <n v="1319"/>
    <n v="1319"/>
    <n v="0"/>
    <x v="2"/>
    <s v="true"/>
    <s v="true"/>
    <x v="0"/>
  </r>
  <r>
    <n v="16"/>
    <d v="2024-03-20T00:00:00"/>
    <s v="3/2024"/>
    <x v="1"/>
    <x v="43"/>
    <x v="0"/>
    <x v="0"/>
    <x v="9"/>
    <n v="1"/>
    <m/>
    <n v="0"/>
    <n v="470"/>
    <n v="470"/>
    <m/>
    <n v="47"/>
    <n v="517"/>
    <n v="517"/>
    <n v="0"/>
    <x v="2"/>
    <s v="true"/>
    <s v="true"/>
    <x v="0"/>
  </r>
  <r>
    <n v="16"/>
    <d v="2024-03-20T00:00:00"/>
    <s v="3/2024"/>
    <x v="1"/>
    <x v="44"/>
    <x v="0"/>
    <x v="0"/>
    <x v="11"/>
    <n v="1"/>
    <m/>
    <n v="0"/>
    <n v="428"/>
    <n v="428"/>
    <m/>
    <n v="43"/>
    <n v="471"/>
    <n v="471"/>
    <n v="0"/>
    <x v="2"/>
    <s v="true"/>
    <s v="true"/>
    <x v="0"/>
  </r>
  <r>
    <n v="16"/>
    <d v="2024-03-20T00:00:00"/>
    <s v="3/2024"/>
    <x v="1"/>
    <x v="45"/>
    <x v="0"/>
    <x v="0"/>
    <x v="11"/>
    <n v="1"/>
    <m/>
    <n v="0"/>
    <n v="284"/>
    <n v="284"/>
    <m/>
    <n v="28"/>
    <n v="312"/>
    <n v="312"/>
    <n v="0"/>
    <x v="2"/>
    <s v="true"/>
    <s v="true"/>
    <x v="0"/>
  </r>
  <r>
    <n v="16"/>
    <d v="2024-03-20T00:00:00"/>
    <s v="3/2024"/>
    <x v="1"/>
    <x v="46"/>
    <x v="0"/>
    <x v="0"/>
    <x v="11"/>
    <n v="1"/>
    <m/>
    <n v="0"/>
    <n v="454"/>
    <n v="454"/>
    <m/>
    <n v="45"/>
    <n v="499"/>
    <n v="499"/>
    <n v="0"/>
    <x v="2"/>
    <s v="true"/>
    <s v="true"/>
    <x v="0"/>
  </r>
  <r>
    <n v="16"/>
    <d v="2024-03-20T00:00:00"/>
    <s v="3/2024"/>
    <x v="1"/>
    <x v="47"/>
    <x v="0"/>
    <x v="0"/>
    <x v="16"/>
    <n v="1"/>
    <m/>
    <n v="0"/>
    <n v="524"/>
    <n v="524"/>
    <m/>
    <n v="52"/>
    <n v="576"/>
    <n v="576"/>
    <n v="0"/>
    <x v="2"/>
    <s v="true"/>
    <s v="true"/>
    <x v="0"/>
  </r>
  <r>
    <n v="18"/>
    <d v="2024-03-23T00:00:00"/>
    <s v="3/2024"/>
    <x v="12"/>
    <x v="48"/>
    <x v="0"/>
    <x v="0"/>
    <x v="17"/>
    <n v="1"/>
    <m/>
    <n v="0"/>
    <n v="484"/>
    <n v="484"/>
    <m/>
    <n v="200"/>
    <n v="684"/>
    <n v="684"/>
    <n v="0"/>
    <x v="4"/>
    <s v="true"/>
    <s v="true"/>
    <x v="0"/>
  </r>
  <r>
    <n v="19"/>
    <d v="2024-03-23T00:00:00"/>
    <s v="3/2024"/>
    <x v="13"/>
    <x v="49"/>
    <x v="0"/>
    <x v="0"/>
    <x v="16"/>
    <n v="1"/>
    <m/>
    <n v="0"/>
    <n v="155"/>
    <n v="155"/>
    <m/>
    <n v="23"/>
    <n v="178"/>
    <n v="178"/>
    <n v="0"/>
    <x v="4"/>
    <s v="true"/>
    <s v="true"/>
    <x v="0"/>
  </r>
  <r>
    <n v="19"/>
    <d v="2024-03-23T00:00:00"/>
    <s v="3/2024"/>
    <x v="13"/>
    <x v="50"/>
    <x v="0"/>
    <x v="0"/>
    <x v="18"/>
    <n v="1"/>
    <m/>
    <n v="0"/>
    <n v="278"/>
    <n v="278"/>
    <m/>
    <n v="42"/>
    <n v="320"/>
    <n v="320"/>
    <n v="0"/>
    <x v="2"/>
    <s v="true"/>
    <s v="true"/>
    <x v="0"/>
  </r>
  <r>
    <n v="19"/>
    <d v="2024-03-23T00:00:00"/>
    <s v="3/2024"/>
    <x v="13"/>
    <x v="51"/>
    <x v="0"/>
    <x v="0"/>
    <x v="17"/>
    <n v="1"/>
    <m/>
    <n v="0"/>
    <n v="362"/>
    <n v="362"/>
    <m/>
    <n v="54"/>
    <n v="416"/>
    <n v="416"/>
    <n v="0"/>
    <x v="4"/>
    <s v="true"/>
    <s v="true"/>
    <x v="0"/>
  </r>
  <r>
    <n v="19"/>
    <d v="2024-03-23T00:00:00"/>
    <s v="3/2024"/>
    <x v="13"/>
    <x v="52"/>
    <x v="0"/>
    <x v="0"/>
    <x v="19"/>
    <n v="1"/>
    <m/>
    <n v="0"/>
    <n v="360"/>
    <n v="360"/>
    <m/>
    <n v="54"/>
    <n v="414"/>
    <n v="414"/>
    <n v="0"/>
    <x v="4"/>
    <s v="true"/>
    <s v="true"/>
    <x v="0"/>
  </r>
  <r>
    <n v="19"/>
    <d v="2024-03-23T00:00:00"/>
    <s v="3/2024"/>
    <x v="13"/>
    <x v="53"/>
    <x v="0"/>
    <x v="0"/>
    <x v="17"/>
    <n v="1"/>
    <m/>
    <n v="0"/>
    <n v="565"/>
    <n v="565"/>
    <m/>
    <n v="85"/>
    <n v="650"/>
    <n v="650"/>
    <n v="0"/>
    <x v="4"/>
    <s v="true"/>
    <s v="true"/>
    <x v="0"/>
  </r>
  <r>
    <n v="19"/>
    <d v="2024-03-23T00:00:00"/>
    <s v="3/2024"/>
    <x v="13"/>
    <x v="54"/>
    <x v="0"/>
    <x v="0"/>
    <x v="18"/>
    <n v="1"/>
    <m/>
    <n v="0"/>
    <n v="292"/>
    <n v="292"/>
    <m/>
    <n v="44"/>
    <n v="336"/>
    <n v="336"/>
    <n v="0"/>
    <x v="4"/>
    <s v="true"/>
    <s v="true"/>
    <x v="0"/>
  </r>
  <r>
    <n v="19"/>
    <d v="2024-03-23T00:00:00"/>
    <s v="3/2024"/>
    <x v="13"/>
    <x v="55"/>
    <x v="0"/>
    <x v="0"/>
    <x v="17"/>
    <n v="1"/>
    <m/>
    <n v="0"/>
    <n v="441"/>
    <n v="441"/>
    <m/>
    <n v="66"/>
    <n v="507"/>
    <n v="507"/>
    <n v="0"/>
    <x v="4"/>
    <s v="true"/>
    <s v="true"/>
    <x v="0"/>
  </r>
  <r>
    <n v="12"/>
    <d v="2024-03-17T00:00:00"/>
    <s v="3/2024"/>
    <x v="9"/>
    <x v="56"/>
    <x v="0"/>
    <x v="0"/>
    <x v="9"/>
    <n v="1"/>
    <m/>
    <n v="0"/>
    <n v="1184"/>
    <n v="1184"/>
    <m/>
    <n v="178"/>
    <n v="1362"/>
    <n v="1362"/>
    <n v="0"/>
    <x v="4"/>
    <s v="true"/>
    <s v="true"/>
    <x v="0"/>
  </r>
  <r>
    <n v="21"/>
    <d v="2024-03-24T00:00:00"/>
    <s v="3/2024"/>
    <x v="14"/>
    <x v="57"/>
    <x v="0"/>
    <x v="0"/>
    <x v="20"/>
    <n v="1"/>
    <m/>
    <n v="0"/>
    <n v="4740"/>
    <n v="4740"/>
    <m/>
    <n v="711"/>
    <n v="5451"/>
    <n v="5451"/>
    <n v="0"/>
    <x v="4"/>
    <s v="true"/>
    <s v="true"/>
    <x v="0"/>
  </r>
  <r>
    <n v="22"/>
    <d v="2024-03-25T00:00:00"/>
    <s v="3/2024"/>
    <x v="15"/>
    <x v="58"/>
    <x v="0"/>
    <x v="0"/>
    <x v="16"/>
    <n v="1"/>
    <m/>
    <n v="0"/>
    <n v="8769"/>
    <n v="8769"/>
    <m/>
    <n v="1315"/>
    <n v="10084"/>
    <n v="10084"/>
    <n v="0"/>
    <x v="6"/>
    <s v="true"/>
    <s v="true"/>
    <x v="0"/>
  </r>
  <r>
    <n v="22"/>
    <d v="2024-03-25T00:00:00"/>
    <s v="3/2024"/>
    <x v="15"/>
    <x v="0"/>
    <x v="0"/>
    <x v="0"/>
    <x v="16"/>
    <m/>
    <m/>
    <n v="0"/>
    <m/>
    <n v="0"/>
    <m/>
    <n v="0"/>
    <n v="0"/>
    <m/>
    <n v="0"/>
    <x v="6"/>
    <s v="true"/>
    <s v="true"/>
    <x v="0"/>
  </r>
  <r>
    <n v="31"/>
    <d v="2024-03-27T00:00:00"/>
    <s v="3/2024"/>
    <x v="15"/>
    <x v="59"/>
    <x v="0"/>
    <x v="0"/>
    <x v="16"/>
    <n v="1"/>
    <m/>
    <n v="0"/>
    <n v="3749"/>
    <n v="3749"/>
    <m/>
    <n v="562"/>
    <n v="4311"/>
    <n v="4311"/>
    <n v="0"/>
    <x v="7"/>
    <s v="true"/>
    <s v="true"/>
    <x v="0"/>
  </r>
  <r>
    <n v="23"/>
    <d v="2024-03-25T00:00:00"/>
    <s v="3/2024"/>
    <x v="16"/>
    <x v="60"/>
    <x v="0"/>
    <x v="0"/>
    <x v="16"/>
    <n v="3"/>
    <m/>
    <n v="0"/>
    <n v="1500"/>
    <n v="4779"/>
    <m/>
    <n v="717"/>
    <n v="5496"/>
    <n v="5496"/>
    <n v="0"/>
    <x v="8"/>
    <s v="true"/>
    <s v="true"/>
    <x v="0"/>
  </r>
  <r>
    <n v="23"/>
    <d v="2024-03-25T00:00:00"/>
    <s v="3/2024"/>
    <x v="16"/>
    <x v="61"/>
    <x v="0"/>
    <x v="0"/>
    <x v="20"/>
    <n v="1"/>
    <m/>
    <n v="0"/>
    <n v="355"/>
    <n v="355"/>
    <m/>
    <n v="53"/>
    <n v="408"/>
    <n v="408"/>
    <n v="0"/>
    <x v="2"/>
    <s v="true"/>
    <s v="true"/>
    <x v="0"/>
  </r>
  <r>
    <n v="23"/>
    <d v="2024-03-25T00:00:00"/>
    <s v="3/2024"/>
    <x v="16"/>
    <x v="62"/>
    <x v="0"/>
    <x v="0"/>
    <x v="20"/>
    <n v="1"/>
    <m/>
    <n v="0"/>
    <n v="403"/>
    <n v="403"/>
    <m/>
    <n v="60"/>
    <n v="463"/>
    <n v="463"/>
    <n v="0"/>
    <x v="2"/>
    <s v="true"/>
    <s v="true"/>
    <x v="0"/>
  </r>
  <r>
    <n v="24"/>
    <d v="2024-03-25T00:00:00"/>
    <s v="3/2024"/>
    <x v="0"/>
    <x v="63"/>
    <x v="0"/>
    <x v="0"/>
    <x v="15"/>
    <n v="1"/>
    <m/>
    <n v="0"/>
    <n v="533"/>
    <n v="533"/>
    <m/>
    <n v="80"/>
    <n v="613"/>
    <n v="613"/>
    <n v="0"/>
    <x v="2"/>
    <s v="true"/>
    <s v="true"/>
    <x v="0"/>
  </r>
  <r>
    <n v="24"/>
    <d v="2024-03-25T00:00:00"/>
    <s v="3/2024"/>
    <x v="0"/>
    <x v="64"/>
    <x v="0"/>
    <x v="0"/>
    <x v="9"/>
    <n v="1"/>
    <m/>
    <n v="0"/>
    <n v="117"/>
    <n v="117"/>
    <m/>
    <n v="18"/>
    <n v="135"/>
    <n v="135"/>
    <n v="0"/>
    <x v="2"/>
    <s v="true"/>
    <s v="true"/>
    <x v="0"/>
  </r>
  <r>
    <n v="24"/>
    <d v="2024-03-25T00:00:00"/>
    <s v="3/2024"/>
    <x v="0"/>
    <x v="65"/>
    <x v="0"/>
    <x v="0"/>
    <x v="18"/>
    <n v="1"/>
    <m/>
    <n v="0"/>
    <n v="205"/>
    <n v="205"/>
    <m/>
    <n v="31"/>
    <n v="236"/>
    <n v="236"/>
    <n v="0"/>
    <x v="2"/>
    <s v="true"/>
    <s v="true"/>
    <x v="0"/>
  </r>
  <r>
    <n v="24"/>
    <d v="2024-03-25T00:00:00"/>
    <s v="3/2024"/>
    <x v="0"/>
    <x v="66"/>
    <x v="0"/>
    <x v="0"/>
    <x v="20"/>
    <n v="1"/>
    <m/>
    <n v="0"/>
    <n v="174"/>
    <n v="174"/>
    <m/>
    <n v="26"/>
    <n v="200"/>
    <n v="200"/>
    <n v="0"/>
    <x v="4"/>
    <s v="true"/>
    <s v="true"/>
    <x v="0"/>
  </r>
  <r>
    <n v="24"/>
    <d v="2024-03-25T00:00:00"/>
    <s v="3/2024"/>
    <x v="0"/>
    <x v="67"/>
    <x v="0"/>
    <x v="0"/>
    <x v="15"/>
    <n v="1"/>
    <m/>
    <n v="0"/>
    <n v="131"/>
    <n v="131"/>
    <m/>
    <n v="20"/>
    <n v="151"/>
    <n v="151"/>
    <n v="0"/>
    <x v="4"/>
    <s v="true"/>
    <s v="true"/>
    <x v="0"/>
  </r>
  <r>
    <n v="24"/>
    <d v="2024-03-25T00:00:00"/>
    <s v="3/2024"/>
    <x v="0"/>
    <x v="68"/>
    <x v="0"/>
    <x v="0"/>
    <x v="18"/>
    <n v="1"/>
    <m/>
    <n v="0"/>
    <n v="265"/>
    <n v="265"/>
    <m/>
    <n v="40"/>
    <n v="305"/>
    <n v="305"/>
    <n v="0"/>
    <x v="2"/>
    <s v="true"/>
    <s v="true"/>
    <x v="0"/>
  </r>
  <r>
    <n v="24"/>
    <d v="2024-03-25T00:00:00"/>
    <s v="3/2024"/>
    <x v="0"/>
    <x v="69"/>
    <x v="0"/>
    <x v="0"/>
    <x v="18"/>
    <n v="1"/>
    <m/>
    <n v="0"/>
    <n v="250"/>
    <n v="250"/>
    <m/>
    <n v="38"/>
    <n v="288"/>
    <n v="288"/>
    <n v="0"/>
    <x v="2"/>
    <s v="true"/>
    <s v="true"/>
    <x v="0"/>
  </r>
  <r>
    <n v="24"/>
    <d v="2024-03-25T00:00:00"/>
    <s v="3/2024"/>
    <x v="0"/>
    <x v="70"/>
    <x v="0"/>
    <x v="0"/>
    <x v="18"/>
    <n v="1"/>
    <m/>
    <n v="0"/>
    <n v="292"/>
    <n v="292"/>
    <m/>
    <n v="44"/>
    <n v="336"/>
    <n v="336"/>
    <n v="0"/>
    <x v="2"/>
    <s v="true"/>
    <s v="true"/>
    <x v="0"/>
  </r>
  <r>
    <n v="24"/>
    <d v="2024-03-25T00:00:00"/>
    <s v="3/2024"/>
    <x v="0"/>
    <x v="71"/>
    <x v="0"/>
    <x v="0"/>
    <x v="9"/>
    <n v="1"/>
    <m/>
    <n v="0"/>
    <n v="719"/>
    <n v="719"/>
    <m/>
    <n v="108"/>
    <n v="827"/>
    <n v="827"/>
    <n v="0"/>
    <x v="2"/>
    <s v="true"/>
    <s v="true"/>
    <x v="0"/>
  </r>
  <r>
    <n v="24"/>
    <d v="2024-03-25T00:00:00"/>
    <s v="3/2024"/>
    <x v="0"/>
    <x v="72"/>
    <x v="0"/>
    <x v="0"/>
    <x v="21"/>
    <n v="1"/>
    <m/>
    <n v="0"/>
    <n v="329"/>
    <n v="329"/>
    <m/>
    <n v="49"/>
    <n v="378"/>
    <n v="378"/>
    <n v="0"/>
    <x v="4"/>
    <s v="true"/>
    <s v="true"/>
    <x v="0"/>
  </r>
  <r>
    <n v="26"/>
    <d v="2024-03-23T00:00:00"/>
    <s v="3/2024"/>
    <x v="17"/>
    <x v="73"/>
    <x v="0"/>
    <x v="0"/>
    <x v="3"/>
    <n v="1"/>
    <n v="0"/>
    <n v="0"/>
    <n v="3414"/>
    <n v="3414"/>
    <m/>
    <n v="512"/>
    <n v="512"/>
    <n v="512"/>
    <n v="0"/>
    <x v="1"/>
    <s v="true"/>
    <s v="true"/>
    <x v="0"/>
  </r>
  <r>
    <n v="27"/>
    <d v="2024-03-23T00:00:00"/>
    <s v="3/2024"/>
    <x v="18"/>
    <x v="73"/>
    <x v="0"/>
    <x v="0"/>
    <x v="3"/>
    <n v="1"/>
    <n v="0"/>
    <n v="0"/>
    <n v="10000"/>
    <n v="10000"/>
    <m/>
    <n v="1000"/>
    <n v="1000"/>
    <n v="1000"/>
    <n v="0"/>
    <x v="9"/>
    <s v="true"/>
    <s v="true"/>
    <x v="0"/>
  </r>
  <r>
    <n v="28"/>
    <d v="2024-03-25T00:00:00"/>
    <s v="3/2024"/>
    <x v="19"/>
    <x v="74"/>
    <x v="0"/>
    <x v="0"/>
    <x v="16"/>
    <n v="1"/>
    <m/>
    <n v="0"/>
    <n v="0"/>
    <n v="0"/>
    <n v="400"/>
    <n v="200"/>
    <n v="600"/>
    <n v="600"/>
    <n v="0"/>
    <x v="10"/>
    <s v="true"/>
    <s v="true"/>
    <x v="0"/>
  </r>
  <r>
    <n v="29"/>
    <d v="2024-03-26T00:00:00"/>
    <s v="3/2024"/>
    <x v="13"/>
    <x v="75"/>
    <x v="0"/>
    <x v="0"/>
    <x v="15"/>
    <n v="1"/>
    <m/>
    <n v="0"/>
    <n v="1454"/>
    <n v="1454"/>
    <n v="18"/>
    <n v="200"/>
    <n v="1672"/>
    <n v="1672"/>
    <n v="0"/>
    <x v="4"/>
    <s v="true"/>
    <s v="true"/>
    <x v="0"/>
  </r>
  <r>
    <n v="30"/>
    <d v="2024-03-25T00:00:00"/>
    <s v="3/2024"/>
    <x v="20"/>
    <x v="76"/>
    <x v="0"/>
    <x v="0"/>
    <x v="16"/>
    <n v="1"/>
    <m/>
    <n v="0"/>
    <m/>
    <n v="0"/>
    <m/>
    <n v="200"/>
    <n v="200"/>
    <n v="200"/>
    <n v="0"/>
    <x v="3"/>
    <s v="true"/>
    <s v="true"/>
    <x v="0"/>
  </r>
  <r>
    <n v="31"/>
    <d v="2024-03-27T00:00:00"/>
    <s v="3/2024"/>
    <x v="15"/>
    <x v="77"/>
    <x v="0"/>
    <x v="0"/>
    <x v="22"/>
    <n v="1"/>
    <m/>
    <n v="0"/>
    <n v="1090"/>
    <n v="1090"/>
    <m/>
    <n v="164"/>
    <n v="1254"/>
    <n v="1254"/>
    <n v="0"/>
    <x v="4"/>
    <s v="true"/>
    <s v="true"/>
    <x v="0"/>
  </r>
  <r>
    <n v="31"/>
    <d v="2024-03-27T00:00:00"/>
    <s v="3/2024"/>
    <x v="15"/>
    <x v="78"/>
    <x v="0"/>
    <x v="0"/>
    <x v="9"/>
    <n v="1"/>
    <m/>
    <n v="0"/>
    <n v="309"/>
    <n v="309"/>
    <m/>
    <n v="46"/>
    <n v="355"/>
    <n v="355"/>
    <n v="0"/>
    <x v="4"/>
    <s v="true"/>
    <s v="true"/>
    <x v="0"/>
  </r>
  <r>
    <n v="32"/>
    <d v="2024-03-28T00:00:00"/>
    <s v="3/2024"/>
    <x v="21"/>
    <x v="73"/>
    <x v="0"/>
    <x v="0"/>
    <x v="15"/>
    <n v="1"/>
    <n v="0"/>
    <n v="0"/>
    <m/>
    <n v="0"/>
    <m/>
    <n v="200"/>
    <n v="200"/>
    <n v="200"/>
    <n v="0"/>
    <x v="1"/>
    <s v="true"/>
    <s v="true"/>
    <x v="0"/>
  </r>
  <r>
    <n v="33"/>
    <d v="2024-03-28T00:00:00"/>
    <s v="3/2024"/>
    <x v="1"/>
    <x v="79"/>
    <x v="0"/>
    <x v="0"/>
    <x v="18"/>
    <n v="1"/>
    <m/>
    <n v="0"/>
    <n v="271"/>
    <n v="271"/>
    <m/>
    <n v="200"/>
    <n v="471"/>
    <n v="471"/>
    <n v="0"/>
    <x v="4"/>
    <s v="true"/>
    <s v="true"/>
    <x v="0"/>
  </r>
  <r>
    <n v="35"/>
    <d v="2024-03-29T00:00:00"/>
    <s v="3/2024"/>
    <x v="22"/>
    <x v="73"/>
    <x v="0"/>
    <x v="0"/>
    <x v="15"/>
    <n v="1"/>
    <n v="0"/>
    <n v="0"/>
    <n v="3932"/>
    <n v="3932"/>
    <m/>
    <n v="393"/>
    <n v="393"/>
    <n v="393"/>
    <n v="0"/>
    <x v="1"/>
    <s v="true"/>
    <s v="true"/>
    <x v="0"/>
  </r>
  <r>
    <n v="36"/>
    <d v="2024-03-29T00:00:00"/>
    <s v="3/2024"/>
    <x v="15"/>
    <x v="73"/>
    <x v="0"/>
    <x v="0"/>
    <x v="15"/>
    <n v="1"/>
    <n v="0"/>
    <n v="0"/>
    <n v="2951"/>
    <n v="2951"/>
    <m/>
    <n v="443"/>
    <n v="443"/>
    <n v="443"/>
    <n v="0"/>
    <x v="1"/>
    <s v="true"/>
    <s v="true"/>
    <x v="0"/>
  </r>
  <r>
    <n v="37"/>
    <d v="2024-03-30T00:00:00"/>
    <s v="3/2024"/>
    <x v="2"/>
    <x v="73"/>
    <x v="0"/>
    <x v="0"/>
    <x v="20"/>
    <n v="1"/>
    <n v="0"/>
    <n v="0"/>
    <m/>
    <n v="0"/>
    <m/>
    <n v="200"/>
    <n v="200"/>
    <n v="200"/>
    <n v="0"/>
    <x v="1"/>
    <s v="true"/>
    <s v="true"/>
    <x v="0"/>
  </r>
  <r>
    <n v="38"/>
    <d v="2024-03-30T00:00:00"/>
    <s v="3/2024"/>
    <x v="19"/>
    <x v="74"/>
    <x v="0"/>
    <x v="0"/>
    <x v="20"/>
    <n v="1"/>
    <m/>
    <n v="0"/>
    <m/>
    <n v="0"/>
    <n v="400"/>
    <n v="200"/>
    <n v="600"/>
    <n v="600"/>
    <n v="0"/>
    <x v="10"/>
    <s v="true"/>
    <s v="true"/>
    <x v="0"/>
  </r>
  <r>
    <n v="39"/>
    <d v="2024-03-30T00:00:00"/>
    <s v="3/2024"/>
    <x v="23"/>
    <x v="80"/>
    <x v="0"/>
    <x v="0"/>
    <x v="22"/>
    <n v="1"/>
    <m/>
    <n v="0"/>
    <n v="1275"/>
    <n v="1275"/>
    <m/>
    <n v="191"/>
    <n v="1466"/>
    <n v="1466"/>
    <n v="0"/>
    <x v="2"/>
    <s v="true"/>
    <s v="true"/>
    <x v="0"/>
  </r>
  <r>
    <n v="39"/>
    <d v="2024-03-30T00:00:00"/>
    <s v="3/2024"/>
    <x v="23"/>
    <x v="27"/>
    <x v="0"/>
    <x v="0"/>
    <x v="22"/>
    <n v="1"/>
    <m/>
    <n v="0"/>
    <n v="406"/>
    <n v="406"/>
    <m/>
    <n v="61"/>
    <n v="467"/>
    <n v="467"/>
    <n v="0"/>
    <x v="2"/>
    <s v="true"/>
    <s v="true"/>
    <x v="0"/>
  </r>
  <r>
    <n v="39"/>
    <d v="2024-03-30T00:00:00"/>
    <s v="3/2024"/>
    <x v="23"/>
    <x v="81"/>
    <x v="0"/>
    <x v="0"/>
    <x v="21"/>
    <n v="2"/>
    <m/>
    <n v="0"/>
    <n v="967"/>
    <n v="1934"/>
    <m/>
    <n v="290"/>
    <n v="2224"/>
    <n v="2224"/>
    <n v="0"/>
    <x v="2"/>
    <s v="true"/>
    <s v="true"/>
    <x v="0"/>
  </r>
  <r>
    <n v="39"/>
    <d v="2024-03-30T00:00:00"/>
    <s v="3/2024"/>
    <x v="23"/>
    <x v="82"/>
    <x v="0"/>
    <x v="0"/>
    <x v="22"/>
    <n v="1"/>
    <m/>
    <n v="0"/>
    <n v="250"/>
    <n v="250"/>
    <m/>
    <n v="38"/>
    <n v="288"/>
    <n v="288"/>
    <n v="0"/>
    <x v="2"/>
    <s v="true"/>
    <s v="true"/>
    <x v="0"/>
  </r>
  <r>
    <n v="39"/>
    <d v="2024-03-30T00:00:00"/>
    <s v="3/2024"/>
    <x v="23"/>
    <x v="83"/>
    <x v="0"/>
    <x v="0"/>
    <x v="23"/>
    <n v="1"/>
    <m/>
    <n v="0"/>
    <n v="424"/>
    <n v="424"/>
    <m/>
    <n v="64"/>
    <n v="488"/>
    <n v="488"/>
    <n v="0"/>
    <x v="2"/>
    <s v="true"/>
    <s v="true"/>
    <x v="0"/>
  </r>
  <r>
    <n v="39"/>
    <d v="2024-03-30T00:00:00"/>
    <s v="3/2024"/>
    <x v="23"/>
    <x v="84"/>
    <x v="0"/>
    <x v="0"/>
    <x v="22"/>
    <n v="1"/>
    <m/>
    <n v="0"/>
    <n v="255"/>
    <n v="255"/>
    <m/>
    <n v="38"/>
    <n v="293"/>
    <n v="293"/>
    <n v="0"/>
    <x v="2"/>
    <s v="true"/>
    <s v="true"/>
    <x v="0"/>
  </r>
  <r>
    <n v="39"/>
    <d v="2024-03-30T00:00:00"/>
    <s v="3/2024"/>
    <x v="23"/>
    <x v="85"/>
    <x v="0"/>
    <x v="0"/>
    <x v="22"/>
    <n v="1"/>
    <m/>
    <n v="0"/>
    <n v="255"/>
    <n v="255"/>
    <m/>
    <n v="38"/>
    <n v="293"/>
    <n v="293"/>
    <n v="0"/>
    <x v="2"/>
    <s v="true"/>
    <s v="true"/>
    <x v="0"/>
  </r>
  <r>
    <n v="39"/>
    <d v="2024-03-30T00:00:00"/>
    <s v="3/2024"/>
    <x v="23"/>
    <x v="86"/>
    <x v="0"/>
    <x v="0"/>
    <x v="22"/>
    <n v="1"/>
    <m/>
    <n v="0"/>
    <n v="382"/>
    <n v="382"/>
    <m/>
    <n v="57"/>
    <n v="439"/>
    <n v="439"/>
    <n v="0"/>
    <x v="2"/>
    <s v="true"/>
    <s v="true"/>
    <x v="0"/>
  </r>
  <r>
    <n v="39"/>
    <d v="2024-03-30T00:00:00"/>
    <s v="3/2024"/>
    <x v="23"/>
    <x v="87"/>
    <x v="0"/>
    <x v="0"/>
    <x v="24"/>
    <n v="1"/>
    <m/>
    <n v="0"/>
    <n v="306"/>
    <n v="306"/>
    <m/>
    <n v="46"/>
    <n v="352"/>
    <n v="352"/>
    <n v="0"/>
    <x v="4"/>
    <s v="true"/>
    <s v="true"/>
    <x v="0"/>
  </r>
  <r>
    <n v="39"/>
    <d v="2024-03-30T00:00:00"/>
    <s v="3/2024"/>
    <x v="23"/>
    <x v="88"/>
    <x v="0"/>
    <x v="0"/>
    <x v="24"/>
    <n v="1"/>
    <m/>
    <n v="0"/>
    <n v="1751"/>
    <n v="1751"/>
    <m/>
    <n v="263"/>
    <n v="2014"/>
    <n v="2014"/>
    <n v="0"/>
    <x v="4"/>
    <s v="true"/>
    <s v="true"/>
    <x v="0"/>
  </r>
  <r>
    <n v="39"/>
    <d v="2024-03-30T00:00:00"/>
    <s v="3/2024"/>
    <x v="23"/>
    <x v="89"/>
    <x v="0"/>
    <x v="0"/>
    <x v="24"/>
    <n v="2"/>
    <m/>
    <n v="0"/>
    <n v="214"/>
    <n v="428"/>
    <m/>
    <n v="64"/>
    <n v="492"/>
    <n v="492"/>
    <n v="0"/>
    <x v="4"/>
    <s v="true"/>
    <s v="true"/>
    <x v="0"/>
  </r>
  <r>
    <n v="39"/>
    <d v="2024-03-30T00:00:00"/>
    <s v="3/2024"/>
    <x v="23"/>
    <x v="90"/>
    <x v="0"/>
    <x v="0"/>
    <x v="24"/>
    <n v="1"/>
    <m/>
    <n v="0"/>
    <n v="225"/>
    <n v="225"/>
    <m/>
    <n v="34"/>
    <n v="259"/>
    <n v="259"/>
    <n v="0"/>
    <x v="4"/>
    <s v="true"/>
    <s v="true"/>
    <x v="0"/>
  </r>
  <r>
    <n v="40"/>
    <d v="2024-03-30T00:00:00"/>
    <s v="3/2024"/>
    <x v="24"/>
    <x v="91"/>
    <x v="0"/>
    <x v="0"/>
    <x v="23"/>
    <n v="1"/>
    <m/>
    <n v="0"/>
    <n v="1472"/>
    <n v="1472"/>
    <n v="74"/>
    <n v="147"/>
    <n v="1693"/>
    <n v="1693"/>
    <n v="0"/>
    <x v="2"/>
    <s v="true"/>
    <s v="true"/>
    <x v="0"/>
  </r>
  <r>
    <n v="40"/>
    <d v="2024-03-30T00:00:00"/>
    <s v="3/2024"/>
    <x v="24"/>
    <x v="92"/>
    <x v="0"/>
    <x v="0"/>
    <x v="21"/>
    <n v="1"/>
    <m/>
    <n v="0"/>
    <n v="1740"/>
    <n v="1740"/>
    <n v="87"/>
    <n v="174"/>
    <n v="2001"/>
    <n v="2001"/>
    <n v="0"/>
    <x v="2"/>
    <s v="true"/>
    <s v="true"/>
    <x v="0"/>
  </r>
  <r>
    <n v="40"/>
    <d v="2024-03-30T00:00:00"/>
    <s v="3/2024"/>
    <x v="24"/>
    <x v="93"/>
    <x v="0"/>
    <x v="0"/>
    <x v="21"/>
    <n v="1"/>
    <m/>
    <n v="0"/>
    <n v="1804"/>
    <n v="1804"/>
    <n v="91"/>
    <n v="180"/>
    <n v="2075"/>
    <n v="2075"/>
    <n v="0"/>
    <x v="2"/>
    <s v="true"/>
    <s v="true"/>
    <x v="0"/>
  </r>
  <r>
    <n v="40"/>
    <d v="2024-03-30T00:00:00"/>
    <s v="3/2024"/>
    <x v="24"/>
    <x v="94"/>
    <x v="0"/>
    <x v="0"/>
    <x v="22"/>
    <n v="1"/>
    <m/>
    <n v="0"/>
    <n v="3128"/>
    <n v="3128"/>
    <n v="156"/>
    <n v="313"/>
    <n v="3597"/>
    <n v="3597"/>
    <n v="0"/>
    <x v="2"/>
    <s v="true"/>
    <s v="true"/>
    <x v="0"/>
  </r>
  <r>
    <n v="40"/>
    <d v="2024-03-30T00:00:00"/>
    <s v="3/2024"/>
    <x v="24"/>
    <x v="95"/>
    <x v="0"/>
    <x v="0"/>
    <x v="22"/>
    <n v="1"/>
    <m/>
    <n v="0"/>
    <n v="520"/>
    <n v="520"/>
    <n v="26"/>
    <n v="52"/>
    <n v="598"/>
    <n v="598"/>
    <n v="0"/>
    <x v="4"/>
    <s v="true"/>
    <s v="true"/>
    <x v="0"/>
  </r>
  <r>
    <n v="40"/>
    <d v="2024-03-30T00:00:00"/>
    <s v="3/2024"/>
    <x v="24"/>
    <x v="96"/>
    <x v="0"/>
    <x v="0"/>
    <x v="1"/>
    <n v="1"/>
    <m/>
    <n v="0"/>
    <n v="1273"/>
    <n v="1273"/>
    <n v="64"/>
    <n v="127"/>
    <n v="1464"/>
    <n v="1464"/>
    <n v="0"/>
    <x v="4"/>
    <s v="true"/>
    <s v="true"/>
    <x v="0"/>
  </r>
  <r>
    <n v="40"/>
    <d v="2024-03-30T00:00:00"/>
    <s v="3/2024"/>
    <x v="24"/>
    <x v="97"/>
    <x v="0"/>
    <x v="0"/>
    <x v="8"/>
    <n v="1"/>
    <m/>
    <n v="0"/>
    <n v="227"/>
    <n v="227"/>
    <n v="11"/>
    <n v="23"/>
    <n v="261"/>
    <n v="261"/>
    <n v="0"/>
    <x v="4"/>
    <s v="true"/>
    <s v="true"/>
    <x v="0"/>
  </r>
  <r>
    <n v="40"/>
    <d v="2024-03-30T00:00:00"/>
    <s v="3/2024"/>
    <x v="24"/>
    <x v="98"/>
    <x v="0"/>
    <x v="0"/>
    <x v="22"/>
    <n v="1"/>
    <m/>
    <n v="0"/>
    <n v="849"/>
    <n v="849"/>
    <n v="42"/>
    <n v="85"/>
    <n v="976"/>
    <n v="976"/>
    <n v="0"/>
    <x v="4"/>
    <s v="true"/>
    <s v="true"/>
    <x v="0"/>
  </r>
  <r>
    <n v="40"/>
    <d v="2024-03-30T00:00:00"/>
    <s v="3/2024"/>
    <x v="24"/>
    <x v="99"/>
    <x v="0"/>
    <x v="0"/>
    <x v="22"/>
    <n v="1"/>
    <m/>
    <n v="0"/>
    <n v="1647"/>
    <n v="1647"/>
    <n v="82"/>
    <n v="165"/>
    <n v="1894"/>
    <n v="1894"/>
    <n v="0"/>
    <x v="4"/>
    <s v="true"/>
    <s v="true"/>
    <x v="0"/>
  </r>
  <r>
    <n v="40"/>
    <d v="2024-03-30T00:00:00"/>
    <s v="3/2024"/>
    <x v="24"/>
    <x v="100"/>
    <x v="0"/>
    <x v="0"/>
    <x v="22"/>
    <n v="1"/>
    <m/>
    <n v="0"/>
    <n v="531"/>
    <n v="531"/>
    <n v="27"/>
    <n v="53"/>
    <n v="611"/>
    <n v="611"/>
    <n v="0"/>
    <x v="4"/>
    <s v="true"/>
    <s v="true"/>
    <x v="0"/>
  </r>
  <r>
    <n v="40"/>
    <d v="2024-03-30T00:00:00"/>
    <s v="3/2024"/>
    <x v="24"/>
    <x v="101"/>
    <x v="0"/>
    <x v="0"/>
    <x v="25"/>
    <n v="1"/>
    <m/>
    <n v="0"/>
    <n v="682"/>
    <n v="682"/>
    <n v="34"/>
    <n v="68"/>
    <n v="784"/>
    <n v="784"/>
    <n v="0"/>
    <x v="4"/>
    <s v="true"/>
    <s v="true"/>
    <x v="0"/>
  </r>
  <r>
    <n v="40"/>
    <d v="2024-03-30T00:00:00"/>
    <s v="3/2024"/>
    <x v="24"/>
    <x v="102"/>
    <x v="0"/>
    <x v="0"/>
    <x v="22"/>
    <n v="1"/>
    <m/>
    <n v="0"/>
    <n v="274"/>
    <n v="274"/>
    <n v="14"/>
    <n v="27"/>
    <n v="315"/>
    <n v="315"/>
    <n v="0"/>
    <x v="4"/>
    <s v="true"/>
    <s v="true"/>
    <x v="0"/>
  </r>
  <r>
    <n v="40"/>
    <d v="2024-03-30T00:00:00"/>
    <s v="3/2024"/>
    <x v="24"/>
    <x v="103"/>
    <x v="0"/>
    <x v="0"/>
    <x v="26"/>
    <n v="1"/>
    <m/>
    <n v="0"/>
    <n v="1618"/>
    <n v="1618"/>
    <n v="81"/>
    <n v="162"/>
    <n v="1861"/>
    <n v="1861"/>
    <n v="0"/>
    <x v="4"/>
    <s v="true"/>
    <s v="true"/>
    <x v="0"/>
  </r>
  <r>
    <n v="41"/>
    <d v="2024-03-30T00:00:00"/>
    <s v="3/2024"/>
    <x v="9"/>
    <x v="104"/>
    <x v="0"/>
    <x v="0"/>
    <x v="1"/>
    <n v="1"/>
    <m/>
    <n v="0"/>
    <n v="1191"/>
    <n v="1191"/>
    <m/>
    <n v="179"/>
    <n v="1370"/>
    <n v="1370"/>
    <n v="0"/>
    <x v="4"/>
    <s v="true"/>
    <s v="true"/>
    <x v="0"/>
  </r>
  <r>
    <n v="41"/>
    <d v="2024-03-30T00:00:00"/>
    <s v="3/2024"/>
    <x v="9"/>
    <x v="105"/>
    <x v="0"/>
    <x v="0"/>
    <x v="1"/>
    <n v="1"/>
    <m/>
    <n v="0"/>
    <n v="1267"/>
    <n v="1267"/>
    <m/>
    <n v="190"/>
    <n v="1457"/>
    <n v="1457"/>
    <n v="0"/>
    <x v="4"/>
    <s v="true"/>
    <s v="true"/>
    <x v="0"/>
  </r>
  <r>
    <n v="41"/>
    <d v="2024-03-30T00:00:00"/>
    <s v="3/2024"/>
    <x v="9"/>
    <x v="106"/>
    <x v="0"/>
    <x v="0"/>
    <x v="21"/>
    <n v="1"/>
    <m/>
    <n v="0"/>
    <n v="396"/>
    <n v="396"/>
    <m/>
    <n v="59"/>
    <n v="455"/>
    <n v="455"/>
    <n v="0"/>
    <x v="2"/>
    <s v="true"/>
    <s v="true"/>
    <x v="0"/>
  </r>
  <r>
    <n v="40"/>
    <d v="2024-03-30T00:00:00"/>
    <s v="3/2024"/>
    <x v="24"/>
    <x v="107"/>
    <x v="0"/>
    <x v="0"/>
    <x v="21"/>
    <n v="1"/>
    <m/>
    <n v="0"/>
    <n v="291"/>
    <n v="291"/>
    <n v="15"/>
    <n v="29"/>
    <n v="335"/>
    <n v="335"/>
    <n v="0"/>
    <x v="2"/>
    <s v="true"/>
    <s v="true"/>
    <x v="0"/>
  </r>
  <r>
    <n v="40"/>
    <d v="2024-03-30T00:00:00"/>
    <s v="3/2024"/>
    <x v="24"/>
    <x v="108"/>
    <x v="0"/>
    <x v="0"/>
    <x v="23"/>
    <n v="1"/>
    <m/>
    <n v="0"/>
    <n v="551"/>
    <n v="551"/>
    <n v="28"/>
    <n v="55"/>
    <n v="634"/>
    <n v="634"/>
    <n v="0"/>
    <x v="2"/>
    <s v="true"/>
    <s v="true"/>
    <x v="0"/>
  </r>
  <r>
    <n v="40"/>
    <d v="2024-03-30T00:00:00"/>
    <s v="3/2024"/>
    <x v="24"/>
    <x v="109"/>
    <x v="0"/>
    <x v="0"/>
    <x v="27"/>
    <n v="1"/>
    <m/>
    <n v="0"/>
    <n v="516"/>
    <n v="516"/>
    <n v="25"/>
    <n v="52"/>
    <n v="593"/>
    <n v="593"/>
    <n v="0"/>
    <x v="7"/>
    <s v="true"/>
    <s v="true"/>
    <x v="0"/>
  </r>
  <r>
    <n v="42"/>
    <d v="2024-03-30T00:00:00"/>
    <s v="3/2024"/>
    <x v="1"/>
    <x v="110"/>
    <x v="0"/>
    <x v="0"/>
    <x v="21"/>
    <n v="1"/>
    <m/>
    <n v="0"/>
    <n v="290"/>
    <n v="290"/>
    <m/>
    <n v="29"/>
    <n v="319"/>
    <n v="319"/>
    <n v="0"/>
    <x v="2"/>
    <s v="true"/>
    <s v="true"/>
    <x v="0"/>
  </r>
  <r>
    <n v="42"/>
    <d v="2024-03-30T00:00:00"/>
    <s v="3/2024"/>
    <x v="1"/>
    <x v="111"/>
    <x v="0"/>
    <x v="0"/>
    <x v="21"/>
    <n v="1"/>
    <m/>
    <n v="0"/>
    <n v="270"/>
    <n v="270"/>
    <m/>
    <n v="27"/>
    <n v="297"/>
    <n v="297"/>
    <n v="0"/>
    <x v="2"/>
    <s v="true"/>
    <s v="true"/>
    <x v="0"/>
  </r>
  <r>
    <n v="42"/>
    <d v="2024-03-30T00:00:00"/>
    <s v="3/2024"/>
    <x v="1"/>
    <x v="112"/>
    <x v="0"/>
    <x v="0"/>
    <x v="21"/>
    <n v="1"/>
    <m/>
    <n v="0"/>
    <n v="453"/>
    <n v="453"/>
    <m/>
    <n v="45"/>
    <n v="498"/>
    <n v="498"/>
    <n v="0"/>
    <x v="2"/>
    <s v="true"/>
    <s v="true"/>
    <x v="0"/>
  </r>
  <r>
    <n v="42"/>
    <d v="2024-03-30T00:00:00"/>
    <s v="3/2024"/>
    <x v="1"/>
    <x v="113"/>
    <x v="0"/>
    <x v="0"/>
    <x v="21"/>
    <n v="1"/>
    <m/>
    <n v="0"/>
    <n v="662"/>
    <n v="662"/>
    <m/>
    <n v="66"/>
    <n v="728"/>
    <n v="728"/>
    <n v="0"/>
    <x v="2"/>
    <s v="true"/>
    <s v="true"/>
    <x v="0"/>
  </r>
  <r>
    <n v="42"/>
    <d v="2024-03-30T00:00:00"/>
    <s v="3/2024"/>
    <x v="1"/>
    <x v="114"/>
    <x v="0"/>
    <x v="0"/>
    <x v="21"/>
    <n v="1"/>
    <m/>
    <n v="0"/>
    <n v="829"/>
    <n v="829"/>
    <m/>
    <n v="83"/>
    <n v="912"/>
    <n v="912"/>
    <n v="0"/>
    <x v="2"/>
    <s v="true"/>
    <s v="true"/>
    <x v="0"/>
  </r>
  <r>
    <n v="34"/>
    <d v="2024-03-31T00:00:00"/>
    <s v="3/2024"/>
    <x v="4"/>
    <x v="57"/>
    <x v="0"/>
    <x v="0"/>
    <x v="22"/>
    <n v="1"/>
    <m/>
    <n v="0"/>
    <n v="3397"/>
    <n v="3397"/>
    <m/>
    <n v="510"/>
    <n v="3907"/>
    <n v="3907"/>
    <n v="0"/>
    <x v="2"/>
    <s v="true"/>
    <s v="true"/>
    <x v="0"/>
  </r>
  <r>
    <n v="24"/>
    <d v="2024-03-25T00:00:00"/>
    <s v="3/2024"/>
    <x v="0"/>
    <x v="115"/>
    <x v="0"/>
    <x v="0"/>
    <x v="23"/>
    <n v="1"/>
    <m/>
    <n v="0"/>
    <n v="1106"/>
    <n v="1106"/>
    <m/>
    <n v="166"/>
    <n v="1272"/>
    <n v="1272"/>
    <n v="0"/>
    <x v="2"/>
    <s v="true"/>
    <s v="true"/>
    <x v="0"/>
  </r>
  <r>
    <n v="31"/>
    <d v="2024-03-27T00:00:00"/>
    <s v="3/2024"/>
    <x v="15"/>
    <x v="73"/>
    <x v="0"/>
    <x v="0"/>
    <x v="8"/>
    <n v="1"/>
    <n v="0"/>
    <n v="0"/>
    <n v="1333"/>
    <n v="1333"/>
    <m/>
    <n v="200"/>
    <n v="200"/>
    <n v="200"/>
    <n v="0"/>
    <x v="6"/>
    <s v="true"/>
    <s v="true"/>
    <x v="0"/>
  </r>
  <r>
    <n v="44"/>
    <d v="2024-04-05T00:00:00"/>
    <s v="4/2024"/>
    <x v="25"/>
    <x v="73"/>
    <x v="0"/>
    <x v="0"/>
    <x v="8"/>
    <n v="0"/>
    <n v="0"/>
    <n v="0"/>
    <n v="0"/>
    <n v="0"/>
    <m/>
    <n v="200"/>
    <n v="200"/>
    <n v="200"/>
    <n v="0"/>
    <x v="0"/>
    <s v="true"/>
    <s v="true"/>
    <x v="0"/>
  </r>
  <r>
    <n v="45"/>
    <d v="2024-04-05T00:00:00"/>
    <s v="4/2024"/>
    <x v="2"/>
    <x v="73"/>
    <x v="0"/>
    <x v="4"/>
    <x v="8"/>
    <n v="1"/>
    <n v="0"/>
    <n v="0"/>
    <n v="2117"/>
    <n v="2117"/>
    <m/>
    <n v="318"/>
    <n v="318"/>
    <n v="318"/>
    <n v="0"/>
    <x v="5"/>
    <s v="true"/>
    <s v="true"/>
    <x v="0"/>
  </r>
  <r>
    <n v="24"/>
    <d v="2024-03-25T00:00:00"/>
    <s v="3/2024"/>
    <x v="0"/>
    <x v="73"/>
    <x v="0"/>
    <x v="5"/>
    <x v="8"/>
    <n v="1"/>
    <n v="0"/>
    <n v="0"/>
    <n v="645"/>
    <n v="645"/>
    <m/>
    <n v="97"/>
    <n v="97"/>
    <n v="97"/>
    <n v="0"/>
    <x v="5"/>
    <s v="true"/>
    <s v="true"/>
    <x v="0"/>
  </r>
  <r>
    <n v="46"/>
    <d v="2024-04-05T00:00:00"/>
    <s v="4/2024"/>
    <x v="26"/>
    <x v="73"/>
    <x v="0"/>
    <x v="0"/>
    <x v="8"/>
    <n v="1"/>
    <n v="0"/>
    <n v="0"/>
    <n v="3000"/>
    <n v="3000"/>
    <m/>
    <n v="300"/>
    <n v="300"/>
    <n v="300"/>
    <n v="0"/>
    <x v="11"/>
    <s v="true"/>
    <s v="true"/>
    <x v="0"/>
  </r>
  <r>
    <n v="46"/>
    <d v="2024-04-05T00:00:00"/>
    <s v="4/2024"/>
    <x v="26"/>
    <x v="73"/>
    <x v="0"/>
    <x v="0"/>
    <x v="8"/>
    <n v="1"/>
    <n v="0"/>
    <n v="0"/>
    <n v="8421"/>
    <n v="8421"/>
    <m/>
    <n v="842"/>
    <n v="842"/>
    <n v="842"/>
    <n v="0"/>
    <x v="11"/>
    <s v="true"/>
    <s v="true"/>
    <x v="0"/>
  </r>
  <r>
    <n v="46"/>
    <d v="2024-04-05T00:00:00"/>
    <s v="4/2024"/>
    <x v="26"/>
    <x v="73"/>
    <x v="0"/>
    <x v="0"/>
    <x v="8"/>
    <n v="1"/>
    <n v="0"/>
    <n v="0"/>
    <n v="7190"/>
    <n v="7190"/>
    <m/>
    <n v="719"/>
    <n v="719"/>
    <n v="719"/>
    <n v="0"/>
    <x v="11"/>
    <s v="true"/>
    <s v="true"/>
    <x v="0"/>
  </r>
  <r>
    <n v="46"/>
    <d v="2024-04-05T00:00:00"/>
    <s v="4/2024"/>
    <x v="26"/>
    <x v="73"/>
    <x v="0"/>
    <x v="0"/>
    <x v="8"/>
    <n v="1"/>
    <n v="0"/>
    <n v="0"/>
    <n v="14990"/>
    <n v="14990"/>
    <m/>
    <n v="1499"/>
    <n v="1499"/>
    <n v="1499"/>
    <n v="0"/>
    <x v="10"/>
    <s v="true"/>
    <s v="true"/>
    <x v="0"/>
  </r>
  <r>
    <n v="47"/>
    <d v="2024-04-05T00:00:00"/>
    <s v="4/2024"/>
    <x v="27"/>
    <x v="73"/>
    <x v="0"/>
    <x v="0"/>
    <x v="8"/>
    <n v="1"/>
    <n v="0"/>
    <n v="0"/>
    <n v="1856"/>
    <n v="1856"/>
    <m/>
    <n v="186"/>
    <n v="186"/>
    <n v="186"/>
    <n v="0"/>
    <x v="1"/>
    <s v="true"/>
    <s v="true"/>
    <x v="0"/>
  </r>
  <r>
    <n v="48"/>
    <d v="2024-04-05T00:00:00"/>
    <s v="4/2024"/>
    <x v="22"/>
    <x v="73"/>
    <x v="0"/>
    <x v="0"/>
    <x v="8"/>
    <n v="1"/>
    <n v="0"/>
    <n v="0"/>
    <n v="35500"/>
    <n v="35500"/>
    <m/>
    <n v="3550"/>
    <n v="3550"/>
    <n v="3550"/>
    <n v="0"/>
    <x v="4"/>
    <s v="true"/>
    <s v="true"/>
    <x v="0"/>
  </r>
  <r>
    <n v="49"/>
    <d v="2024-04-06T00:00:00"/>
    <s v="4/2024"/>
    <x v="23"/>
    <x v="116"/>
    <x v="0"/>
    <x v="0"/>
    <x v="27"/>
    <n v="6"/>
    <n v="247"/>
    <n v="1482"/>
    <n v="255"/>
    <n v="1530"/>
    <m/>
    <n v="230"/>
    <n v="1760"/>
    <n v="1760"/>
    <n v="0"/>
    <x v="2"/>
    <s v="true"/>
    <s v="true"/>
    <x v="0"/>
  </r>
  <r>
    <n v="49"/>
    <d v="2024-04-06T00:00:00"/>
    <s v="4/2024"/>
    <x v="23"/>
    <x v="117"/>
    <x v="0"/>
    <x v="0"/>
    <x v="1"/>
    <n v="1"/>
    <n v="262"/>
    <n v="262"/>
    <n v="271"/>
    <n v="271"/>
    <m/>
    <n v="41"/>
    <n v="312"/>
    <n v="312"/>
    <n v="0"/>
    <x v="2"/>
    <s v="true"/>
    <s v="true"/>
    <x v="0"/>
  </r>
  <r>
    <n v="49"/>
    <d v="2024-04-06T00:00:00"/>
    <s v="4/2024"/>
    <x v="23"/>
    <x v="118"/>
    <x v="0"/>
    <x v="0"/>
    <x v="1"/>
    <n v="1"/>
    <n v="239"/>
    <n v="239"/>
    <n v="419"/>
    <n v="419"/>
    <m/>
    <n v="63"/>
    <n v="482"/>
    <n v="482"/>
    <n v="0"/>
    <x v="2"/>
    <s v="true"/>
    <s v="true"/>
    <x v="0"/>
  </r>
  <r>
    <n v="49"/>
    <d v="2024-04-06T00:00:00"/>
    <s v="4/2024"/>
    <x v="23"/>
    <x v="119"/>
    <x v="0"/>
    <x v="0"/>
    <x v="27"/>
    <n v="1"/>
    <n v="275"/>
    <n v="275"/>
    <n v="284"/>
    <n v="284"/>
    <m/>
    <n v="43"/>
    <n v="327"/>
    <n v="327"/>
    <n v="0"/>
    <x v="2"/>
    <s v="true"/>
    <s v="true"/>
    <x v="0"/>
  </r>
  <r>
    <n v="49"/>
    <d v="2024-04-06T00:00:00"/>
    <s v="4/2024"/>
    <x v="23"/>
    <x v="120"/>
    <x v="0"/>
    <x v="0"/>
    <x v="1"/>
    <n v="1"/>
    <n v="259"/>
    <n v="259"/>
    <n v="268"/>
    <n v="268"/>
    <m/>
    <n v="40"/>
    <n v="308"/>
    <n v="308"/>
    <n v="0"/>
    <x v="2"/>
    <s v="true"/>
    <s v="true"/>
    <x v="0"/>
  </r>
  <r>
    <n v="49"/>
    <d v="2024-04-06T00:00:00"/>
    <s v="4/2024"/>
    <x v="23"/>
    <x v="121"/>
    <x v="0"/>
    <x v="0"/>
    <x v="1"/>
    <n v="1"/>
    <n v="238"/>
    <n v="238"/>
    <n v="246"/>
    <n v="246"/>
    <m/>
    <n v="37"/>
    <n v="283"/>
    <n v="283"/>
    <n v="0"/>
    <x v="2"/>
    <s v="true"/>
    <s v="true"/>
    <x v="0"/>
  </r>
  <r>
    <n v="49"/>
    <d v="2024-04-06T00:00:00"/>
    <s v="4/2024"/>
    <x v="23"/>
    <x v="122"/>
    <x v="0"/>
    <x v="0"/>
    <x v="27"/>
    <n v="1"/>
    <n v="239"/>
    <n v="239"/>
    <n v="247"/>
    <n v="247"/>
    <m/>
    <n v="37"/>
    <n v="284"/>
    <n v="284"/>
    <n v="0"/>
    <x v="2"/>
    <s v="true"/>
    <s v="true"/>
    <x v="0"/>
  </r>
  <r>
    <n v="49"/>
    <d v="2024-04-06T00:00:00"/>
    <s v="4/2024"/>
    <x v="23"/>
    <x v="123"/>
    <x v="0"/>
    <x v="0"/>
    <x v="28"/>
    <n v="1"/>
    <n v="494"/>
    <n v="494"/>
    <n v="510"/>
    <n v="510"/>
    <m/>
    <n v="77"/>
    <n v="587"/>
    <n v="587"/>
    <n v="0"/>
    <x v="2"/>
    <s v="true"/>
    <s v="true"/>
    <x v="0"/>
  </r>
  <r>
    <n v="49"/>
    <d v="2024-04-06T00:00:00"/>
    <s v="4/2024"/>
    <x v="23"/>
    <x v="124"/>
    <x v="0"/>
    <x v="0"/>
    <x v="1"/>
    <n v="1"/>
    <n v="175"/>
    <n v="175"/>
    <n v="182"/>
    <n v="182"/>
    <m/>
    <n v="27"/>
    <n v="209"/>
    <n v="209"/>
    <n v="0"/>
    <x v="2"/>
    <s v="true"/>
    <s v="true"/>
    <x v="0"/>
  </r>
  <r>
    <n v="49"/>
    <d v="2024-04-06T00:00:00"/>
    <s v="4/2024"/>
    <x v="23"/>
    <x v="125"/>
    <x v="0"/>
    <x v="0"/>
    <x v="1"/>
    <n v="1"/>
    <n v="176"/>
    <n v="176"/>
    <n v="181"/>
    <n v="181"/>
    <m/>
    <n v="27"/>
    <n v="208"/>
    <n v="208"/>
    <n v="0"/>
    <x v="2"/>
    <s v="true"/>
    <s v="true"/>
    <x v="0"/>
  </r>
  <r>
    <n v="50"/>
    <d v="2024-04-06T00:00:00"/>
    <s v="4/2024"/>
    <x v="3"/>
    <x v="126"/>
    <x v="0"/>
    <x v="0"/>
    <x v="29"/>
    <n v="1"/>
    <n v="5074"/>
    <n v="5074"/>
    <n v="4255"/>
    <n v="4255"/>
    <n v="819"/>
    <n v="638"/>
    <n v="5712"/>
    <n v="5712"/>
    <n v="0"/>
    <x v="7"/>
    <s v="true"/>
    <s v="true"/>
    <x v="0"/>
  </r>
  <r>
    <n v="51"/>
    <d v="2024-04-06T00:00:00"/>
    <s v="4/2024"/>
    <x v="1"/>
    <x v="127"/>
    <x v="0"/>
    <x v="0"/>
    <x v="28"/>
    <n v="1"/>
    <n v="2481"/>
    <n v="2481"/>
    <n v="2558"/>
    <n v="2558"/>
    <m/>
    <n v="256"/>
    <n v="2814"/>
    <n v="2814"/>
    <n v="0"/>
    <x v="2"/>
    <s v="true"/>
    <s v="true"/>
    <x v="0"/>
  </r>
  <r>
    <n v="51"/>
    <d v="2024-04-06T00:00:00"/>
    <s v="4/2024"/>
    <x v="1"/>
    <x v="128"/>
    <x v="0"/>
    <x v="0"/>
    <x v="28"/>
    <n v="1"/>
    <n v="1312"/>
    <n v="1312"/>
    <n v="1353"/>
    <n v="1353"/>
    <m/>
    <n v="135"/>
    <n v="1488"/>
    <n v="1488"/>
    <n v="0"/>
    <x v="2"/>
    <s v="true"/>
    <s v="true"/>
    <x v="0"/>
  </r>
  <r>
    <n v="52"/>
    <d v="2024-04-08T00:00:00"/>
    <s v="4/2024"/>
    <x v="9"/>
    <x v="129"/>
    <x v="0"/>
    <x v="0"/>
    <x v="27"/>
    <n v="1"/>
    <n v="974"/>
    <n v="974"/>
    <n v="1057"/>
    <n v="1057"/>
    <m/>
    <n v="159"/>
    <n v="1216"/>
    <n v="1216"/>
    <n v="0"/>
    <x v="4"/>
    <s v="true"/>
    <s v="true"/>
    <x v="0"/>
  </r>
  <r>
    <n v="52"/>
    <d v="2024-04-08T00:00:00"/>
    <s v="4/2024"/>
    <x v="9"/>
    <x v="130"/>
    <x v="0"/>
    <x v="0"/>
    <x v="30"/>
    <n v="1"/>
    <n v="831"/>
    <n v="831"/>
    <n v="906"/>
    <n v="906"/>
    <m/>
    <n v="136"/>
    <n v="1042"/>
    <n v="1042"/>
    <n v="0"/>
    <x v="4"/>
    <s v="true"/>
    <s v="true"/>
    <x v="0"/>
  </r>
  <r>
    <n v="53"/>
    <d v="2024-04-08T00:00:00"/>
    <s v="4/2024"/>
    <x v="24"/>
    <x v="131"/>
    <x v="0"/>
    <x v="0"/>
    <x v="30"/>
    <n v="2"/>
    <n v="299"/>
    <n v="598"/>
    <n v="299"/>
    <n v="598"/>
    <n v="119"/>
    <n v="90"/>
    <n v="807"/>
    <n v="807"/>
    <n v="0"/>
    <x v="7"/>
    <s v="true"/>
    <s v="true"/>
    <x v="0"/>
  </r>
  <r>
    <n v="53"/>
    <d v="2024-04-08T00:00:00"/>
    <s v="4/2024"/>
    <x v="24"/>
    <x v="132"/>
    <x v="0"/>
    <x v="0"/>
    <x v="24"/>
    <n v="1"/>
    <n v="4200"/>
    <n v="4200"/>
    <n v="4200"/>
    <n v="4200"/>
    <n v="559"/>
    <n v="630"/>
    <n v="5389"/>
    <n v="5389"/>
    <n v="0"/>
    <x v="12"/>
    <s v="true"/>
    <s v="true"/>
    <x v="0"/>
  </r>
  <r>
    <n v="54"/>
    <d v="2024-04-09T00:00:00"/>
    <s v="4/2024"/>
    <x v="23"/>
    <x v="133"/>
    <x v="0"/>
    <x v="0"/>
    <x v="30"/>
    <n v="1"/>
    <n v="1249"/>
    <n v="1249"/>
    <n v="1332"/>
    <n v="1332"/>
    <m/>
    <n v="200"/>
    <n v="1532"/>
    <n v="1532"/>
    <n v="0"/>
    <x v="4"/>
    <s v="true"/>
    <s v="true"/>
    <x v="0"/>
  </r>
  <r>
    <n v="54"/>
    <d v="2024-04-09T00:00:00"/>
    <s v="4/2024"/>
    <x v="23"/>
    <x v="134"/>
    <x v="0"/>
    <x v="0"/>
    <x v="31"/>
    <n v="1"/>
    <n v="256"/>
    <n v="256"/>
    <n v="311"/>
    <n v="311"/>
    <m/>
    <n v="47"/>
    <n v="358"/>
    <n v="358"/>
    <n v="0"/>
    <x v="4"/>
    <s v="true"/>
    <s v="true"/>
    <x v="0"/>
  </r>
  <r>
    <n v="54"/>
    <d v="2024-04-09T00:00:00"/>
    <s v="4/2024"/>
    <x v="23"/>
    <x v="135"/>
    <x v="0"/>
    <x v="0"/>
    <x v="29"/>
    <n v="1"/>
    <n v="261"/>
    <n v="261"/>
    <n v="316"/>
    <n v="316"/>
    <m/>
    <n v="47"/>
    <n v="363"/>
    <n v="363"/>
    <n v="0"/>
    <x v="4"/>
    <s v="true"/>
    <s v="true"/>
    <x v="0"/>
  </r>
  <r>
    <n v="54"/>
    <d v="2024-04-09T00:00:00"/>
    <s v="4/2024"/>
    <x v="23"/>
    <x v="136"/>
    <x v="0"/>
    <x v="0"/>
    <x v="29"/>
    <n v="1"/>
    <n v="485"/>
    <n v="485"/>
    <n v="530"/>
    <n v="530"/>
    <m/>
    <n v="80"/>
    <n v="610"/>
    <n v="610"/>
    <n v="0"/>
    <x v="4"/>
    <s v="true"/>
    <s v="true"/>
    <x v="0"/>
  </r>
  <r>
    <n v="54"/>
    <d v="2024-04-09T00:00:00"/>
    <s v="4/2024"/>
    <x v="23"/>
    <x v="137"/>
    <x v="0"/>
    <x v="0"/>
    <x v="31"/>
    <n v="1"/>
    <n v="293"/>
    <n v="293"/>
    <n v="299"/>
    <n v="299"/>
    <m/>
    <n v="45"/>
    <n v="344"/>
    <n v="344"/>
    <n v="0"/>
    <x v="4"/>
    <s v="true"/>
    <s v="true"/>
    <x v="0"/>
  </r>
  <r>
    <n v="54"/>
    <d v="2024-04-09T00:00:00"/>
    <s v="4/2024"/>
    <x v="23"/>
    <x v="138"/>
    <x v="0"/>
    <x v="0"/>
    <x v="32"/>
    <n v="1"/>
    <n v="949"/>
    <n v="949"/>
    <n v="1031"/>
    <n v="1031"/>
    <m/>
    <n v="155"/>
    <n v="1186"/>
    <n v="1186"/>
    <n v="0"/>
    <x v="4"/>
    <s v="true"/>
    <s v="true"/>
    <x v="0"/>
  </r>
  <r>
    <n v="54"/>
    <d v="2024-04-09T00:00:00"/>
    <s v="4/2024"/>
    <x v="23"/>
    <x v="139"/>
    <x v="0"/>
    <x v="0"/>
    <x v="31"/>
    <n v="1"/>
    <n v="250"/>
    <n v="250"/>
    <n v="255"/>
    <n v="255"/>
    <m/>
    <n v="38"/>
    <n v="293"/>
    <n v="293"/>
    <n v="0"/>
    <x v="4"/>
    <s v="true"/>
    <s v="true"/>
    <x v="0"/>
  </r>
  <r>
    <n v="54"/>
    <d v="2024-04-09T00:00:00"/>
    <s v="4/2024"/>
    <x v="23"/>
    <x v="140"/>
    <x v="0"/>
    <x v="0"/>
    <x v="31"/>
    <n v="1"/>
    <n v="293"/>
    <n v="293"/>
    <n v="299"/>
    <n v="299"/>
    <m/>
    <n v="45"/>
    <n v="344"/>
    <n v="344"/>
    <n v="0"/>
    <x v="4"/>
    <s v="true"/>
    <s v="true"/>
    <x v="0"/>
  </r>
  <r>
    <n v="54"/>
    <d v="2024-04-09T00:00:00"/>
    <s v="4/2024"/>
    <x v="23"/>
    <x v="141"/>
    <x v="0"/>
    <x v="0"/>
    <x v="31"/>
    <n v="1"/>
    <n v="220"/>
    <n v="220"/>
    <n v="224"/>
    <n v="224"/>
    <m/>
    <n v="34"/>
    <n v="258"/>
    <n v="258"/>
    <n v="0"/>
    <x v="4"/>
    <s v="true"/>
    <s v="true"/>
    <x v="0"/>
  </r>
  <r>
    <n v="54"/>
    <d v="2024-04-09T00:00:00"/>
    <s v="4/2024"/>
    <x v="23"/>
    <x v="142"/>
    <x v="0"/>
    <x v="0"/>
    <x v="29"/>
    <n v="1"/>
    <n v="184"/>
    <n v="184"/>
    <n v="188"/>
    <n v="188"/>
    <m/>
    <n v="28"/>
    <n v="216"/>
    <n v="216"/>
    <n v="0"/>
    <x v="4"/>
    <s v="true"/>
    <s v="true"/>
    <x v="0"/>
  </r>
  <r>
    <n v="54"/>
    <d v="2024-04-09T00:00:00"/>
    <s v="4/2024"/>
    <x v="23"/>
    <x v="143"/>
    <x v="0"/>
    <x v="0"/>
    <x v="29"/>
    <n v="1"/>
    <n v="770"/>
    <n v="770"/>
    <n v="794"/>
    <n v="794"/>
    <m/>
    <n v="119"/>
    <n v="913"/>
    <n v="913"/>
    <n v="0"/>
    <x v="13"/>
    <s v="true"/>
    <s v="true"/>
    <x v="0"/>
  </r>
  <r>
    <n v="55"/>
    <d v="2024-04-09T00:00:00"/>
    <s v="4/2024"/>
    <x v="28"/>
    <x v="73"/>
    <x v="0"/>
    <x v="0"/>
    <x v="27"/>
    <n v="1"/>
    <n v="0"/>
    <n v="0"/>
    <n v="2700"/>
    <n v="2700"/>
    <m/>
    <n v="405"/>
    <n v="405"/>
    <n v="405"/>
    <n v="0"/>
    <x v="4"/>
    <s v="true"/>
    <s v="true"/>
    <x v="0"/>
  </r>
  <r>
    <n v="56"/>
    <d v="2024-04-10T00:00:00"/>
    <s v="4/2024"/>
    <x v="24"/>
    <x v="96"/>
    <x v="0"/>
    <x v="0"/>
    <x v="33"/>
    <n v="1"/>
    <n v="1213"/>
    <n v="1213"/>
    <n v="1340"/>
    <n v="1340"/>
    <m/>
    <n v="201"/>
    <n v="1541"/>
    <n v="1541"/>
    <n v="0"/>
    <x v="4"/>
    <s v="true"/>
    <s v="true"/>
    <x v="0"/>
  </r>
  <r>
    <n v="56"/>
    <d v="2024-04-10T00:00:00"/>
    <s v="4/2024"/>
    <x v="24"/>
    <x v="144"/>
    <x v="0"/>
    <x v="0"/>
    <x v="33"/>
    <n v="1"/>
    <n v="758"/>
    <n v="758"/>
    <n v="758"/>
    <n v="758"/>
    <m/>
    <n v="114"/>
    <n v="872"/>
    <n v="872"/>
    <n v="0"/>
    <x v="4"/>
    <s v="true"/>
    <s v="true"/>
    <x v="0"/>
  </r>
  <r>
    <n v="56"/>
    <d v="2024-04-10T00:00:00"/>
    <s v="4/2024"/>
    <x v="24"/>
    <x v="145"/>
    <x v="0"/>
    <x v="0"/>
    <x v="34"/>
    <n v="1"/>
    <n v="288"/>
    <n v="288"/>
    <n v="294"/>
    <n v="294"/>
    <m/>
    <n v="44"/>
    <n v="338"/>
    <n v="338"/>
    <n v="0"/>
    <x v="4"/>
    <s v="true"/>
    <s v="true"/>
    <x v="0"/>
  </r>
  <r>
    <n v="56"/>
    <d v="2024-04-10T00:00:00"/>
    <s v="4/2024"/>
    <x v="24"/>
    <x v="146"/>
    <x v="0"/>
    <x v="0"/>
    <x v="35"/>
    <n v="1"/>
    <n v="612"/>
    <n v="612"/>
    <n v="612"/>
    <n v="612"/>
    <m/>
    <n v="92"/>
    <n v="704"/>
    <n v="704"/>
    <n v="0"/>
    <x v="4"/>
    <s v="true"/>
    <s v="true"/>
    <x v="0"/>
  </r>
  <r>
    <n v="56"/>
    <d v="2024-04-10T00:00:00"/>
    <s v="4/2024"/>
    <x v="24"/>
    <x v="147"/>
    <x v="0"/>
    <x v="0"/>
    <x v="30"/>
    <n v="1"/>
    <n v="2888"/>
    <n v="2888"/>
    <n v="3145"/>
    <n v="3145"/>
    <m/>
    <n v="472"/>
    <n v="3617"/>
    <n v="3617"/>
    <n v="0"/>
    <x v="4"/>
    <s v="true"/>
    <s v="true"/>
    <x v="0"/>
  </r>
  <r>
    <n v="56"/>
    <d v="2024-04-10T00:00:00"/>
    <s v="4/2024"/>
    <x v="24"/>
    <x v="148"/>
    <x v="0"/>
    <x v="0"/>
    <x v="24"/>
    <n v="1"/>
    <n v="52"/>
    <n v="52"/>
    <n v="52"/>
    <n v="52"/>
    <n v="237.08"/>
    <n v="8"/>
    <n v="297.08000000000004"/>
    <n v="297.08000000000004"/>
    <n v="0"/>
    <x v="5"/>
    <s v="true"/>
    <s v="true"/>
    <x v="0"/>
  </r>
  <r>
    <n v="56"/>
    <d v="2024-04-10T00:00:00"/>
    <s v="4/2024"/>
    <x v="24"/>
    <x v="149"/>
    <x v="0"/>
    <x v="0"/>
    <x v="24"/>
    <n v="1"/>
    <n v="52"/>
    <n v="52"/>
    <n v="52"/>
    <n v="52"/>
    <n v="237.08"/>
    <n v="8"/>
    <n v="297.08000000000004"/>
    <n v="297.08000000000004"/>
    <n v="0"/>
    <x v="5"/>
    <s v="true"/>
    <s v="true"/>
    <x v="0"/>
  </r>
  <r>
    <n v="57"/>
    <d v="2024-04-10T00:00:00"/>
    <s v="4/2024"/>
    <x v="3"/>
    <x v="150"/>
    <x v="0"/>
    <x v="0"/>
    <x v="29"/>
    <n v="1"/>
    <n v="4948"/>
    <n v="4948"/>
    <n v="5332"/>
    <n v="5332"/>
    <m/>
    <n v="800"/>
    <n v="6132"/>
    <n v="6132"/>
    <n v="0"/>
    <x v="4"/>
    <s v="true"/>
    <s v="true"/>
    <x v="0"/>
  </r>
  <r>
    <n v="57"/>
    <d v="2024-04-10T00:00:00"/>
    <s v="4/2024"/>
    <x v="3"/>
    <x v="151"/>
    <x v="0"/>
    <x v="0"/>
    <x v="29"/>
    <n v="1"/>
    <n v="1002"/>
    <n v="1002"/>
    <n v="1091"/>
    <n v="1091"/>
    <m/>
    <n v="164"/>
    <n v="1255"/>
    <n v="1255"/>
    <n v="0"/>
    <x v="4"/>
    <s v="true"/>
    <s v="true"/>
    <x v="0"/>
  </r>
  <r>
    <n v="58"/>
    <d v="2024-04-11T00:00:00"/>
    <s v="4/2024"/>
    <x v="23"/>
    <x v="152"/>
    <x v="0"/>
    <x v="0"/>
    <x v="36"/>
    <n v="1"/>
    <n v="13590"/>
    <n v="13590"/>
    <n v="13590"/>
    <n v="13590"/>
    <m/>
    <n v="1359"/>
    <n v="14949"/>
    <n v="14949"/>
    <n v="0"/>
    <x v="12"/>
    <s v="true"/>
    <s v="true"/>
    <x v="0"/>
  </r>
  <r>
    <n v="59"/>
    <d v="2024-04-12T00:00:00"/>
    <s v="4/2024"/>
    <x v="23"/>
    <x v="153"/>
    <x v="0"/>
    <x v="0"/>
    <x v="34"/>
    <n v="1"/>
    <n v="437"/>
    <n v="437"/>
    <n v="474"/>
    <n v="474"/>
    <m/>
    <n v="47"/>
    <n v="521"/>
    <n v="521"/>
    <n v="0"/>
    <x v="4"/>
    <s v="true"/>
    <s v="true"/>
    <x v="0"/>
  </r>
  <r>
    <n v="59"/>
    <d v="2024-04-12T00:00:00"/>
    <s v="4/2024"/>
    <x v="23"/>
    <x v="154"/>
    <x v="0"/>
    <x v="0"/>
    <x v="32"/>
    <n v="5"/>
    <n v="393"/>
    <n v="1965"/>
    <n v="426"/>
    <n v="2130"/>
    <m/>
    <n v="213"/>
    <n v="2343"/>
    <n v="2343"/>
    <n v="0"/>
    <x v="4"/>
    <s v="true"/>
    <s v="true"/>
    <x v="0"/>
  </r>
  <r>
    <n v="59"/>
    <d v="2024-04-12T00:00:00"/>
    <s v="4/2024"/>
    <x v="23"/>
    <x v="155"/>
    <x v="0"/>
    <x v="0"/>
    <x v="32"/>
    <n v="1"/>
    <n v="316"/>
    <n v="316"/>
    <n v="322"/>
    <n v="322"/>
    <m/>
    <n v="32"/>
    <n v="354"/>
    <n v="354"/>
    <n v="0"/>
    <x v="4"/>
    <s v="true"/>
    <s v="true"/>
    <x v="0"/>
  </r>
  <r>
    <n v="59"/>
    <d v="2024-04-12T00:00:00"/>
    <s v="4/2024"/>
    <x v="23"/>
    <x v="156"/>
    <x v="0"/>
    <x v="0"/>
    <x v="30"/>
    <n v="1"/>
    <n v="1106"/>
    <n v="1106"/>
    <n v="1141"/>
    <n v="1141"/>
    <m/>
    <n v="114"/>
    <n v="1255"/>
    <n v="1255"/>
    <n v="0"/>
    <x v="2"/>
    <s v="true"/>
    <s v="true"/>
    <x v="0"/>
  </r>
  <r>
    <n v="59"/>
    <d v="2024-04-12T00:00:00"/>
    <s v="4/2024"/>
    <x v="23"/>
    <x v="157"/>
    <x v="0"/>
    <x v="0"/>
    <x v="30"/>
    <n v="1"/>
    <n v="186"/>
    <n v="186"/>
    <n v="192"/>
    <n v="192"/>
    <m/>
    <n v="19"/>
    <n v="211"/>
    <n v="211"/>
    <n v="0"/>
    <x v="2"/>
    <s v="true"/>
    <s v="true"/>
    <x v="0"/>
  </r>
  <r>
    <n v="59"/>
    <d v="2024-04-12T00:00:00"/>
    <s v="4/2024"/>
    <x v="23"/>
    <x v="158"/>
    <x v="0"/>
    <x v="0"/>
    <x v="30"/>
    <n v="1"/>
    <n v="532"/>
    <n v="532"/>
    <n v="549"/>
    <n v="549"/>
    <m/>
    <n v="55"/>
    <n v="604"/>
    <n v="604"/>
    <n v="0"/>
    <x v="2"/>
    <s v="true"/>
    <s v="true"/>
    <x v="0"/>
  </r>
  <r>
    <n v="59"/>
    <d v="2024-04-12T00:00:00"/>
    <s v="4/2024"/>
    <x v="23"/>
    <x v="159"/>
    <x v="0"/>
    <x v="0"/>
    <x v="30"/>
    <n v="3"/>
    <n v="238"/>
    <n v="714"/>
    <n v="246"/>
    <n v="738"/>
    <m/>
    <n v="74"/>
    <n v="812"/>
    <n v="812"/>
    <n v="0"/>
    <x v="2"/>
    <s v="true"/>
    <s v="true"/>
    <x v="0"/>
  </r>
  <r>
    <n v="59"/>
    <d v="2024-04-12T00:00:00"/>
    <s v="4/2024"/>
    <x v="23"/>
    <x v="160"/>
    <x v="0"/>
    <x v="0"/>
    <x v="30"/>
    <n v="1"/>
    <n v="357"/>
    <n v="357"/>
    <n v="369"/>
    <n v="369"/>
    <m/>
    <n v="37"/>
    <n v="406"/>
    <n v="406"/>
    <n v="0"/>
    <x v="2"/>
    <s v="true"/>
    <s v="true"/>
    <x v="0"/>
  </r>
  <r>
    <n v="59"/>
    <d v="2024-04-12T00:00:00"/>
    <s v="4/2024"/>
    <x v="23"/>
    <x v="161"/>
    <x v="0"/>
    <x v="0"/>
    <x v="30"/>
    <n v="1"/>
    <n v="517"/>
    <n v="517"/>
    <n v="534"/>
    <n v="534"/>
    <m/>
    <n v="53"/>
    <n v="587"/>
    <n v="587"/>
    <n v="0"/>
    <x v="2"/>
    <s v="true"/>
    <s v="true"/>
    <x v="0"/>
  </r>
  <r>
    <n v="59"/>
    <d v="2024-04-12T00:00:00"/>
    <s v="4/2024"/>
    <x v="23"/>
    <x v="162"/>
    <x v="0"/>
    <x v="0"/>
    <x v="30"/>
    <n v="1"/>
    <n v="1110"/>
    <n v="1110"/>
    <n v="1145"/>
    <n v="1145"/>
    <m/>
    <n v="115"/>
    <n v="1260"/>
    <n v="1260"/>
    <n v="0"/>
    <x v="2"/>
    <s v="true"/>
    <s v="true"/>
    <x v="0"/>
  </r>
  <r>
    <n v="59"/>
    <d v="2024-04-12T00:00:00"/>
    <s v="4/2024"/>
    <x v="23"/>
    <x v="163"/>
    <x v="0"/>
    <x v="0"/>
    <x v="37"/>
    <n v="2"/>
    <n v="852"/>
    <n v="1704"/>
    <n v="922"/>
    <n v="1844"/>
    <m/>
    <n v="184"/>
    <n v="2028"/>
    <n v="2028"/>
    <n v="0"/>
    <x v="4"/>
    <s v="true"/>
    <s v="true"/>
    <x v="0"/>
  </r>
  <r>
    <n v="59"/>
    <d v="2024-04-12T00:00:00"/>
    <s v="4/2024"/>
    <x v="23"/>
    <x v="164"/>
    <x v="0"/>
    <x v="0"/>
    <x v="38"/>
    <n v="1"/>
    <n v="764"/>
    <n v="764"/>
    <n v="827"/>
    <n v="827"/>
    <m/>
    <n v="83"/>
    <n v="910"/>
    <n v="910"/>
    <n v="0"/>
    <x v="4"/>
    <s v="true"/>
    <s v="true"/>
    <x v="0"/>
  </r>
  <r>
    <n v="59"/>
    <d v="2024-04-12T00:00:00"/>
    <s v="4/2024"/>
    <x v="23"/>
    <x v="165"/>
    <x v="0"/>
    <x v="0"/>
    <x v="32"/>
    <n v="1"/>
    <n v="503"/>
    <n v="503"/>
    <n v="513"/>
    <n v="513"/>
    <m/>
    <n v="51"/>
    <n v="564"/>
    <n v="564"/>
    <n v="0"/>
    <x v="4"/>
    <s v="true"/>
    <s v="true"/>
    <x v="0"/>
  </r>
  <r>
    <n v="59"/>
    <d v="2024-04-12T00:00:00"/>
    <s v="4/2024"/>
    <x v="23"/>
    <x v="166"/>
    <x v="0"/>
    <x v="0"/>
    <x v="37"/>
    <n v="1"/>
    <n v="565"/>
    <n v="565"/>
    <n v="616"/>
    <n v="616"/>
    <m/>
    <n v="62"/>
    <n v="678"/>
    <n v="678"/>
    <n v="0"/>
    <x v="4"/>
    <s v="true"/>
    <s v="true"/>
    <x v="0"/>
  </r>
  <r>
    <n v="60"/>
    <d v="2024-04-13T00:00:00"/>
    <s v="4/2024"/>
    <x v="29"/>
    <x v="167"/>
    <x v="0"/>
    <x v="0"/>
    <x v="39"/>
    <n v="1"/>
    <n v="771"/>
    <n v="771"/>
    <n v="812"/>
    <n v="812"/>
    <m/>
    <n v="200"/>
    <n v="1012"/>
    <n v="1012"/>
    <n v="0"/>
    <x v="12"/>
    <s v="true"/>
    <s v="true"/>
    <x v="0"/>
  </r>
  <r>
    <n v="62"/>
    <d v="2024-04-12T00:00:00"/>
    <s v="4/2024"/>
    <x v="30"/>
    <x v="73"/>
    <x v="0"/>
    <x v="0"/>
    <x v="29"/>
    <n v="1"/>
    <n v="0"/>
    <n v="0"/>
    <n v="3000"/>
    <n v="3000"/>
    <m/>
    <n v="450"/>
    <n v="450"/>
    <n v="450"/>
    <n v="0"/>
    <x v="4"/>
    <s v="true"/>
    <s v="true"/>
    <x v="0"/>
  </r>
  <r>
    <n v="63"/>
    <d v="2024-04-15T00:00:00"/>
    <s v="4/2024"/>
    <x v="23"/>
    <x v="168"/>
    <x v="0"/>
    <x v="0"/>
    <x v="37"/>
    <n v="1"/>
    <n v="313"/>
    <n v="313"/>
    <n v="319"/>
    <n v="319"/>
    <m/>
    <n v="67"/>
    <n v="386"/>
    <n v="386"/>
    <n v="0"/>
    <x v="4"/>
    <s v="true"/>
    <s v="true"/>
    <x v="0"/>
  </r>
  <r>
    <n v="63"/>
    <d v="2024-04-15T00:00:00"/>
    <s v="4/2024"/>
    <x v="23"/>
    <x v="169"/>
    <x v="0"/>
    <x v="0"/>
    <x v="37"/>
    <n v="1"/>
    <n v="118"/>
    <n v="118"/>
    <n v="120"/>
    <n v="120"/>
    <m/>
    <n v="67"/>
    <n v="187"/>
    <n v="187"/>
    <n v="0"/>
    <x v="4"/>
    <s v="true"/>
    <s v="true"/>
    <x v="0"/>
  </r>
  <r>
    <n v="63"/>
    <d v="2024-04-15T00:00:00"/>
    <s v="4/2024"/>
    <x v="23"/>
    <x v="170"/>
    <x v="0"/>
    <x v="0"/>
    <x v="33"/>
    <n v="1"/>
    <n v="160"/>
    <n v="160"/>
    <n v="163"/>
    <n v="163"/>
    <m/>
    <n v="67"/>
    <n v="230"/>
    <n v="230"/>
    <n v="0"/>
    <x v="4"/>
    <s v="true"/>
    <s v="true"/>
    <x v="0"/>
  </r>
  <r>
    <n v="64"/>
    <d v="2024-04-16T00:00:00"/>
    <s v="4/2024"/>
    <x v="31"/>
    <x v="171"/>
    <x v="0"/>
    <x v="0"/>
    <x v="35"/>
    <n v="1"/>
    <n v="422"/>
    <n v="422"/>
    <n v="436"/>
    <n v="436"/>
    <m/>
    <n v="65"/>
    <n v="501"/>
    <n v="501"/>
    <n v="0"/>
    <x v="2"/>
    <s v="true"/>
    <s v="true"/>
    <x v="0"/>
  </r>
  <r>
    <n v="64"/>
    <d v="2024-04-16T00:00:00"/>
    <s v="4/2024"/>
    <x v="31"/>
    <x v="172"/>
    <x v="0"/>
    <x v="0"/>
    <x v="35"/>
    <n v="1"/>
    <n v="260"/>
    <n v="260"/>
    <n v="269"/>
    <n v="269"/>
    <m/>
    <n v="40"/>
    <n v="309"/>
    <n v="309"/>
    <n v="0"/>
    <x v="2"/>
    <s v="true"/>
    <s v="true"/>
    <x v="0"/>
  </r>
  <r>
    <n v="64"/>
    <d v="2024-04-16T00:00:00"/>
    <s v="4/2024"/>
    <x v="31"/>
    <x v="173"/>
    <x v="0"/>
    <x v="0"/>
    <x v="35"/>
    <n v="1"/>
    <n v="241"/>
    <n v="241"/>
    <n v="249"/>
    <n v="249"/>
    <m/>
    <n v="37"/>
    <n v="286"/>
    <n v="286"/>
    <n v="0"/>
    <x v="2"/>
    <s v="true"/>
    <s v="true"/>
    <x v="0"/>
  </r>
  <r>
    <n v="64"/>
    <d v="2024-04-16T00:00:00"/>
    <s v="4/2024"/>
    <x v="31"/>
    <x v="174"/>
    <x v="0"/>
    <x v="0"/>
    <x v="33"/>
    <n v="1"/>
    <n v="1306"/>
    <n v="1306"/>
    <n v="1347"/>
    <n v="1347"/>
    <m/>
    <n v="202"/>
    <n v="1549"/>
    <n v="1549"/>
    <n v="0"/>
    <x v="2"/>
    <s v="true"/>
    <s v="true"/>
    <x v="0"/>
  </r>
  <r>
    <n v="64"/>
    <d v="2024-04-16T00:00:00"/>
    <s v="4/2024"/>
    <x v="31"/>
    <x v="175"/>
    <x v="0"/>
    <x v="0"/>
    <x v="33"/>
    <n v="1"/>
    <n v="1551"/>
    <n v="1551"/>
    <n v="1599"/>
    <n v="1599"/>
    <m/>
    <n v="240"/>
    <n v="1839"/>
    <n v="1839"/>
    <n v="0"/>
    <x v="2"/>
    <s v="true"/>
    <s v="true"/>
    <x v="0"/>
  </r>
  <r>
    <n v="61"/>
    <d v="2024-04-18T00:00:00"/>
    <s v="4/2024"/>
    <x v="32"/>
    <x v="27"/>
    <x v="0"/>
    <x v="0"/>
    <x v="39"/>
    <n v="1"/>
    <n v="295"/>
    <n v="295"/>
    <n v="305"/>
    <n v="305"/>
    <m/>
    <n v="200"/>
    <n v="505"/>
    <n v="505"/>
    <n v="0"/>
    <x v="2"/>
    <s v="true"/>
    <s v="true"/>
    <x v="0"/>
  </r>
  <r>
    <n v="65"/>
    <d v="2024-04-18T00:00:00"/>
    <s v="4/2024"/>
    <x v="3"/>
    <x v="150"/>
    <x v="0"/>
    <x v="0"/>
    <x v="40"/>
    <n v="1"/>
    <n v="1300"/>
    <n v="1300"/>
    <n v="1412"/>
    <n v="1412"/>
    <m/>
    <n v="212"/>
    <n v="1624"/>
    <n v="1624"/>
    <n v="0"/>
    <x v="4"/>
    <s v="true"/>
    <s v="true"/>
    <x v="0"/>
  </r>
  <r>
    <n v="65"/>
    <d v="2024-04-18T00:00:00"/>
    <s v="4/2024"/>
    <x v="3"/>
    <x v="176"/>
    <x v="0"/>
    <x v="0"/>
    <x v="41"/>
    <n v="1"/>
    <n v="435"/>
    <n v="435"/>
    <n v="473"/>
    <n v="473"/>
    <m/>
    <n v="71"/>
    <n v="544"/>
    <n v="544"/>
    <n v="0"/>
    <x v="4"/>
    <s v="true"/>
    <s v="true"/>
    <x v="0"/>
  </r>
  <r>
    <n v="65"/>
    <d v="2024-04-18T00:00:00"/>
    <s v="4/2024"/>
    <x v="3"/>
    <x v="177"/>
    <x v="0"/>
    <x v="0"/>
    <x v="42"/>
    <n v="1"/>
    <n v="424"/>
    <n v="424"/>
    <n v="459"/>
    <n v="459"/>
    <m/>
    <n v="69"/>
    <n v="528"/>
    <n v="528"/>
    <n v="0"/>
    <x v="4"/>
    <s v="true"/>
    <s v="true"/>
    <x v="0"/>
  </r>
  <r>
    <n v="65"/>
    <d v="2024-04-18T00:00:00"/>
    <s v="4/2024"/>
    <x v="3"/>
    <x v="178"/>
    <x v="0"/>
    <x v="0"/>
    <x v="42"/>
    <n v="1"/>
    <n v="2897"/>
    <n v="2897"/>
    <n v="3137"/>
    <n v="3137"/>
    <m/>
    <n v="471"/>
    <n v="3608"/>
    <n v="3608"/>
    <n v="0"/>
    <x v="4"/>
    <s v="true"/>
    <s v="true"/>
    <x v="0"/>
  </r>
  <r>
    <n v="66"/>
    <d v="2024-04-18T00:00:00"/>
    <s v="4/2024"/>
    <x v="24"/>
    <x v="179"/>
    <x v="0"/>
    <x v="0"/>
    <x v="40"/>
    <n v="1"/>
    <n v="2335"/>
    <n v="2335"/>
    <n v="2533"/>
    <n v="2533"/>
    <m/>
    <n v="380"/>
    <n v="2913"/>
    <n v="2913"/>
    <n v="0"/>
    <x v="4"/>
    <s v="true"/>
    <s v="true"/>
    <x v="0"/>
  </r>
  <r>
    <n v="66"/>
    <d v="2024-04-18T00:00:00"/>
    <s v="4/2024"/>
    <x v="24"/>
    <x v="180"/>
    <x v="0"/>
    <x v="0"/>
    <x v="41"/>
    <n v="1"/>
    <n v="1420"/>
    <n v="1420"/>
    <n v="1464"/>
    <n v="1464"/>
    <m/>
    <n v="220"/>
    <n v="1684"/>
    <n v="1684"/>
    <n v="0"/>
    <x v="2"/>
    <s v="true"/>
    <s v="true"/>
    <x v="0"/>
  </r>
  <r>
    <n v="66"/>
    <d v="2024-04-18T00:00:00"/>
    <s v="4/2024"/>
    <x v="24"/>
    <x v="181"/>
    <x v="0"/>
    <x v="0"/>
    <x v="40"/>
    <n v="2"/>
    <n v="517"/>
    <n v="1034"/>
    <n v="561"/>
    <n v="1122"/>
    <m/>
    <n v="168"/>
    <n v="1290"/>
    <n v="1290"/>
    <n v="0"/>
    <x v="4"/>
    <s v="true"/>
    <s v="true"/>
    <x v="0"/>
  </r>
  <r>
    <n v="67"/>
    <d v="2024-04-19T00:00:00"/>
    <s v="4/2024"/>
    <x v="33"/>
    <x v="182"/>
    <x v="0"/>
    <x v="0"/>
    <x v="39"/>
    <n v="1"/>
    <n v="375"/>
    <n v="375"/>
    <n v="387"/>
    <n v="387"/>
    <m/>
    <n v="100"/>
    <n v="487"/>
    <n v="487"/>
    <n v="0"/>
    <x v="2"/>
    <s v="true"/>
    <s v="true"/>
    <x v="0"/>
  </r>
  <r>
    <n v="67"/>
    <d v="2024-04-19T00:00:00"/>
    <s v="4/2024"/>
    <x v="33"/>
    <x v="183"/>
    <x v="0"/>
    <x v="0"/>
    <x v="43"/>
    <n v="1"/>
    <n v="375"/>
    <n v="375"/>
    <n v="387"/>
    <n v="387"/>
    <m/>
    <n v="100"/>
    <n v="487"/>
    <n v="487"/>
    <n v="0"/>
    <x v="2"/>
    <s v="true"/>
    <s v="true"/>
    <x v="0"/>
  </r>
  <r>
    <n v="68"/>
    <d v="2024-04-19T00:00:00"/>
    <s v="4/2024"/>
    <x v="0"/>
    <x v="184"/>
    <x v="0"/>
    <x v="0"/>
    <x v="43"/>
    <n v="1"/>
    <n v="226"/>
    <n v="226"/>
    <n v="234"/>
    <n v="234"/>
    <m/>
    <n v="35"/>
    <n v="269"/>
    <n v="269"/>
    <n v="0"/>
    <x v="2"/>
    <s v="true"/>
    <s v="true"/>
    <x v="0"/>
  </r>
  <r>
    <n v="68"/>
    <d v="2024-04-19T00:00:00"/>
    <s v="4/2024"/>
    <x v="0"/>
    <x v="185"/>
    <x v="0"/>
    <x v="0"/>
    <x v="39"/>
    <n v="1"/>
    <n v="285"/>
    <n v="285"/>
    <n v="294"/>
    <n v="294"/>
    <m/>
    <n v="44"/>
    <n v="338"/>
    <n v="338"/>
    <n v="0"/>
    <x v="2"/>
    <s v="true"/>
    <s v="true"/>
    <x v="0"/>
  </r>
  <r>
    <n v="68"/>
    <d v="2024-04-19T00:00:00"/>
    <s v="4/2024"/>
    <x v="0"/>
    <x v="186"/>
    <x v="0"/>
    <x v="0"/>
    <x v="39"/>
    <n v="1"/>
    <n v="285"/>
    <n v="285"/>
    <n v="294"/>
    <n v="294"/>
    <m/>
    <n v="44"/>
    <n v="338"/>
    <n v="338"/>
    <n v="0"/>
    <x v="2"/>
    <s v="true"/>
    <s v="true"/>
    <x v="0"/>
  </r>
  <r>
    <n v="68"/>
    <d v="2024-04-19T00:00:00"/>
    <s v="4/2024"/>
    <x v="0"/>
    <x v="172"/>
    <x v="0"/>
    <x v="0"/>
    <x v="43"/>
    <n v="1"/>
    <n v="228"/>
    <n v="228"/>
    <n v="236"/>
    <n v="236"/>
    <m/>
    <n v="35"/>
    <n v="271"/>
    <n v="271"/>
    <n v="0"/>
    <x v="2"/>
    <s v="true"/>
    <s v="true"/>
    <x v="0"/>
  </r>
  <r>
    <n v="68"/>
    <d v="2024-04-19T00:00:00"/>
    <s v="4/2024"/>
    <x v="0"/>
    <x v="187"/>
    <x v="0"/>
    <x v="0"/>
    <x v="43"/>
    <n v="1"/>
    <n v="345"/>
    <n v="345"/>
    <n v="356"/>
    <n v="356"/>
    <m/>
    <n v="53"/>
    <n v="409"/>
    <n v="409"/>
    <n v="0"/>
    <x v="2"/>
    <s v="true"/>
    <s v="true"/>
    <x v="0"/>
  </r>
  <r>
    <n v="68"/>
    <d v="2024-04-19T00:00:00"/>
    <s v="4/2024"/>
    <x v="0"/>
    <x v="188"/>
    <x v="0"/>
    <x v="0"/>
    <x v="43"/>
    <n v="1"/>
    <n v="264"/>
    <n v="264"/>
    <n v="273"/>
    <n v="273"/>
    <m/>
    <n v="41"/>
    <n v="314"/>
    <n v="314"/>
    <n v="0"/>
    <x v="2"/>
    <s v="true"/>
    <s v="true"/>
    <x v="0"/>
  </r>
  <r>
    <n v="69"/>
    <d v="2024-04-20T00:00:00"/>
    <s v="4/2024"/>
    <x v="23"/>
    <x v="121"/>
    <x v="0"/>
    <x v="0"/>
    <x v="43"/>
    <n v="1"/>
    <n v="248"/>
    <n v="248"/>
    <n v="256"/>
    <n v="256"/>
    <m/>
    <n v="38"/>
    <n v="294"/>
    <n v="294"/>
    <n v="0"/>
    <x v="2"/>
    <s v="true"/>
    <s v="true"/>
    <x v="0"/>
  </r>
  <r>
    <n v="69"/>
    <d v="2024-04-20T00:00:00"/>
    <s v="4/2024"/>
    <x v="23"/>
    <x v="189"/>
    <x v="0"/>
    <x v="0"/>
    <x v="43"/>
    <n v="1"/>
    <n v="273"/>
    <n v="273"/>
    <n v="282"/>
    <n v="282"/>
    <m/>
    <n v="42"/>
    <n v="324"/>
    <n v="324"/>
    <n v="0"/>
    <x v="2"/>
    <s v="true"/>
    <s v="true"/>
    <x v="0"/>
  </r>
  <r>
    <n v="69"/>
    <d v="2024-04-20T00:00:00"/>
    <s v="4/2024"/>
    <x v="23"/>
    <x v="190"/>
    <x v="0"/>
    <x v="0"/>
    <x v="43"/>
    <n v="1"/>
    <n v="107"/>
    <n v="107"/>
    <n v="111"/>
    <n v="111"/>
    <m/>
    <n v="17"/>
    <n v="128"/>
    <n v="128"/>
    <n v="0"/>
    <x v="2"/>
    <s v="true"/>
    <s v="true"/>
    <x v="0"/>
  </r>
  <r>
    <n v="69"/>
    <d v="2024-04-20T00:00:00"/>
    <s v="4/2024"/>
    <x v="23"/>
    <x v="191"/>
    <x v="0"/>
    <x v="0"/>
    <x v="42"/>
    <n v="1"/>
    <n v="3410"/>
    <n v="3410"/>
    <n v="3678"/>
    <n v="3678"/>
    <m/>
    <n v="552"/>
    <n v="4230"/>
    <n v="4230"/>
    <n v="0"/>
    <x v="4"/>
    <s v="true"/>
    <s v="true"/>
    <x v="0"/>
  </r>
  <r>
    <n v="69"/>
    <d v="2024-04-20T00:00:00"/>
    <s v="4/2024"/>
    <x v="23"/>
    <x v="192"/>
    <x v="0"/>
    <x v="0"/>
    <x v="44"/>
    <n v="1"/>
    <n v="347"/>
    <n v="347"/>
    <n v="354"/>
    <n v="354"/>
    <m/>
    <n v="53"/>
    <n v="407"/>
    <n v="407"/>
    <n v="0"/>
    <x v="4"/>
    <s v="true"/>
    <s v="true"/>
    <x v="0"/>
  </r>
  <r>
    <n v="69"/>
    <d v="2024-04-20T00:00:00"/>
    <s v="4/2024"/>
    <x v="23"/>
    <x v="193"/>
    <x v="0"/>
    <x v="0"/>
    <x v="39"/>
    <n v="1"/>
    <n v="575"/>
    <n v="575"/>
    <n v="627"/>
    <n v="627"/>
    <m/>
    <n v="94"/>
    <n v="721"/>
    <n v="721"/>
    <n v="0"/>
    <x v="4"/>
    <s v="true"/>
    <s v="true"/>
    <x v="0"/>
  </r>
  <r>
    <n v="69"/>
    <d v="2024-04-20T00:00:00"/>
    <s v="4/2024"/>
    <x v="23"/>
    <x v="194"/>
    <x v="0"/>
    <x v="0"/>
    <x v="39"/>
    <n v="1"/>
    <n v="664"/>
    <n v="664"/>
    <n v="723"/>
    <n v="723"/>
    <m/>
    <n v="108"/>
    <n v="831"/>
    <n v="831"/>
    <n v="0"/>
    <x v="4"/>
    <s v="true"/>
    <s v="true"/>
    <x v="0"/>
  </r>
  <r>
    <n v="69"/>
    <d v="2024-04-20T00:00:00"/>
    <s v="4/2024"/>
    <x v="23"/>
    <x v="195"/>
    <x v="0"/>
    <x v="0"/>
    <x v="39"/>
    <n v="1"/>
    <n v="262"/>
    <n v="262"/>
    <n v="267"/>
    <n v="267"/>
    <m/>
    <n v="40"/>
    <n v="307"/>
    <n v="307"/>
    <n v="0"/>
    <x v="4"/>
    <s v="true"/>
    <s v="true"/>
    <x v="0"/>
  </r>
  <r>
    <n v="69"/>
    <d v="2024-04-20T00:00:00"/>
    <s v="4/2024"/>
    <x v="23"/>
    <x v="196"/>
    <x v="0"/>
    <x v="0"/>
    <x v="39"/>
    <m/>
    <n v="372"/>
    <n v="0"/>
    <n v="380"/>
    <n v="0"/>
    <m/>
    <n v="0"/>
    <n v="0"/>
    <n v="0"/>
    <n v="0"/>
    <x v="4"/>
    <s v="true"/>
    <s v="true"/>
    <x v="0"/>
  </r>
  <r>
    <n v="69"/>
    <d v="2024-04-20T00:00:00"/>
    <s v="4/2024"/>
    <x v="23"/>
    <x v="197"/>
    <x v="0"/>
    <x v="0"/>
    <x v="39"/>
    <n v="1"/>
    <n v="406"/>
    <n v="406"/>
    <n v="427"/>
    <n v="427"/>
    <m/>
    <n v="64"/>
    <n v="491"/>
    <n v="491"/>
    <n v="0"/>
    <x v="4"/>
    <s v="true"/>
    <s v="true"/>
    <x v="0"/>
  </r>
  <r>
    <n v="69"/>
    <d v="2024-04-20T00:00:00"/>
    <s v="4/2024"/>
    <x v="23"/>
    <x v="198"/>
    <x v="0"/>
    <x v="0"/>
    <x v="39"/>
    <n v="1"/>
    <n v="1201"/>
    <n v="1201"/>
    <n v="1238"/>
    <n v="1238"/>
    <m/>
    <n v="186"/>
    <n v="1424"/>
    <n v="1424"/>
    <n v="0"/>
    <x v="4"/>
    <s v="true"/>
    <s v="true"/>
    <x v="0"/>
  </r>
  <r>
    <n v="69"/>
    <d v="2024-04-20T00:00:00"/>
    <s v="4/2024"/>
    <x v="23"/>
    <x v="199"/>
    <x v="0"/>
    <x v="0"/>
    <x v="40"/>
    <n v="5"/>
    <n v="155"/>
    <n v="775"/>
    <n v="158"/>
    <n v="790"/>
    <m/>
    <n v="119"/>
    <n v="909"/>
    <n v="909"/>
    <n v="0"/>
    <x v="4"/>
    <s v="true"/>
    <s v="true"/>
    <x v="0"/>
  </r>
  <r>
    <n v="71"/>
    <d v="2024-04-23T00:00:00"/>
    <s v="4/2024"/>
    <x v="10"/>
    <x v="200"/>
    <x v="0"/>
    <x v="0"/>
    <x v="42"/>
    <n v="1"/>
    <n v="468"/>
    <n v="468"/>
    <n v="483"/>
    <n v="483"/>
    <m/>
    <n v="67"/>
    <n v="550"/>
    <n v="550"/>
    <n v="0"/>
    <x v="4"/>
    <s v="true"/>
    <s v="true"/>
    <x v="0"/>
  </r>
  <r>
    <n v="71"/>
    <d v="2024-04-23T00:00:00"/>
    <s v="4/2024"/>
    <x v="10"/>
    <x v="201"/>
    <x v="0"/>
    <x v="0"/>
    <x v="42"/>
    <n v="1"/>
    <n v="290"/>
    <n v="290"/>
    <n v="299"/>
    <n v="299"/>
    <m/>
    <n v="67"/>
    <n v="366"/>
    <n v="366"/>
    <n v="0"/>
    <x v="4"/>
    <s v="true"/>
    <s v="true"/>
    <x v="0"/>
  </r>
  <r>
    <n v="71"/>
    <d v="2024-04-23T00:00:00"/>
    <s v="4/2024"/>
    <x v="10"/>
    <x v="202"/>
    <x v="0"/>
    <x v="0"/>
    <x v="45"/>
    <n v="1"/>
    <n v="508"/>
    <n v="508"/>
    <n v="545"/>
    <n v="545"/>
    <m/>
    <n v="67"/>
    <n v="612"/>
    <n v="612"/>
    <n v="0"/>
    <x v="4"/>
    <s v="true"/>
    <s v="true"/>
    <x v="0"/>
  </r>
  <r>
    <n v="72"/>
    <d v="2024-04-25T00:00:00"/>
    <s v="4/2024"/>
    <x v="11"/>
    <x v="203"/>
    <x v="0"/>
    <x v="0"/>
    <x v="46"/>
    <n v="1"/>
    <n v="1457"/>
    <n v="1457"/>
    <n v="1553"/>
    <n v="1553"/>
    <m/>
    <n v="233"/>
    <n v="1786"/>
    <n v="1786"/>
    <n v="0"/>
    <x v="4"/>
    <s v="true"/>
    <s v="true"/>
    <x v="0"/>
  </r>
  <r>
    <n v="72"/>
    <d v="2024-04-25T00:00:00"/>
    <s v="4/2024"/>
    <x v="11"/>
    <x v="75"/>
    <x v="0"/>
    <x v="0"/>
    <x v="47"/>
    <n v="1"/>
    <n v="1349"/>
    <n v="1349"/>
    <n v="1399"/>
    <n v="1399"/>
    <m/>
    <n v="210"/>
    <n v="1609"/>
    <n v="1609"/>
    <n v="0"/>
    <x v="4"/>
    <s v="true"/>
    <s v="true"/>
    <x v="0"/>
  </r>
  <r>
    <n v="73"/>
    <d v="2024-04-26T00:00:00"/>
    <s v="4/2024"/>
    <x v="22"/>
    <x v="73"/>
    <x v="0"/>
    <x v="0"/>
    <x v="46"/>
    <n v="1"/>
    <n v="0"/>
    <n v="0"/>
    <n v="10471"/>
    <n v="10471"/>
    <m/>
    <n v="1047"/>
    <n v="1047"/>
    <n v="1047"/>
    <n v="0"/>
    <x v="4"/>
    <s v="true"/>
    <s v="true"/>
    <x v="0"/>
  </r>
  <r>
    <n v="74"/>
    <d v="2024-04-26T00:00:00"/>
    <s v="4/2024"/>
    <x v="30"/>
    <x v="73"/>
    <x v="0"/>
    <x v="0"/>
    <x v="46"/>
    <n v="1"/>
    <n v="0"/>
    <n v="0"/>
    <n v="4329"/>
    <n v="4329"/>
    <m/>
    <n v="649"/>
    <n v="649"/>
    <n v="649"/>
    <n v="0"/>
    <x v="4"/>
    <s v="true"/>
    <s v="true"/>
    <x v="0"/>
  </r>
  <r>
    <n v="75"/>
    <d v="2024-04-23T00:00:00"/>
    <s v="4/2024"/>
    <x v="31"/>
    <x v="204"/>
    <x v="0"/>
    <x v="0"/>
    <x v="40"/>
    <n v="1"/>
    <n v="554"/>
    <n v="554"/>
    <n v="554"/>
    <n v="554"/>
    <m/>
    <n v="83"/>
    <n v="637"/>
    <n v="637"/>
    <n v="0"/>
    <x v="2"/>
    <s v="true"/>
    <s v="true"/>
    <x v="0"/>
  </r>
  <r>
    <n v="75"/>
    <d v="2024-04-23T00:00:00"/>
    <s v="4/2024"/>
    <x v="31"/>
    <x v="205"/>
    <x v="0"/>
    <x v="0"/>
    <x v="40"/>
    <n v="1"/>
    <n v="402"/>
    <n v="402"/>
    <n v="402"/>
    <n v="402"/>
    <m/>
    <n v="60"/>
    <n v="462"/>
    <n v="462"/>
    <n v="0"/>
    <x v="2"/>
    <s v="true"/>
    <s v="true"/>
    <x v="0"/>
  </r>
  <r>
    <n v="75"/>
    <d v="2024-04-23T00:00:00"/>
    <s v="4/2024"/>
    <x v="31"/>
    <x v="206"/>
    <x v="0"/>
    <x v="0"/>
    <x v="40"/>
    <n v="1"/>
    <n v="549"/>
    <n v="549"/>
    <n v="549"/>
    <n v="549"/>
    <m/>
    <n v="82"/>
    <n v="631"/>
    <n v="631"/>
    <n v="0"/>
    <x v="2"/>
    <s v="true"/>
    <s v="true"/>
    <x v="0"/>
  </r>
  <r>
    <n v="75"/>
    <d v="2024-04-23T00:00:00"/>
    <s v="4/2024"/>
    <x v="31"/>
    <x v="207"/>
    <x v="0"/>
    <x v="0"/>
    <x v="40"/>
    <n v="1"/>
    <n v="139"/>
    <n v="139"/>
    <n v="139"/>
    <n v="139"/>
    <m/>
    <n v="21"/>
    <n v="160"/>
    <n v="160"/>
    <n v="0"/>
    <x v="2"/>
    <s v="true"/>
    <s v="true"/>
    <x v="0"/>
  </r>
  <r>
    <n v="75"/>
    <d v="2024-04-23T00:00:00"/>
    <s v="4/2024"/>
    <x v="31"/>
    <x v="208"/>
    <x v="0"/>
    <x v="0"/>
    <x v="40"/>
    <n v="1"/>
    <n v="163"/>
    <n v="163"/>
    <n v="163"/>
    <n v="163"/>
    <m/>
    <n v="24"/>
    <n v="187"/>
    <n v="187"/>
    <n v="0"/>
    <x v="2"/>
    <s v="true"/>
    <s v="true"/>
    <x v="0"/>
  </r>
  <r>
    <n v="75"/>
    <d v="2024-04-23T00:00:00"/>
    <s v="4/2024"/>
    <x v="31"/>
    <x v="174"/>
    <x v="0"/>
    <x v="0"/>
    <x v="40"/>
    <n v="1"/>
    <n v="1330"/>
    <n v="1330"/>
    <n v="1330"/>
    <n v="1330"/>
    <m/>
    <n v="200"/>
    <n v="1530"/>
    <n v="1530"/>
    <n v="0"/>
    <x v="2"/>
    <s v="true"/>
    <s v="true"/>
    <x v="0"/>
  </r>
  <r>
    <n v="75"/>
    <d v="2024-04-23T00:00:00"/>
    <s v="4/2024"/>
    <x v="31"/>
    <x v="209"/>
    <x v="0"/>
    <x v="0"/>
    <x v="40"/>
    <n v="1"/>
    <n v="232"/>
    <n v="232"/>
    <n v="232"/>
    <n v="232"/>
    <m/>
    <n v="35"/>
    <n v="267"/>
    <n v="267"/>
    <n v="0"/>
    <x v="2"/>
    <s v="true"/>
    <s v="true"/>
    <x v="0"/>
  </r>
  <r>
    <n v="75"/>
    <d v="2024-04-23T00:00:00"/>
    <s v="4/2024"/>
    <x v="31"/>
    <x v="210"/>
    <x v="0"/>
    <x v="0"/>
    <x v="40"/>
    <n v="1"/>
    <n v="235"/>
    <n v="235"/>
    <n v="235"/>
    <n v="235"/>
    <m/>
    <n v="35"/>
    <n v="270"/>
    <n v="270"/>
    <n v="0"/>
    <x v="2"/>
    <s v="true"/>
    <s v="true"/>
    <x v="0"/>
  </r>
  <r>
    <n v="75"/>
    <d v="2024-04-23T00:00:00"/>
    <s v="4/2024"/>
    <x v="31"/>
    <x v="211"/>
    <x v="0"/>
    <x v="0"/>
    <x v="40"/>
    <n v="1"/>
    <n v="189"/>
    <n v="189"/>
    <n v="189"/>
    <n v="189"/>
    <m/>
    <n v="28"/>
    <n v="217"/>
    <n v="217"/>
    <n v="0"/>
    <x v="2"/>
    <s v="true"/>
    <s v="true"/>
    <x v="0"/>
  </r>
  <r>
    <n v="75"/>
    <d v="2024-04-23T00:00:00"/>
    <s v="4/2024"/>
    <x v="31"/>
    <x v="212"/>
    <x v="0"/>
    <x v="0"/>
    <x v="40"/>
    <n v="1"/>
    <n v="126"/>
    <n v="126"/>
    <n v="126"/>
    <n v="126"/>
    <m/>
    <n v="19"/>
    <n v="145"/>
    <n v="145"/>
    <n v="0"/>
    <x v="2"/>
    <s v="true"/>
    <s v="true"/>
    <x v="0"/>
  </r>
  <r>
    <n v="75"/>
    <d v="2024-04-23T00:00:00"/>
    <s v="4/2024"/>
    <x v="31"/>
    <x v="213"/>
    <x v="0"/>
    <x v="0"/>
    <x v="44"/>
    <n v="1"/>
    <n v="388"/>
    <n v="388"/>
    <n v="388"/>
    <n v="388"/>
    <m/>
    <n v="58"/>
    <n v="446"/>
    <n v="446"/>
    <n v="0"/>
    <x v="2"/>
    <s v="true"/>
    <s v="true"/>
    <x v="0"/>
  </r>
  <r>
    <n v="78"/>
    <d v="2024-04-27T00:00:00"/>
    <s v="4/2024"/>
    <x v="34"/>
    <x v="214"/>
    <x v="0"/>
    <x v="0"/>
    <x v="48"/>
    <n v="1"/>
    <n v="243"/>
    <n v="243"/>
    <n v="248"/>
    <n v="248"/>
    <m/>
    <n v="37"/>
    <n v="285"/>
    <n v="285"/>
    <n v="0"/>
    <x v="4"/>
    <s v="true"/>
    <s v="true"/>
    <x v="0"/>
  </r>
  <r>
    <n v="78"/>
    <d v="2024-04-27T00:00:00"/>
    <s v="4/2024"/>
    <x v="34"/>
    <x v="215"/>
    <x v="0"/>
    <x v="0"/>
    <x v="48"/>
    <n v="1"/>
    <n v="307"/>
    <n v="307"/>
    <n v="313"/>
    <n v="313"/>
    <m/>
    <n v="47"/>
    <n v="360"/>
    <n v="360"/>
    <n v="0"/>
    <x v="4"/>
    <s v="true"/>
    <s v="true"/>
    <x v="0"/>
  </r>
  <r>
    <n v="78"/>
    <d v="2024-04-27T00:00:00"/>
    <s v="4/2024"/>
    <x v="34"/>
    <x v="27"/>
    <x v="0"/>
    <x v="0"/>
    <x v="47"/>
    <n v="1"/>
    <n v="507"/>
    <n v="507"/>
    <n v="549"/>
    <n v="549"/>
    <m/>
    <n v="82"/>
    <n v="631"/>
    <n v="631"/>
    <n v="0"/>
    <x v="4"/>
    <s v="true"/>
    <s v="true"/>
    <x v="0"/>
  </r>
  <r>
    <n v="76"/>
    <d v="2024-04-26T00:00:00"/>
    <s v="4/2024"/>
    <x v="23"/>
    <x v="82"/>
    <x v="0"/>
    <x v="0"/>
    <x v="48"/>
    <n v="1"/>
    <n v="238"/>
    <n v="238"/>
    <n v="243"/>
    <n v="243"/>
    <m/>
    <n v="50"/>
    <n v="293"/>
    <n v="293"/>
    <n v="0"/>
    <x v="2"/>
    <s v="true"/>
    <s v="true"/>
    <x v="0"/>
  </r>
  <r>
    <n v="76"/>
    <d v="2024-04-26T00:00:00"/>
    <s v="4/2024"/>
    <x v="23"/>
    <x v="216"/>
    <x v="0"/>
    <x v="0"/>
    <x v="47"/>
    <n v="1"/>
    <n v="229"/>
    <n v="229"/>
    <n v="234"/>
    <n v="234"/>
    <m/>
    <n v="50"/>
    <n v="284"/>
    <n v="284"/>
    <n v="0"/>
    <x v="2"/>
    <s v="true"/>
    <s v="true"/>
    <x v="0"/>
  </r>
  <r>
    <n v="76"/>
    <d v="2024-04-26T00:00:00"/>
    <s v="4/2024"/>
    <x v="23"/>
    <x v="217"/>
    <x v="0"/>
    <x v="0"/>
    <x v="47"/>
    <n v="1"/>
    <n v="381"/>
    <n v="381"/>
    <n v="389"/>
    <n v="389"/>
    <m/>
    <n v="50"/>
    <n v="439"/>
    <n v="439"/>
    <n v="0"/>
    <x v="2"/>
    <s v="true"/>
    <s v="true"/>
    <x v="0"/>
  </r>
  <r>
    <n v="76"/>
    <d v="2024-04-26T00:00:00"/>
    <s v="4/2024"/>
    <x v="23"/>
    <x v="214"/>
    <x v="0"/>
    <x v="0"/>
    <x v="48"/>
    <n v="1"/>
    <n v="243"/>
    <n v="243"/>
    <n v="248"/>
    <n v="248"/>
    <m/>
    <n v="50"/>
    <n v="298"/>
    <n v="298"/>
    <n v="0"/>
    <x v="4"/>
    <s v="true"/>
    <s v="true"/>
    <x v="0"/>
  </r>
  <r>
    <n v="77"/>
    <d v="2024-04-27T00:00:00"/>
    <s v="4/2024"/>
    <x v="35"/>
    <x v="218"/>
    <x v="0"/>
    <x v="0"/>
    <x v="47"/>
    <n v="1"/>
    <n v="1776"/>
    <n v="1776"/>
    <n v="1920"/>
    <n v="1920"/>
    <m/>
    <n v="288"/>
    <n v="2208"/>
    <n v="2208"/>
    <n v="0"/>
    <x v="4"/>
    <s v="true"/>
    <s v="true"/>
    <x v="0"/>
  </r>
  <r>
    <n v="78"/>
    <d v="2024-04-27T00:00:00"/>
    <s v="4/2024"/>
    <x v="34"/>
    <x v="219"/>
    <x v="0"/>
    <x v="0"/>
    <x v="47"/>
    <n v="1"/>
    <n v="468"/>
    <n v="468"/>
    <n v="508"/>
    <n v="508"/>
    <m/>
    <n v="76"/>
    <n v="584"/>
    <n v="584"/>
    <n v="0"/>
    <x v="4"/>
    <s v="true"/>
    <s v="true"/>
    <x v="0"/>
  </r>
  <r>
    <n v="78"/>
    <d v="2024-04-27T00:00:00"/>
    <s v="4/2024"/>
    <x v="34"/>
    <x v="143"/>
    <x v="0"/>
    <x v="0"/>
    <x v="49"/>
    <n v="1"/>
    <n v="911"/>
    <n v="911"/>
    <n v="983"/>
    <n v="983"/>
    <m/>
    <n v="147"/>
    <n v="1130"/>
    <n v="1130"/>
    <n v="0"/>
    <x v="4"/>
    <s v="true"/>
    <s v="true"/>
    <x v="0"/>
  </r>
  <r>
    <n v="78"/>
    <d v="2024-04-27T00:00:00"/>
    <s v="4/2024"/>
    <x v="34"/>
    <x v="220"/>
    <x v="0"/>
    <x v="0"/>
    <x v="50"/>
    <n v="1"/>
    <n v="431"/>
    <n v="431"/>
    <n v="440"/>
    <n v="440"/>
    <m/>
    <n v="66"/>
    <n v="506"/>
    <n v="506"/>
    <n v="0"/>
    <x v="4"/>
    <s v="true"/>
    <s v="true"/>
    <x v="0"/>
  </r>
  <r>
    <n v="77"/>
    <d v="2024-04-27T00:00:00"/>
    <s v="4/2024"/>
    <x v="35"/>
    <x v="221"/>
    <x v="0"/>
    <x v="0"/>
    <x v="51"/>
    <n v="1"/>
    <n v="636"/>
    <n v="636"/>
    <n v="690"/>
    <n v="690"/>
    <m/>
    <n v="104"/>
    <n v="794"/>
    <n v="794"/>
    <n v="0"/>
    <x v="4"/>
    <s v="true"/>
    <s v="true"/>
    <x v="0"/>
  </r>
  <r>
    <n v="79"/>
    <d v="2024-04-28T00:00:00"/>
    <s v="4/2024"/>
    <x v="13"/>
    <x v="222"/>
    <x v="0"/>
    <x v="0"/>
    <x v="52"/>
    <n v="1"/>
    <n v="2532"/>
    <n v="2532"/>
    <n v="2632"/>
    <n v="2632"/>
    <m/>
    <n v="395"/>
    <n v="3027"/>
    <n v="3027"/>
    <n v="0"/>
    <x v="4"/>
    <s v="true"/>
    <s v="true"/>
    <x v="0"/>
  </r>
  <r>
    <n v="79"/>
    <d v="2024-04-28T00:00:00"/>
    <s v="4/2024"/>
    <x v="13"/>
    <x v="223"/>
    <x v="0"/>
    <x v="0"/>
    <x v="50"/>
    <n v="1"/>
    <n v="482"/>
    <n v="482"/>
    <n v="515"/>
    <n v="515"/>
    <m/>
    <n v="77"/>
    <n v="592"/>
    <n v="592"/>
    <n v="0"/>
    <x v="4"/>
    <s v="true"/>
    <s v="true"/>
    <x v="0"/>
  </r>
  <r>
    <n v="79"/>
    <d v="2024-04-28T00:00:00"/>
    <s v="4/2024"/>
    <x v="13"/>
    <x v="224"/>
    <x v="0"/>
    <x v="0"/>
    <x v="53"/>
    <n v="1"/>
    <n v="562"/>
    <n v="562"/>
    <n v="600"/>
    <n v="600"/>
    <m/>
    <n v="90"/>
    <n v="690"/>
    <n v="690"/>
    <n v="0"/>
    <x v="4"/>
    <s v="true"/>
    <s v="true"/>
    <x v="0"/>
  </r>
  <r>
    <n v="79"/>
    <d v="2024-04-28T00:00:00"/>
    <s v="4/2024"/>
    <x v="13"/>
    <x v="225"/>
    <x v="0"/>
    <x v="0"/>
    <x v="49"/>
    <n v="1"/>
    <n v="3174"/>
    <n v="3174"/>
    <n v="3358"/>
    <n v="3358"/>
    <m/>
    <n v="504"/>
    <n v="3862"/>
    <n v="3862"/>
    <n v="0"/>
    <x v="4"/>
    <s v="true"/>
    <s v="true"/>
    <x v="0"/>
  </r>
  <r>
    <n v="79"/>
    <d v="2024-04-28T00:00:00"/>
    <s v="4/2024"/>
    <x v="13"/>
    <x v="27"/>
    <x v="0"/>
    <x v="0"/>
    <x v="54"/>
    <n v="1"/>
    <n v="510"/>
    <n v="510"/>
    <n v="551"/>
    <n v="551"/>
    <m/>
    <n v="83"/>
    <n v="634"/>
    <n v="634"/>
    <n v="0"/>
    <x v="4"/>
    <s v="true"/>
    <s v="true"/>
    <x v="0"/>
  </r>
  <r>
    <n v="78"/>
    <d v="2024-04-27T00:00:00"/>
    <s v="4/2024"/>
    <x v="34"/>
    <x v="226"/>
    <x v="0"/>
    <x v="0"/>
    <x v="53"/>
    <n v="1"/>
    <n v="215"/>
    <n v="215"/>
    <n v="219"/>
    <n v="219"/>
    <m/>
    <n v="33"/>
    <n v="252"/>
    <n v="252"/>
    <n v="0"/>
    <x v="4"/>
    <s v="true"/>
    <s v="true"/>
    <x v="0"/>
  </r>
  <r>
    <n v="78"/>
    <d v="2024-04-27T00:00:00"/>
    <s v="4/2024"/>
    <x v="34"/>
    <x v="227"/>
    <x v="0"/>
    <x v="0"/>
    <x v="53"/>
    <n v="1"/>
    <n v="354"/>
    <n v="354"/>
    <n v="361"/>
    <n v="361"/>
    <m/>
    <n v="54"/>
    <n v="415"/>
    <n v="415"/>
    <n v="0"/>
    <x v="4"/>
    <s v="true"/>
    <s v="true"/>
    <x v="0"/>
  </r>
  <r>
    <n v="80"/>
    <d v="2024-04-30T00:00:00"/>
    <s v="4/2024"/>
    <x v="3"/>
    <x v="228"/>
    <x v="0"/>
    <x v="0"/>
    <x v="55"/>
    <n v="1"/>
    <n v="386"/>
    <n v="386"/>
    <n v="394"/>
    <n v="394"/>
    <m/>
    <n v="59"/>
    <n v="453"/>
    <n v="453"/>
    <n v="0"/>
    <x v="4"/>
    <s v="true"/>
    <s v="true"/>
    <x v="0"/>
  </r>
  <r>
    <n v="80"/>
    <d v="2024-04-30T00:00:00"/>
    <s v="4/2024"/>
    <x v="3"/>
    <x v="229"/>
    <x v="0"/>
    <x v="0"/>
    <x v="53"/>
    <n v="1"/>
    <n v="435"/>
    <n v="435"/>
    <n v="463"/>
    <n v="463"/>
    <m/>
    <n v="69"/>
    <n v="532"/>
    <n v="532"/>
    <n v="0"/>
    <x v="4"/>
    <s v="true"/>
    <s v="true"/>
    <x v="0"/>
  </r>
  <r>
    <n v="80"/>
    <d v="2024-04-30T00:00:00"/>
    <s v="4/2024"/>
    <x v="3"/>
    <x v="230"/>
    <x v="0"/>
    <x v="0"/>
    <x v="53"/>
    <n v="1"/>
    <n v="503"/>
    <n v="503"/>
    <n v="538"/>
    <n v="538"/>
    <m/>
    <n v="81"/>
    <n v="619"/>
    <n v="619"/>
    <n v="0"/>
    <x v="4"/>
    <s v="true"/>
    <s v="true"/>
    <x v="0"/>
  </r>
  <r>
    <n v="80"/>
    <d v="2024-04-30T00:00:00"/>
    <s v="4/2024"/>
    <x v="3"/>
    <x v="231"/>
    <x v="0"/>
    <x v="0"/>
    <x v="56"/>
    <n v="1"/>
    <n v="804"/>
    <n v="804"/>
    <n v="806"/>
    <n v="806"/>
    <m/>
    <n v="121"/>
    <n v="927"/>
    <n v="927"/>
    <n v="0"/>
    <x v="4"/>
    <s v="true"/>
    <s v="true"/>
    <x v="0"/>
  </r>
  <r>
    <n v="81"/>
    <d v="2024-05-03T00:00:00"/>
    <s v="5/2024"/>
    <x v="36"/>
    <x v="232"/>
    <x v="0"/>
    <x v="0"/>
    <x v="57"/>
    <n v="1"/>
    <n v="5121"/>
    <n v="5121"/>
    <n v="5335"/>
    <n v="5335"/>
    <m/>
    <n v="800"/>
    <n v="6135"/>
    <n v="6135"/>
    <n v="0"/>
    <x v="2"/>
    <s v="true"/>
    <s v="true"/>
    <x v="0"/>
  </r>
  <r>
    <n v="81"/>
    <d v="2024-05-03T00:00:00"/>
    <s v="5/2024"/>
    <x v="36"/>
    <x v="233"/>
    <x v="0"/>
    <x v="0"/>
    <x v="58"/>
    <n v="1"/>
    <n v="344"/>
    <n v="344"/>
    <n v="359"/>
    <n v="359"/>
    <m/>
    <n v="54"/>
    <n v="413"/>
    <n v="413"/>
    <n v="0"/>
    <x v="2"/>
    <s v="true"/>
    <s v="true"/>
    <x v="0"/>
  </r>
  <r>
    <n v="81"/>
    <d v="2024-05-03T00:00:00"/>
    <s v="5/2024"/>
    <x v="36"/>
    <x v="234"/>
    <x v="0"/>
    <x v="0"/>
    <x v="59"/>
    <n v="1"/>
    <n v="432"/>
    <n v="432"/>
    <n v="451"/>
    <n v="451"/>
    <m/>
    <n v="68"/>
    <n v="519"/>
    <n v="519"/>
    <n v="0"/>
    <x v="2"/>
    <s v="true"/>
    <s v="true"/>
    <x v="0"/>
  </r>
  <r>
    <n v="81"/>
    <d v="2024-05-03T00:00:00"/>
    <s v="5/2024"/>
    <x v="36"/>
    <x v="235"/>
    <x v="0"/>
    <x v="0"/>
    <x v="57"/>
    <n v="1"/>
    <n v="1530"/>
    <n v="1530"/>
    <n v="1594"/>
    <n v="1594"/>
    <m/>
    <n v="239"/>
    <n v="1833"/>
    <n v="1833"/>
    <n v="0"/>
    <x v="2"/>
    <s v="true"/>
    <s v="true"/>
    <x v="0"/>
  </r>
  <r>
    <n v="82"/>
    <d v="2024-05-03T00:00:00"/>
    <s v="5/2024"/>
    <x v="23"/>
    <x v="236"/>
    <x v="0"/>
    <x v="0"/>
    <x v="57"/>
    <n v="1"/>
    <n v="453"/>
    <n v="453"/>
    <n v="472"/>
    <n v="472"/>
    <m/>
    <n v="71"/>
    <n v="543"/>
    <n v="543"/>
    <n v="0"/>
    <x v="2"/>
    <s v="true"/>
    <s v="true"/>
    <x v="0"/>
  </r>
  <r>
    <n v="82"/>
    <d v="2024-05-03T00:00:00"/>
    <s v="5/2024"/>
    <x v="23"/>
    <x v="237"/>
    <x v="0"/>
    <x v="0"/>
    <x v="57"/>
    <n v="1"/>
    <n v="364"/>
    <n v="364"/>
    <n v="380"/>
    <n v="380"/>
    <m/>
    <n v="57"/>
    <n v="437"/>
    <n v="437"/>
    <n v="0"/>
    <x v="2"/>
    <s v="true"/>
    <s v="true"/>
    <x v="0"/>
  </r>
  <r>
    <n v="82"/>
    <d v="2024-05-03T00:00:00"/>
    <s v="5/2024"/>
    <x v="23"/>
    <x v="238"/>
    <x v="0"/>
    <x v="0"/>
    <x v="49"/>
    <n v="1"/>
    <n v="656"/>
    <n v="656"/>
    <n v="684"/>
    <n v="684"/>
    <m/>
    <n v="103"/>
    <n v="787"/>
    <n v="787"/>
    <n v="0"/>
    <x v="2"/>
    <s v="true"/>
    <s v="true"/>
    <x v="0"/>
  </r>
  <r>
    <n v="82"/>
    <d v="2024-05-03T00:00:00"/>
    <s v="5/2024"/>
    <x v="23"/>
    <x v="239"/>
    <x v="0"/>
    <x v="0"/>
    <x v="57"/>
    <n v="1"/>
    <n v="961"/>
    <n v="961"/>
    <n v="1002"/>
    <n v="1002"/>
    <m/>
    <n v="150"/>
    <n v="1152"/>
    <n v="1152"/>
    <n v="0"/>
    <x v="2"/>
    <s v="true"/>
    <s v="true"/>
    <x v="0"/>
  </r>
  <r>
    <n v="82"/>
    <d v="2024-05-03T00:00:00"/>
    <s v="5/2024"/>
    <x v="23"/>
    <x v="240"/>
    <x v="0"/>
    <x v="0"/>
    <x v="57"/>
    <n v="1"/>
    <n v="432"/>
    <n v="432"/>
    <n v="451"/>
    <n v="451"/>
    <m/>
    <n v="68"/>
    <n v="519"/>
    <n v="519"/>
    <n v="0"/>
    <x v="2"/>
    <s v="true"/>
    <s v="true"/>
    <x v="0"/>
  </r>
  <r>
    <n v="83"/>
    <d v="2024-05-03T00:00:00"/>
    <s v="5/2024"/>
    <x v="1"/>
    <x v="241"/>
    <x v="0"/>
    <x v="0"/>
    <x v="49"/>
    <n v="1"/>
    <n v="459"/>
    <n v="459"/>
    <n v="479"/>
    <n v="479"/>
    <m/>
    <n v="48"/>
    <n v="527"/>
    <n v="527"/>
    <n v="0"/>
    <x v="2"/>
    <s v="true"/>
    <s v="true"/>
    <x v="0"/>
  </r>
  <r>
    <n v="83"/>
    <d v="2024-05-03T00:00:00"/>
    <s v="5/2024"/>
    <x v="1"/>
    <x v="242"/>
    <x v="0"/>
    <x v="0"/>
    <x v="49"/>
    <n v="1"/>
    <n v="216"/>
    <n v="216"/>
    <n v="226"/>
    <n v="226"/>
    <m/>
    <n v="23"/>
    <n v="249"/>
    <n v="249"/>
    <n v="0"/>
    <x v="2"/>
    <s v="true"/>
    <s v="true"/>
    <x v="0"/>
  </r>
  <r>
    <n v="83"/>
    <d v="2024-05-03T00:00:00"/>
    <s v="5/2024"/>
    <x v="1"/>
    <x v="243"/>
    <x v="0"/>
    <x v="0"/>
    <x v="57"/>
    <n v="1"/>
    <n v="191"/>
    <n v="191"/>
    <n v="199"/>
    <n v="199"/>
    <m/>
    <n v="20"/>
    <n v="219"/>
    <n v="219"/>
    <n v="0"/>
    <x v="2"/>
    <s v="true"/>
    <s v="true"/>
    <x v="0"/>
  </r>
  <r>
    <n v="83"/>
    <d v="2024-05-03T00:00:00"/>
    <s v="5/2024"/>
    <x v="1"/>
    <x v="244"/>
    <x v="0"/>
    <x v="0"/>
    <x v="57"/>
    <n v="2"/>
    <n v="339"/>
    <n v="678"/>
    <n v="354"/>
    <n v="708"/>
    <m/>
    <n v="71"/>
    <n v="779"/>
    <n v="779"/>
    <n v="0"/>
    <x v="2"/>
    <s v="true"/>
    <s v="true"/>
    <x v="0"/>
  </r>
  <r>
    <n v="83"/>
    <d v="2024-05-03T00:00:00"/>
    <s v="5/2024"/>
    <x v="1"/>
    <x v="245"/>
    <x v="0"/>
    <x v="0"/>
    <x v="49"/>
    <n v="1"/>
    <n v="554"/>
    <n v="554"/>
    <n v="578"/>
    <n v="578"/>
    <m/>
    <n v="58"/>
    <n v="636"/>
    <n v="636"/>
    <n v="0"/>
    <x v="2"/>
    <s v="true"/>
    <s v="true"/>
    <x v="0"/>
  </r>
  <r>
    <n v="83"/>
    <d v="2024-05-03T00:00:00"/>
    <s v="5/2024"/>
    <x v="1"/>
    <x v="246"/>
    <x v="0"/>
    <x v="0"/>
    <x v="57"/>
    <n v="3"/>
    <n v="1254"/>
    <n v="3762"/>
    <n v="1307"/>
    <n v="3921"/>
    <m/>
    <n v="392"/>
    <n v="4313"/>
    <n v="4313"/>
    <n v="0"/>
    <x v="2"/>
    <s v="true"/>
    <s v="true"/>
    <x v="0"/>
  </r>
  <r>
    <n v="84"/>
    <d v="2024-05-04T00:00:00"/>
    <s v="5/2024"/>
    <x v="22"/>
    <x v="73"/>
    <x v="0"/>
    <x v="0"/>
    <x v="50"/>
    <n v="1"/>
    <n v="6297"/>
    <n v="6297"/>
    <n v="6297"/>
    <n v="6297"/>
    <m/>
    <n v="630"/>
    <n v="630"/>
    <n v="630"/>
    <n v="0"/>
    <x v="4"/>
    <s v="true"/>
    <s v="true"/>
    <x v="0"/>
  </r>
  <r>
    <n v="85"/>
    <d v="2024-05-04T00:00:00"/>
    <s v="5/2024"/>
    <x v="37"/>
    <x v="73"/>
    <x v="0"/>
    <x v="0"/>
    <x v="50"/>
    <n v="1"/>
    <n v="500"/>
    <n v="500"/>
    <n v="500"/>
    <n v="500"/>
    <n v="200"/>
    <n v="200"/>
    <n v="400"/>
    <n v="400"/>
    <n v="0"/>
    <x v="4"/>
    <s v="true"/>
    <s v="true"/>
    <x v="0"/>
  </r>
  <r>
    <n v="86"/>
    <d v="2024-05-06T00:00:00"/>
    <s v="5/2024"/>
    <x v="13"/>
    <x v="247"/>
    <x v="0"/>
    <x v="0"/>
    <x v="59"/>
    <n v="1"/>
    <n v="376"/>
    <n v="376"/>
    <n v="384"/>
    <n v="384"/>
    <m/>
    <n v="58"/>
    <n v="442"/>
    <n v="442"/>
    <n v="0"/>
    <x v="4"/>
    <s v="true"/>
    <s v="true"/>
    <x v="0"/>
  </r>
  <r>
    <n v="86"/>
    <d v="2024-05-06T00:00:00"/>
    <s v="5/2024"/>
    <x v="13"/>
    <x v="248"/>
    <x v="0"/>
    <x v="0"/>
    <x v="60"/>
    <n v="1"/>
    <n v="794"/>
    <n v="794"/>
    <n v="838"/>
    <n v="838"/>
    <m/>
    <n v="126"/>
    <n v="964"/>
    <n v="964"/>
    <n v="0"/>
    <x v="4"/>
    <s v="true"/>
    <s v="true"/>
    <x v="0"/>
  </r>
  <r>
    <n v="86"/>
    <d v="2024-05-06T00:00:00"/>
    <s v="5/2024"/>
    <x v="13"/>
    <x v="249"/>
    <x v="0"/>
    <x v="0"/>
    <x v="61"/>
    <n v="1"/>
    <n v="432"/>
    <n v="432"/>
    <n v="465"/>
    <n v="465"/>
    <m/>
    <n v="70"/>
    <n v="535"/>
    <n v="535"/>
    <n v="0"/>
    <x v="4"/>
    <s v="true"/>
    <s v="true"/>
    <x v="0"/>
  </r>
  <r>
    <n v="87"/>
    <d v="2024-05-06T00:00:00"/>
    <s v="5/2024"/>
    <x v="38"/>
    <x v="250"/>
    <x v="0"/>
    <x v="0"/>
    <x v="58"/>
    <n v="1"/>
    <n v="490"/>
    <n v="490"/>
    <n v="511"/>
    <n v="511"/>
    <m/>
    <n v="77"/>
    <n v="588"/>
    <n v="588"/>
    <n v="0"/>
    <x v="2"/>
    <s v="true"/>
    <s v="true"/>
    <x v="0"/>
  </r>
  <r>
    <n v="87"/>
    <d v="2024-05-06T00:00:00"/>
    <s v="5/2024"/>
    <x v="38"/>
    <x v="251"/>
    <x v="0"/>
    <x v="0"/>
    <x v="55"/>
    <n v="1"/>
    <n v="965"/>
    <n v="965"/>
    <n v="1006"/>
    <n v="1006"/>
    <m/>
    <n v="151"/>
    <n v="1157"/>
    <n v="1157"/>
    <n v="0"/>
    <x v="2"/>
    <s v="true"/>
    <s v="true"/>
    <x v="0"/>
  </r>
  <r>
    <n v="88"/>
    <d v="2024-05-06T00:00:00"/>
    <s v="5/2024"/>
    <x v="23"/>
    <x v="252"/>
    <x v="0"/>
    <x v="0"/>
    <x v="58"/>
    <n v="1"/>
    <n v="13284"/>
    <n v="13284"/>
    <n v="13284"/>
    <n v="13284"/>
    <m/>
    <n v="1328"/>
    <n v="14612"/>
    <n v="14612"/>
    <n v="0"/>
    <x v="12"/>
    <s v="true"/>
    <s v="true"/>
    <x v="0"/>
  </r>
  <r>
    <n v="88"/>
    <d v="2024-05-06T00:00:00"/>
    <s v="5/2024"/>
    <x v="23"/>
    <x v="253"/>
    <x v="0"/>
    <x v="0"/>
    <x v="60"/>
    <n v="0"/>
    <n v="624"/>
    <n v="0"/>
    <n v="651"/>
    <n v="0"/>
    <m/>
    <n v="0"/>
    <n v="0"/>
    <n v="0"/>
    <n v="0"/>
    <x v="2"/>
    <s v="true"/>
    <s v="true"/>
    <x v="0"/>
  </r>
  <r>
    <n v="88"/>
    <d v="2024-05-06T00:00:00"/>
    <s v="5/2024"/>
    <x v="23"/>
    <x v="254"/>
    <x v="0"/>
    <x v="0"/>
    <x v="62"/>
    <n v="1"/>
    <n v="688"/>
    <n v="688"/>
    <n v="689"/>
    <n v="689"/>
    <m/>
    <n v="69"/>
    <n v="758"/>
    <n v="758"/>
    <n v="0"/>
    <x v="2"/>
    <s v="true"/>
    <s v="true"/>
    <x v="0"/>
  </r>
  <r>
    <n v="88"/>
    <d v="2024-05-06T00:00:00"/>
    <s v="5/2024"/>
    <x v="23"/>
    <x v="255"/>
    <x v="0"/>
    <x v="0"/>
    <x v="55"/>
    <n v="2"/>
    <n v="192"/>
    <n v="384"/>
    <n v="200"/>
    <n v="400"/>
    <m/>
    <n v="40"/>
    <n v="440"/>
    <n v="440"/>
    <n v="0"/>
    <x v="2"/>
    <s v="true"/>
    <s v="true"/>
    <x v="0"/>
  </r>
  <r>
    <n v="88"/>
    <d v="2024-05-06T00:00:00"/>
    <s v="5/2024"/>
    <x v="23"/>
    <x v="256"/>
    <x v="0"/>
    <x v="0"/>
    <x v="55"/>
    <n v="2"/>
    <n v="95"/>
    <n v="190"/>
    <n v="99"/>
    <n v="198"/>
    <m/>
    <n v="20"/>
    <n v="218"/>
    <n v="218"/>
    <n v="0"/>
    <x v="2"/>
    <s v="true"/>
    <s v="true"/>
    <x v="0"/>
  </r>
  <r>
    <n v="89"/>
    <d v="2024-05-07T00:00:00"/>
    <s v="5/2024"/>
    <x v="26"/>
    <x v="257"/>
    <x v="0"/>
    <x v="6"/>
    <x v="55"/>
    <n v="1"/>
    <n v="2959"/>
    <n v="2959"/>
    <n v="2959"/>
    <n v="2959"/>
    <m/>
    <n v="296"/>
    <n v="296"/>
    <n v="296"/>
    <n v="0"/>
    <x v="11"/>
    <s v="true"/>
    <s v="true"/>
    <x v="0"/>
  </r>
  <r>
    <n v="89"/>
    <d v="2024-05-07T00:00:00"/>
    <s v="5/2024"/>
    <x v="26"/>
    <x v="257"/>
    <x v="0"/>
    <x v="7"/>
    <x v="63"/>
    <n v="1"/>
    <n v="5990"/>
    <n v="5990"/>
    <n v="5990"/>
    <n v="5990"/>
    <m/>
    <n v="599"/>
    <n v="599"/>
    <n v="599"/>
    <n v="0"/>
    <x v="11"/>
    <s v="true"/>
    <s v="true"/>
    <x v="0"/>
  </r>
  <r>
    <n v="89"/>
    <d v="2024-05-07T00:00:00"/>
    <s v="5/2024"/>
    <x v="26"/>
    <x v="257"/>
    <x v="0"/>
    <x v="8"/>
    <x v="64"/>
    <n v="1"/>
    <n v="11300"/>
    <n v="11300"/>
    <n v="11300"/>
    <n v="11300"/>
    <m/>
    <n v="1130"/>
    <n v="1130"/>
    <n v="1130"/>
    <n v="0"/>
    <x v="7"/>
    <s v="true"/>
    <s v="true"/>
    <x v="0"/>
  </r>
  <r>
    <n v="89"/>
    <d v="2024-05-07T00:00:00"/>
    <s v="5/2024"/>
    <x v="26"/>
    <x v="257"/>
    <x v="0"/>
    <x v="9"/>
    <x v="61"/>
    <n v="1"/>
    <n v="4400"/>
    <n v="4400"/>
    <n v="4400"/>
    <n v="4400"/>
    <m/>
    <n v="440"/>
    <n v="440"/>
    <n v="440"/>
    <n v="0"/>
    <x v="7"/>
    <s v="true"/>
    <s v="true"/>
    <x v="0"/>
  </r>
  <r>
    <n v="89"/>
    <d v="2024-05-07T00:00:00"/>
    <s v="5/2024"/>
    <x v="26"/>
    <x v="258"/>
    <x v="0"/>
    <x v="10"/>
    <x v="58"/>
    <n v="1"/>
    <n v="9000"/>
    <n v="9000"/>
    <n v="9000"/>
    <n v="9000"/>
    <m/>
    <n v="900"/>
    <n v="9900"/>
    <n v="9900"/>
    <n v="0"/>
    <x v="7"/>
    <s v="true"/>
    <s v="true"/>
    <x v="0"/>
  </r>
  <r>
    <n v="90"/>
    <d v="2024-05-04T00:00:00"/>
    <s v="5/2024"/>
    <x v="39"/>
    <x v="258"/>
    <x v="0"/>
    <x v="11"/>
    <x v="24"/>
    <n v="1"/>
    <n v="25999"/>
    <n v="25999"/>
    <n v="25999"/>
    <n v="25999"/>
    <m/>
    <n v="2600"/>
    <n v="28599"/>
    <n v="28599"/>
    <n v="0"/>
    <x v="7"/>
    <s v="true"/>
    <s v="true"/>
    <x v="0"/>
  </r>
  <r>
    <n v="91"/>
    <d v="2024-05-10T00:00:00"/>
    <s v="5/2024"/>
    <x v="3"/>
    <x v="259"/>
    <x v="0"/>
    <x v="0"/>
    <x v="64"/>
    <n v="1"/>
    <n v="642"/>
    <n v="642"/>
    <n v="691"/>
    <n v="691"/>
    <m/>
    <n v="104"/>
    <n v="795"/>
    <n v="795"/>
    <n v="0"/>
    <x v="4"/>
    <s v="true"/>
    <s v="true"/>
    <x v="0"/>
  </r>
  <r>
    <n v="91"/>
    <d v="2024-05-10T00:00:00"/>
    <s v="5/2024"/>
    <x v="3"/>
    <x v="260"/>
    <x v="0"/>
    <x v="0"/>
    <x v="65"/>
    <n v="1"/>
    <n v="266"/>
    <n v="266"/>
    <n v="271"/>
    <n v="271"/>
    <m/>
    <n v="41"/>
    <n v="312"/>
    <n v="312"/>
    <n v="0"/>
    <x v="4"/>
    <s v="true"/>
    <s v="true"/>
    <x v="0"/>
  </r>
  <r>
    <n v="91"/>
    <d v="2024-05-10T00:00:00"/>
    <s v="5/2024"/>
    <x v="3"/>
    <x v="261"/>
    <x v="0"/>
    <x v="0"/>
    <x v="61"/>
    <n v="1"/>
    <n v="322"/>
    <n v="322"/>
    <n v="329"/>
    <n v="329"/>
    <m/>
    <n v="49"/>
    <n v="378"/>
    <n v="378"/>
    <n v="0"/>
    <x v="4"/>
    <s v="true"/>
    <s v="true"/>
    <x v="0"/>
  </r>
  <r>
    <n v="91"/>
    <d v="2024-05-10T00:00:00"/>
    <s v="5/2024"/>
    <x v="3"/>
    <x v="262"/>
    <x v="0"/>
    <x v="0"/>
    <x v="66"/>
    <n v="1"/>
    <n v="394"/>
    <n v="394"/>
    <n v="426"/>
    <n v="426"/>
    <m/>
    <n v="64"/>
    <n v="490"/>
    <n v="490"/>
    <n v="0"/>
    <x v="4"/>
    <s v="true"/>
    <s v="true"/>
    <x v="0"/>
  </r>
  <r>
    <n v="91"/>
    <d v="2024-05-10T00:00:00"/>
    <s v="5/2024"/>
    <x v="3"/>
    <x v="263"/>
    <x v="0"/>
    <x v="0"/>
    <x v="61"/>
    <n v="1"/>
    <n v="1142"/>
    <n v="1142"/>
    <n v="1177"/>
    <n v="1177"/>
    <m/>
    <n v="177"/>
    <n v="1354"/>
    <n v="1354"/>
    <n v="0"/>
    <x v="4"/>
    <s v="true"/>
    <s v="true"/>
    <x v="0"/>
  </r>
  <r>
    <n v="91"/>
    <d v="2024-05-10T00:00:00"/>
    <s v="5/2024"/>
    <x v="3"/>
    <x v="264"/>
    <x v="0"/>
    <x v="0"/>
    <x v="67"/>
    <n v="1"/>
    <n v="320"/>
    <n v="320"/>
    <n v="327"/>
    <n v="327"/>
    <m/>
    <n v="49"/>
    <n v="376"/>
    <n v="376"/>
    <n v="0"/>
    <x v="4"/>
    <s v="true"/>
    <s v="true"/>
    <x v="0"/>
  </r>
  <r>
    <n v="91"/>
    <d v="2024-05-10T00:00:00"/>
    <s v="5/2024"/>
    <x v="3"/>
    <x v="265"/>
    <x v="0"/>
    <x v="0"/>
    <x v="63"/>
    <n v="1"/>
    <n v="450"/>
    <n v="450"/>
    <n v="459"/>
    <n v="459"/>
    <m/>
    <n v="69"/>
    <n v="528"/>
    <n v="528"/>
    <n v="0"/>
    <x v="4"/>
    <s v="true"/>
    <s v="true"/>
    <x v="0"/>
  </r>
  <r>
    <n v="91"/>
    <d v="2024-05-10T00:00:00"/>
    <s v="5/2024"/>
    <x v="3"/>
    <x v="266"/>
    <x v="0"/>
    <x v="0"/>
    <x v="65"/>
    <n v="1"/>
    <n v="334"/>
    <n v="334"/>
    <n v="341"/>
    <n v="341"/>
    <m/>
    <n v="51"/>
    <n v="392"/>
    <n v="392"/>
    <n v="0"/>
    <x v="4"/>
    <s v="true"/>
    <s v="true"/>
    <x v="0"/>
  </r>
  <r>
    <n v="91"/>
    <d v="2024-05-10T00:00:00"/>
    <s v="5/2024"/>
    <x v="3"/>
    <x v="267"/>
    <x v="0"/>
    <x v="0"/>
    <x v="65"/>
    <n v="1"/>
    <n v="536"/>
    <n v="536"/>
    <n v="576"/>
    <n v="576"/>
    <m/>
    <n v="86"/>
    <n v="662"/>
    <n v="662"/>
    <n v="0"/>
    <x v="4"/>
    <s v="true"/>
    <s v="true"/>
    <x v="0"/>
  </r>
  <r>
    <n v="92"/>
    <d v="2024-05-10T00:00:00"/>
    <s v="5/2024"/>
    <x v="34"/>
    <x v="155"/>
    <x v="0"/>
    <x v="0"/>
    <x v="61"/>
    <n v="1"/>
    <n v="278"/>
    <n v="278"/>
    <n v="284"/>
    <n v="284"/>
    <m/>
    <n v="43"/>
    <n v="327"/>
    <n v="327"/>
    <n v="0"/>
    <x v="4"/>
    <s v="true"/>
    <s v="true"/>
    <x v="0"/>
  </r>
  <r>
    <n v="92"/>
    <d v="2024-05-10T00:00:00"/>
    <s v="5/2024"/>
    <x v="34"/>
    <x v="155"/>
    <x v="0"/>
    <x v="0"/>
    <x v="61"/>
    <n v="1"/>
    <n v="278"/>
    <n v="278"/>
    <n v="284"/>
    <n v="284"/>
    <m/>
    <n v="43"/>
    <n v="327"/>
    <n v="327"/>
    <n v="0"/>
    <x v="4"/>
    <s v="true"/>
    <s v="true"/>
    <x v="0"/>
  </r>
  <r>
    <n v="92"/>
    <d v="2024-05-10T00:00:00"/>
    <s v="5/2024"/>
    <x v="34"/>
    <x v="268"/>
    <x v="0"/>
    <x v="0"/>
    <x v="65"/>
    <n v="1"/>
    <n v="331"/>
    <n v="331"/>
    <n v="338"/>
    <n v="338"/>
    <m/>
    <n v="51"/>
    <n v="389"/>
    <n v="389"/>
    <n v="0"/>
    <x v="4"/>
    <s v="true"/>
    <s v="true"/>
    <x v="0"/>
  </r>
  <r>
    <n v="92"/>
    <d v="2024-05-10T00:00:00"/>
    <s v="5/2024"/>
    <x v="34"/>
    <x v="269"/>
    <x v="0"/>
    <x v="0"/>
    <x v="65"/>
    <n v="1"/>
    <n v="373"/>
    <n v="373"/>
    <n v="381"/>
    <n v="381"/>
    <m/>
    <n v="57"/>
    <n v="438"/>
    <n v="438"/>
    <n v="0"/>
    <x v="4"/>
    <s v="true"/>
    <s v="true"/>
    <x v="0"/>
  </r>
  <r>
    <n v="92"/>
    <d v="2024-05-10T00:00:00"/>
    <s v="5/2024"/>
    <x v="34"/>
    <x v="270"/>
    <x v="0"/>
    <x v="0"/>
    <x v="68"/>
    <n v="1"/>
    <n v="294"/>
    <n v="294"/>
    <n v="294"/>
    <n v="294"/>
    <m/>
    <n v="44"/>
    <n v="338"/>
    <n v="338"/>
    <n v="0"/>
    <x v="4"/>
    <s v="true"/>
    <s v="true"/>
    <x v="0"/>
  </r>
  <r>
    <n v="93"/>
    <d v="2024-05-10T00:00:00"/>
    <s v="5/2024"/>
    <x v="27"/>
    <x v="73"/>
    <x v="0"/>
    <x v="0"/>
    <x v="58"/>
    <n v="1"/>
    <n v="6634"/>
    <n v="6634"/>
    <n v="6634"/>
    <n v="6634"/>
    <m/>
    <n v="663"/>
    <n v="663"/>
    <n v="663"/>
    <n v="0"/>
    <x v="2"/>
    <s v="true"/>
    <s v="true"/>
    <x v="0"/>
  </r>
  <r>
    <n v="94"/>
    <d v="2024-05-10T00:00:00"/>
    <s v="5/2024"/>
    <x v="22"/>
    <x v="73"/>
    <x v="0"/>
    <x v="0"/>
    <x v="58"/>
    <n v="1"/>
    <n v="667"/>
    <n v="667"/>
    <n v="667"/>
    <n v="667"/>
    <m/>
    <n v="200"/>
    <n v="200"/>
    <n v="200"/>
    <n v="0"/>
    <x v="4"/>
    <s v="true"/>
    <s v="true"/>
    <x v="0"/>
  </r>
  <r>
    <n v="92"/>
    <d v="2024-05-10T00:00:00"/>
    <s v="5/2024"/>
    <x v="34"/>
    <x v="164"/>
    <x v="0"/>
    <x v="0"/>
    <x v="63"/>
    <n v="1"/>
    <n v="2240"/>
    <n v="2240"/>
    <n v="2399"/>
    <n v="2399"/>
    <m/>
    <n v="360"/>
    <n v="2759"/>
    <n v="2759"/>
    <n v="0"/>
    <x v="4"/>
    <s v="true"/>
    <s v="true"/>
    <x v="0"/>
  </r>
  <r>
    <n v="95"/>
    <d v="2024-05-11T00:00:00"/>
    <s v="5/2024"/>
    <x v="23"/>
    <x v="271"/>
    <x v="0"/>
    <x v="0"/>
    <x v="61"/>
    <n v="1"/>
    <n v="679"/>
    <n v="679"/>
    <n v="708"/>
    <n v="708"/>
    <m/>
    <n v="106"/>
    <n v="814"/>
    <n v="814"/>
    <n v="0"/>
    <x v="2"/>
    <s v="true"/>
    <s v="true"/>
    <x v="0"/>
  </r>
  <r>
    <n v="95"/>
    <d v="2024-05-11T00:00:00"/>
    <s v="5/2024"/>
    <x v="23"/>
    <x v="272"/>
    <x v="0"/>
    <x v="0"/>
    <x v="61"/>
    <n v="2"/>
    <n v="295"/>
    <n v="590"/>
    <n v="308"/>
    <n v="616"/>
    <m/>
    <n v="92"/>
    <n v="708"/>
    <n v="708"/>
    <n v="0"/>
    <x v="2"/>
    <s v="true"/>
    <s v="true"/>
    <x v="0"/>
  </r>
  <r>
    <n v="95"/>
    <d v="2024-05-11T00:00:00"/>
    <s v="5/2024"/>
    <x v="23"/>
    <x v="273"/>
    <x v="0"/>
    <x v="0"/>
    <x v="68"/>
    <n v="1"/>
    <n v="525"/>
    <n v="525"/>
    <n v="570"/>
    <n v="570"/>
    <m/>
    <n v="86"/>
    <n v="656"/>
    <n v="656"/>
    <n v="0"/>
    <x v="4"/>
    <s v="true"/>
    <s v="true"/>
    <x v="0"/>
  </r>
  <r>
    <n v="95"/>
    <d v="2024-05-11T00:00:00"/>
    <s v="5/2024"/>
    <x v="23"/>
    <x v="274"/>
    <x v="0"/>
    <x v="0"/>
    <x v="69"/>
    <n v="1"/>
    <n v="1149"/>
    <n v="1149"/>
    <n v="1245"/>
    <n v="1245"/>
    <m/>
    <n v="187"/>
    <n v="1432"/>
    <n v="1432"/>
    <n v="0"/>
    <x v="4"/>
    <s v="true"/>
    <s v="true"/>
    <x v="0"/>
  </r>
  <r>
    <n v="88"/>
    <d v="2024-05-06T00:00:00"/>
    <s v="5/2024"/>
    <x v="23"/>
    <x v="275"/>
    <x v="0"/>
    <x v="0"/>
    <x v="58"/>
    <n v="1"/>
    <n v="258"/>
    <n v="258"/>
    <n v="269"/>
    <n v="269"/>
    <m/>
    <n v="27"/>
    <n v="296"/>
    <n v="296"/>
    <n v="0"/>
    <x v="4"/>
    <s v="true"/>
    <s v="true"/>
    <x v="0"/>
  </r>
  <r>
    <n v="96"/>
    <d v="2024-05-11T00:00:00"/>
    <s v="5/2024"/>
    <x v="0"/>
    <x v="276"/>
    <x v="0"/>
    <x v="0"/>
    <x v="68"/>
    <n v="1"/>
    <n v="369"/>
    <n v="369"/>
    <n v="385"/>
    <n v="385"/>
    <m/>
    <n v="58"/>
    <n v="443"/>
    <n v="443"/>
    <n v="0"/>
    <x v="2"/>
    <s v="true"/>
    <s v="true"/>
    <x v="0"/>
  </r>
  <r>
    <n v="96"/>
    <d v="2024-05-11T00:00:00"/>
    <s v="5/2024"/>
    <x v="0"/>
    <x v="277"/>
    <x v="0"/>
    <x v="0"/>
    <x v="63"/>
    <n v="1"/>
    <n v="525"/>
    <n v="525"/>
    <n v="547"/>
    <n v="547"/>
    <m/>
    <n v="82"/>
    <n v="629"/>
    <n v="629"/>
    <n v="0"/>
    <x v="2"/>
    <s v="true"/>
    <s v="true"/>
    <x v="0"/>
  </r>
  <r>
    <n v="96"/>
    <d v="2024-05-11T00:00:00"/>
    <s v="5/2024"/>
    <x v="0"/>
    <x v="278"/>
    <x v="0"/>
    <x v="0"/>
    <x v="68"/>
    <n v="1"/>
    <n v="518"/>
    <n v="518"/>
    <n v="540"/>
    <n v="540"/>
    <m/>
    <n v="81"/>
    <n v="621"/>
    <n v="621"/>
    <n v="0"/>
    <x v="2"/>
    <s v="true"/>
    <s v="true"/>
    <x v="0"/>
  </r>
  <r>
    <n v="96"/>
    <d v="2024-05-11T00:00:00"/>
    <s v="5/2024"/>
    <x v="0"/>
    <x v="279"/>
    <x v="0"/>
    <x v="0"/>
    <x v="68"/>
    <n v="1"/>
    <n v="182"/>
    <n v="182"/>
    <n v="190"/>
    <n v="190"/>
    <m/>
    <n v="29"/>
    <n v="219"/>
    <n v="219"/>
    <n v="0"/>
    <x v="2"/>
    <s v="true"/>
    <s v="true"/>
    <x v="0"/>
  </r>
  <r>
    <n v="96"/>
    <d v="2024-05-11T00:00:00"/>
    <s v="5/2024"/>
    <x v="0"/>
    <x v="280"/>
    <x v="0"/>
    <x v="0"/>
    <x v="68"/>
    <n v="1"/>
    <n v="336"/>
    <n v="336"/>
    <n v="350"/>
    <n v="350"/>
    <m/>
    <n v="53"/>
    <n v="403"/>
    <n v="403"/>
    <n v="0"/>
    <x v="2"/>
    <s v="true"/>
    <s v="true"/>
    <x v="0"/>
  </r>
  <r>
    <n v="96"/>
    <d v="2024-05-11T00:00:00"/>
    <s v="5/2024"/>
    <x v="0"/>
    <x v="281"/>
    <x v="0"/>
    <x v="0"/>
    <x v="61"/>
    <n v="1"/>
    <n v="767"/>
    <n v="767"/>
    <n v="799"/>
    <n v="799"/>
    <m/>
    <n v="120"/>
    <n v="919"/>
    <n v="919"/>
    <n v="0"/>
    <x v="2"/>
    <s v="true"/>
    <s v="true"/>
    <x v="0"/>
  </r>
  <r>
    <n v="96"/>
    <d v="2024-05-11T00:00:00"/>
    <s v="5/2024"/>
    <x v="0"/>
    <x v="282"/>
    <x v="0"/>
    <x v="0"/>
    <x v="68"/>
    <n v="1"/>
    <n v="162"/>
    <n v="162"/>
    <n v="165"/>
    <n v="165"/>
    <m/>
    <n v="25"/>
    <n v="190"/>
    <n v="190"/>
    <n v="0"/>
    <x v="4"/>
    <s v="true"/>
    <s v="true"/>
    <x v="0"/>
  </r>
  <r>
    <n v="96"/>
    <d v="2024-05-11T00:00:00"/>
    <s v="5/2024"/>
    <x v="0"/>
    <x v="283"/>
    <x v="0"/>
    <x v="0"/>
    <x v="70"/>
    <n v="1"/>
    <n v="352"/>
    <n v="352"/>
    <n v="353"/>
    <n v="353"/>
    <m/>
    <n v="53"/>
    <n v="406"/>
    <n v="406"/>
    <n v="0"/>
    <x v="4"/>
    <s v="true"/>
    <s v="true"/>
    <x v="0"/>
  </r>
  <r>
    <n v="97"/>
    <d v="2024-05-13T00:00:00"/>
    <s v="5/2024"/>
    <x v="24"/>
    <x v="284"/>
    <x v="0"/>
    <x v="12"/>
    <x v="71"/>
    <n v="1"/>
    <n v="174"/>
    <n v="174"/>
    <n v="174"/>
    <n v="174"/>
    <n v="189"/>
    <n v="26"/>
    <n v="389"/>
    <n v="389"/>
    <n v="0"/>
    <x v="5"/>
    <s v="true"/>
    <s v="true"/>
    <x v="0"/>
  </r>
  <r>
    <n v="97"/>
    <d v="2024-05-13T00:00:00"/>
    <s v="5/2024"/>
    <x v="24"/>
    <x v="285"/>
    <x v="0"/>
    <x v="13"/>
    <x v="72"/>
    <n v="1"/>
    <n v="390"/>
    <n v="390"/>
    <n v="390"/>
    <n v="390"/>
    <n v="366"/>
    <n v="59"/>
    <n v="815"/>
    <n v="815"/>
    <n v="0"/>
    <x v="5"/>
    <s v="true"/>
    <s v="true"/>
    <x v="0"/>
  </r>
  <r>
    <n v="97"/>
    <d v="2024-05-13T00:00:00"/>
    <s v="5/2024"/>
    <x v="24"/>
    <x v="286"/>
    <x v="0"/>
    <x v="14"/>
    <x v="71"/>
    <n v="1"/>
    <n v="540"/>
    <n v="540"/>
    <n v="540"/>
    <n v="540"/>
    <n v="70"/>
    <n v="81"/>
    <n v="691"/>
    <n v="691"/>
    <n v="0"/>
    <x v="11"/>
    <s v="true"/>
    <s v="true"/>
    <x v="0"/>
  </r>
  <r>
    <n v="97"/>
    <d v="2024-05-13T00:00:00"/>
    <s v="5/2024"/>
    <x v="24"/>
    <x v="287"/>
    <x v="0"/>
    <x v="14"/>
    <x v="71"/>
    <n v="1"/>
    <n v="185"/>
    <n v="185"/>
    <n v="185"/>
    <n v="185"/>
    <n v="70"/>
    <n v="28"/>
    <n v="283"/>
    <n v="283"/>
    <n v="0"/>
    <x v="11"/>
    <s v="true"/>
    <s v="true"/>
    <x v="0"/>
  </r>
  <r>
    <n v="97"/>
    <d v="2024-05-13T00:00:00"/>
    <s v="5/2024"/>
    <x v="24"/>
    <x v="288"/>
    <x v="0"/>
    <x v="14"/>
    <x v="71"/>
    <n v="1"/>
    <n v="475"/>
    <n v="475"/>
    <n v="475"/>
    <n v="475"/>
    <n v="70"/>
    <n v="71"/>
    <n v="616"/>
    <n v="616"/>
    <n v="0"/>
    <x v="11"/>
    <s v="true"/>
    <s v="true"/>
    <x v="0"/>
  </r>
  <r>
    <n v="97"/>
    <d v="2024-05-13T00:00:00"/>
    <s v="5/2024"/>
    <x v="24"/>
    <x v="289"/>
    <x v="0"/>
    <x v="14"/>
    <x v="71"/>
    <n v="1"/>
    <n v="617"/>
    <n v="617"/>
    <n v="617"/>
    <n v="617"/>
    <n v="70"/>
    <n v="93"/>
    <n v="780"/>
    <n v="780"/>
    <n v="0"/>
    <x v="11"/>
    <s v="true"/>
    <s v="true"/>
    <x v="0"/>
  </r>
  <r>
    <n v="97"/>
    <d v="2024-05-13T00:00:00"/>
    <s v="5/2024"/>
    <x v="24"/>
    <x v="290"/>
    <x v="0"/>
    <x v="14"/>
    <x v="71"/>
    <n v="1"/>
    <n v="52"/>
    <n v="52"/>
    <n v="52"/>
    <n v="52"/>
    <n v="70"/>
    <n v="8"/>
    <n v="130"/>
    <n v="130"/>
    <n v="0"/>
    <x v="11"/>
    <s v="true"/>
    <s v="true"/>
    <x v="0"/>
  </r>
  <r>
    <n v="97"/>
    <d v="2024-05-13T00:00:00"/>
    <s v="5/2024"/>
    <x v="24"/>
    <x v="291"/>
    <x v="0"/>
    <x v="0"/>
    <x v="66"/>
    <n v="1"/>
    <n v="317"/>
    <n v="317"/>
    <n v="331"/>
    <n v="331"/>
    <m/>
    <n v="50"/>
    <n v="381"/>
    <n v="381"/>
    <n v="0"/>
    <x v="2"/>
    <s v="true"/>
    <s v="true"/>
    <x v="0"/>
  </r>
  <r>
    <n v="97"/>
    <d v="2024-05-13T00:00:00"/>
    <s v="5/2024"/>
    <x v="24"/>
    <x v="292"/>
    <x v="0"/>
    <x v="0"/>
    <x v="66"/>
    <n v="1"/>
    <n v="406"/>
    <n v="406"/>
    <n v="423"/>
    <n v="423"/>
    <m/>
    <n v="63"/>
    <n v="486"/>
    <n v="486"/>
    <n v="0"/>
    <x v="2"/>
    <s v="true"/>
    <s v="true"/>
    <x v="0"/>
  </r>
  <r>
    <n v="97"/>
    <d v="2024-05-13T00:00:00"/>
    <s v="5/2024"/>
    <x v="24"/>
    <x v="293"/>
    <x v="0"/>
    <x v="0"/>
    <x v="63"/>
    <n v="1"/>
    <n v="208"/>
    <n v="208"/>
    <n v="217"/>
    <n v="217"/>
    <m/>
    <n v="33"/>
    <n v="250"/>
    <n v="250"/>
    <n v="0"/>
    <x v="2"/>
    <s v="true"/>
    <s v="true"/>
    <x v="0"/>
  </r>
  <r>
    <n v="97"/>
    <d v="2024-05-13T00:00:00"/>
    <s v="5/2024"/>
    <x v="24"/>
    <x v="294"/>
    <x v="0"/>
    <x v="0"/>
    <x v="69"/>
    <n v="1"/>
    <n v="456"/>
    <n v="456"/>
    <n v="476"/>
    <n v="476"/>
    <m/>
    <n v="71"/>
    <n v="547"/>
    <n v="547"/>
    <n v="0"/>
    <x v="2"/>
    <s v="true"/>
    <s v="true"/>
    <x v="0"/>
  </r>
  <r>
    <n v="97"/>
    <d v="2024-05-13T00:00:00"/>
    <s v="5/2024"/>
    <x v="24"/>
    <x v="295"/>
    <x v="0"/>
    <x v="0"/>
    <x v="69"/>
    <n v="1"/>
    <n v="456"/>
    <n v="456"/>
    <n v="476"/>
    <n v="476"/>
    <m/>
    <n v="71"/>
    <n v="547"/>
    <n v="547"/>
    <n v="0"/>
    <x v="2"/>
    <s v="true"/>
    <s v="true"/>
    <x v="0"/>
  </r>
  <r>
    <n v="97"/>
    <d v="2024-05-13T00:00:00"/>
    <s v="5/2024"/>
    <x v="24"/>
    <x v="296"/>
    <x v="0"/>
    <x v="0"/>
    <x v="64"/>
    <n v="1"/>
    <n v="652"/>
    <n v="652"/>
    <n v="680"/>
    <n v="680"/>
    <m/>
    <n v="102"/>
    <n v="782"/>
    <n v="782"/>
    <n v="0"/>
    <x v="2"/>
    <s v="true"/>
    <s v="true"/>
    <x v="0"/>
  </r>
  <r>
    <n v="97"/>
    <d v="2024-05-13T00:00:00"/>
    <s v="5/2024"/>
    <x v="24"/>
    <x v="297"/>
    <x v="0"/>
    <x v="0"/>
    <x v="64"/>
    <n v="1"/>
    <n v="921"/>
    <n v="921"/>
    <n v="960"/>
    <n v="960"/>
    <m/>
    <n v="144"/>
    <n v="1104"/>
    <n v="1104"/>
    <n v="0"/>
    <x v="2"/>
    <s v="true"/>
    <s v="true"/>
    <x v="0"/>
  </r>
  <r>
    <n v="97"/>
    <d v="2024-05-13T00:00:00"/>
    <s v="5/2024"/>
    <x v="24"/>
    <x v="298"/>
    <x v="0"/>
    <x v="0"/>
    <x v="63"/>
    <n v="1"/>
    <n v="218"/>
    <n v="218"/>
    <n v="228"/>
    <n v="228"/>
    <m/>
    <n v="34"/>
    <n v="262"/>
    <n v="262"/>
    <n v="0"/>
    <x v="2"/>
    <s v="true"/>
    <s v="true"/>
    <x v="0"/>
  </r>
  <r>
    <n v="97"/>
    <d v="2024-05-13T00:00:00"/>
    <s v="5/2024"/>
    <x v="24"/>
    <x v="299"/>
    <x v="0"/>
    <x v="0"/>
    <x v="64"/>
    <n v="1"/>
    <n v="315"/>
    <n v="315"/>
    <n v="329"/>
    <n v="329"/>
    <m/>
    <n v="49"/>
    <n v="378"/>
    <n v="378"/>
    <n v="0"/>
    <x v="2"/>
    <s v="true"/>
    <s v="true"/>
    <x v="0"/>
  </r>
  <r>
    <n v="98"/>
    <d v="2024-05-13T00:00:00"/>
    <s v="5/2024"/>
    <x v="13"/>
    <x v="300"/>
    <x v="0"/>
    <x v="0"/>
    <x v="51"/>
    <n v="1"/>
    <n v="-3174"/>
    <n v="-3174"/>
    <n v="-3358"/>
    <n v="-3358"/>
    <m/>
    <n v="504"/>
    <n v="-2854"/>
    <n v="-2854"/>
    <n v="0"/>
    <x v="4"/>
    <s v="true"/>
    <s v="true"/>
    <x v="0"/>
  </r>
  <r>
    <n v="99"/>
    <d v="2024-05-13T00:00:00"/>
    <s v="5/2024"/>
    <x v="0"/>
    <x v="301"/>
    <x v="0"/>
    <x v="0"/>
    <x v="73"/>
    <n v="1"/>
    <n v="471"/>
    <n v="471"/>
    <n v="481"/>
    <n v="481"/>
    <m/>
    <n v="72"/>
    <n v="553"/>
    <n v="553"/>
    <n v="0"/>
    <x v="4"/>
    <s v="true"/>
    <s v="true"/>
    <x v="0"/>
  </r>
  <r>
    <n v="99"/>
    <d v="2024-05-13T00:00:00"/>
    <s v="5/2024"/>
    <x v="0"/>
    <x v="302"/>
    <x v="0"/>
    <x v="0"/>
    <x v="51"/>
    <n v="1"/>
    <n v="292"/>
    <n v="292"/>
    <n v="298"/>
    <n v="298"/>
    <m/>
    <n v="45"/>
    <n v="343"/>
    <n v="343"/>
    <n v="0"/>
    <x v="4"/>
    <s v="true"/>
    <s v="true"/>
    <x v="0"/>
  </r>
  <r>
    <n v="99"/>
    <d v="2024-05-13T00:00:00"/>
    <s v="5/2024"/>
    <x v="0"/>
    <x v="150"/>
    <x v="0"/>
    <x v="0"/>
    <x v="63"/>
    <n v="1"/>
    <n v="191"/>
    <n v="191"/>
    <n v="195"/>
    <n v="195"/>
    <m/>
    <n v="29"/>
    <n v="224"/>
    <n v="224"/>
    <n v="0"/>
    <x v="4"/>
    <s v="true"/>
    <s v="true"/>
    <x v="0"/>
  </r>
  <r>
    <n v="99"/>
    <d v="2024-05-13T00:00:00"/>
    <s v="5/2024"/>
    <x v="0"/>
    <x v="303"/>
    <x v="0"/>
    <x v="0"/>
    <x v="63"/>
    <n v="1"/>
    <n v="131"/>
    <n v="131"/>
    <n v="137"/>
    <n v="137"/>
    <m/>
    <n v="21"/>
    <n v="158"/>
    <n v="158"/>
    <n v="0"/>
    <x v="2"/>
    <s v="true"/>
    <s v="true"/>
    <x v="0"/>
  </r>
  <r>
    <n v="99"/>
    <d v="2024-05-13T00:00:00"/>
    <s v="5/2024"/>
    <x v="0"/>
    <x v="304"/>
    <x v="0"/>
    <x v="0"/>
    <x v="63"/>
    <n v="1"/>
    <n v="383"/>
    <n v="383"/>
    <n v="391"/>
    <n v="391"/>
    <m/>
    <n v="59"/>
    <n v="450"/>
    <n v="450"/>
    <n v="0"/>
    <x v="4"/>
    <s v="true"/>
    <s v="true"/>
    <x v="0"/>
  </r>
  <r>
    <n v="99"/>
    <d v="2024-05-13T00:00:00"/>
    <s v="5/2024"/>
    <x v="0"/>
    <x v="305"/>
    <x v="0"/>
    <x v="0"/>
    <x v="74"/>
    <n v="1"/>
    <n v="567"/>
    <n v="567"/>
    <n v="714"/>
    <n v="714"/>
    <m/>
    <n v="107"/>
    <n v="821"/>
    <n v="821"/>
    <n v="0"/>
    <x v="4"/>
    <s v="true"/>
    <s v="true"/>
    <x v="0"/>
  </r>
  <r>
    <n v="101"/>
    <d v="2024-05-13T00:00:00"/>
    <s v="5/2024"/>
    <x v="36"/>
    <x v="306"/>
    <x v="0"/>
    <x v="0"/>
    <x v="64"/>
    <n v="1"/>
    <n v="4522"/>
    <n v="4522"/>
    <n v="4711"/>
    <n v="4711"/>
    <m/>
    <n v="707"/>
    <n v="5418"/>
    <n v="5418"/>
    <n v="0"/>
    <x v="2"/>
    <s v="true"/>
    <s v="true"/>
    <x v="0"/>
  </r>
  <r>
    <n v="101"/>
    <d v="2024-05-13T00:00:00"/>
    <s v="5/2024"/>
    <x v="36"/>
    <x v="307"/>
    <x v="0"/>
    <x v="0"/>
    <x v="63"/>
    <n v="1"/>
    <n v="571"/>
    <n v="571"/>
    <n v="595"/>
    <n v="595"/>
    <m/>
    <n v="89"/>
    <n v="684"/>
    <n v="684"/>
    <n v="0"/>
    <x v="2"/>
    <s v="true"/>
    <s v="true"/>
    <x v="0"/>
  </r>
  <r>
    <n v="101"/>
    <d v="2024-05-13T00:00:00"/>
    <s v="5/2024"/>
    <x v="36"/>
    <x v="308"/>
    <x v="0"/>
    <x v="0"/>
    <x v="64"/>
    <n v="1"/>
    <n v="422"/>
    <n v="422"/>
    <n v="440"/>
    <n v="440"/>
    <m/>
    <n v="66"/>
    <n v="506"/>
    <n v="506"/>
    <n v="0"/>
    <x v="2"/>
    <s v="true"/>
    <s v="true"/>
    <x v="0"/>
  </r>
  <r>
    <n v="101"/>
    <d v="2024-05-13T00:00:00"/>
    <s v="5/2024"/>
    <x v="36"/>
    <x v="309"/>
    <x v="0"/>
    <x v="0"/>
    <x v="64"/>
    <n v="1"/>
    <n v="745"/>
    <n v="745"/>
    <n v="777"/>
    <n v="777"/>
    <m/>
    <n v="117"/>
    <n v="894"/>
    <n v="894"/>
    <n v="0"/>
    <x v="2"/>
    <s v="true"/>
    <s v="true"/>
    <x v="0"/>
  </r>
  <r>
    <n v="101"/>
    <d v="2024-05-13T00:00:00"/>
    <s v="5/2024"/>
    <x v="36"/>
    <x v="310"/>
    <x v="0"/>
    <x v="0"/>
    <x v="64"/>
    <n v="1"/>
    <n v="293"/>
    <n v="293"/>
    <n v="306"/>
    <n v="306"/>
    <m/>
    <n v="46"/>
    <n v="352"/>
    <n v="352"/>
    <n v="0"/>
    <x v="2"/>
    <s v="true"/>
    <s v="true"/>
    <x v="0"/>
  </r>
  <r>
    <n v="101"/>
    <d v="2024-05-13T00:00:00"/>
    <s v="5/2024"/>
    <x v="36"/>
    <x v="311"/>
    <x v="0"/>
    <x v="0"/>
    <x v="64"/>
    <n v="1"/>
    <n v="580"/>
    <n v="580"/>
    <n v="605"/>
    <n v="605"/>
    <m/>
    <n v="91"/>
    <n v="696"/>
    <n v="696"/>
    <n v="0"/>
    <x v="2"/>
    <s v="true"/>
    <s v="true"/>
    <x v="0"/>
  </r>
  <r>
    <n v="101"/>
    <d v="2024-05-13T00:00:00"/>
    <s v="5/2024"/>
    <x v="36"/>
    <x v="312"/>
    <x v="0"/>
    <x v="0"/>
    <x v="64"/>
    <n v="1"/>
    <n v="587"/>
    <n v="587"/>
    <n v="612"/>
    <n v="612"/>
    <m/>
    <n v="92"/>
    <n v="704"/>
    <n v="704"/>
    <n v="0"/>
    <x v="2"/>
    <s v="true"/>
    <s v="true"/>
    <x v="0"/>
  </r>
  <r>
    <n v="101"/>
    <d v="2024-05-13T00:00:00"/>
    <s v="5/2024"/>
    <x v="36"/>
    <x v="313"/>
    <x v="0"/>
    <x v="0"/>
    <x v="64"/>
    <n v="1"/>
    <n v="643"/>
    <n v="643"/>
    <n v="670"/>
    <n v="670"/>
    <m/>
    <n v="101"/>
    <n v="771"/>
    <n v="771"/>
    <n v="0"/>
    <x v="2"/>
    <s v="true"/>
    <s v="true"/>
    <x v="0"/>
  </r>
  <r>
    <n v="102"/>
    <d v="2024-05-13T00:00:00"/>
    <s v="5/2024"/>
    <x v="2"/>
    <x v="314"/>
    <x v="0"/>
    <x v="0"/>
    <x v="63"/>
    <n v="1"/>
    <n v="591"/>
    <n v="591"/>
    <n v="637"/>
    <n v="637"/>
    <m/>
    <n v="96"/>
    <n v="733"/>
    <n v="733"/>
    <n v="0"/>
    <x v="4"/>
    <s v="true"/>
    <s v="true"/>
    <x v="0"/>
  </r>
  <r>
    <n v="102"/>
    <d v="2024-05-13T00:00:00"/>
    <s v="5/2024"/>
    <x v="2"/>
    <x v="315"/>
    <x v="0"/>
    <x v="0"/>
    <x v="63"/>
    <n v="1"/>
    <n v="1015"/>
    <n v="1015"/>
    <n v="1058"/>
    <n v="1058"/>
    <m/>
    <n v="159"/>
    <n v="1217"/>
    <n v="1217"/>
    <n v="0"/>
    <x v="2"/>
    <s v="true"/>
    <s v="true"/>
    <x v="0"/>
  </r>
  <r>
    <n v="103"/>
    <d v="2024-05-15T00:00:00"/>
    <s v="5/2024"/>
    <x v="9"/>
    <x v="316"/>
    <x v="0"/>
    <x v="0"/>
    <x v="69"/>
    <n v="1"/>
    <n v="765"/>
    <n v="765"/>
    <n v="827"/>
    <n v="827"/>
    <m/>
    <n v="124"/>
    <n v="951"/>
    <n v="951"/>
    <n v="0"/>
    <x v="4"/>
    <s v="true"/>
    <s v="true"/>
    <x v="0"/>
  </r>
  <r>
    <n v="103"/>
    <d v="2024-05-15T00:00:00"/>
    <s v="5/2024"/>
    <x v="9"/>
    <x v="317"/>
    <x v="0"/>
    <x v="0"/>
    <x v="74"/>
    <n v="1"/>
    <n v="1280"/>
    <n v="1280"/>
    <n v="1381"/>
    <n v="1381"/>
    <m/>
    <n v="207"/>
    <n v="1588"/>
    <n v="1588"/>
    <n v="0"/>
    <x v="4"/>
    <s v="true"/>
    <s v="true"/>
    <x v="0"/>
  </r>
  <r>
    <n v="104"/>
    <d v="2024-05-15T00:00:00"/>
    <s v="5/2024"/>
    <x v="15"/>
    <x v="257"/>
    <x v="0"/>
    <x v="15"/>
    <x v="66"/>
    <n v="1"/>
    <n v="14000"/>
    <n v="14000"/>
    <n v="14000"/>
    <n v="14000"/>
    <n v="650"/>
    <n v="1400"/>
    <n v="2050"/>
    <n v="2050"/>
    <n v="0"/>
    <x v="7"/>
    <s v="true"/>
    <s v="true"/>
    <x v="0"/>
  </r>
  <r>
    <n v="104"/>
    <d v="2024-05-15T00:00:00"/>
    <s v="5/2024"/>
    <x v="15"/>
    <x v="257"/>
    <x v="0"/>
    <x v="16"/>
    <x v="51"/>
    <n v="1"/>
    <n v="4500"/>
    <n v="4500"/>
    <n v="4500"/>
    <n v="4500"/>
    <n v="400"/>
    <n v="450"/>
    <n v="850"/>
    <n v="850"/>
    <n v="0"/>
    <x v="7"/>
    <s v="true"/>
    <s v="true"/>
    <x v="0"/>
  </r>
  <r>
    <n v="105"/>
    <d v="2024-05-15T00:00:00"/>
    <s v="5/2024"/>
    <x v="24"/>
    <x v="318"/>
    <x v="0"/>
    <x v="0"/>
    <x v="66"/>
    <n v="1"/>
    <n v="2257"/>
    <n v="2257"/>
    <n v="2443"/>
    <n v="2443"/>
    <m/>
    <n v="366"/>
    <n v="2809"/>
    <n v="2809"/>
    <n v="0"/>
    <x v="4"/>
    <s v="true"/>
    <s v="true"/>
    <x v="0"/>
  </r>
  <r>
    <n v="105"/>
    <d v="2024-05-15T00:00:00"/>
    <s v="5/2024"/>
    <x v="24"/>
    <x v="319"/>
    <x v="0"/>
    <x v="0"/>
    <x v="69"/>
    <n v="1"/>
    <n v="470"/>
    <n v="470"/>
    <n v="480"/>
    <n v="480"/>
    <m/>
    <n v="72"/>
    <n v="552"/>
    <n v="552"/>
    <n v="0"/>
    <x v="4"/>
    <s v="true"/>
    <s v="true"/>
    <x v="0"/>
  </r>
  <r>
    <n v="105"/>
    <d v="2024-05-15T00:00:00"/>
    <s v="5/2024"/>
    <x v="24"/>
    <x v="320"/>
    <x v="0"/>
    <x v="0"/>
    <x v="69"/>
    <n v="1"/>
    <n v="399"/>
    <n v="399"/>
    <n v="431"/>
    <n v="431"/>
    <m/>
    <n v="65"/>
    <n v="496"/>
    <n v="496"/>
    <n v="0"/>
    <x v="4"/>
    <s v="true"/>
    <s v="true"/>
    <x v="0"/>
  </r>
  <r>
    <n v="105"/>
    <d v="2024-05-15T00:00:00"/>
    <s v="5/2024"/>
    <x v="24"/>
    <x v="321"/>
    <x v="0"/>
    <x v="0"/>
    <x v="69"/>
    <n v="1"/>
    <n v="470"/>
    <n v="470"/>
    <n v="480"/>
    <n v="480"/>
    <m/>
    <n v="72"/>
    <n v="552"/>
    <n v="552"/>
    <n v="0"/>
    <x v="4"/>
    <s v="true"/>
    <s v="true"/>
    <x v="0"/>
  </r>
  <r>
    <n v="105"/>
    <d v="2024-05-15T00:00:00"/>
    <s v="5/2024"/>
    <x v="24"/>
    <x v="322"/>
    <x v="0"/>
    <x v="0"/>
    <x v="66"/>
    <n v="1"/>
    <n v="446"/>
    <n v="446"/>
    <n v="455"/>
    <n v="455"/>
    <m/>
    <n v="68"/>
    <n v="523"/>
    <n v="523"/>
    <n v="0"/>
    <x v="4"/>
    <s v="true"/>
    <s v="true"/>
    <x v="0"/>
  </r>
  <r>
    <n v="105"/>
    <d v="2024-05-15T00:00:00"/>
    <s v="5/2024"/>
    <x v="24"/>
    <x v="323"/>
    <x v="0"/>
    <x v="0"/>
    <x v="69"/>
    <n v="1"/>
    <n v="436"/>
    <n v="436"/>
    <n v="471"/>
    <n v="471"/>
    <m/>
    <n v="71"/>
    <n v="542"/>
    <n v="542"/>
    <n v="0"/>
    <x v="4"/>
    <s v="true"/>
    <s v="true"/>
    <x v="0"/>
  </r>
  <r>
    <n v="105"/>
    <d v="2024-05-15T00:00:00"/>
    <s v="5/2024"/>
    <x v="24"/>
    <x v="324"/>
    <x v="0"/>
    <x v="0"/>
    <x v="66"/>
    <n v="1"/>
    <n v="423"/>
    <n v="423"/>
    <n v="437"/>
    <n v="437"/>
    <m/>
    <n v="66"/>
    <n v="503"/>
    <n v="503"/>
    <n v="0"/>
    <x v="4"/>
    <s v="true"/>
    <s v="true"/>
    <x v="0"/>
  </r>
  <r>
    <n v="105"/>
    <d v="2024-05-15T00:00:00"/>
    <s v="5/2024"/>
    <x v="24"/>
    <x v="325"/>
    <x v="0"/>
    <x v="0"/>
    <x v="69"/>
    <n v="1"/>
    <n v="451"/>
    <n v="451"/>
    <n v="460"/>
    <n v="460"/>
    <m/>
    <n v="69"/>
    <n v="529"/>
    <n v="529"/>
    <n v="0"/>
    <x v="4"/>
    <s v="true"/>
    <s v="true"/>
    <x v="0"/>
  </r>
  <r>
    <n v="105"/>
    <d v="2024-05-15T00:00:00"/>
    <s v="5/2024"/>
    <x v="24"/>
    <x v="326"/>
    <x v="0"/>
    <x v="0"/>
    <x v="69"/>
    <n v="1"/>
    <n v="394"/>
    <n v="394"/>
    <n v="407"/>
    <n v="407"/>
    <m/>
    <n v="61"/>
    <n v="468"/>
    <n v="468"/>
    <n v="0"/>
    <x v="4"/>
    <s v="true"/>
    <s v="true"/>
    <x v="0"/>
  </r>
  <r>
    <n v="105"/>
    <d v="2024-05-15T00:00:00"/>
    <s v="5/2024"/>
    <x v="24"/>
    <x v="327"/>
    <x v="0"/>
    <x v="0"/>
    <x v="66"/>
    <n v="1"/>
    <n v="298"/>
    <n v="298"/>
    <n v="304"/>
    <n v="304"/>
    <m/>
    <n v="46"/>
    <n v="350"/>
    <n v="350"/>
    <n v="0"/>
    <x v="4"/>
    <s v="true"/>
    <s v="true"/>
    <x v="0"/>
  </r>
  <r>
    <n v="106"/>
    <d v="2024-05-17T00:00:00"/>
    <s v="5/2024"/>
    <x v="40"/>
    <x v="328"/>
    <x v="0"/>
    <x v="0"/>
    <x v="51"/>
    <n v="1"/>
    <n v="720"/>
    <n v="720"/>
    <n v="720"/>
    <n v="720"/>
    <m/>
    <n v="108"/>
    <n v="828"/>
    <n v="828"/>
    <n v="0"/>
    <x v="14"/>
    <s v="true"/>
    <s v="true"/>
    <x v="0"/>
  </r>
  <r>
    <n v="106"/>
    <d v="2024-05-17T00:00:00"/>
    <s v="5/2024"/>
    <x v="40"/>
    <x v="329"/>
    <x v="0"/>
    <x v="0"/>
    <x v="51"/>
    <n v="1"/>
    <n v="576"/>
    <n v="576"/>
    <n v="576"/>
    <n v="576"/>
    <m/>
    <n v="86"/>
    <n v="662"/>
    <n v="662"/>
    <n v="0"/>
    <x v="14"/>
    <s v="true"/>
    <s v="true"/>
    <x v="0"/>
  </r>
  <r>
    <n v="106"/>
    <d v="2024-05-17T00:00:00"/>
    <s v="5/2024"/>
    <x v="40"/>
    <x v="330"/>
    <x v="0"/>
    <x v="0"/>
    <x v="75"/>
    <n v="1"/>
    <n v="504"/>
    <n v="504"/>
    <n v="504"/>
    <n v="504"/>
    <m/>
    <n v="76"/>
    <n v="580"/>
    <n v="580"/>
    <n v="0"/>
    <x v="14"/>
    <s v="true"/>
    <s v="true"/>
    <x v="0"/>
  </r>
  <r>
    <n v="107"/>
    <d v="2024-05-17T00:00:00"/>
    <s v="5/2024"/>
    <x v="41"/>
    <x v="73"/>
    <x v="0"/>
    <x v="0"/>
    <x v="66"/>
    <n v="1"/>
    <n v="750"/>
    <n v="750"/>
    <n v="750"/>
    <n v="750"/>
    <m/>
    <n v="200"/>
    <n v="200"/>
    <n v="200"/>
    <n v="0"/>
    <x v="4"/>
    <s v="true"/>
    <s v="true"/>
    <x v="0"/>
  </r>
  <r>
    <n v="108"/>
    <d v="2024-05-17T00:00:00"/>
    <s v="5/2024"/>
    <x v="42"/>
    <x v="331"/>
    <x v="0"/>
    <x v="17"/>
    <x v="24"/>
    <n v="1"/>
    <n v="500"/>
    <n v="500"/>
    <n v="500"/>
    <n v="500"/>
    <n v="159"/>
    <n v="75"/>
    <n v="734"/>
    <n v="734"/>
    <n v="0"/>
    <x v="11"/>
    <s v="true"/>
    <s v="true"/>
    <x v="0"/>
  </r>
  <r>
    <n v="108"/>
    <d v="2024-05-17T00:00:00"/>
    <s v="5/2024"/>
    <x v="42"/>
    <x v="332"/>
    <x v="0"/>
    <x v="18"/>
    <x v="24"/>
    <n v="1"/>
    <n v="2500"/>
    <n v="2500"/>
    <n v="2500"/>
    <n v="2500"/>
    <n v="1319"/>
    <n v="375"/>
    <n v="4194"/>
    <n v="4194"/>
    <n v="0"/>
    <x v="5"/>
    <s v="true"/>
    <s v="true"/>
    <x v="0"/>
  </r>
  <r>
    <n v="109"/>
    <d v="2024-05-18T00:00:00"/>
    <s v="5/2024"/>
    <x v="23"/>
    <x v="333"/>
    <x v="0"/>
    <x v="0"/>
    <x v="56"/>
    <n v="1"/>
    <n v="1105"/>
    <n v="1105"/>
    <n v="1197"/>
    <n v="1197"/>
    <m/>
    <n v="180"/>
    <n v="1377"/>
    <n v="1377"/>
    <n v="0"/>
    <x v="4"/>
    <s v="true"/>
    <s v="true"/>
    <x v="0"/>
  </r>
  <r>
    <n v="109"/>
    <d v="2024-05-18T00:00:00"/>
    <s v="5/2024"/>
    <x v="23"/>
    <x v="334"/>
    <x v="0"/>
    <x v="0"/>
    <x v="72"/>
    <n v="1"/>
    <n v="645"/>
    <n v="645"/>
    <n v="698"/>
    <n v="698"/>
    <m/>
    <n v="105"/>
    <n v="803"/>
    <n v="803"/>
    <n v="0"/>
    <x v="4"/>
    <s v="true"/>
    <s v="true"/>
    <x v="0"/>
  </r>
  <r>
    <n v="109"/>
    <d v="2024-05-18T00:00:00"/>
    <s v="5/2024"/>
    <x v="23"/>
    <x v="27"/>
    <x v="0"/>
    <x v="0"/>
    <x v="51"/>
    <n v="1"/>
    <n v="490"/>
    <n v="490"/>
    <n v="528"/>
    <n v="528"/>
    <m/>
    <n v="79"/>
    <n v="607"/>
    <n v="607"/>
    <n v="0"/>
    <x v="4"/>
    <s v="true"/>
    <s v="true"/>
    <x v="0"/>
  </r>
  <r>
    <n v="109"/>
    <d v="2024-05-18T00:00:00"/>
    <s v="5/2024"/>
    <x v="23"/>
    <x v="335"/>
    <x v="0"/>
    <x v="0"/>
    <x v="76"/>
    <n v="1"/>
    <n v="1326"/>
    <n v="1326"/>
    <n v="1368"/>
    <n v="1368"/>
    <m/>
    <n v="205"/>
    <n v="1573"/>
    <n v="1573"/>
    <n v="0"/>
    <x v="2"/>
    <s v="true"/>
    <s v="true"/>
    <x v="0"/>
  </r>
  <r>
    <n v="109"/>
    <d v="2024-05-18T00:00:00"/>
    <s v="5/2024"/>
    <x v="23"/>
    <x v="336"/>
    <x v="0"/>
    <x v="0"/>
    <x v="51"/>
    <n v="1"/>
    <n v="338"/>
    <n v="338"/>
    <n v="349"/>
    <n v="349"/>
    <m/>
    <n v="52"/>
    <n v="401"/>
    <n v="401"/>
    <n v="0"/>
    <x v="2"/>
    <s v="true"/>
    <s v="true"/>
    <x v="0"/>
  </r>
  <r>
    <n v="109"/>
    <d v="2024-05-18T00:00:00"/>
    <s v="5/2024"/>
    <x v="23"/>
    <x v="337"/>
    <x v="0"/>
    <x v="0"/>
    <x v="76"/>
    <n v="1"/>
    <n v="547"/>
    <n v="547"/>
    <n v="564"/>
    <n v="564"/>
    <m/>
    <n v="85"/>
    <n v="649"/>
    <n v="649"/>
    <n v="0"/>
    <x v="2"/>
    <s v="true"/>
    <s v="true"/>
    <x v="0"/>
  </r>
  <r>
    <n v="109"/>
    <d v="2024-05-18T00:00:00"/>
    <s v="5/2024"/>
    <x v="23"/>
    <x v="338"/>
    <x v="0"/>
    <x v="0"/>
    <x v="51"/>
    <n v="1"/>
    <n v="547"/>
    <n v="547"/>
    <n v="564"/>
    <n v="564"/>
    <m/>
    <n v="85"/>
    <n v="649"/>
    <n v="649"/>
    <n v="0"/>
    <x v="2"/>
    <s v="true"/>
    <s v="true"/>
    <x v="0"/>
  </r>
  <r>
    <n v="109"/>
    <d v="2024-05-18T00:00:00"/>
    <s v="5/2024"/>
    <x v="23"/>
    <x v="339"/>
    <x v="0"/>
    <x v="0"/>
    <x v="76"/>
    <n v="1"/>
    <n v="2213"/>
    <n v="2213"/>
    <n v="2282"/>
    <n v="2282"/>
    <m/>
    <n v="342"/>
    <n v="2624"/>
    <n v="2624"/>
    <n v="0"/>
    <x v="2"/>
    <s v="true"/>
    <s v="true"/>
    <x v="0"/>
  </r>
  <r>
    <n v="110"/>
    <d v="2024-05-18T00:00:00"/>
    <s v="5/2024"/>
    <x v="0"/>
    <x v="340"/>
    <x v="0"/>
    <x v="0"/>
    <x v="77"/>
    <n v="1"/>
    <n v="926"/>
    <n v="926"/>
    <n v="955"/>
    <n v="955"/>
    <m/>
    <n v="143"/>
    <n v="1098"/>
    <n v="1098"/>
    <n v="0"/>
    <x v="2"/>
    <s v="true"/>
    <s v="true"/>
    <x v="0"/>
  </r>
  <r>
    <n v="110"/>
    <d v="2024-05-18T00:00:00"/>
    <s v="5/2024"/>
    <x v="0"/>
    <x v="341"/>
    <x v="0"/>
    <x v="0"/>
    <x v="51"/>
    <n v="1"/>
    <n v="165"/>
    <n v="165"/>
    <n v="171"/>
    <n v="171"/>
    <m/>
    <n v="26"/>
    <n v="197"/>
    <n v="197"/>
    <n v="0"/>
    <x v="2"/>
    <s v="true"/>
    <s v="true"/>
    <x v="0"/>
  </r>
  <r>
    <n v="110"/>
    <d v="2024-05-18T00:00:00"/>
    <s v="5/2024"/>
    <x v="0"/>
    <x v="342"/>
    <x v="0"/>
    <x v="0"/>
    <x v="78"/>
    <n v="1"/>
    <n v="162"/>
    <n v="162"/>
    <n v="162"/>
    <n v="162"/>
    <m/>
    <n v="24"/>
    <n v="186"/>
    <n v="186"/>
    <n v="0"/>
    <x v="4"/>
    <s v="true"/>
    <s v="true"/>
    <x v="0"/>
  </r>
  <r>
    <n v="110"/>
    <d v="2024-05-18T00:00:00"/>
    <s v="5/2024"/>
    <x v="0"/>
    <x v="343"/>
    <x v="0"/>
    <x v="0"/>
    <x v="51"/>
    <n v="1"/>
    <n v="1937"/>
    <n v="1937"/>
    <n v="1997"/>
    <n v="1997"/>
    <m/>
    <n v="300"/>
    <n v="2297"/>
    <n v="2297"/>
    <n v="0"/>
    <x v="2"/>
    <s v="true"/>
    <s v="true"/>
    <x v="0"/>
  </r>
  <r>
    <n v="110"/>
    <d v="2024-05-18T00:00:00"/>
    <s v="5/2024"/>
    <x v="0"/>
    <x v="344"/>
    <x v="0"/>
    <x v="0"/>
    <x v="51"/>
    <n v="1"/>
    <n v="200"/>
    <n v="200"/>
    <n v="207"/>
    <n v="207"/>
    <m/>
    <n v="31"/>
    <n v="238"/>
    <n v="238"/>
    <n v="0"/>
    <x v="2"/>
    <s v="true"/>
    <s v="true"/>
    <x v="0"/>
  </r>
  <r>
    <n v="110"/>
    <d v="2024-05-18T00:00:00"/>
    <s v="5/2024"/>
    <x v="0"/>
    <x v="345"/>
    <x v="0"/>
    <x v="0"/>
    <x v="76"/>
    <n v="1"/>
    <n v="520"/>
    <n v="520"/>
    <n v="531"/>
    <n v="531"/>
    <m/>
    <n v="80"/>
    <n v="611"/>
    <n v="611"/>
    <n v="0"/>
    <x v="4"/>
    <s v="true"/>
    <s v="true"/>
    <x v="0"/>
  </r>
  <r>
    <n v="111"/>
    <d v="2024-05-20T00:00:00"/>
    <s v="5/2024"/>
    <x v="26"/>
    <x v="257"/>
    <x v="0"/>
    <x v="19"/>
    <x v="56"/>
    <n v="1"/>
    <n v="17079"/>
    <n v="17079"/>
    <n v="17079"/>
    <n v="17079"/>
    <m/>
    <n v="1708"/>
    <n v="1708"/>
    <n v="1708"/>
    <n v="0"/>
    <x v="11"/>
    <s v="true"/>
    <s v="true"/>
    <x v="0"/>
  </r>
  <r>
    <n v="111"/>
    <d v="2024-05-20T00:00:00"/>
    <s v="5/2024"/>
    <x v="26"/>
    <x v="257"/>
    <x v="0"/>
    <x v="20"/>
    <x v="71"/>
    <n v="1"/>
    <n v="3999"/>
    <n v="3999"/>
    <n v="3999"/>
    <n v="3999"/>
    <m/>
    <n v="400"/>
    <n v="400"/>
    <n v="400"/>
    <n v="0"/>
    <x v="11"/>
    <s v="true"/>
    <s v="true"/>
    <x v="0"/>
  </r>
  <r>
    <n v="111"/>
    <d v="2024-05-20T00:00:00"/>
    <s v="5/2024"/>
    <x v="26"/>
    <x v="257"/>
    <x v="0"/>
    <x v="21"/>
    <x v="76"/>
    <n v="1"/>
    <n v="1700"/>
    <n v="1700"/>
    <n v="1700"/>
    <n v="1700"/>
    <n v="520"/>
    <n v="170"/>
    <n v="690"/>
    <n v="690"/>
    <n v="0"/>
    <x v="7"/>
    <s v="true"/>
    <s v="true"/>
    <x v="0"/>
  </r>
  <r>
    <n v="112"/>
    <d v="2024-05-20T00:00:00"/>
    <s v="5/2024"/>
    <x v="19"/>
    <x v="346"/>
    <x v="0"/>
    <x v="0"/>
    <x v="73"/>
    <n v="1"/>
    <n v="2072"/>
    <n v="2072"/>
    <n v="2177"/>
    <n v="2177"/>
    <m/>
    <n v="327"/>
    <n v="2504"/>
    <n v="2504"/>
    <n v="0"/>
    <x v="4"/>
    <s v="true"/>
    <s v="true"/>
    <x v="0"/>
  </r>
  <r>
    <n v="113"/>
    <d v="2024-05-20T00:00:00"/>
    <s v="5/2024"/>
    <x v="43"/>
    <x v="309"/>
    <x v="0"/>
    <x v="0"/>
    <x v="71"/>
    <n v="1"/>
    <n v="753"/>
    <n v="753"/>
    <n v="777"/>
    <n v="777"/>
    <m/>
    <n v="100"/>
    <n v="877"/>
    <n v="877"/>
    <n v="0"/>
    <x v="2"/>
    <s v="true"/>
    <s v="true"/>
    <x v="0"/>
  </r>
  <r>
    <n v="113"/>
    <d v="2024-05-20T00:00:00"/>
    <s v="5/2024"/>
    <x v="43"/>
    <x v="347"/>
    <x v="0"/>
    <x v="0"/>
    <x v="71"/>
    <n v="1"/>
    <n v="426"/>
    <n v="426"/>
    <n v="440"/>
    <n v="440"/>
    <m/>
    <n v="100"/>
    <n v="540"/>
    <n v="540"/>
    <n v="0"/>
    <x v="2"/>
    <s v="true"/>
    <s v="true"/>
    <x v="0"/>
  </r>
  <r>
    <n v="17"/>
    <d v="2024-05-22T00:00:00"/>
    <s v="5/2024"/>
    <x v="3"/>
    <x v="348"/>
    <x v="0"/>
    <x v="0"/>
    <x v="79"/>
    <n v="1"/>
    <n v="1108"/>
    <n v="1108"/>
    <n v="1181"/>
    <n v="1181"/>
    <m/>
    <n v="177"/>
    <n v="1358"/>
    <n v="1358"/>
    <n v="0"/>
    <x v="4"/>
    <s v="true"/>
    <s v="true"/>
    <x v="0"/>
  </r>
  <r>
    <n v="17"/>
    <d v="2024-05-22T00:00:00"/>
    <s v="5/2024"/>
    <x v="3"/>
    <x v="349"/>
    <x v="0"/>
    <x v="0"/>
    <x v="70"/>
    <m/>
    <n v="354"/>
    <n v="0"/>
    <n v="361"/>
    <n v="0"/>
    <m/>
    <n v="0"/>
    <n v="0"/>
    <n v="0"/>
    <n v="0"/>
    <x v="4"/>
    <s v="true"/>
    <s v="true"/>
    <x v="0"/>
  </r>
  <r>
    <n v="17"/>
    <d v="2024-05-22T00:00:00"/>
    <s v="5/2024"/>
    <x v="3"/>
    <x v="350"/>
    <x v="0"/>
    <x v="0"/>
    <x v="72"/>
    <n v="1"/>
    <n v="445"/>
    <n v="445"/>
    <n v="481"/>
    <n v="481"/>
    <m/>
    <n v="72"/>
    <n v="553"/>
    <n v="553"/>
    <n v="0"/>
    <x v="4"/>
    <s v="true"/>
    <s v="true"/>
    <x v="0"/>
  </r>
  <r>
    <n v="116"/>
    <d v="2024-05-24T00:00:00"/>
    <s v="5/2024"/>
    <x v="44"/>
    <x v="351"/>
    <x v="0"/>
    <x v="0"/>
    <x v="56"/>
    <n v="1"/>
    <n v="963"/>
    <n v="963"/>
    <n v="1045"/>
    <n v="1045"/>
    <m/>
    <n v="157"/>
    <n v="1202"/>
    <n v="1202"/>
    <n v="0"/>
    <x v="4"/>
    <s v="true"/>
    <s v="true"/>
    <x v="0"/>
  </r>
  <r>
    <n v="116"/>
    <d v="2024-05-24T00:00:00"/>
    <s v="5/2024"/>
    <x v="44"/>
    <x v="352"/>
    <x v="0"/>
    <x v="0"/>
    <x v="80"/>
    <n v="1"/>
    <n v="519"/>
    <n v="519"/>
    <n v="563"/>
    <n v="563"/>
    <m/>
    <n v="84"/>
    <n v="647"/>
    <n v="647"/>
    <n v="0"/>
    <x v="4"/>
    <s v="true"/>
    <s v="true"/>
    <x v="0"/>
  </r>
  <r>
    <n v="116"/>
    <d v="2024-05-24T00:00:00"/>
    <s v="5/2024"/>
    <x v="44"/>
    <x v="353"/>
    <x v="0"/>
    <x v="0"/>
    <x v="80"/>
    <n v="1"/>
    <n v="685"/>
    <n v="685"/>
    <n v="742"/>
    <n v="742"/>
    <m/>
    <n v="111"/>
    <n v="853"/>
    <n v="853"/>
    <n v="0"/>
    <x v="4"/>
    <s v="true"/>
    <s v="true"/>
    <x v="0"/>
  </r>
  <r>
    <n v="116"/>
    <d v="2024-05-24T00:00:00"/>
    <s v="5/2024"/>
    <x v="44"/>
    <x v="354"/>
    <x v="0"/>
    <x v="0"/>
    <x v="81"/>
    <n v="1"/>
    <n v="783"/>
    <n v="783"/>
    <n v="848"/>
    <n v="848"/>
    <m/>
    <n v="127"/>
    <n v="975"/>
    <n v="975"/>
    <n v="0"/>
    <x v="4"/>
    <s v="true"/>
    <s v="true"/>
    <x v="0"/>
  </r>
  <r>
    <n v="116"/>
    <d v="2024-05-24T00:00:00"/>
    <s v="5/2024"/>
    <x v="44"/>
    <x v="355"/>
    <x v="0"/>
    <x v="0"/>
    <x v="80"/>
    <n v="1"/>
    <n v="2275"/>
    <n v="2275"/>
    <n v="2437"/>
    <n v="2437"/>
    <m/>
    <n v="366"/>
    <n v="2803"/>
    <n v="2803"/>
    <n v="0"/>
    <x v="4"/>
    <s v="true"/>
    <s v="true"/>
    <x v="0"/>
  </r>
  <r>
    <n v="116"/>
    <d v="2024-05-24T00:00:00"/>
    <s v="5/2024"/>
    <x v="44"/>
    <x v="356"/>
    <x v="0"/>
    <x v="0"/>
    <x v="70"/>
    <n v="1"/>
    <n v="250"/>
    <n v="250"/>
    <n v="255"/>
    <n v="255"/>
    <m/>
    <n v="38"/>
    <n v="293"/>
    <n v="293"/>
    <n v="0"/>
    <x v="4"/>
    <s v="true"/>
    <s v="true"/>
    <x v="0"/>
  </r>
  <r>
    <n v="20"/>
    <d v="2024-05-24T00:00:00"/>
    <s v="5/2024"/>
    <x v="24"/>
    <x v="357"/>
    <x v="0"/>
    <x v="0"/>
    <x v="72"/>
    <n v="1"/>
    <n v="2658"/>
    <n v="2658"/>
    <n v="2798"/>
    <n v="2798"/>
    <m/>
    <n v="420"/>
    <n v="3218"/>
    <n v="3218"/>
    <n v="0"/>
    <x v="2"/>
    <s v="true"/>
    <s v="true"/>
    <x v="0"/>
  </r>
  <r>
    <n v="20"/>
    <d v="2024-05-24T00:00:00"/>
    <s v="5/2024"/>
    <x v="24"/>
    <x v="358"/>
    <x v="0"/>
    <x v="0"/>
    <x v="81"/>
    <n v="1"/>
    <n v="2629"/>
    <n v="2629"/>
    <n v="2768"/>
    <n v="2768"/>
    <m/>
    <n v="415"/>
    <n v="3183"/>
    <n v="3183"/>
    <n v="0"/>
    <x v="2"/>
    <s v="true"/>
    <s v="true"/>
    <x v="0"/>
  </r>
  <r>
    <n v="25"/>
    <d v="2024-03-25T00:00:00"/>
    <s v="3/2024"/>
    <x v="23"/>
    <x v="359"/>
    <x v="0"/>
    <x v="0"/>
    <x v="81"/>
    <n v="1"/>
    <n v="252"/>
    <n v="252"/>
    <n v="266"/>
    <n v="266"/>
    <m/>
    <n v="40"/>
    <n v="306"/>
    <n v="306"/>
    <n v="0"/>
    <x v="2"/>
    <s v="true"/>
    <s v="true"/>
    <x v="0"/>
  </r>
  <r>
    <n v="25"/>
    <d v="2024-03-25T00:00:00"/>
    <s v="3/2024"/>
    <x v="23"/>
    <x v="124"/>
    <x v="0"/>
    <x v="0"/>
    <x v="72"/>
    <n v="1"/>
    <n v="171"/>
    <n v="171"/>
    <n v="180"/>
    <n v="180"/>
    <m/>
    <n v="27"/>
    <n v="207"/>
    <n v="207"/>
    <n v="0"/>
    <x v="2"/>
    <s v="true"/>
    <s v="true"/>
    <x v="0"/>
  </r>
  <r>
    <n v="25"/>
    <d v="2024-03-25T00:00:00"/>
    <s v="3/2024"/>
    <x v="23"/>
    <x v="360"/>
    <x v="0"/>
    <x v="0"/>
    <x v="75"/>
    <n v="1"/>
    <n v="1110"/>
    <n v="1110"/>
    <n v="1203"/>
    <n v="1203"/>
    <m/>
    <n v="180"/>
    <n v="1383"/>
    <n v="1383"/>
    <n v="0"/>
    <x v="4"/>
    <s v="true"/>
    <s v="true"/>
    <x v="0"/>
  </r>
  <r>
    <n v="43"/>
    <d v="2024-04-01T00:00:00"/>
    <s v="4/2024"/>
    <x v="35"/>
    <x v="361"/>
    <x v="0"/>
    <x v="0"/>
    <x v="80"/>
    <n v="2"/>
    <n v="392"/>
    <n v="784"/>
    <n v="400"/>
    <n v="800"/>
    <m/>
    <n v="120"/>
    <n v="920"/>
    <n v="920"/>
    <n v="0"/>
    <x v="4"/>
    <s v="true"/>
    <s v="true"/>
    <x v="0"/>
  </r>
  <r>
    <n v="43"/>
    <d v="2024-04-01T00:00:00"/>
    <s v="4/2024"/>
    <x v="35"/>
    <x v="362"/>
    <x v="0"/>
    <x v="0"/>
    <x v="82"/>
    <n v="1"/>
    <n v="222"/>
    <n v="222"/>
    <n v="227"/>
    <n v="227"/>
    <m/>
    <n v="34"/>
    <n v="261"/>
    <n v="261"/>
    <n v="0"/>
    <x v="4"/>
    <s v="true"/>
    <s v="true"/>
    <x v="0"/>
  </r>
  <r>
    <n v="43"/>
    <d v="2024-04-01T00:00:00"/>
    <s v="4/2024"/>
    <x v="35"/>
    <x v="241"/>
    <x v="0"/>
    <x v="0"/>
    <x v="79"/>
    <n v="1"/>
    <n v="1251"/>
    <n v="1251"/>
    <n v="1346"/>
    <n v="1346"/>
    <m/>
    <n v="202"/>
    <n v="1548"/>
    <n v="1548"/>
    <n v="0"/>
    <x v="4"/>
    <s v="true"/>
    <s v="true"/>
    <x v="0"/>
  </r>
  <r>
    <n v="100"/>
    <d v="2024-05-13T00:00:00"/>
    <s v="5/2024"/>
    <x v="45"/>
    <x v="363"/>
    <x v="0"/>
    <x v="0"/>
    <x v="78"/>
    <n v="1"/>
    <n v="1181"/>
    <n v="1181"/>
    <n v="1264"/>
    <n v="1264"/>
    <m/>
    <n v="190"/>
    <n v="1454"/>
    <n v="1454"/>
    <n v="0"/>
    <x v="4"/>
    <s v="true"/>
    <s v="true"/>
    <x v="0"/>
  </r>
  <r>
    <n v="100"/>
    <d v="2024-05-13T00:00:00"/>
    <s v="5/2024"/>
    <x v="45"/>
    <x v="220"/>
    <x v="0"/>
    <x v="0"/>
    <x v="83"/>
    <n v="1"/>
    <n v="373"/>
    <n v="373"/>
    <n v="381"/>
    <n v="381"/>
    <m/>
    <n v="57"/>
    <n v="438"/>
    <n v="438"/>
    <n v="0"/>
    <x v="4"/>
    <s v="true"/>
    <s v="true"/>
    <x v="0"/>
  </r>
  <r>
    <n v="114"/>
    <d v="2024-05-22T00:00:00"/>
    <s v="5/2024"/>
    <x v="24"/>
    <x v="364"/>
    <x v="0"/>
    <x v="0"/>
    <x v="24"/>
    <n v="1"/>
    <n v="4515"/>
    <n v="4515"/>
    <n v="4515"/>
    <n v="4515"/>
    <n v="389"/>
    <n v="677"/>
    <n v="5581"/>
    <n v="5581"/>
    <n v="0"/>
    <x v="12"/>
    <s v="true"/>
    <s v="true"/>
    <x v="0"/>
  </r>
  <r>
    <n v="70"/>
    <d v="2024-05-31T00:00:00"/>
    <s v="5/2024"/>
    <x v="24"/>
    <x v="365"/>
    <x v="0"/>
    <x v="0"/>
    <x v="83"/>
    <n v="1"/>
    <n v="216"/>
    <n v="216"/>
    <n v="220"/>
    <n v="220"/>
    <m/>
    <n v="33"/>
    <n v="253"/>
    <n v="253"/>
    <n v="0"/>
    <x v="4"/>
    <s v="true"/>
    <s v="true"/>
    <x v="0"/>
  </r>
  <r>
    <n v="70"/>
    <d v="2024-05-31T00:00:00"/>
    <s v="5/2024"/>
    <x v="24"/>
    <x v="366"/>
    <x v="0"/>
    <x v="0"/>
    <x v="84"/>
    <n v="1"/>
    <n v="426"/>
    <n v="426"/>
    <n v="435"/>
    <n v="435"/>
    <m/>
    <n v="65"/>
    <n v="500"/>
    <n v="500"/>
    <n v="0"/>
    <x v="4"/>
    <s v="true"/>
    <s v="true"/>
    <x v="0"/>
  </r>
  <r>
    <n v="70"/>
    <d v="2024-05-31T00:00:00"/>
    <s v="5/2024"/>
    <x v="24"/>
    <x v="367"/>
    <x v="0"/>
    <x v="0"/>
    <x v="85"/>
    <n v="1"/>
    <n v="507"/>
    <n v="507"/>
    <n v="549"/>
    <n v="549"/>
    <m/>
    <n v="82"/>
    <n v="631"/>
    <n v="631"/>
    <n v="0"/>
    <x v="4"/>
    <s v="true"/>
    <s v="true"/>
    <x v="0"/>
  </r>
  <r>
    <n v="70"/>
    <d v="2024-05-31T00:00:00"/>
    <s v="5/2024"/>
    <x v="24"/>
    <x v="368"/>
    <x v="0"/>
    <x v="0"/>
    <x v="86"/>
    <n v="1"/>
    <n v="522"/>
    <n v="522"/>
    <n v="565"/>
    <n v="565"/>
    <m/>
    <n v="85"/>
    <n v="650"/>
    <n v="650"/>
    <n v="0"/>
    <x v="4"/>
    <s v="true"/>
    <s v="true"/>
    <x v="0"/>
  </r>
  <r>
    <n v="70"/>
    <d v="2024-05-31T00:00:00"/>
    <s v="5/2024"/>
    <x v="24"/>
    <x v="369"/>
    <x v="0"/>
    <x v="0"/>
    <x v="86"/>
    <n v="1"/>
    <n v="569"/>
    <n v="569"/>
    <n v="616"/>
    <n v="616"/>
    <m/>
    <n v="92"/>
    <n v="708"/>
    <n v="708"/>
    <n v="0"/>
    <x v="4"/>
    <s v="true"/>
    <s v="true"/>
    <x v="0"/>
  </r>
  <r>
    <n v="70"/>
    <d v="2024-05-31T00:00:00"/>
    <s v="5/2024"/>
    <x v="24"/>
    <x v="370"/>
    <x v="0"/>
    <x v="0"/>
    <x v="86"/>
    <n v="1"/>
    <n v="514"/>
    <n v="514"/>
    <n v="557"/>
    <n v="557"/>
    <m/>
    <n v="84"/>
    <n v="641"/>
    <n v="641"/>
    <n v="0"/>
    <x v="4"/>
    <s v="true"/>
    <s v="true"/>
    <x v="0"/>
  </r>
  <r>
    <n v="70"/>
    <d v="2024-05-31T00:00:00"/>
    <s v="5/2024"/>
    <x v="24"/>
    <x v="371"/>
    <x v="0"/>
    <x v="0"/>
    <x v="86"/>
    <n v="1"/>
    <n v="514"/>
    <n v="514"/>
    <n v="557"/>
    <n v="557"/>
    <m/>
    <n v="84"/>
    <n v="641"/>
    <n v="641"/>
    <n v="0"/>
    <x v="4"/>
    <s v="true"/>
    <s v="true"/>
    <x v="0"/>
  </r>
  <r>
    <n v="70"/>
    <d v="2024-05-31T00:00:00"/>
    <s v="5/2024"/>
    <x v="24"/>
    <x v="372"/>
    <x v="0"/>
    <x v="0"/>
    <x v="86"/>
    <n v="1"/>
    <n v="526"/>
    <n v="526"/>
    <n v="570"/>
    <n v="570"/>
    <m/>
    <n v="86"/>
    <n v="656"/>
    <n v="656"/>
    <n v="0"/>
    <x v="4"/>
    <s v="true"/>
    <s v="true"/>
    <x v="0"/>
  </r>
  <r>
    <n v="70"/>
    <d v="2024-05-31T00:00:00"/>
    <s v="5/2024"/>
    <x v="24"/>
    <x v="373"/>
    <x v="0"/>
    <x v="0"/>
    <x v="75"/>
    <n v="1"/>
    <n v="707"/>
    <n v="707"/>
    <n v="745"/>
    <n v="745"/>
    <m/>
    <n v="112"/>
    <n v="857"/>
    <n v="857"/>
    <n v="0"/>
    <x v="2"/>
    <s v="true"/>
    <s v="true"/>
    <x v="0"/>
  </r>
  <r>
    <n v="70"/>
    <d v="2024-05-31T00:00:00"/>
    <s v="5/2024"/>
    <x v="24"/>
    <x v="374"/>
    <x v="0"/>
    <x v="0"/>
    <x v="87"/>
    <n v="1"/>
    <n v="650"/>
    <n v="650"/>
    <n v="650"/>
    <n v="650"/>
    <n v="109"/>
    <n v="98"/>
    <n v="857"/>
    <n v="857"/>
    <n v="0"/>
    <x v="8"/>
    <s v="true"/>
    <s v="true"/>
    <x v="0"/>
  </r>
  <r>
    <n v="70"/>
    <d v="2024-05-31T00:00:00"/>
    <s v="5/2024"/>
    <x v="24"/>
    <x v="375"/>
    <x v="0"/>
    <x v="22"/>
    <x v="87"/>
    <n v="1"/>
    <n v="715"/>
    <n v="715"/>
    <n v="715"/>
    <n v="715"/>
    <n v="109"/>
    <n v="107"/>
    <n v="931"/>
    <n v="931"/>
    <n v="0"/>
    <x v="8"/>
    <s v="true"/>
    <s v="true"/>
    <x v="0"/>
  </r>
  <r>
    <n v="115"/>
    <d v="2024-05-31T00:00:00"/>
    <s v="5/2024"/>
    <x v="46"/>
    <x v="376"/>
    <x v="0"/>
    <x v="0"/>
    <x v="83"/>
    <n v="1"/>
    <n v="2477"/>
    <n v="2477"/>
    <n v="2608"/>
    <n v="2608"/>
    <n v="1"/>
    <n v="261"/>
    <n v="2870"/>
    <n v="2870"/>
    <n v="0"/>
    <x v="2"/>
    <s v="true"/>
    <s v="true"/>
    <x v="0"/>
  </r>
  <r>
    <n v="115"/>
    <d v="2024-05-31T00:00:00"/>
    <s v="5/2024"/>
    <x v="46"/>
    <x v="377"/>
    <x v="0"/>
    <x v="0"/>
    <x v="82"/>
    <n v="1"/>
    <n v="834"/>
    <n v="834"/>
    <n v="878"/>
    <n v="878"/>
    <n v="190"/>
    <n v="88"/>
    <n v="1156"/>
    <n v="1156"/>
    <n v="0"/>
    <x v="2"/>
    <s v="true"/>
    <s v="true"/>
    <x v="0"/>
  </r>
  <r>
    <n v="115"/>
    <d v="2024-05-31T00:00:00"/>
    <s v="5/2024"/>
    <x v="46"/>
    <x v="378"/>
    <x v="0"/>
    <x v="0"/>
    <x v="82"/>
    <n v="1"/>
    <n v="284"/>
    <n v="284"/>
    <n v="284"/>
    <n v="284"/>
    <n v="138"/>
    <n v="28"/>
    <n v="450"/>
    <n v="450"/>
    <n v="0"/>
    <x v="15"/>
    <s v="true"/>
    <s v="true"/>
    <x v="0"/>
  </r>
  <r>
    <n v="117"/>
    <d v="2024-05-31T00:00:00"/>
    <s v="5/2024"/>
    <x v="26"/>
    <x v="257"/>
    <x v="0"/>
    <x v="0"/>
    <x v="80"/>
    <n v="1"/>
    <n v="3990"/>
    <n v="3990"/>
    <n v="3990"/>
    <n v="3990"/>
    <n v="741"/>
    <n v="399"/>
    <n v="1140"/>
    <n v="1140"/>
    <n v="0"/>
    <x v="11"/>
    <s v="true"/>
    <s v="true"/>
    <x v="0"/>
  </r>
  <r>
    <n v="119"/>
    <d v="2024-06-01T00:00:00"/>
    <s v="6/2024"/>
    <x v="23"/>
    <x v="379"/>
    <x v="0"/>
    <x v="0"/>
    <x v="82"/>
    <n v="1"/>
    <n v="118"/>
    <n v="118"/>
    <n v="120"/>
    <n v="120"/>
    <m/>
    <n v="18"/>
    <n v="138"/>
    <n v="138"/>
    <n v="0"/>
    <x v="4"/>
    <s v="true"/>
    <s v="true"/>
    <x v="0"/>
  </r>
  <r>
    <n v="119"/>
    <d v="2024-06-01T00:00:00"/>
    <s v="6/2024"/>
    <x v="23"/>
    <x v="380"/>
    <x v="0"/>
    <x v="0"/>
    <x v="82"/>
    <n v="1"/>
    <n v="118"/>
    <n v="118"/>
    <n v="120"/>
    <n v="120"/>
    <m/>
    <n v="18"/>
    <n v="138"/>
    <n v="138"/>
    <n v="0"/>
    <x v="4"/>
    <s v="true"/>
    <s v="true"/>
    <x v="0"/>
  </r>
  <r>
    <n v="119"/>
    <d v="2024-06-01T00:00:00"/>
    <s v="6/2024"/>
    <x v="23"/>
    <x v="381"/>
    <x v="0"/>
    <x v="0"/>
    <x v="88"/>
    <n v="1"/>
    <n v="311"/>
    <n v="311"/>
    <n v="317"/>
    <n v="317"/>
    <m/>
    <n v="48"/>
    <n v="365"/>
    <n v="365"/>
    <n v="0"/>
    <x v="4"/>
    <s v="true"/>
    <s v="true"/>
    <x v="0"/>
  </r>
  <r>
    <n v="119"/>
    <d v="2024-06-01T00:00:00"/>
    <s v="6/2024"/>
    <x v="23"/>
    <x v="382"/>
    <x v="0"/>
    <x v="0"/>
    <x v="89"/>
    <n v="1"/>
    <n v="414"/>
    <n v="414"/>
    <n v="463"/>
    <n v="463"/>
    <m/>
    <n v="69"/>
    <n v="532"/>
    <n v="532"/>
    <n v="0"/>
    <x v="4"/>
    <s v="true"/>
    <s v="true"/>
    <x v="0"/>
  </r>
  <r>
    <n v="119"/>
    <d v="2024-06-01T00:00:00"/>
    <s v="6/2024"/>
    <x v="23"/>
    <x v="383"/>
    <x v="0"/>
    <x v="0"/>
    <x v="82"/>
    <n v="1"/>
    <n v="244"/>
    <n v="244"/>
    <n v="249"/>
    <n v="249"/>
    <m/>
    <n v="37"/>
    <n v="286"/>
    <n v="286"/>
    <n v="0"/>
    <x v="4"/>
    <s v="true"/>
    <s v="true"/>
    <x v="0"/>
  </r>
  <r>
    <n v="119"/>
    <d v="2024-06-01T00:00:00"/>
    <s v="6/2024"/>
    <x v="23"/>
    <x v="384"/>
    <x v="0"/>
    <x v="0"/>
    <x v="75"/>
    <n v="1"/>
    <n v="261"/>
    <n v="261"/>
    <n v="275"/>
    <n v="275"/>
    <m/>
    <n v="41"/>
    <n v="316"/>
    <n v="316"/>
    <n v="0"/>
    <x v="2"/>
    <s v="true"/>
    <s v="true"/>
    <x v="0"/>
  </r>
  <r>
    <n v="119"/>
    <d v="2024-06-01T00:00:00"/>
    <s v="6/2024"/>
    <x v="23"/>
    <x v="385"/>
    <x v="0"/>
    <x v="0"/>
    <x v="82"/>
    <n v="1"/>
    <n v="449"/>
    <n v="449"/>
    <n v="473"/>
    <n v="473"/>
    <m/>
    <n v="71"/>
    <n v="544"/>
    <n v="544"/>
    <n v="0"/>
    <x v="2"/>
    <s v="true"/>
    <s v="true"/>
    <x v="0"/>
  </r>
  <r>
    <n v="119"/>
    <d v="2024-06-01T00:00:00"/>
    <s v="6/2024"/>
    <x v="23"/>
    <x v="386"/>
    <x v="0"/>
    <x v="0"/>
    <x v="82"/>
    <n v="1"/>
    <n v="385"/>
    <n v="385"/>
    <n v="406"/>
    <n v="406"/>
    <m/>
    <n v="61"/>
    <n v="467"/>
    <n v="467"/>
    <n v="0"/>
    <x v="2"/>
    <s v="true"/>
    <s v="true"/>
    <x v="0"/>
  </r>
  <r>
    <n v="119"/>
    <d v="2024-06-01T00:00:00"/>
    <s v="6/2024"/>
    <x v="23"/>
    <x v="75"/>
    <x v="0"/>
    <x v="0"/>
    <x v="82"/>
    <n v="1"/>
    <n v="773"/>
    <n v="773"/>
    <n v="814"/>
    <n v="814"/>
    <m/>
    <n v="122"/>
    <n v="936"/>
    <n v="936"/>
    <n v="0"/>
    <x v="2"/>
    <s v="true"/>
    <s v="true"/>
    <x v="0"/>
  </r>
  <r>
    <n v="122"/>
    <d v="2024-06-05T00:00:00"/>
    <s v="6/2024"/>
    <x v="47"/>
    <x v="387"/>
    <x v="0"/>
    <x v="0"/>
    <x v="82"/>
    <n v="1"/>
    <n v="284"/>
    <n v="284"/>
    <n v="299"/>
    <n v="299"/>
    <m/>
    <n v="45"/>
    <n v="344"/>
    <n v="344"/>
    <n v="0"/>
    <x v="16"/>
    <s v="true"/>
    <s v="true"/>
    <x v="0"/>
  </r>
  <r>
    <n v="122"/>
    <d v="2024-06-05T00:00:00"/>
    <s v="6/2024"/>
    <x v="47"/>
    <x v="388"/>
    <x v="0"/>
    <x v="0"/>
    <x v="83"/>
    <n v="1"/>
    <n v="323"/>
    <n v="323"/>
    <n v="330"/>
    <n v="330"/>
    <m/>
    <n v="50"/>
    <n v="380"/>
    <n v="380"/>
    <n v="0"/>
    <x v="15"/>
    <s v="true"/>
    <s v="true"/>
    <x v="0"/>
  </r>
  <r>
    <n v="122"/>
    <d v="2024-06-05T00:00:00"/>
    <s v="6/2024"/>
    <x v="47"/>
    <x v="389"/>
    <x v="0"/>
    <x v="0"/>
    <x v="75"/>
    <n v="1"/>
    <n v="136"/>
    <n v="136"/>
    <n v="144"/>
    <n v="144"/>
    <m/>
    <n v="22"/>
    <n v="166"/>
    <n v="166"/>
    <n v="0"/>
    <x v="16"/>
    <s v="true"/>
    <s v="true"/>
    <x v="0"/>
  </r>
  <r>
    <n v="122"/>
    <d v="2024-06-05T00:00:00"/>
    <s v="6/2024"/>
    <x v="47"/>
    <x v="389"/>
    <x v="0"/>
    <x v="0"/>
    <x v="87"/>
    <n v="1"/>
    <n v="136"/>
    <n v="136"/>
    <n v="144"/>
    <n v="144"/>
    <m/>
    <n v="22"/>
    <n v="166"/>
    <n v="166"/>
    <n v="0"/>
    <x v="16"/>
    <s v="true"/>
    <s v="true"/>
    <x v="0"/>
  </r>
  <r>
    <n v="122"/>
    <d v="2024-06-05T00:00:00"/>
    <s v="6/2024"/>
    <x v="47"/>
    <x v="390"/>
    <x v="0"/>
    <x v="0"/>
    <x v="90"/>
    <n v="1"/>
    <n v="683"/>
    <n v="683"/>
    <n v="745"/>
    <n v="745"/>
    <m/>
    <n v="112"/>
    <n v="857"/>
    <n v="857"/>
    <n v="0"/>
    <x v="16"/>
    <s v="true"/>
    <s v="true"/>
    <x v="0"/>
  </r>
  <r>
    <n v="122"/>
    <d v="2024-06-05T00:00:00"/>
    <s v="6/2024"/>
    <x v="47"/>
    <x v="391"/>
    <x v="0"/>
    <x v="0"/>
    <x v="82"/>
    <n v="1"/>
    <n v="385"/>
    <n v="385"/>
    <n v="406"/>
    <n v="406"/>
    <m/>
    <n v="61"/>
    <n v="467"/>
    <n v="467"/>
    <n v="0"/>
    <x v="16"/>
    <s v="true"/>
    <s v="true"/>
    <x v="0"/>
  </r>
  <r>
    <n v="120"/>
    <d v="2024-06-03T00:00:00"/>
    <s v="6/2024"/>
    <x v="3"/>
    <x v="392"/>
    <x v="0"/>
    <x v="0"/>
    <x v="83"/>
    <n v="1"/>
    <n v="627"/>
    <n v="627"/>
    <n v="680"/>
    <n v="680"/>
    <m/>
    <n v="102"/>
    <n v="782"/>
    <n v="782"/>
    <n v="0"/>
    <x v="15"/>
    <s v="true"/>
    <s v="true"/>
    <x v="0"/>
  </r>
  <r>
    <n v="120"/>
    <d v="2024-06-03T00:00:00"/>
    <s v="6/2024"/>
    <x v="3"/>
    <x v="393"/>
    <x v="0"/>
    <x v="0"/>
    <x v="91"/>
    <n v="1"/>
    <n v="1823"/>
    <n v="1823"/>
    <n v="2115"/>
    <n v="2115"/>
    <m/>
    <n v="317"/>
    <n v="2432"/>
    <n v="2432"/>
    <n v="0"/>
    <x v="15"/>
    <s v="true"/>
    <s v="true"/>
    <x v="0"/>
  </r>
  <r>
    <n v="121"/>
    <d v="2024-06-03T00:00:00"/>
    <s v="6/2024"/>
    <x v="35"/>
    <x v="394"/>
    <x v="0"/>
    <x v="0"/>
    <x v="88"/>
    <n v="2"/>
    <n v="511"/>
    <n v="1022"/>
    <n v="574"/>
    <n v="1148"/>
    <m/>
    <n v="200"/>
    <n v="1348"/>
    <n v="1348"/>
    <n v="0"/>
    <x v="15"/>
    <s v="true"/>
    <s v="true"/>
    <x v="0"/>
  </r>
  <r>
    <n v="120"/>
    <d v="2024-06-03T00:00:00"/>
    <s v="6/2024"/>
    <x v="3"/>
    <x v="395"/>
    <x v="0"/>
    <x v="0"/>
    <x v="90"/>
    <n v="1"/>
    <n v="335"/>
    <n v="335"/>
    <n v="340"/>
    <n v="340"/>
    <m/>
    <n v="51"/>
    <n v="391"/>
    <n v="391"/>
    <n v="0"/>
    <x v="15"/>
    <s v="true"/>
    <s v="true"/>
    <x v="0"/>
  </r>
  <r>
    <n v="115"/>
    <d v="2024-05-31T00:00:00"/>
    <s v="5/2024"/>
    <x v="46"/>
    <x v="396"/>
    <x v="0"/>
    <x v="0"/>
    <x v="92"/>
    <n v="1"/>
    <n v="12651"/>
    <n v="12651"/>
    <n v="13611"/>
    <n v="13611"/>
    <n v="900"/>
    <n v="1361"/>
    <n v="15872"/>
    <n v="15872"/>
    <n v="0"/>
    <x v="17"/>
    <s v="true"/>
    <s v="true"/>
    <x v="0"/>
  </r>
  <r>
    <n v="120"/>
    <d v="2024-06-03T00:00:00"/>
    <s v="6/2024"/>
    <x v="3"/>
    <x v="397"/>
    <x v="0"/>
    <x v="0"/>
    <x v="90"/>
    <n v="1"/>
    <n v="260"/>
    <n v="260"/>
    <n v="265"/>
    <n v="265"/>
    <m/>
    <n v="40"/>
    <n v="305"/>
    <n v="305"/>
    <n v="0"/>
    <x v="15"/>
    <s v="true"/>
    <s v="true"/>
    <x v="0"/>
  </r>
  <r>
    <n v="120"/>
    <d v="2024-06-03T00:00:00"/>
    <s v="6/2024"/>
    <x v="3"/>
    <x v="398"/>
    <x v="0"/>
    <x v="0"/>
    <x v="84"/>
    <n v="1"/>
    <n v="563"/>
    <n v="563"/>
    <n v="607"/>
    <n v="607"/>
    <m/>
    <n v="91"/>
    <n v="698"/>
    <n v="698"/>
    <n v="0"/>
    <x v="15"/>
    <s v="true"/>
    <s v="true"/>
    <x v="0"/>
  </r>
  <r>
    <n v="122"/>
    <d v="2024-06-05T00:00:00"/>
    <s v="6/2024"/>
    <x v="47"/>
    <x v="399"/>
    <x v="0"/>
    <x v="0"/>
    <x v="84"/>
    <n v="1"/>
    <n v="490"/>
    <n v="490"/>
    <n v="516"/>
    <n v="516"/>
    <m/>
    <n v="77"/>
    <n v="593"/>
    <n v="593"/>
    <n v="0"/>
    <x v="16"/>
    <s v="true"/>
    <s v="true"/>
    <x v="0"/>
  </r>
  <r>
    <n v="122"/>
    <d v="2024-06-05T00:00:00"/>
    <s v="6/2024"/>
    <x v="47"/>
    <x v="400"/>
    <x v="0"/>
    <x v="0"/>
    <x v="84"/>
    <n v="1"/>
    <n v="469"/>
    <n v="469"/>
    <n v="494"/>
    <n v="494"/>
    <m/>
    <n v="74"/>
    <n v="568"/>
    <n v="568"/>
    <n v="0"/>
    <x v="16"/>
    <s v="true"/>
    <s v="true"/>
    <x v="0"/>
  </r>
  <r>
    <n v="122"/>
    <d v="2024-06-05T00:00:00"/>
    <s v="6/2024"/>
    <x v="47"/>
    <x v="401"/>
    <x v="0"/>
    <x v="0"/>
    <x v="84"/>
    <n v="1"/>
    <n v="976"/>
    <n v="976"/>
    <n v="1028"/>
    <n v="1028"/>
    <m/>
    <n v="154"/>
    <n v="1182"/>
    <n v="1182"/>
    <n v="0"/>
    <x v="16"/>
    <s v="true"/>
    <s v="true"/>
    <x v="0"/>
  </r>
  <r>
    <n v="122"/>
    <d v="2024-06-05T00:00:00"/>
    <s v="6/2024"/>
    <x v="47"/>
    <x v="402"/>
    <x v="0"/>
    <x v="0"/>
    <x v="88"/>
    <n v="1"/>
    <n v="492"/>
    <n v="492"/>
    <n v="518"/>
    <n v="518"/>
    <m/>
    <n v="78"/>
    <n v="596"/>
    <n v="596"/>
    <n v="0"/>
    <x v="16"/>
    <s v="true"/>
    <s v="true"/>
    <x v="0"/>
  </r>
  <r>
    <n v="123"/>
    <d v="2024-06-07T00:00:00"/>
    <s v="6/2024"/>
    <x v="23"/>
    <x v="403"/>
    <x v="0"/>
    <x v="0"/>
    <x v="90"/>
    <n v="1"/>
    <n v="264"/>
    <n v="264"/>
    <n v="278"/>
    <n v="278"/>
    <m/>
    <n v="33"/>
    <n v="311"/>
    <n v="311"/>
    <n v="0"/>
    <x v="16"/>
    <s v="true"/>
    <s v="true"/>
    <x v="0"/>
  </r>
  <r>
    <n v="123"/>
    <d v="2024-06-07T00:00:00"/>
    <s v="6/2024"/>
    <x v="23"/>
    <x v="404"/>
    <x v="0"/>
    <x v="0"/>
    <x v="91"/>
    <n v="1"/>
    <n v="99"/>
    <n v="99"/>
    <n v="105"/>
    <n v="105"/>
    <m/>
    <n v="33"/>
    <n v="138"/>
    <n v="138"/>
    <n v="0"/>
    <x v="16"/>
    <s v="true"/>
    <s v="true"/>
    <x v="0"/>
  </r>
  <r>
    <n v="123"/>
    <d v="2024-06-07T00:00:00"/>
    <s v="6/2024"/>
    <x v="23"/>
    <x v="27"/>
    <x v="0"/>
    <x v="0"/>
    <x v="90"/>
    <n v="1"/>
    <n v="247"/>
    <n v="247"/>
    <n v="261"/>
    <n v="261"/>
    <m/>
    <n v="33"/>
    <n v="294"/>
    <n v="294"/>
    <n v="0"/>
    <x v="16"/>
    <s v="true"/>
    <s v="true"/>
    <x v="0"/>
  </r>
  <r>
    <n v="123"/>
    <d v="2024-06-07T00:00:00"/>
    <s v="6/2024"/>
    <x v="23"/>
    <x v="405"/>
    <x v="0"/>
    <x v="0"/>
    <x v="90"/>
    <n v="1"/>
    <n v="293"/>
    <n v="293"/>
    <n v="299"/>
    <n v="299"/>
    <m/>
    <n v="33"/>
    <n v="332"/>
    <n v="332"/>
    <n v="0"/>
    <x v="15"/>
    <s v="true"/>
    <s v="true"/>
    <x v="0"/>
  </r>
  <r>
    <n v="123"/>
    <d v="2024-06-07T00:00:00"/>
    <s v="6/2024"/>
    <x v="23"/>
    <x v="406"/>
    <x v="0"/>
    <x v="0"/>
    <x v="90"/>
    <n v="1"/>
    <n v="294"/>
    <n v="294"/>
    <n v="300"/>
    <n v="300"/>
    <m/>
    <n v="33"/>
    <n v="333"/>
    <n v="333"/>
    <n v="0"/>
    <x v="15"/>
    <s v="true"/>
    <s v="true"/>
    <x v="0"/>
  </r>
  <r>
    <n v="123"/>
    <d v="2024-06-07T00:00:00"/>
    <s v="6/2024"/>
    <x v="23"/>
    <x v="407"/>
    <x v="0"/>
    <x v="0"/>
    <x v="91"/>
    <n v="1"/>
    <n v="158"/>
    <n v="158"/>
    <n v="161"/>
    <n v="161"/>
    <m/>
    <n v="33"/>
    <n v="194"/>
    <n v="194"/>
    <n v="0"/>
    <x v="15"/>
    <s v="true"/>
    <s v="true"/>
    <x v="0"/>
  </r>
  <r>
    <n v="124"/>
    <d v="2024-06-07T00:00:00"/>
    <s v="6/2024"/>
    <x v="47"/>
    <x v="408"/>
    <x v="0"/>
    <x v="0"/>
    <x v="90"/>
    <n v="1"/>
    <n v="608"/>
    <n v="608"/>
    <n v="641"/>
    <n v="641"/>
    <m/>
    <n v="50"/>
    <n v="691"/>
    <n v="691"/>
    <n v="0"/>
    <x v="16"/>
    <s v="true"/>
    <s v="true"/>
    <x v="0"/>
  </r>
  <r>
    <n v="124"/>
    <d v="2024-06-07T00:00:00"/>
    <s v="6/2024"/>
    <x v="47"/>
    <x v="409"/>
    <x v="0"/>
    <x v="0"/>
    <x v="90"/>
    <n v="1"/>
    <n v="412"/>
    <n v="412"/>
    <n v="434"/>
    <n v="434"/>
    <m/>
    <n v="50"/>
    <n v="484"/>
    <n v="484"/>
    <n v="0"/>
    <x v="16"/>
    <s v="true"/>
    <s v="true"/>
    <x v="0"/>
  </r>
  <r>
    <n v="124"/>
    <d v="2024-06-07T00:00:00"/>
    <s v="6/2024"/>
    <x v="47"/>
    <x v="410"/>
    <x v="0"/>
    <x v="0"/>
    <x v="90"/>
    <n v="1"/>
    <n v="151"/>
    <n v="151"/>
    <n v="159"/>
    <n v="159"/>
    <m/>
    <n v="50"/>
    <n v="209"/>
    <n v="209"/>
    <n v="0"/>
    <x v="16"/>
    <s v="true"/>
    <s v="true"/>
    <x v="0"/>
  </r>
  <r>
    <n v="124"/>
    <d v="2024-06-07T00:00:00"/>
    <s v="6/2024"/>
    <x v="47"/>
    <x v="411"/>
    <x v="0"/>
    <x v="0"/>
    <x v="90"/>
    <n v="1"/>
    <n v="125"/>
    <n v="125"/>
    <n v="132"/>
    <n v="132"/>
    <m/>
    <n v="50"/>
    <n v="182"/>
    <n v="182"/>
    <n v="0"/>
    <x v="16"/>
    <s v="true"/>
    <s v="true"/>
    <x v="0"/>
  </r>
  <r>
    <n v="118"/>
    <d v="2024-06-08T00:00:00"/>
    <s v="6/2024"/>
    <x v="48"/>
    <x v="412"/>
    <x v="0"/>
    <x v="0"/>
    <x v="91"/>
    <n v="1"/>
    <n v="1496"/>
    <n v="1496"/>
    <n v="1575"/>
    <n v="1575"/>
    <m/>
    <n v="236"/>
    <n v="1811"/>
    <n v="1811"/>
    <n v="0"/>
    <x v="16"/>
    <s v="true"/>
    <s v="true"/>
    <x v="0"/>
  </r>
  <r>
    <n v="118"/>
    <d v="2024-06-08T00:00:00"/>
    <s v="6/2024"/>
    <x v="48"/>
    <x v="413"/>
    <x v="0"/>
    <x v="0"/>
    <x v="91"/>
    <n v="1"/>
    <n v="228"/>
    <n v="228"/>
    <n v="240"/>
    <n v="240"/>
    <m/>
    <n v="36"/>
    <n v="276"/>
    <n v="276"/>
    <n v="0"/>
    <x v="16"/>
    <s v="true"/>
    <s v="true"/>
    <x v="0"/>
  </r>
  <r>
    <n v="118"/>
    <d v="2024-06-08T00:00:00"/>
    <s v="6/2024"/>
    <x v="48"/>
    <x v="414"/>
    <x v="0"/>
    <x v="0"/>
    <x v="91"/>
    <n v="1"/>
    <n v="400"/>
    <n v="400"/>
    <n v="422"/>
    <n v="422"/>
    <m/>
    <n v="63"/>
    <n v="485"/>
    <n v="485"/>
    <n v="0"/>
    <x v="16"/>
    <s v="true"/>
    <s v="true"/>
    <x v="0"/>
  </r>
  <r>
    <n v="118"/>
    <d v="2024-06-08T00:00:00"/>
    <s v="6/2024"/>
    <x v="48"/>
    <x v="415"/>
    <x v="0"/>
    <x v="0"/>
    <x v="91"/>
    <n v="1"/>
    <n v="1189"/>
    <n v="1189"/>
    <n v="1252"/>
    <n v="1252"/>
    <m/>
    <n v="188"/>
    <n v="1440"/>
    <n v="1440"/>
    <n v="0"/>
    <x v="16"/>
    <s v="true"/>
    <s v="true"/>
    <x v="0"/>
  </r>
  <r>
    <n v="118"/>
    <d v="2024-06-08T00:00:00"/>
    <s v="6/2024"/>
    <x v="48"/>
    <x v="416"/>
    <x v="0"/>
    <x v="0"/>
    <x v="91"/>
    <n v="1"/>
    <n v="1786"/>
    <n v="1786"/>
    <n v="1880"/>
    <n v="1880"/>
    <m/>
    <n v="282"/>
    <n v="2162"/>
    <n v="2162"/>
    <n v="0"/>
    <x v="16"/>
    <s v="true"/>
    <s v="true"/>
    <x v="0"/>
  </r>
  <r>
    <n v="125"/>
    <d v="2024-06-09T00:00:00"/>
    <s v="6/2024"/>
    <x v="36"/>
    <x v="417"/>
    <x v="0"/>
    <x v="0"/>
    <x v="91"/>
    <n v="2"/>
    <n v="1455"/>
    <n v="2910"/>
    <n v="1532"/>
    <n v="3064"/>
    <m/>
    <n v="460"/>
    <n v="3524"/>
    <n v="3524"/>
    <n v="0"/>
    <x v="16"/>
    <s v="true"/>
    <s v="true"/>
    <x v="0"/>
  </r>
  <r>
    <n v="125"/>
    <d v="2024-06-09T00:00:00"/>
    <s v="6/2024"/>
    <x v="36"/>
    <x v="418"/>
    <x v="0"/>
    <x v="0"/>
    <x v="91"/>
    <n v="1"/>
    <n v="1827"/>
    <n v="1827"/>
    <n v="1924"/>
    <n v="1924"/>
    <m/>
    <n v="289"/>
    <n v="2213"/>
    <n v="2213"/>
    <n v="0"/>
    <x v="16"/>
    <s v="true"/>
    <s v="true"/>
    <x v="0"/>
  </r>
  <r>
    <n v="118"/>
    <d v="2024-06-08T00:00:00"/>
    <s v="6/2024"/>
    <x v="48"/>
    <x v="88"/>
    <x v="0"/>
    <x v="0"/>
    <x v="77"/>
    <n v="1"/>
    <n v="161"/>
    <n v="161"/>
    <n v="170"/>
    <n v="170"/>
    <m/>
    <n v="26"/>
    <n v="196"/>
    <n v="196"/>
    <n v="0"/>
    <x v="16"/>
    <s v="true"/>
    <s v="true"/>
    <x v="0"/>
  </r>
  <r>
    <n v="118"/>
    <d v="2024-06-08T00:00:00"/>
    <s v="6/2024"/>
    <x v="48"/>
    <x v="419"/>
    <x v="0"/>
    <x v="0"/>
    <x v="77"/>
    <n v="1"/>
    <n v="307"/>
    <n v="307"/>
    <n v="324"/>
    <n v="324"/>
    <m/>
    <n v="49"/>
    <n v="373"/>
    <n v="373"/>
    <n v="0"/>
    <x v="16"/>
    <s v="true"/>
    <s v="true"/>
    <x v="0"/>
  </r>
  <r>
    <n v="118"/>
    <d v="2024-06-08T00:00:00"/>
    <s v="6/2024"/>
    <x v="48"/>
    <x v="75"/>
    <x v="0"/>
    <x v="0"/>
    <x v="85"/>
    <n v="1"/>
    <n v="925"/>
    <n v="925"/>
    <n v="974"/>
    <n v="974"/>
    <m/>
    <n v="146"/>
    <n v="1120"/>
    <n v="1120"/>
    <n v="0"/>
    <x v="16"/>
    <s v="true"/>
    <s v="true"/>
    <x v="0"/>
  </r>
  <r>
    <n v="126"/>
    <d v="2024-06-10T00:00:00"/>
    <s v="6/2024"/>
    <x v="49"/>
    <x v="420"/>
    <x v="0"/>
    <x v="0"/>
    <x v="93"/>
    <n v="1"/>
    <n v="4612"/>
    <n v="4612"/>
    <n v="5490"/>
    <n v="5490"/>
    <m/>
    <n v="824"/>
    <n v="6314"/>
    <n v="6314"/>
    <n v="0"/>
    <x v="18"/>
    <s v="true"/>
    <s v="true"/>
    <x v="0"/>
  </r>
  <r>
    <n v="127"/>
    <d v="2024-06-11T00:00:00"/>
    <s v="6/2024"/>
    <x v="38"/>
    <x v="421"/>
    <x v="0"/>
    <x v="0"/>
    <x v="94"/>
    <n v="1"/>
    <n v="1619"/>
    <n v="1619"/>
    <n v="1705"/>
    <n v="1705"/>
    <m/>
    <n v="256"/>
    <n v="1961"/>
    <n v="1961"/>
    <n v="0"/>
    <x v="16"/>
    <s v="true"/>
    <s v="true"/>
    <x v="0"/>
  </r>
  <r>
    <n v="127"/>
    <d v="2024-06-11T00:00:00"/>
    <s v="6/2024"/>
    <x v="38"/>
    <x v="422"/>
    <x v="0"/>
    <x v="0"/>
    <x v="85"/>
    <n v="1"/>
    <n v="529"/>
    <n v="529"/>
    <n v="557"/>
    <n v="557"/>
    <m/>
    <n v="84"/>
    <n v="641"/>
    <n v="641"/>
    <n v="0"/>
    <x v="16"/>
    <s v="true"/>
    <s v="true"/>
    <x v="0"/>
  </r>
  <r>
    <n v="127"/>
    <d v="2024-06-11T00:00:00"/>
    <s v="6/2024"/>
    <x v="38"/>
    <x v="423"/>
    <x v="0"/>
    <x v="0"/>
    <x v="85"/>
    <n v="1"/>
    <n v="391"/>
    <n v="391"/>
    <n v="412"/>
    <n v="412"/>
    <m/>
    <n v="62"/>
    <n v="474"/>
    <n v="474"/>
    <n v="0"/>
    <x v="16"/>
    <s v="true"/>
    <s v="true"/>
    <x v="0"/>
  </r>
  <r>
    <n v="127"/>
    <d v="2024-06-11T00:00:00"/>
    <s v="6/2024"/>
    <x v="38"/>
    <x v="424"/>
    <x v="0"/>
    <x v="0"/>
    <x v="92"/>
    <n v="1"/>
    <n v="398"/>
    <n v="398"/>
    <n v="419"/>
    <n v="419"/>
    <m/>
    <n v="63"/>
    <n v="482"/>
    <n v="482"/>
    <n v="0"/>
    <x v="16"/>
    <s v="true"/>
    <s v="true"/>
    <x v="0"/>
  </r>
  <r>
    <n v="127"/>
    <d v="2024-06-11T00:00:00"/>
    <s v="6/2024"/>
    <x v="38"/>
    <x v="425"/>
    <x v="0"/>
    <x v="0"/>
    <x v="85"/>
    <n v="1"/>
    <n v="440"/>
    <n v="440"/>
    <n v="464"/>
    <n v="464"/>
    <m/>
    <n v="70"/>
    <n v="534"/>
    <n v="534"/>
    <n v="0"/>
    <x v="16"/>
    <s v="true"/>
    <s v="true"/>
    <x v="0"/>
  </r>
  <r>
    <n v="128"/>
    <d v="2024-06-11T00:00:00"/>
    <s v="6/2024"/>
    <x v="35"/>
    <x v="426"/>
    <x v="0"/>
    <x v="0"/>
    <x v="95"/>
    <n v="1"/>
    <n v="8896"/>
    <n v="8896"/>
    <n v="9356"/>
    <n v="9356"/>
    <m/>
    <n v="936"/>
    <n v="10292"/>
    <n v="10292"/>
    <n v="0"/>
    <x v="15"/>
    <s v="true"/>
    <s v="true"/>
    <x v="0"/>
  </r>
  <r>
    <n v="128"/>
    <d v="2024-06-11T00:00:00"/>
    <s v="6/2024"/>
    <x v="35"/>
    <x v="427"/>
    <x v="0"/>
    <x v="0"/>
    <x v="85"/>
    <n v="1"/>
    <n v="1590"/>
    <n v="1590"/>
    <n v="1711"/>
    <n v="1711"/>
    <m/>
    <n v="171"/>
    <n v="1882"/>
    <n v="1882"/>
    <n v="0"/>
    <x v="15"/>
    <s v="true"/>
    <s v="true"/>
    <x v="0"/>
  </r>
  <r>
    <n v="128"/>
    <d v="2024-06-11T00:00:00"/>
    <s v="6/2024"/>
    <x v="35"/>
    <x v="428"/>
    <x v="0"/>
    <x v="0"/>
    <x v="95"/>
    <n v="1"/>
    <n v="471"/>
    <n v="471"/>
    <n v="508"/>
    <n v="508"/>
    <m/>
    <n v="51"/>
    <n v="559"/>
    <n v="559"/>
    <n v="0"/>
    <x v="15"/>
    <s v="true"/>
    <s v="true"/>
    <x v="0"/>
  </r>
  <r>
    <n v="128"/>
    <d v="2024-06-11T00:00:00"/>
    <s v="6/2024"/>
    <x v="35"/>
    <x v="429"/>
    <x v="0"/>
    <x v="0"/>
    <x v="85"/>
    <n v="1"/>
    <n v="1849"/>
    <n v="1849"/>
    <n v="1991"/>
    <n v="1991"/>
    <m/>
    <n v="199"/>
    <n v="2190"/>
    <n v="2190"/>
    <n v="0"/>
    <x v="15"/>
    <s v="true"/>
    <s v="true"/>
    <x v="0"/>
  </r>
  <r>
    <n v="129"/>
    <d v="2024-06-13T00:00:00"/>
    <s v="6/2024"/>
    <x v="26"/>
    <x v="257"/>
    <x v="0"/>
    <x v="23"/>
    <x v="93"/>
    <n v="1"/>
    <n v="4200"/>
    <n v="4200"/>
    <n v="4200"/>
    <n v="4200"/>
    <m/>
    <n v="420"/>
    <n v="420"/>
    <n v="420"/>
    <n v="0"/>
    <x v="19"/>
    <s v="true"/>
    <s v="true"/>
    <x v="0"/>
  </r>
  <r>
    <n v="129"/>
    <d v="2024-06-13T00:00:00"/>
    <s v="6/2024"/>
    <x v="26"/>
    <x v="257"/>
    <x v="0"/>
    <x v="24"/>
    <x v="92"/>
    <n v="1"/>
    <n v="8500"/>
    <n v="8500"/>
    <n v="8500"/>
    <n v="8500"/>
    <m/>
    <n v="850"/>
    <n v="850"/>
    <n v="850"/>
    <n v="0"/>
    <x v="11"/>
    <s v="true"/>
    <s v="true"/>
    <x v="0"/>
  </r>
  <r>
    <n v="129"/>
    <d v="2024-06-13T00:00:00"/>
    <s v="6/2024"/>
    <x v="26"/>
    <x v="257"/>
    <x v="0"/>
    <x v="25"/>
    <x v="92"/>
    <n v="1"/>
    <n v="4490"/>
    <n v="4490"/>
    <n v="4490"/>
    <n v="4490"/>
    <m/>
    <n v="449"/>
    <n v="449"/>
    <n v="449"/>
    <n v="0"/>
    <x v="11"/>
    <s v="true"/>
    <s v="true"/>
    <x v="0"/>
  </r>
  <r>
    <n v="130"/>
    <d v="2024-06-13T00:00:00"/>
    <s v="6/2024"/>
    <x v="15"/>
    <x v="257"/>
    <x v="0"/>
    <x v="26"/>
    <x v="92"/>
    <n v="1"/>
    <n v="3000"/>
    <n v="3000"/>
    <n v="3000"/>
    <n v="3000"/>
    <n v="402.06"/>
    <n v="450"/>
    <n v="852.06"/>
    <n v="852.06"/>
    <n v="0"/>
    <x v="7"/>
    <s v="true"/>
    <s v="true"/>
    <x v="0"/>
  </r>
  <r>
    <n v="131"/>
    <d v="2024-06-13T00:00:00"/>
    <s v="6/2024"/>
    <x v="8"/>
    <x v="257"/>
    <x v="0"/>
    <x v="27"/>
    <x v="92"/>
    <n v="1"/>
    <n v="4500"/>
    <n v="4500"/>
    <n v="4500"/>
    <n v="4500"/>
    <n v="671"/>
    <n v="675"/>
    <n v="1346"/>
    <n v="1346"/>
    <n v="0"/>
    <x v="20"/>
    <s v="true"/>
    <s v="true"/>
    <x v="0"/>
  </r>
  <r>
    <n v="132"/>
    <d v="2024-06-13T00:00:00"/>
    <s v="6/2024"/>
    <x v="22"/>
    <x v="73"/>
    <x v="0"/>
    <x v="0"/>
    <x v="92"/>
    <n v="1"/>
    <n v="3659"/>
    <n v="3659"/>
    <n v="3659"/>
    <n v="3659"/>
    <m/>
    <n v="366"/>
    <n v="366"/>
    <n v="366"/>
    <n v="0"/>
    <x v="4"/>
    <s v="true"/>
    <s v="true"/>
    <x v="0"/>
  </r>
  <r>
    <n v="133"/>
    <d v="2024-06-14T00:00:00"/>
    <s v="6/2024"/>
    <x v="27"/>
    <x v="73"/>
    <x v="0"/>
    <x v="0"/>
    <x v="92"/>
    <n v="1"/>
    <n v="4819"/>
    <n v="4819"/>
    <n v="4819"/>
    <n v="4819"/>
    <m/>
    <n v="482"/>
    <n v="482"/>
    <n v="482"/>
    <n v="0"/>
    <x v="4"/>
    <s v="true"/>
    <s v="true"/>
    <x v="0"/>
  </r>
  <r>
    <n v="134"/>
    <d v="2024-06-12T00:00:00"/>
    <s v="6/2024"/>
    <x v="1"/>
    <x v="430"/>
    <x v="0"/>
    <x v="0"/>
    <x v="92"/>
    <n v="1"/>
    <n v="449"/>
    <n v="449"/>
    <n v="473"/>
    <n v="473"/>
    <m/>
    <n v="47"/>
    <n v="520"/>
    <n v="520"/>
    <n v="0"/>
    <x v="15"/>
    <s v="true"/>
    <s v="true"/>
    <x v="0"/>
  </r>
  <r>
    <n v="134"/>
    <d v="2024-06-12T00:00:00"/>
    <s v="6/2024"/>
    <x v="1"/>
    <x v="431"/>
    <x v="0"/>
    <x v="0"/>
    <x v="92"/>
    <n v="2"/>
    <n v="305"/>
    <n v="610"/>
    <n v="322"/>
    <n v="644"/>
    <m/>
    <n v="64"/>
    <n v="708"/>
    <n v="708"/>
    <n v="0"/>
    <x v="16"/>
    <s v="true"/>
    <s v="true"/>
    <x v="0"/>
  </r>
  <r>
    <n v="134"/>
    <d v="2024-06-12T00:00:00"/>
    <s v="6/2024"/>
    <x v="1"/>
    <x v="432"/>
    <x v="0"/>
    <x v="0"/>
    <x v="92"/>
    <n v="1"/>
    <n v="946"/>
    <n v="946"/>
    <n v="996"/>
    <n v="996"/>
    <m/>
    <n v="100"/>
    <n v="1096"/>
    <n v="1096"/>
    <n v="0"/>
    <x v="15"/>
    <s v="true"/>
    <s v="true"/>
    <x v="0"/>
  </r>
  <r>
    <n v="135"/>
    <d v="2024-06-14T00:00:00"/>
    <s v="6/2024"/>
    <x v="1"/>
    <x v="433"/>
    <x v="0"/>
    <x v="0"/>
    <x v="96"/>
    <m/>
    <n v="627"/>
    <n v="0"/>
    <n v="660"/>
    <n v="0"/>
    <m/>
    <n v="100"/>
    <n v="100"/>
    <n v="100"/>
    <n v="0"/>
    <x v="16"/>
    <s v="true"/>
    <s v="true"/>
    <x v="0"/>
  </r>
  <r>
    <n v="135"/>
    <d v="2024-06-14T00:00:00"/>
    <s v="6/2024"/>
    <x v="1"/>
    <x v="434"/>
    <x v="0"/>
    <x v="0"/>
    <x v="93"/>
    <n v="1"/>
    <n v="673"/>
    <n v="673"/>
    <n v="709"/>
    <n v="709"/>
    <m/>
    <n v="100"/>
    <n v="809"/>
    <n v="809"/>
    <n v="0"/>
    <x v="16"/>
    <s v="true"/>
    <s v="true"/>
    <x v="0"/>
  </r>
  <r>
    <n v="136"/>
    <d v="2024-06-15T00:00:00"/>
    <s v="6/2024"/>
    <x v="46"/>
    <x v="203"/>
    <x v="0"/>
    <x v="0"/>
    <x v="97"/>
    <n v="1"/>
    <n v="6094"/>
    <n v="6094"/>
    <n v="6415"/>
    <n v="6415"/>
    <m/>
    <n v="962"/>
    <n v="7377"/>
    <n v="7377"/>
    <n v="0"/>
    <x v="16"/>
    <s v="true"/>
    <s v="true"/>
    <x v="0"/>
  </r>
  <r>
    <n v="137"/>
    <d v="2024-06-18T00:00:00"/>
    <s v="6/2024"/>
    <x v="47"/>
    <x v="435"/>
    <x v="0"/>
    <x v="0"/>
    <x v="98"/>
    <n v="1"/>
    <n v="757"/>
    <n v="757"/>
    <n v="797"/>
    <n v="797"/>
    <m/>
    <n v="120"/>
    <n v="917"/>
    <n v="917"/>
    <n v="0"/>
    <x v="16"/>
    <s v="true"/>
    <s v="true"/>
    <x v="0"/>
  </r>
  <r>
    <n v="137"/>
    <d v="2024-06-18T00:00:00"/>
    <s v="6/2024"/>
    <x v="47"/>
    <x v="436"/>
    <x v="0"/>
    <x v="0"/>
    <x v="62"/>
    <n v="1"/>
    <n v="1716"/>
    <n v="1716"/>
    <n v="1807"/>
    <n v="1807"/>
    <m/>
    <n v="271"/>
    <n v="2078"/>
    <n v="2078"/>
    <n v="0"/>
    <x v="16"/>
    <s v="true"/>
    <s v="true"/>
    <x v="0"/>
  </r>
  <r>
    <n v="137"/>
    <d v="2024-06-18T00:00:00"/>
    <s v="6/2024"/>
    <x v="47"/>
    <x v="437"/>
    <x v="0"/>
    <x v="0"/>
    <x v="98"/>
    <n v="1"/>
    <n v="319"/>
    <n v="319"/>
    <n v="336"/>
    <n v="336"/>
    <m/>
    <n v="50"/>
    <n v="386"/>
    <n v="386"/>
    <n v="0"/>
    <x v="16"/>
    <s v="true"/>
    <s v="true"/>
    <x v="0"/>
  </r>
  <r>
    <n v="137"/>
    <d v="2024-06-18T00:00:00"/>
    <s v="6/2024"/>
    <x v="47"/>
    <x v="438"/>
    <x v="0"/>
    <x v="0"/>
    <x v="98"/>
    <n v="1"/>
    <n v="740"/>
    <n v="740"/>
    <n v="779"/>
    <n v="779"/>
    <m/>
    <n v="117"/>
    <n v="896"/>
    <n v="896"/>
    <n v="0"/>
    <x v="16"/>
    <s v="true"/>
    <s v="true"/>
    <x v="0"/>
  </r>
  <r>
    <n v="137"/>
    <d v="2024-06-18T00:00:00"/>
    <s v="6/2024"/>
    <x v="47"/>
    <x v="439"/>
    <x v="0"/>
    <x v="0"/>
    <x v="99"/>
    <n v="1"/>
    <n v="160"/>
    <n v="160"/>
    <n v="169"/>
    <n v="169"/>
    <m/>
    <n v="25"/>
    <n v="194"/>
    <n v="194"/>
    <n v="0"/>
    <x v="16"/>
    <s v="true"/>
    <s v="true"/>
    <x v="0"/>
  </r>
  <r>
    <n v="138"/>
    <d v="2024-06-18T00:00:00"/>
    <s v="6/2024"/>
    <x v="8"/>
    <x v="257"/>
    <x v="0"/>
    <x v="28"/>
    <x v="100"/>
    <n v="1"/>
    <n v="3500"/>
    <n v="3500"/>
    <n v="3500"/>
    <n v="3500"/>
    <n v="700"/>
    <n v="525"/>
    <n v="1225"/>
    <n v="1225"/>
    <n v="0"/>
    <x v="20"/>
    <s v="true"/>
    <s v="true"/>
    <x v="0"/>
  </r>
  <r>
    <n v="138"/>
    <d v="2024-06-18T00:00:00"/>
    <s v="6/2024"/>
    <x v="8"/>
    <x v="257"/>
    <x v="0"/>
    <x v="29"/>
    <x v="101"/>
    <n v="1"/>
    <n v="537"/>
    <n v="537"/>
    <n v="537"/>
    <n v="537"/>
    <m/>
    <n v="81"/>
    <n v="81"/>
    <n v="81"/>
    <n v="0"/>
    <x v="5"/>
    <s v="true"/>
    <s v="true"/>
    <x v="0"/>
  </r>
  <r>
    <n v="139"/>
    <d v="2024-06-17T00:00:00"/>
    <s v="6/2024"/>
    <x v="26"/>
    <x v="257"/>
    <x v="0"/>
    <x v="30"/>
    <x v="97"/>
    <n v="1"/>
    <n v="6500"/>
    <n v="6500"/>
    <n v="6500"/>
    <n v="6500"/>
    <m/>
    <n v="650"/>
    <n v="650"/>
    <n v="650"/>
    <n v="0"/>
    <x v="11"/>
    <s v="true"/>
    <s v="true"/>
    <x v="0"/>
  </r>
  <r>
    <n v="139"/>
    <d v="2024-06-17T00:00:00"/>
    <s v="6/2024"/>
    <x v="26"/>
    <x v="257"/>
    <x v="0"/>
    <x v="31"/>
    <x v="102"/>
    <n v="1"/>
    <n v="5200"/>
    <n v="5200"/>
    <n v="5200"/>
    <n v="5200"/>
    <n v="442.6"/>
    <n v="520"/>
    <n v="962.6"/>
    <n v="962.6"/>
    <n v="0"/>
    <x v="11"/>
    <s v="true"/>
    <s v="true"/>
    <x v="0"/>
  </r>
  <r>
    <n v="140"/>
    <d v="2024-06-21T00:00:00"/>
    <s v="6/2024"/>
    <x v="10"/>
    <x v="440"/>
    <x v="0"/>
    <x v="0"/>
    <x v="98"/>
    <n v="1"/>
    <n v="349"/>
    <n v="349"/>
    <n v="400"/>
    <n v="400"/>
    <m/>
    <n v="200"/>
    <n v="600"/>
    <n v="600"/>
    <n v="0"/>
    <x v="15"/>
    <s v="true"/>
    <s v="true"/>
    <x v="0"/>
  </r>
  <r>
    <n v="141"/>
    <d v="2024-06-21T00:00:00"/>
    <s v="6/2024"/>
    <x v="22"/>
    <x v="73"/>
    <x v="0"/>
    <x v="0"/>
    <x v="98"/>
    <n v="1"/>
    <n v="3091"/>
    <n v="3091"/>
    <n v="3091"/>
    <n v="3091"/>
    <m/>
    <n v="309"/>
    <n v="309"/>
    <n v="309"/>
    <n v="0"/>
    <x v="4"/>
    <s v="true"/>
    <s v="true"/>
    <x v="0"/>
  </r>
  <r>
    <n v="142"/>
    <d v="2024-06-22T00:00:00"/>
    <s v="6/2024"/>
    <x v="35"/>
    <x v="441"/>
    <x v="0"/>
    <x v="0"/>
    <x v="103"/>
    <n v="2"/>
    <n v="556"/>
    <n v="1112"/>
    <n v="618"/>
    <n v="1236"/>
    <m/>
    <n v="185"/>
    <n v="1421"/>
    <n v="1421"/>
    <n v="0"/>
    <x v="15"/>
    <s v="true"/>
    <s v="true"/>
    <x v="0"/>
  </r>
  <r>
    <n v="142"/>
    <d v="2024-06-22T00:00:00"/>
    <s v="6/2024"/>
    <x v="35"/>
    <x v="442"/>
    <x v="0"/>
    <x v="0"/>
    <x v="104"/>
    <n v="1"/>
    <n v="1407"/>
    <n v="1407"/>
    <n v="1823"/>
    <n v="1823"/>
    <m/>
    <n v="273"/>
    <n v="2096"/>
    <n v="2096"/>
    <n v="0"/>
    <x v="15"/>
    <s v="true"/>
    <s v="true"/>
    <x v="0"/>
  </r>
  <r>
    <n v="144"/>
    <d v="2024-06-22T00:00:00"/>
    <s v="6/2024"/>
    <x v="49"/>
    <x v="73"/>
    <x v="0"/>
    <x v="0"/>
    <x v="105"/>
    <n v="1"/>
    <n v="2753"/>
    <n v="2753"/>
    <n v="2753"/>
    <n v="2753"/>
    <m/>
    <n v="413"/>
    <n v="413"/>
    <n v="413"/>
    <n v="0"/>
    <x v="18"/>
    <s v="true"/>
    <s v="true"/>
    <x v="0"/>
  </r>
  <r>
    <n v="144"/>
    <d v="2024-06-22T00:00:00"/>
    <s v="6/2024"/>
    <x v="49"/>
    <x v="73"/>
    <x v="0"/>
    <x v="0"/>
    <x v="103"/>
    <n v="1"/>
    <n v="1375"/>
    <n v="1375"/>
    <n v="1375"/>
    <n v="1375"/>
    <m/>
    <n v="206"/>
    <n v="206"/>
    <n v="206"/>
    <n v="0"/>
    <x v="18"/>
    <s v="true"/>
    <s v="true"/>
    <x v="0"/>
  </r>
  <r>
    <n v="143"/>
    <d v="2024-06-22T00:00:00"/>
    <s v="6/2024"/>
    <x v="49"/>
    <x v="73"/>
    <x v="0"/>
    <x v="0"/>
    <x v="106"/>
    <n v="1"/>
    <n v="4374"/>
    <n v="4374"/>
    <n v="4374"/>
    <n v="4374"/>
    <m/>
    <n v="656"/>
    <n v="656"/>
    <n v="656"/>
    <n v="0"/>
    <x v="18"/>
    <s v="true"/>
    <s v="true"/>
    <x v="0"/>
  </r>
  <r>
    <n v="145"/>
    <d v="2024-06-23T00:00:00"/>
    <s v="6/2024"/>
    <x v="47"/>
    <x v="443"/>
    <x v="0"/>
    <x v="0"/>
    <x v="107"/>
    <n v="2"/>
    <n v="534"/>
    <n v="1068"/>
    <n v="592"/>
    <n v="1184"/>
    <m/>
    <n v="178"/>
    <n v="1362"/>
    <n v="1362"/>
    <n v="0"/>
    <x v="15"/>
    <s v="true"/>
    <s v="true"/>
    <x v="0"/>
  </r>
  <r>
    <n v="145"/>
    <d v="2024-06-23T00:00:00"/>
    <s v="6/2024"/>
    <x v="47"/>
    <x v="138"/>
    <x v="0"/>
    <x v="0"/>
    <x v="104"/>
    <n v="1"/>
    <n v="501"/>
    <n v="501"/>
    <n v="528"/>
    <n v="528"/>
    <m/>
    <n v="79"/>
    <n v="607"/>
    <n v="607"/>
    <n v="0"/>
    <x v="15"/>
    <s v="true"/>
    <s v="true"/>
    <x v="0"/>
  </r>
  <r>
    <n v="146"/>
    <d v="2024-06-24T00:00:00"/>
    <s v="6/2024"/>
    <x v="50"/>
    <x v="444"/>
    <x v="0"/>
    <x v="0"/>
    <x v="106"/>
    <n v="1"/>
    <n v="653"/>
    <n v="653"/>
    <n v="688"/>
    <n v="688"/>
    <m/>
    <n v="103"/>
    <n v="791"/>
    <n v="791"/>
    <n v="0"/>
    <x v="16"/>
    <s v="true"/>
    <s v="true"/>
    <x v="0"/>
  </r>
  <r>
    <n v="146"/>
    <d v="2024-06-24T00:00:00"/>
    <s v="6/2024"/>
    <x v="50"/>
    <x v="445"/>
    <x v="0"/>
    <x v="0"/>
    <x v="106"/>
    <n v="1"/>
    <n v="1150"/>
    <n v="1150"/>
    <n v="1211"/>
    <n v="1211"/>
    <m/>
    <n v="182"/>
    <n v="1393"/>
    <n v="1393"/>
    <n v="0"/>
    <x v="16"/>
    <s v="true"/>
    <s v="true"/>
    <x v="0"/>
  </r>
  <r>
    <n v="146"/>
    <d v="2024-06-24T00:00:00"/>
    <s v="6/2024"/>
    <x v="50"/>
    <x v="446"/>
    <x v="0"/>
    <x v="0"/>
    <x v="106"/>
    <n v="1"/>
    <n v="1892"/>
    <n v="1892"/>
    <n v="1992"/>
    <n v="1992"/>
    <m/>
    <n v="299"/>
    <n v="2291"/>
    <n v="2291"/>
    <n v="0"/>
    <x v="16"/>
    <s v="true"/>
    <s v="true"/>
    <x v="0"/>
  </r>
  <r>
    <n v="147"/>
    <d v="2024-06-26T00:00:00"/>
    <s v="6/2024"/>
    <x v="23"/>
    <x v="447"/>
    <x v="0"/>
    <x v="0"/>
    <x v="108"/>
    <n v="1"/>
    <n v="2070"/>
    <n v="2070"/>
    <n v="2160"/>
    <n v="2160"/>
    <m/>
    <n v="324"/>
    <n v="2484"/>
    <n v="2484"/>
    <n v="0"/>
    <x v="15"/>
    <s v="true"/>
    <s v="true"/>
    <x v="0"/>
  </r>
  <r>
    <n v="147"/>
    <d v="2024-06-26T00:00:00"/>
    <s v="6/2024"/>
    <x v="23"/>
    <x v="448"/>
    <x v="0"/>
    <x v="0"/>
    <x v="109"/>
    <n v="1"/>
    <n v="2961"/>
    <n v="2961"/>
    <n v="3220"/>
    <n v="3220"/>
    <m/>
    <n v="483"/>
    <n v="3703"/>
    <n v="3703"/>
    <n v="0"/>
    <x v="15"/>
    <s v="true"/>
    <s v="true"/>
    <x v="0"/>
  </r>
  <r>
    <n v="147"/>
    <d v="2024-06-26T00:00:00"/>
    <s v="6/2024"/>
    <x v="23"/>
    <x v="333"/>
    <x v="0"/>
    <x v="0"/>
    <x v="96"/>
    <n v="1"/>
    <n v="981"/>
    <n v="981"/>
    <n v="1085"/>
    <n v="1085"/>
    <m/>
    <n v="163"/>
    <n v="1248"/>
    <n v="1248"/>
    <n v="0"/>
    <x v="15"/>
    <s v="true"/>
    <s v="true"/>
    <x v="0"/>
  </r>
  <r>
    <n v="147"/>
    <d v="2024-06-26T00:00:00"/>
    <s v="6/2024"/>
    <x v="23"/>
    <x v="449"/>
    <x v="0"/>
    <x v="0"/>
    <x v="103"/>
    <n v="1"/>
    <n v="280"/>
    <n v="280"/>
    <n v="295"/>
    <n v="295"/>
    <m/>
    <n v="44"/>
    <n v="339"/>
    <n v="339"/>
    <n v="0"/>
    <x v="16"/>
    <s v="true"/>
    <s v="true"/>
    <x v="0"/>
  </r>
  <r>
    <n v="147"/>
    <d v="2024-06-26T00:00:00"/>
    <s v="6/2024"/>
    <x v="23"/>
    <x v="450"/>
    <x v="0"/>
    <x v="0"/>
    <x v="96"/>
    <n v="2"/>
    <n v="191"/>
    <n v="382"/>
    <n v="195"/>
    <n v="390"/>
    <m/>
    <n v="59"/>
    <n v="449"/>
    <n v="449"/>
    <n v="0"/>
    <x v="15"/>
    <s v="true"/>
    <s v="true"/>
    <x v="0"/>
  </r>
  <r>
    <n v="147"/>
    <d v="2024-06-26T00:00:00"/>
    <s v="6/2024"/>
    <x v="23"/>
    <x v="450"/>
    <x v="0"/>
    <x v="0"/>
    <x v="96"/>
    <n v="1"/>
    <n v="191"/>
    <n v="191"/>
    <n v="195"/>
    <n v="195"/>
    <m/>
    <n v="29"/>
    <n v="224"/>
    <n v="224"/>
    <n v="0"/>
    <x v="15"/>
    <s v="true"/>
    <s v="true"/>
    <x v="0"/>
  </r>
  <r>
    <n v="148"/>
    <d v="2024-06-27T00:00:00"/>
    <s v="6/2024"/>
    <x v="51"/>
    <x v="451"/>
    <x v="0"/>
    <x v="0"/>
    <x v="110"/>
    <n v="1"/>
    <n v="1100"/>
    <n v="1100"/>
    <n v="1253"/>
    <n v="1253"/>
    <m/>
    <n v="200"/>
    <n v="1453"/>
    <n v="1453"/>
    <n v="0"/>
    <x v="15"/>
    <s v="true"/>
    <s v="true"/>
    <x v="0"/>
  </r>
  <r>
    <n v="149"/>
    <d v="2024-06-26T00:00:00"/>
    <s v="6/2024"/>
    <x v="3"/>
    <x v="452"/>
    <x v="0"/>
    <x v="0"/>
    <x v="96"/>
    <n v="1"/>
    <n v="7937"/>
    <n v="7937"/>
    <n v="8671"/>
    <n v="8671"/>
    <n v="200"/>
    <n v="1301"/>
    <n v="10172"/>
    <n v="10172"/>
    <n v="0"/>
    <x v="15"/>
    <s v="true"/>
    <s v="true"/>
    <x v="0"/>
  </r>
  <r>
    <n v="150"/>
    <d v="2024-06-28T00:00:00"/>
    <s v="6/2024"/>
    <x v="52"/>
    <x v="73"/>
    <x v="0"/>
    <x v="0"/>
    <x v="96"/>
    <n v="1"/>
    <n v="9015"/>
    <n v="9015"/>
    <n v="9015"/>
    <n v="9015"/>
    <n v="200"/>
    <n v="1352"/>
    <n v="1552"/>
    <n v="1552"/>
    <n v="0"/>
    <x v="15"/>
    <s v="true"/>
    <s v="true"/>
    <x v="0"/>
  </r>
  <r>
    <n v="151"/>
    <d v="2024-06-28T00:00:00"/>
    <s v="6/2024"/>
    <x v="27"/>
    <x v="73"/>
    <x v="0"/>
    <x v="0"/>
    <x v="96"/>
    <n v="1"/>
    <n v="1300"/>
    <n v="1300"/>
    <n v="1300"/>
    <n v="1300"/>
    <m/>
    <n v="200"/>
    <n v="200"/>
    <n v="200"/>
    <n v="0"/>
    <x v="16"/>
    <s v="true"/>
    <s v="true"/>
    <x v="0"/>
  </r>
  <r>
    <n v="152"/>
    <d v="2024-06-29T00:00:00"/>
    <s v="6/2024"/>
    <x v="47"/>
    <x v="453"/>
    <x v="0"/>
    <x v="0"/>
    <x v="111"/>
    <n v="1"/>
    <n v="513"/>
    <n v="513"/>
    <n v="540"/>
    <n v="540"/>
    <m/>
    <n v="81"/>
    <n v="621"/>
    <n v="621"/>
    <n v="0"/>
    <x v="16"/>
    <s v="true"/>
    <s v="true"/>
    <x v="0"/>
  </r>
  <r>
    <n v="152"/>
    <d v="2024-06-29T00:00:00"/>
    <s v="6/2024"/>
    <x v="47"/>
    <x v="454"/>
    <x v="0"/>
    <x v="0"/>
    <x v="111"/>
    <n v="1"/>
    <n v="223"/>
    <n v="223"/>
    <n v="235"/>
    <n v="235"/>
    <m/>
    <n v="35"/>
    <n v="270"/>
    <n v="270"/>
    <n v="0"/>
    <x v="16"/>
    <s v="true"/>
    <s v="true"/>
    <x v="0"/>
  </r>
  <r>
    <n v="152"/>
    <d v="2024-06-29T00:00:00"/>
    <s v="6/2024"/>
    <x v="47"/>
    <x v="455"/>
    <x v="0"/>
    <x v="0"/>
    <x v="111"/>
    <n v="1"/>
    <n v="1071"/>
    <n v="1071"/>
    <n v="1128"/>
    <n v="1128"/>
    <m/>
    <n v="169"/>
    <n v="1297"/>
    <n v="1297"/>
    <n v="0"/>
    <x v="16"/>
    <s v="true"/>
    <s v="true"/>
    <x v="0"/>
  </r>
  <r>
    <n v="152"/>
    <d v="2024-06-29T00:00:00"/>
    <s v="6/2024"/>
    <x v="47"/>
    <x v="456"/>
    <x v="0"/>
    <x v="0"/>
    <x v="111"/>
    <n v="1"/>
    <n v="236"/>
    <n v="236"/>
    <n v="249"/>
    <n v="249"/>
    <m/>
    <n v="37"/>
    <n v="286"/>
    <n v="286"/>
    <n v="0"/>
    <x v="16"/>
    <s v="true"/>
    <s v="true"/>
    <x v="0"/>
  </r>
  <r>
    <n v="152"/>
    <d v="2024-06-29T00:00:00"/>
    <s v="6/2024"/>
    <x v="47"/>
    <x v="97"/>
    <x v="0"/>
    <x v="0"/>
    <x v="111"/>
    <n v="1"/>
    <n v="189"/>
    <n v="189"/>
    <n v="199"/>
    <n v="199"/>
    <m/>
    <n v="30"/>
    <n v="229"/>
    <n v="229"/>
    <n v="0"/>
    <x v="16"/>
    <s v="true"/>
    <s v="true"/>
    <x v="0"/>
  </r>
  <r>
    <n v="152"/>
    <d v="2024-06-29T00:00:00"/>
    <s v="6/2024"/>
    <x v="47"/>
    <x v="457"/>
    <x v="0"/>
    <x v="0"/>
    <x v="111"/>
    <n v="1"/>
    <n v="522"/>
    <n v="522"/>
    <n v="550"/>
    <n v="550"/>
    <m/>
    <n v="83"/>
    <n v="633"/>
    <n v="633"/>
    <n v="0"/>
    <x v="16"/>
    <s v="true"/>
    <s v="true"/>
    <x v="0"/>
  </r>
  <r>
    <n v="152"/>
    <d v="2024-06-29T00:00:00"/>
    <s v="6/2024"/>
    <x v="47"/>
    <x v="458"/>
    <x v="0"/>
    <x v="0"/>
    <x v="105"/>
    <n v="1"/>
    <n v="245"/>
    <n v="245"/>
    <n v="258"/>
    <n v="258"/>
    <m/>
    <n v="39"/>
    <n v="297"/>
    <n v="297"/>
    <n v="0"/>
    <x v="16"/>
    <s v="true"/>
    <s v="true"/>
    <x v="0"/>
  </r>
  <r>
    <n v="152"/>
    <d v="2024-06-29T00:00:00"/>
    <s v="6/2024"/>
    <x v="47"/>
    <x v="459"/>
    <x v="0"/>
    <x v="0"/>
    <x v="105"/>
    <n v="1"/>
    <n v="432"/>
    <n v="432"/>
    <n v="455"/>
    <n v="455"/>
    <m/>
    <n v="68"/>
    <n v="523"/>
    <n v="523"/>
    <n v="0"/>
    <x v="16"/>
    <s v="true"/>
    <s v="true"/>
    <x v="0"/>
  </r>
  <r>
    <n v="152"/>
    <d v="2024-06-29T00:00:00"/>
    <s v="6/2024"/>
    <x v="47"/>
    <x v="460"/>
    <x v="0"/>
    <x v="0"/>
    <x v="105"/>
    <n v="1"/>
    <n v="255"/>
    <n v="255"/>
    <n v="269"/>
    <n v="269"/>
    <m/>
    <n v="40"/>
    <n v="309"/>
    <n v="309"/>
    <n v="0"/>
    <x v="16"/>
    <s v="true"/>
    <s v="true"/>
    <x v="0"/>
  </r>
  <r>
    <n v="153"/>
    <d v="2024-06-30T00:00:00"/>
    <s v="6/2024"/>
    <x v="14"/>
    <x v="461"/>
    <x v="0"/>
    <x v="0"/>
    <x v="111"/>
    <n v="1"/>
    <n v="453"/>
    <n v="453"/>
    <n v="492"/>
    <n v="492"/>
    <m/>
    <n v="200"/>
    <n v="692"/>
    <n v="692"/>
    <n v="0"/>
    <x v="15"/>
    <s v="true"/>
    <s v="true"/>
    <x v="0"/>
  </r>
  <r>
    <n v="154"/>
    <d v="2024-06-30T00:00:00"/>
    <s v="6/2024"/>
    <x v="3"/>
    <x v="462"/>
    <x v="0"/>
    <x v="0"/>
    <x v="111"/>
    <n v="1"/>
    <n v="637"/>
    <n v="637"/>
    <n v="700"/>
    <n v="700"/>
    <m/>
    <n v="100"/>
    <n v="800"/>
    <n v="800"/>
    <n v="0"/>
    <x v="15"/>
    <s v="true"/>
    <s v="true"/>
    <x v="0"/>
  </r>
  <r>
    <n v="154"/>
    <d v="2024-06-30T00:00:00"/>
    <s v="6/2024"/>
    <x v="3"/>
    <x v="463"/>
    <x v="0"/>
    <x v="0"/>
    <x v="112"/>
    <n v="1"/>
    <n v="339"/>
    <n v="339"/>
    <n v="357"/>
    <n v="357"/>
    <m/>
    <n v="100"/>
    <n v="457"/>
    <n v="457"/>
    <n v="0"/>
    <x v="16"/>
    <s v="true"/>
    <s v="true"/>
    <x v="0"/>
  </r>
  <r>
    <n v="155"/>
    <d v="2024-06-28T00:00:00"/>
    <s v="6/2024"/>
    <x v="35"/>
    <x v="464"/>
    <x v="0"/>
    <x v="0"/>
    <x v="113"/>
    <n v="1"/>
    <n v="367"/>
    <n v="367"/>
    <n v="400"/>
    <n v="400"/>
    <m/>
    <n v="60"/>
    <n v="460"/>
    <n v="460"/>
    <n v="0"/>
    <x v="15"/>
    <s v="true"/>
    <s v="true"/>
    <x v="0"/>
  </r>
  <r>
    <n v="155"/>
    <d v="2024-06-28T00:00:00"/>
    <s v="6/2024"/>
    <x v="35"/>
    <x v="465"/>
    <x v="0"/>
    <x v="0"/>
    <x v="112"/>
    <n v="3"/>
    <n v="418"/>
    <n v="1254"/>
    <n v="464"/>
    <n v="1397"/>
    <m/>
    <n v="210"/>
    <n v="1607"/>
    <n v="1607"/>
    <n v="0"/>
    <x v="15"/>
    <s v="true"/>
    <s v="true"/>
    <x v="0"/>
  </r>
  <r>
    <n v="155"/>
    <d v="2024-06-28T00:00:00"/>
    <s v="6/2024"/>
    <x v="35"/>
    <x v="466"/>
    <x v="0"/>
    <x v="0"/>
    <x v="107"/>
    <n v="2"/>
    <n v="1300"/>
    <n v="2600"/>
    <n v="1443"/>
    <n v="2886"/>
    <m/>
    <n v="433"/>
    <n v="3319"/>
    <n v="3319"/>
    <n v="0"/>
    <x v="15"/>
    <s v="true"/>
    <s v="true"/>
    <x v="0"/>
  </r>
  <r>
    <n v="155"/>
    <d v="2024-06-28T00:00:00"/>
    <s v="6/2024"/>
    <x v="35"/>
    <x v="362"/>
    <x v="0"/>
    <x v="0"/>
    <x v="105"/>
    <n v="2"/>
    <n v="243"/>
    <n v="486"/>
    <n v="248"/>
    <n v="496"/>
    <m/>
    <n v="74"/>
    <n v="570"/>
    <n v="570"/>
    <n v="0"/>
    <x v="15"/>
    <s v="true"/>
    <s v="true"/>
    <x v="0"/>
  </r>
  <r>
    <n v="155"/>
    <d v="2024-06-28T00:00:00"/>
    <s v="6/2024"/>
    <x v="35"/>
    <x v="467"/>
    <x v="0"/>
    <x v="0"/>
    <x v="105"/>
    <n v="2"/>
    <n v="640"/>
    <n v="1280"/>
    <n v="814"/>
    <n v="1628"/>
    <m/>
    <n v="244"/>
    <n v="1872"/>
    <n v="1872"/>
    <n v="0"/>
    <x v="15"/>
    <s v="true"/>
    <s v="true"/>
    <x v="0"/>
  </r>
  <r>
    <n v="155"/>
    <d v="2024-06-28T00:00:00"/>
    <s v="6/2024"/>
    <x v="35"/>
    <x v="468"/>
    <x v="0"/>
    <x v="0"/>
    <x v="112"/>
    <n v="2"/>
    <n v="496"/>
    <n v="992"/>
    <n v="630"/>
    <n v="1260"/>
    <m/>
    <n v="189"/>
    <n v="1449"/>
    <n v="1449"/>
    <n v="0"/>
    <x v="15"/>
    <s v="true"/>
    <s v="true"/>
    <x v="0"/>
  </r>
  <r>
    <n v="155"/>
    <d v="2024-06-28T00:00:00"/>
    <s v="6/2024"/>
    <x v="35"/>
    <x v="469"/>
    <x v="0"/>
    <x v="0"/>
    <x v="114"/>
    <n v="2"/>
    <n v="375"/>
    <n v="750"/>
    <n v="417"/>
    <n v="834"/>
    <m/>
    <n v="125"/>
    <n v="959"/>
    <n v="959"/>
    <n v="0"/>
    <x v="15"/>
    <s v="true"/>
    <s v="true"/>
    <x v="0"/>
  </r>
  <r>
    <n v="156"/>
    <d v="2024-06-30T00:00:00"/>
    <s v="6/2024"/>
    <x v="15"/>
    <x v="470"/>
    <x v="0"/>
    <x v="0"/>
    <x v="115"/>
    <n v="1"/>
    <n v="2500"/>
    <n v="2500"/>
    <n v="2500"/>
    <n v="2500"/>
    <n v="539"/>
    <n v="961"/>
    <n v="4000"/>
    <n v="4000"/>
    <n v="0"/>
    <x v="21"/>
    <s v="true"/>
    <s v="true"/>
    <x v="0"/>
  </r>
  <r>
    <n v="157"/>
    <d v="2024-06-30T00:00:00"/>
    <s v="6/2024"/>
    <x v="1"/>
    <x v="471"/>
    <x v="0"/>
    <x v="0"/>
    <x v="110"/>
    <n v="1"/>
    <n v="446"/>
    <n v="446"/>
    <n v="470"/>
    <n v="470"/>
    <m/>
    <n v="47"/>
    <n v="517"/>
    <n v="517"/>
    <n v="0"/>
    <x v="16"/>
    <s v="true"/>
    <s v="true"/>
    <x v="0"/>
  </r>
  <r>
    <n v="157"/>
    <d v="2024-06-30T00:00:00"/>
    <s v="6/2024"/>
    <x v="1"/>
    <x v="472"/>
    <x v="0"/>
    <x v="0"/>
    <x v="116"/>
    <n v="1"/>
    <n v="370"/>
    <n v="370"/>
    <n v="390"/>
    <n v="390"/>
    <m/>
    <n v="39"/>
    <n v="429"/>
    <n v="429"/>
    <n v="0"/>
    <x v="16"/>
    <s v="true"/>
    <s v="true"/>
    <x v="0"/>
  </r>
  <r>
    <n v="157"/>
    <d v="2024-06-30T00:00:00"/>
    <s v="6/2024"/>
    <x v="1"/>
    <x v="473"/>
    <x v="0"/>
    <x v="0"/>
    <x v="117"/>
    <n v="1"/>
    <n v="656"/>
    <n v="656"/>
    <n v="691"/>
    <n v="691"/>
    <m/>
    <n v="69"/>
    <n v="760"/>
    <n v="760"/>
    <n v="0"/>
    <x v="16"/>
    <s v="true"/>
    <s v="true"/>
    <x v="0"/>
  </r>
  <r>
    <n v="157"/>
    <d v="2024-06-30T00:00:00"/>
    <s v="6/2024"/>
    <x v="1"/>
    <x v="474"/>
    <x v="0"/>
    <x v="0"/>
    <x v="110"/>
    <n v="1"/>
    <n v="830"/>
    <n v="830"/>
    <n v="874"/>
    <n v="874"/>
    <m/>
    <n v="87"/>
    <n v="961"/>
    <n v="961"/>
    <n v="0"/>
    <x v="16"/>
    <s v="true"/>
    <s v="true"/>
    <x v="0"/>
  </r>
  <r>
    <n v="158"/>
    <d v="2024-06-30T00:00:00"/>
    <s v="6/2024"/>
    <x v="34"/>
    <x v="475"/>
    <x v="0"/>
    <x v="0"/>
    <x v="112"/>
    <n v="1"/>
    <n v="381"/>
    <n v="381"/>
    <n v="414"/>
    <n v="414"/>
    <m/>
    <n v="62"/>
    <n v="476"/>
    <n v="476"/>
    <n v="0"/>
    <x v="15"/>
    <s v="true"/>
    <s v="true"/>
    <x v="0"/>
  </r>
  <r>
    <n v="158"/>
    <d v="2024-06-30T00:00:00"/>
    <s v="6/2024"/>
    <x v="34"/>
    <x v="476"/>
    <x v="0"/>
    <x v="0"/>
    <x v="105"/>
    <n v="1"/>
    <n v="165"/>
    <n v="165"/>
    <n v="168"/>
    <n v="168"/>
    <m/>
    <n v="25"/>
    <n v="193"/>
    <n v="193"/>
    <n v="0"/>
    <x v="15"/>
    <s v="true"/>
    <s v="true"/>
    <x v="0"/>
  </r>
  <r>
    <n v="158"/>
    <d v="2024-06-30T00:00:00"/>
    <s v="6/2024"/>
    <x v="34"/>
    <x v="477"/>
    <x v="0"/>
    <x v="0"/>
    <x v="105"/>
    <n v="1"/>
    <n v="1019"/>
    <n v="1019"/>
    <n v="1237"/>
    <n v="1237"/>
    <m/>
    <n v="186"/>
    <n v="1423"/>
    <n v="1423"/>
    <n v="0"/>
    <x v="15"/>
    <s v="true"/>
    <s v="true"/>
    <x v="0"/>
  </r>
  <r>
    <n v="158"/>
    <d v="2024-06-30T00:00:00"/>
    <s v="6/2024"/>
    <x v="34"/>
    <x v="478"/>
    <x v="0"/>
    <x v="0"/>
    <x v="112"/>
    <n v="1"/>
    <n v="156"/>
    <n v="156"/>
    <n v="159"/>
    <n v="159"/>
    <m/>
    <n v="24"/>
    <n v="183"/>
    <n v="183"/>
    <n v="0"/>
    <x v="15"/>
    <s v="true"/>
    <s v="true"/>
    <x v="0"/>
  </r>
  <r>
    <n v="158"/>
    <d v="2024-06-30T00:00:00"/>
    <s v="6/2024"/>
    <x v="34"/>
    <x v="448"/>
    <x v="0"/>
    <x v="0"/>
    <x v="105"/>
    <n v="1"/>
    <n v="2887"/>
    <n v="2887"/>
    <n v="3152"/>
    <n v="3152"/>
    <m/>
    <n v="473"/>
    <n v="3625"/>
    <n v="3625"/>
    <n v="0"/>
    <x v="15"/>
    <s v="true"/>
    <s v="true"/>
    <x v="0"/>
  </r>
  <r>
    <n v="158"/>
    <d v="2024-06-30T00:00:00"/>
    <s v="6/2024"/>
    <x v="34"/>
    <x v="479"/>
    <x v="0"/>
    <x v="0"/>
    <x v="112"/>
    <n v="1"/>
    <n v="377"/>
    <n v="377"/>
    <n v="419"/>
    <n v="419"/>
    <m/>
    <n v="63"/>
    <n v="482"/>
    <n v="482"/>
    <n v="0"/>
    <x v="15"/>
    <s v="true"/>
    <s v="true"/>
    <x v="0"/>
  </r>
  <r>
    <n v="158"/>
    <d v="2024-06-30T00:00:00"/>
    <s v="6/2024"/>
    <x v="34"/>
    <x v="480"/>
    <x v="0"/>
    <x v="0"/>
    <x v="117"/>
    <n v="1"/>
    <n v="318"/>
    <n v="318"/>
    <n v="325"/>
    <n v="325"/>
    <m/>
    <n v="49"/>
    <n v="374"/>
    <n v="374"/>
    <n v="0"/>
    <x v="15"/>
    <s v="true"/>
    <s v="true"/>
    <x v="0"/>
  </r>
  <r>
    <n v="158"/>
    <d v="2024-06-30T00:00:00"/>
    <s v="6/2024"/>
    <x v="34"/>
    <x v="481"/>
    <x v="0"/>
    <x v="0"/>
    <x v="105"/>
    <n v="1"/>
    <n v="143"/>
    <n v="143"/>
    <n v="146"/>
    <n v="146"/>
    <m/>
    <n v="22"/>
    <n v="168"/>
    <n v="168"/>
    <n v="0"/>
    <x v="15"/>
    <s v="true"/>
    <s v="true"/>
    <x v="0"/>
  </r>
  <r>
    <n v="158"/>
    <d v="2024-06-30T00:00:00"/>
    <s v="6/2024"/>
    <x v="34"/>
    <x v="482"/>
    <x v="0"/>
    <x v="0"/>
    <x v="118"/>
    <n v="1"/>
    <n v="1053"/>
    <n v="1053"/>
    <n v="1170"/>
    <n v="1170"/>
    <m/>
    <n v="176"/>
    <n v="1346"/>
    <n v="1346"/>
    <n v="0"/>
    <x v="15"/>
    <s v="true"/>
    <s v="true"/>
    <x v="0"/>
  </r>
  <r>
    <n v="158"/>
    <d v="2024-06-30T00:00:00"/>
    <s v="6/2024"/>
    <x v="34"/>
    <x v="269"/>
    <x v="0"/>
    <x v="0"/>
    <x v="105"/>
    <n v="1"/>
    <n v="362"/>
    <n v="362"/>
    <n v="369"/>
    <n v="369"/>
    <m/>
    <n v="55"/>
    <n v="424"/>
    <n v="424"/>
    <n v="0"/>
    <x v="15"/>
    <s v="true"/>
    <s v="true"/>
    <x v="0"/>
  </r>
  <r>
    <n v="159"/>
    <d v="2024-07-01T00:00:00"/>
    <s v="7/2024"/>
    <x v="53"/>
    <x v="483"/>
    <x v="0"/>
    <x v="32"/>
    <x v="119"/>
    <n v="1"/>
    <n v="13000"/>
    <n v="13000"/>
    <n v="13000"/>
    <n v="13000"/>
    <n v="562"/>
    <n v="1300"/>
    <n v="14862"/>
    <n v="14862"/>
    <n v="0"/>
    <x v="20"/>
    <s v="true"/>
    <s v="true"/>
    <x v="0"/>
  </r>
  <r>
    <n v="160"/>
    <d v="2024-07-01T00:00:00"/>
    <s v="7/2024"/>
    <x v="23"/>
    <x v="484"/>
    <x v="0"/>
    <x v="0"/>
    <x v="112"/>
    <n v="1"/>
    <n v="384"/>
    <n v="384"/>
    <n v="405"/>
    <n v="405"/>
    <m/>
    <n v="61"/>
    <n v="466"/>
    <n v="466"/>
    <n v="0"/>
    <x v="16"/>
    <s v="true"/>
    <s v="true"/>
    <x v="0"/>
  </r>
  <r>
    <n v="160"/>
    <d v="2024-07-01T00:00:00"/>
    <s v="7/2024"/>
    <x v="23"/>
    <x v="485"/>
    <x v="0"/>
    <x v="0"/>
    <x v="112"/>
    <n v="1"/>
    <n v="94"/>
    <n v="94"/>
    <n v="96"/>
    <n v="96"/>
    <m/>
    <n v="14"/>
    <n v="110"/>
    <n v="110"/>
    <n v="0"/>
    <x v="15"/>
    <s v="true"/>
    <s v="true"/>
    <x v="0"/>
  </r>
  <r>
    <n v="160"/>
    <d v="2024-07-01T00:00:00"/>
    <s v="7/2024"/>
    <x v="23"/>
    <x v="486"/>
    <x v="0"/>
    <x v="0"/>
    <x v="110"/>
    <n v="1"/>
    <n v="196"/>
    <n v="196"/>
    <n v="200"/>
    <n v="200"/>
    <m/>
    <n v="30"/>
    <n v="230"/>
    <n v="230"/>
    <n v="0"/>
    <x v="15"/>
    <s v="true"/>
    <s v="true"/>
    <x v="0"/>
  </r>
  <r>
    <n v="160"/>
    <d v="2024-07-01T00:00:00"/>
    <s v="7/2024"/>
    <x v="23"/>
    <x v="487"/>
    <x v="0"/>
    <x v="0"/>
    <x v="114"/>
    <n v="1"/>
    <n v="178"/>
    <n v="178"/>
    <n v="182"/>
    <n v="182"/>
    <m/>
    <n v="27"/>
    <n v="209"/>
    <n v="209"/>
    <n v="0"/>
    <x v="15"/>
    <s v="true"/>
    <s v="true"/>
    <x v="0"/>
  </r>
  <r>
    <n v="160"/>
    <d v="2024-07-01T00:00:00"/>
    <s v="7/2024"/>
    <x v="23"/>
    <x v="488"/>
    <x v="0"/>
    <x v="0"/>
    <x v="110"/>
    <n v="1"/>
    <n v="312"/>
    <n v="312"/>
    <n v="318"/>
    <n v="318"/>
    <m/>
    <n v="48"/>
    <n v="366"/>
    <n v="366"/>
    <n v="0"/>
    <x v="15"/>
    <s v="true"/>
    <s v="true"/>
    <x v="0"/>
  </r>
  <r>
    <n v="160"/>
    <d v="2024-07-01T00:00:00"/>
    <s v="7/2024"/>
    <x v="23"/>
    <x v="489"/>
    <x v="0"/>
    <x v="0"/>
    <x v="110"/>
    <n v="1"/>
    <n v="224"/>
    <n v="224"/>
    <n v="229"/>
    <n v="229"/>
    <m/>
    <n v="34"/>
    <n v="263"/>
    <n v="263"/>
    <n v="0"/>
    <x v="15"/>
    <s v="true"/>
    <s v="true"/>
    <x v="0"/>
  </r>
  <r>
    <n v="160"/>
    <d v="2024-07-01T00:00:00"/>
    <s v="7/2024"/>
    <x v="23"/>
    <x v="490"/>
    <x v="0"/>
    <x v="33"/>
    <x v="120"/>
    <n v="1"/>
    <n v="237"/>
    <n v="237"/>
    <n v="268"/>
    <n v="268"/>
    <m/>
    <n v="40"/>
    <n v="308"/>
    <n v="308"/>
    <n v="0"/>
    <x v="19"/>
    <s v="true"/>
    <s v="true"/>
    <x v="0"/>
  </r>
  <r>
    <n v="160"/>
    <d v="2024-07-01T00:00:00"/>
    <s v="7/2024"/>
    <x v="23"/>
    <x v="491"/>
    <x v="0"/>
    <x v="0"/>
    <x v="121"/>
    <n v="1"/>
    <n v="92"/>
    <n v="92"/>
    <n v="105"/>
    <n v="105"/>
    <m/>
    <n v="16"/>
    <n v="121"/>
    <n v="121"/>
    <n v="0"/>
    <x v="15"/>
    <s v="true"/>
    <s v="true"/>
    <x v="0"/>
  </r>
  <r>
    <n v="160"/>
    <d v="2024-07-01T00:00:00"/>
    <s v="7/2024"/>
    <x v="23"/>
    <x v="492"/>
    <x v="0"/>
    <x v="0"/>
    <x v="117"/>
    <n v="1"/>
    <n v="175"/>
    <n v="175"/>
    <n v="179"/>
    <n v="179"/>
    <m/>
    <n v="27"/>
    <n v="206"/>
    <n v="206"/>
    <n v="0"/>
    <x v="15"/>
    <s v="true"/>
    <s v="true"/>
    <x v="0"/>
  </r>
  <r>
    <n v="160"/>
    <d v="2024-07-01T00:00:00"/>
    <s v="7/2024"/>
    <x v="23"/>
    <x v="493"/>
    <x v="0"/>
    <x v="0"/>
    <x v="110"/>
    <n v="1"/>
    <n v="623"/>
    <n v="623"/>
    <n v="656"/>
    <n v="656"/>
    <m/>
    <n v="98"/>
    <n v="754"/>
    <n v="754"/>
    <n v="0"/>
    <x v="16"/>
    <s v="true"/>
    <s v="true"/>
    <x v="0"/>
  </r>
  <r>
    <n v="160"/>
    <d v="2024-07-01T00:00:00"/>
    <s v="7/2024"/>
    <x v="23"/>
    <x v="494"/>
    <x v="0"/>
    <x v="0"/>
    <x v="112"/>
    <n v="1"/>
    <n v="1026"/>
    <n v="1026"/>
    <n v="1140"/>
    <n v="1140"/>
    <m/>
    <n v="171"/>
    <n v="1311"/>
    <n v="1311"/>
    <n v="0"/>
    <x v="15"/>
    <s v="true"/>
    <s v="true"/>
    <x v="0"/>
  </r>
  <r>
    <n v="161"/>
    <d v="2024-07-02T00:00:00"/>
    <s v="7/2024"/>
    <x v="36"/>
    <x v="495"/>
    <x v="0"/>
    <x v="0"/>
    <x v="110"/>
    <n v="1"/>
    <n v="11222"/>
    <n v="11222"/>
    <n v="12326"/>
    <n v="12326"/>
    <m/>
    <n v="1233"/>
    <n v="13559"/>
    <n v="13559"/>
    <n v="0"/>
    <x v="15"/>
    <s v="true"/>
    <s v="true"/>
    <x v="0"/>
  </r>
  <r>
    <n v="158"/>
    <d v="2024-06-30T00:00:00"/>
    <s v="6/2024"/>
    <x v="34"/>
    <x v="496"/>
    <x v="0"/>
    <x v="0"/>
    <x v="122"/>
    <n v="1"/>
    <n v="370"/>
    <n v="370"/>
    <n v="411"/>
    <n v="411"/>
    <m/>
    <n v="62"/>
    <n v="473"/>
    <n v="473"/>
    <n v="0"/>
    <x v="15"/>
    <s v="true"/>
    <s v="true"/>
    <x v="0"/>
  </r>
  <r>
    <n v="162"/>
    <d v="2024-07-03T00:00:00"/>
    <s v="7/2024"/>
    <x v="47"/>
    <x v="134"/>
    <x v="0"/>
    <x v="0"/>
    <x v="123"/>
    <n v="1"/>
    <n v="285"/>
    <n v="285"/>
    <n v="300"/>
    <n v="300"/>
    <m/>
    <n v="45"/>
    <n v="345"/>
    <n v="345"/>
    <n v="0"/>
    <x v="16"/>
    <s v="true"/>
    <s v="true"/>
    <x v="0"/>
  </r>
  <r>
    <n v="162"/>
    <d v="2024-07-03T00:00:00"/>
    <s v="7/2024"/>
    <x v="47"/>
    <x v="164"/>
    <x v="0"/>
    <x v="0"/>
    <x v="117"/>
    <n v="1"/>
    <n v="966"/>
    <n v="966"/>
    <n v="1017"/>
    <n v="1017"/>
    <m/>
    <n v="153"/>
    <n v="1170"/>
    <n v="1170"/>
    <n v="0"/>
    <x v="16"/>
    <s v="true"/>
    <s v="true"/>
    <x v="0"/>
  </r>
  <r>
    <n v="162"/>
    <d v="2024-07-03T00:00:00"/>
    <s v="7/2024"/>
    <x v="47"/>
    <x v="497"/>
    <x v="0"/>
    <x v="0"/>
    <x v="124"/>
    <n v="1"/>
    <n v="272"/>
    <n v="272"/>
    <n v="287"/>
    <n v="287"/>
    <m/>
    <n v="43"/>
    <n v="330"/>
    <n v="330"/>
    <n v="0"/>
    <x v="16"/>
    <s v="true"/>
    <s v="true"/>
    <x v="0"/>
  </r>
  <r>
    <n v="162"/>
    <d v="2024-07-03T00:00:00"/>
    <s v="7/2024"/>
    <x v="47"/>
    <x v="498"/>
    <x v="0"/>
    <x v="0"/>
    <x v="122"/>
    <n v="1"/>
    <n v="345"/>
    <n v="345"/>
    <n v="364"/>
    <n v="364"/>
    <m/>
    <n v="55"/>
    <n v="419"/>
    <n v="419"/>
    <n v="0"/>
    <x v="16"/>
    <s v="true"/>
    <s v="true"/>
    <x v="0"/>
  </r>
  <r>
    <n v="162"/>
    <d v="2024-07-03T00:00:00"/>
    <s v="7/2024"/>
    <x v="47"/>
    <x v="499"/>
    <x v="0"/>
    <x v="0"/>
    <x v="117"/>
    <n v="1"/>
    <n v="559"/>
    <n v="559"/>
    <n v="589"/>
    <n v="589"/>
    <m/>
    <n v="88"/>
    <n v="677"/>
    <n v="677"/>
    <n v="0"/>
    <x v="16"/>
    <s v="true"/>
    <s v="true"/>
    <x v="0"/>
  </r>
  <r>
    <n v="163"/>
    <d v="2024-07-03T00:00:00"/>
    <s v="7/2024"/>
    <x v="24"/>
    <x v="500"/>
    <x v="0"/>
    <x v="0"/>
    <x v="119"/>
    <n v="1"/>
    <n v="197"/>
    <n v="197"/>
    <n v="201"/>
    <n v="201"/>
    <m/>
    <n v="30"/>
    <n v="231"/>
    <n v="231"/>
    <n v="0"/>
    <x v="15"/>
    <s v="true"/>
    <s v="true"/>
    <x v="0"/>
  </r>
  <r>
    <n v="163"/>
    <d v="2024-07-03T00:00:00"/>
    <s v="7/2024"/>
    <x v="24"/>
    <x v="501"/>
    <x v="0"/>
    <x v="0"/>
    <x v="118"/>
    <n v="1"/>
    <n v="636"/>
    <n v="636"/>
    <n v="670"/>
    <n v="670"/>
    <m/>
    <n v="101"/>
    <n v="771"/>
    <n v="771"/>
    <n v="0"/>
    <x v="16"/>
    <s v="true"/>
    <s v="true"/>
    <x v="0"/>
  </r>
  <r>
    <n v="163"/>
    <d v="2024-07-03T00:00:00"/>
    <s v="7/2024"/>
    <x v="24"/>
    <x v="502"/>
    <x v="0"/>
    <x v="0"/>
    <x v="119"/>
    <n v="1"/>
    <n v="461"/>
    <n v="461"/>
    <n v="512"/>
    <n v="512"/>
    <m/>
    <n v="77"/>
    <n v="589"/>
    <n v="589"/>
    <n v="0"/>
    <x v="15"/>
    <s v="true"/>
    <s v="true"/>
    <x v="0"/>
  </r>
  <r>
    <n v="160"/>
    <d v="2024-07-01T00:00:00"/>
    <s v="7/2024"/>
    <x v="23"/>
    <x v="503"/>
    <x v="0"/>
    <x v="0"/>
    <x v="122"/>
    <n v="1"/>
    <n v="166"/>
    <n v="166"/>
    <n v="169"/>
    <n v="169"/>
    <m/>
    <n v="25"/>
    <n v="194"/>
    <n v="194"/>
    <n v="0"/>
    <x v="15"/>
    <s v="true"/>
    <s v="true"/>
    <x v="0"/>
  </r>
  <r>
    <n v="160"/>
    <d v="2024-07-01T00:00:00"/>
    <s v="7/2024"/>
    <x v="23"/>
    <x v="504"/>
    <x v="0"/>
    <x v="0"/>
    <x v="119"/>
    <n v="1"/>
    <n v="533"/>
    <n v="533"/>
    <n v="583"/>
    <n v="583"/>
    <m/>
    <n v="87"/>
    <n v="670"/>
    <n v="670"/>
    <n v="0"/>
    <x v="16"/>
    <s v="true"/>
    <s v="true"/>
    <x v="0"/>
  </r>
  <r>
    <n v="160"/>
    <d v="2024-07-01T00:00:00"/>
    <s v="7/2024"/>
    <x v="23"/>
    <x v="505"/>
    <x v="0"/>
    <x v="0"/>
    <x v="118"/>
    <n v="1"/>
    <n v="217"/>
    <n v="217"/>
    <n v="229"/>
    <n v="229"/>
    <m/>
    <n v="34"/>
    <n v="263"/>
    <n v="263"/>
    <n v="0"/>
    <x v="16"/>
    <s v="true"/>
    <s v="true"/>
    <x v="0"/>
  </r>
  <r>
    <n v="164"/>
    <d v="2024-07-05T00:00:00"/>
    <s v="7/2024"/>
    <x v="23"/>
    <x v="506"/>
    <x v="0"/>
    <x v="0"/>
    <x v="118"/>
    <n v="1"/>
    <n v="136"/>
    <n v="136"/>
    <n v="144"/>
    <n v="144"/>
    <m/>
    <n v="67"/>
    <n v="211"/>
    <n v="211"/>
    <n v="0"/>
    <x v="16"/>
    <s v="true"/>
    <s v="true"/>
    <x v="0"/>
  </r>
  <r>
    <n v="164"/>
    <d v="2024-07-05T00:00:00"/>
    <s v="7/2024"/>
    <x v="23"/>
    <x v="507"/>
    <x v="0"/>
    <x v="0"/>
    <x v="118"/>
    <n v="1"/>
    <n v="422"/>
    <n v="422"/>
    <n v="445"/>
    <n v="445"/>
    <m/>
    <n v="67"/>
    <n v="512"/>
    <n v="512"/>
    <n v="0"/>
    <x v="16"/>
    <s v="true"/>
    <s v="true"/>
    <x v="0"/>
  </r>
  <r>
    <n v="164"/>
    <d v="2024-07-05T00:00:00"/>
    <s v="7/2024"/>
    <x v="23"/>
    <x v="508"/>
    <x v="0"/>
    <x v="0"/>
    <x v="118"/>
    <n v="1"/>
    <n v="438"/>
    <n v="438"/>
    <n v="447"/>
    <n v="447"/>
    <m/>
    <n v="67"/>
    <n v="514"/>
    <n v="514"/>
    <n v="0"/>
    <x v="15"/>
    <s v="true"/>
    <s v="true"/>
    <x v="0"/>
  </r>
  <r>
    <n v="165"/>
    <d v="2024-07-05T00:00:00"/>
    <s v="7/2024"/>
    <x v="34"/>
    <x v="509"/>
    <x v="0"/>
    <x v="0"/>
    <x v="125"/>
    <n v="1"/>
    <n v="1494"/>
    <n v="1494"/>
    <n v="1597"/>
    <n v="1597"/>
    <m/>
    <n v="240"/>
    <n v="1837"/>
    <n v="1837"/>
    <n v="0"/>
    <x v="15"/>
    <s v="true"/>
    <s v="true"/>
    <x v="0"/>
  </r>
  <r>
    <n v="165"/>
    <d v="2024-07-05T00:00:00"/>
    <s v="7/2024"/>
    <x v="34"/>
    <x v="510"/>
    <x v="0"/>
    <x v="0"/>
    <x v="124"/>
    <n v="1"/>
    <n v="623"/>
    <n v="623"/>
    <n v="668"/>
    <n v="668"/>
    <m/>
    <n v="100"/>
    <n v="768"/>
    <n v="768"/>
    <n v="0"/>
    <x v="15"/>
    <s v="true"/>
    <s v="true"/>
    <x v="0"/>
  </r>
  <r>
    <n v="165"/>
    <d v="2024-07-05T00:00:00"/>
    <s v="7/2024"/>
    <x v="34"/>
    <x v="511"/>
    <x v="0"/>
    <x v="0"/>
    <x v="118"/>
    <n v="1"/>
    <n v="1352"/>
    <n v="1352"/>
    <n v="1446"/>
    <n v="1446"/>
    <m/>
    <n v="217"/>
    <n v="1663"/>
    <n v="1663"/>
    <n v="0"/>
    <x v="15"/>
    <s v="true"/>
    <s v="true"/>
    <x v="0"/>
  </r>
  <r>
    <n v="166"/>
    <d v="2024-07-07T00:00:00"/>
    <s v="7/2024"/>
    <x v="38"/>
    <x v="331"/>
    <x v="0"/>
    <x v="0"/>
    <x v="124"/>
    <n v="1"/>
    <n v="6487"/>
    <n v="6487"/>
    <n v="6829"/>
    <n v="6829"/>
    <m/>
    <n v="683"/>
    <n v="7512"/>
    <n v="7512"/>
    <n v="0"/>
    <x v="16"/>
    <s v="true"/>
    <s v="true"/>
    <x v="0"/>
  </r>
  <r>
    <n v="166"/>
    <d v="2024-07-07T00:00:00"/>
    <s v="7/2024"/>
    <x v="38"/>
    <x v="512"/>
    <x v="0"/>
    <x v="0"/>
    <x v="116"/>
    <n v="1"/>
    <n v="2337"/>
    <n v="2337"/>
    <n v="2460"/>
    <n v="2460"/>
    <m/>
    <n v="246"/>
    <n v="2706"/>
    <n v="2706"/>
    <n v="0"/>
    <x v="16"/>
    <s v="true"/>
    <s v="true"/>
    <x v="0"/>
  </r>
  <r>
    <n v="165"/>
    <d v="2024-07-05T00:00:00"/>
    <s v="7/2024"/>
    <x v="34"/>
    <x v="476"/>
    <x v="0"/>
    <x v="0"/>
    <x v="126"/>
    <n v="1"/>
    <n v="377"/>
    <n v="377"/>
    <n v="385"/>
    <n v="385"/>
    <m/>
    <n v="58"/>
    <n v="443"/>
    <n v="443"/>
    <n v="0"/>
    <x v="15"/>
    <s v="true"/>
    <s v="true"/>
    <x v="0"/>
  </r>
  <r>
    <n v="167"/>
    <d v="2024-07-06T00:00:00"/>
    <s v="7/2024"/>
    <x v="14"/>
    <x v="461"/>
    <x v="0"/>
    <x v="0"/>
    <x v="114"/>
    <n v="1"/>
    <n v="341"/>
    <n v="341"/>
    <n v="352"/>
    <n v="352"/>
    <m/>
    <n v="200"/>
    <n v="552"/>
    <n v="552"/>
    <n v="0"/>
    <x v="15"/>
    <s v="true"/>
    <s v="true"/>
    <x v="0"/>
  </r>
  <r>
    <n v="168"/>
    <d v="2024-06-30T00:00:00"/>
    <s v="6/2024"/>
    <x v="54"/>
    <x v="257"/>
    <x v="0"/>
    <x v="0"/>
    <x v="124"/>
    <n v="1"/>
    <n v="1000"/>
    <n v="1000"/>
    <n v="1000"/>
    <n v="1000"/>
    <m/>
    <n v="200"/>
    <n v="200"/>
    <n v="200"/>
    <n v="0"/>
    <x v="7"/>
    <s v="true"/>
    <s v="true"/>
    <x v="0"/>
  </r>
  <r>
    <n v="169"/>
    <d v="2024-07-07T00:00:00"/>
    <s v="7/2024"/>
    <x v="35"/>
    <x v="513"/>
    <x v="0"/>
    <x v="0"/>
    <x v="125"/>
    <n v="1"/>
    <n v="1030"/>
    <n v="1030"/>
    <n v="1106"/>
    <n v="1106"/>
    <m/>
    <n v="166"/>
    <n v="1272"/>
    <n v="1272"/>
    <n v="0"/>
    <x v="15"/>
    <s v="true"/>
    <s v="true"/>
    <x v="0"/>
  </r>
  <r>
    <n v="169"/>
    <d v="2024-07-07T00:00:00"/>
    <s v="7/2024"/>
    <x v="35"/>
    <x v="514"/>
    <x v="0"/>
    <x v="0"/>
    <x v="126"/>
    <n v="1"/>
    <n v="651"/>
    <n v="651"/>
    <n v="699"/>
    <n v="699"/>
    <m/>
    <n v="105"/>
    <n v="804"/>
    <n v="804"/>
    <n v="0"/>
    <x v="15"/>
    <s v="true"/>
    <s v="true"/>
    <x v="0"/>
  </r>
  <r>
    <n v="170"/>
    <d v="2024-07-07T00:00:00"/>
    <s v="7/2024"/>
    <x v="36"/>
    <x v="515"/>
    <x v="0"/>
    <x v="0"/>
    <x v="126"/>
    <n v="1"/>
    <n v="5234"/>
    <n v="5234"/>
    <n v="5554"/>
    <n v="5554"/>
    <m/>
    <n v="833"/>
    <n v="6387"/>
    <n v="6387"/>
    <n v="0"/>
    <x v="15"/>
    <s v="true"/>
    <s v="true"/>
    <x v="0"/>
  </r>
  <r>
    <n v="170"/>
    <d v="2024-07-07T00:00:00"/>
    <s v="7/2024"/>
    <x v="36"/>
    <x v="516"/>
    <x v="0"/>
    <x v="0"/>
    <x v="124"/>
    <n v="1"/>
    <n v="1193"/>
    <n v="1193"/>
    <n v="1256"/>
    <n v="1256"/>
    <m/>
    <n v="188"/>
    <n v="1444"/>
    <n v="1444"/>
    <n v="0"/>
    <x v="16"/>
    <s v="true"/>
    <s v="true"/>
    <x v="0"/>
  </r>
  <r>
    <n v="171"/>
    <d v="2024-07-07T00:00:00"/>
    <s v="7/2024"/>
    <x v="3"/>
    <x v="517"/>
    <x v="0"/>
    <x v="34"/>
    <x v="115"/>
    <n v="1"/>
    <n v="2530"/>
    <n v="2530"/>
    <n v="2530"/>
    <n v="2530"/>
    <n v="340"/>
    <n v="380"/>
    <n v="3250"/>
    <n v="3250"/>
    <n v="0"/>
    <x v="22"/>
    <s v="true"/>
    <s v="true"/>
    <x v="0"/>
  </r>
  <r>
    <n v="166"/>
    <d v="2024-07-07T00:00:00"/>
    <s v="7/2024"/>
    <x v="38"/>
    <x v="422"/>
    <x v="0"/>
    <x v="0"/>
    <x v="119"/>
    <n v="1"/>
    <n v="492"/>
    <n v="492"/>
    <n v="518"/>
    <n v="518"/>
    <m/>
    <n v="52"/>
    <n v="570"/>
    <n v="570"/>
    <n v="0"/>
    <x v="16"/>
    <s v="true"/>
    <s v="true"/>
    <x v="0"/>
  </r>
  <r>
    <n v="166"/>
    <d v="2024-07-07T00:00:00"/>
    <s v="7/2024"/>
    <x v="38"/>
    <x v="518"/>
    <x v="0"/>
    <x v="0"/>
    <x v="119"/>
    <n v="1"/>
    <n v="1191"/>
    <n v="1191"/>
    <n v="1254"/>
    <n v="1254"/>
    <m/>
    <n v="125"/>
    <n v="1379"/>
    <n v="1379"/>
    <n v="0"/>
    <x v="16"/>
    <s v="true"/>
    <s v="true"/>
    <x v="0"/>
  </r>
  <r>
    <n v="166"/>
    <d v="2024-07-07T00:00:00"/>
    <s v="7/2024"/>
    <x v="38"/>
    <x v="519"/>
    <x v="0"/>
    <x v="0"/>
    <x v="124"/>
    <n v="1"/>
    <n v="397"/>
    <n v="397"/>
    <n v="418"/>
    <n v="418"/>
    <m/>
    <n v="42"/>
    <n v="460"/>
    <n v="460"/>
    <n v="0"/>
    <x v="15"/>
    <s v="true"/>
    <s v="true"/>
    <x v="0"/>
  </r>
  <r>
    <n v="163"/>
    <d v="2024-07-03T00:00:00"/>
    <s v="7/2024"/>
    <x v="24"/>
    <x v="520"/>
    <x v="0"/>
    <x v="0"/>
    <x v="123"/>
    <n v="1"/>
    <n v="435"/>
    <n v="435"/>
    <n v="449"/>
    <n v="449"/>
    <m/>
    <n v="67"/>
    <n v="516"/>
    <n v="516"/>
    <n v="0"/>
    <x v="15"/>
    <s v="true"/>
    <s v="true"/>
    <x v="0"/>
  </r>
  <r>
    <n v="171"/>
    <d v="2024-07-07T00:00:00"/>
    <s v="7/2024"/>
    <x v="3"/>
    <x v="521"/>
    <x v="0"/>
    <x v="0"/>
    <x v="115"/>
    <n v="1"/>
    <n v="413"/>
    <n v="413"/>
    <n v="435"/>
    <n v="435"/>
    <m/>
    <n v="65"/>
    <n v="500"/>
    <n v="500"/>
    <n v="0"/>
    <x v="16"/>
    <s v="true"/>
    <s v="true"/>
    <x v="0"/>
  </r>
  <r>
    <n v="171"/>
    <d v="2024-07-07T00:00:00"/>
    <s v="7/2024"/>
    <x v="3"/>
    <x v="522"/>
    <x v="0"/>
    <x v="0"/>
    <x v="115"/>
    <n v="1"/>
    <n v="340"/>
    <n v="340"/>
    <n v="358"/>
    <n v="358"/>
    <m/>
    <n v="54"/>
    <n v="412"/>
    <n v="412"/>
    <n v="0"/>
    <x v="16"/>
    <s v="true"/>
    <s v="true"/>
    <x v="0"/>
  </r>
  <r>
    <n v="173"/>
    <d v="2024-07-12T00:00:00"/>
    <s v="7/2024"/>
    <x v="55"/>
    <x v="73"/>
    <x v="0"/>
    <x v="0"/>
    <x v="115"/>
    <n v="1"/>
    <n v="5780"/>
    <n v="5780"/>
    <n v="5780"/>
    <n v="5780"/>
    <m/>
    <n v="867"/>
    <n v="867"/>
    <n v="867"/>
    <n v="0"/>
    <x v="16"/>
    <s v="true"/>
    <s v="true"/>
    <x v="0"/>
  </r>
  <r>
    <n v="174"/>
    <d v="2024-07-12T00:00:00"/>
    <s v="7/2024"/>
    <x v="56"/>
    <x v="73"/>
    <x v="0"/>
    <x v="0"/>
    <x v="115"/>
    <n v="1"/>
    <n v="11130"/>
    <n v="11130"/>
    <n v="11130"/>
    <n v="11130"/>
    <m/>
    <n v="1113"/>
    <n v="1113"/>
    <n v="1113"/>
    <n v="0"/>
    <x v="15"/>
    <s v="true"/>
    <s v="true"/>
    <x v="0"/>
  </r>
  <r>
    <n v="172"/>
    <d v="2024-07-08T00:00:00"/>
    <s v="7/2024"/>
    <x v="23"/>
    <x v="523"/>
    <x v="0"/>
    <x v="0"/>
    <x v="126"/>
    <n v="1"/>
    <n v="345"/>
    <n v="345"/>
    <n v="360"/>
    <n v="360"/>
    <m/>
    <n v="54"/>
    <n v="414"/>
    <n v="414"/>
    <n v="0"/>
    <x v="16"/>
    <s v="true"/>
    <s v="true"/>
    <x v="0"/>
  </r>
  <r>
    <n v="172"/>
    <d v="2024-07-08T00:00:00"/>
    <s v="7/2024"/>
    <x v="23"/>
    <x v="524"/>
    <x v="0"/>
    <x v="0"/>
    <x v="127"/>
    <n v="1"/>
    <n v="626"/>
    <n v="626"/>
    <n v="674"/>
    <n v="674"/>
    <m/>
    <n v="101"/>
    <n v="775"/>
    <n v="775"/>
    <n v="0"/>
    <x v="15"/>
    <s v="true"/>
    <s v="true"/>
    <x v="0"/>
  </r>
  <r>
    <n v="172"/>
    <d v="2024-07-08T00:00:00"/>
    <s v="7/2024"/>
    <x v="23"/>
    <x v="525"/>
    <x v="0"/>
    <x v="0"/>
    <x v="127"/>
    <n v="1"/>
    <n v="787"/>
    <n v="787"/>
    <n v="806"/>
    <n v="806"/>
    <m/>
    <n v="121"/>
    <n v="927"/>
    <n v="927"/>
    <n v="0"/>
    <x v="15"/>
    <s v="true"/>
    <s v="true"/>
    <x v="0"/>
  </r>
  <r>
    <n v="175"/>
    <d v="2024-07-12T00:00:00"/>
    <s v="7/2024"/>
    <x v="34"/>
    <x v="526"/>
    <x v="0"/>
    <x v="0"/>
    <x v="128"/>
    <n v="2"/>
    <n v="453"/>
    <n v="906"/>
    <n v="597"/>
    <n v="1194"/>
    <m/>
    <n v="179"/>
    <n v="1373"/>
    <n v="1373"/>
    <n v="0"/>
    <x v="15"/>
    <s v="true"/>
    <s v="true"/>
    <x v="0"/>
  </r>
  <r>
    <n v="175"/>
    <d v="2024-07-12T00:00:00"/>
    <s v="7/2024"/>
    <x v="34"/>
    <x v="527"/>
    <x v="0"/>
    <x v="0"/>
    <x v="129"/>
    <n v="1"/>
    <n v="699"/>
    <n v="699"/>
    <n v="754"/>
    <n v="754"/>
    <m/>
    <n v="113"/>
    <n v="867"/>
    <n v="867"/>
    <n v="0"/>
    <x v="15"/>
    <s v="true"/>
    <s v="true"/>
    <x v="0"/>
  </r>
  <r>
    <n v="175"/>
    <d v="2024-07-12T00:00:00"/>
    <s v="7/2024"/>
    <x v="34"/>
    <x v="528"/>
    <x v="0"/>
    <x v="0"/>
    <x v="127"/>
    <n v="1"/>
    <n v="139"/>
    <n v="139"/>
    <n v="142"/>
    <n v="142"/>
    <m/>
    <n v="21"/>
    <n v="163"/>
    <n v="163"/>
    <n v="0"/>
    <x v="15"/>
    <s v="true"/>
    <s v="true"/>
    <x v="0"/>
  </r>
  <r>
    <n v="172"/>
    <d v="2024-07-08T00:00:00"/>
    <s v="7/2024"/>
    <x v="23"/>
    <x v="359"/>
    <x v="0"/>
    <x v="0"/>
    <x v="121"/>
    <n v="1"/>
    <n v="221"/>
    <n v="221"/>
    <n v="231"/>
    <n v="231"/>
    <m/>
    <n v="35"/>
    <n v="266"/>
    <n v="266"/>
    <n v="0"/>
    <x v="16"/>
    <s v="true"/>
    <s v="true"/>
    <x v="0"/>
  </r>
  <r>
    <n v="176"/>
    <d v="2024-07-14T00:00:00"/>
    <s v="7/2024"/>
    <x v="57"/>
    <x v="529"/>
    <x v="0"/>
    <x v="0"/>
    <x v="130"/>
    <n v="1"/>
    <n v="1238"/>
    <n v="1238"/>
    <n v="1290"/>
    <n v="1290"/>
    <m/>
    <n v="200"/>
    <n v="1490"/>
    <n v="1490"/>
    <n v="0"/>
    <x v="16"/>
    <s v="true"/>
    <s v="true"/>
    <x v="0"/>
  </r>
  <r>
    <n v="177"/>
    <d v="2024-07-17T00:00:00"/>
    <s v="7/2024"/>
    <x v="47"/>
    <x v="530"/>
    <x v="0"/>
    <x v="0"/>
    <x v="131"/>
    <n v="1"/>
    <n v="627"/>
    <n v="627"/>
    <n v="654"/>
    <n v="654"/>
    <m/>
    <n v="98"/>
    <n v="752"/>
    <n v="752"/>
    <n v="0"/>
    <x v="16"/>
    <s v="true"/>
    <s v="true"/>
    <x v="0"/>
  </r>
  <r>
    <n v="177"/>
    <d v="2024-07-17T00:00:00"/>
    <s v="7/2024"/>
    <x v="47"/>
    <x v="531"/>
    <x v="0"/>
    <x v="0"/>
    <x v="108"/>
    <n v="1"/>
    <n v="451"/>
    <n v="451"/>
    <n v="470"/>
    <n v="470"/>
    <m/>
    <n v="71"/>
    <n v="541"/>
    <n v="541"/>
    <n v="0"/>
    <x v="16"/>
    <s v="true"/>
    <s v="true"/>
    <x v="0"/>
  </r>
  <r>
    <n v="177"/>
    <d v="2024-07-17T00:00:00"/>
    <s v="7/2024"/>
    <x v="47"/>
    <x v="532"/>
    <x v="0"/>
    <x v="0"/>
    <x v="108"/>
    <n v="1"/>
    <n v="285"/>
    <n v="285"/>
    <n v="297"/>
    <n v="297"/>
    <m/>
    <n v="45"/>
    <n v="342"/>
    <n v="342"/>
    <n v="0"/>
    <x v="16"/>
    <s v="true"/>
    <s v="true"/>
    <x v="0"/>
  </r>
  <r>
    <n v="177"/>
    <d v="2024-07-17T00:00:00"/>
    <s v="7/2024"/>
    <x v="47"/>
    <x v="533"/>
    <x v="0"/>
    <x v="0"/>
    <x v="108"/>
    <n v="1"/>
    <n v="381"/>
    <n v="381"/>
    <n v="397"/>
    <n v="397"/>
    <m/>
    <n v="60"/>
    <n v="457"/>
    <n v="457"/>
    <n v="0"/>
    <x v="16"/>
    <s v="true"/>
    <s v="true"/>
    <x v="0"/>
  </r>
  <r>
    <n v="178"/>
    <d v="2024-07-17T00:00:00"/>
    <s v="7/2024"/>
    <x v="47"/>
    <x v="534"/>
    <x v="0"/>
    <x v="0"/>
    <x v="128"/>
    <n v="1"/>
    <n v="21360"/>
    <n v="21360"/>
    <n v="22251"/>
    <n v="22251"/>
    <m/>
    <n v="2225"/>
    <n v="24476"/>
    <n v="24476"/>
    <n v="0"/>
    <x v="16"/>
    <s v="true"/>
    <s v="true"/>
    <x v="0"/>
  </r>
  <r>
    <n v="179"/>
    <d v="2024-07-17T00:00:00"/>
    <s v="7/2024"/>
    <x v="35"/>
    <x v="535"/>
    <x v="0"/>
    <x v="0"/>
    <x v="132"/>
    <n v="1"/>
    <n v="14500"/>
    <n v="14500"/>
    <n v="14500"/>
    <n v="14500"/>
    <n v="3334"/>
    <n v="1450"/>
    <n v="19284"/>
    <n v="19284"/>
    <n v="0"/>
    <x v="23"/>
    <s v="true"/>
    <s v="true"/>
    <x v="0"/>
  </r>
  <r>
    <n v="180"/>
    <d v="2024-07-18T00:00:00"/>
    <s v="7/2024"/>
    <x v="58"/>
    <x v="73"/>
    <x v="0"/>
    <x v="0"/>
    <x v="108"/>
    <n v="1"/>
    <n v="832"/>
    <n v="832"/>
    <n v="832"/>
    <n v="832"/>
    <m/>
    <n v="200"/>
    <n v="200"/>
    <n v="200"/>
    <n v="0"/>
    <x v="15"/>
    <s v="true"/>
    <s v="true"/>
    <x v="0"/>
  </r>
  <r>
    <n v="181"/>
    <d v="2024-07-18T00:00:00"/>
    <s v="7/2024"/>
    <x v="47"/>
    <x v="536"/>
    <x v="0"/>
    <x v="0"/>
    <x v="129"/>
    <n v="1"/>
    <n v="1513"/>
    <n v="1513"/>
    <n v="1577"/>
    <n v="1577"/>
    <m/>
    <n v="237"/>
    <n v="1814"/>
    <n v="1814"/>
    <n v="0"/>
    <x v="16"/>
    <s v="true"/>
    <s v="true"/>
    <x v="0"/>
  </r>
  <r>
    <n v="181"/>
    <d v="2024-07-18T00:00:00"/>
    <s v="7/2024"/>
    <x v="47"/>
    <x v="537"/>
    <x v="0"/>
    <x v="0"/>
    <x v="129"/>
    <n v="1"/>
    <n v="549"/>
    <n v="549"/>
    <n v="572"/>
    <n v="572"/>
    <m/>
    <n v="86"/>
    <n v="658"/>
    <n v="658"/>
    <n v="0"/>
    <x v="16"/>
    <s v="true"/>
    <s v="true"/>
    <x v="0"/>
  </r>
  <r>
    <n v="181"/>
    <d v="2024-07-18T00:00:00"/>
    <s v="7/2024"/>
    <x v="47"/>
    <x v="538"/>
    <x v="0"/>
    <x v="0"/>
    <x v="129"/>
    <n v="1"/>
    <n v="936"/>
    <n v="936"/>
    <n v="976"/>
    <n v="976"/>
    <m/>
    <n v="146"/>
    <n v="1122"/>
    <n v="1122"/>
    <n v="0"/>
    <x v="16"/>
    <s v="true"/>
    <s v="true"/>
    <x v="0"/>
  </r>
  <r>
    <n v="181"/>
    <d v="2024-07-18T00:00:00"/>
    <s v="7/2024"/>
    <x v="47"/>
    <x v="539"/>
    <x v="0"/>
    <x v="0"/>
    <x v="129"/>
    <n v="1"/>
    <n v="357"/>
    <n v="357"/>
    <n v="372"/>
    <n v="372"/>
    <m/>
    <n v="56"/>
    <n v="428"/>
    <n v="428"/>
    <n v="0"/>
    <x v="16"/>
    <s v="true"/>
    <s v="true"/>
    <x v="0"/>
  </r>
  <r>
    <n v="181"/>
    <d v="2024-07-18T00:00:00"/>
    <s v="7/2024"/>
    <x v="47"/>
    <x v="540"/>
    <x v="0"/>
    <x v="0"/>
    <x v="129"/>
    <n v="1"/>
    <n v="605"/>
    <n v="605"/>
    <n v="631"/>
    <n v="631"/>
    <m/>
    <n v="95"/>
    <n v="726"/>
    <n v="726"/>
    <n v="0"/>
    <x v="16"/>
    <s v="true"/>
    <s v="true"/>
    <x v="0"/>
  </r>
  <r>
    <n v="182"/>
    <d v="2024-07-18T00:00:00"/>
    <s v="7/2024"/>
    <x v="38"/>
    <x v="541"/>
    <x v="0"/>
    <x v="0"/>
    <x v="131"/>
    <n v="1"/>
    <n v="3085"/>
    <n v="3085"/>
    <n v="3181"/>
    <n v="3181"/>
    <m/>
    <n v="477"/>
    <n v="3658"/>
    <n v="3658"/>
    <n v="0"/>
    <x v="15"/>
    <s v="true"/>
    <s v="true"/>
    <x v="0"/>
  </r>
  <r>
    <n v="182"/>
    <d v="2024-07-18T00:00:00"/>
    <s v="7/2024"/>
    <x v="38"/>
    <x v="542"/>
    <x v="0"/>
    <x v="0"/>
    <x v="128"/>
    <n v="1"/>
    <n v="389"/>
    <n v="389"/>
    <n v="406"/>
    <n v="406"/>
    <m/>
    <n v="61"/>
    <n v="467"/>
    <n v="467"/>
    <n v="0"/>
    <x v="16"/>
    <s v="true"/>
    <s v="true"/>
    <x v="0"/>
  </r>
  <r>
    <n v="182"/>
    <d v="2024-07-18T00:00:00"/>
    <s v="7/2024"/>
    <x v="38"/>
    <x v="543"/>
    <x v="0"/>
    <x v="0"/>
    <x v="129"/>
    <n v="1"/>
    <n v="1214"/>
    <n v="1214"/>
    <n v="1265"/>
    <n v="1265"/>
    <m/>
    <n v="190"/>
    <n v="1455"/>
    <n v="1455"/>
    <n v="0"/>
    <x v="16"/>
    <s v="true"/>
    <s v="true"/>
    <x v="0"/>
  </r>
  <r>
    <n v="182"/>
    <d v="2024-07-18T00:00:00"/>
    <s v="7/2024"/>
    <x v="38"/>
    <x v="544"/>
    <x v="0"/>
    <x v="0"/>
    <x v="129"/>
    <n v="1"/>
    <n v="599"/>
    <n v="599"/>
    <n v="624"/>
    <n v="624"/>
    <m/>
    <n v="94"/>
    <n v="718"/>
    <n v="718"/>
    <n v="0"/>
    <x v="16"/>
    <s v="true"/>
    <s v="true"/>
    <x v="0"/>
  </r>
  <r>
    <n v="183"/>
    <d v="2024-07-19T00:00:00"/>
    <s v="7/2024"/>
    <x v="52"/>
    <x v="73"/>
    <x v="0"/>
    <x v="0"/>
    <x v="108"/>
    <n v="1"/>
    <n v="13787"/>
    <n v="13787"/>
    <n v="13787"/>
    <n v="13787"/>
    <n v="200"/>
    <n v="1379"/>
    <n v="1579"/>
    <n v="1579"/>
    <n v="0"/>
    <x v="16"/>
    <s v="true"/>
    <s v="true"/>
    <x v="0"/>
  </r>
  <r>
    <n v="184"/>
    <d v="2024-07-19T00:00:00"/>
    <s v="7/2024"/>
    <x v="23"/>
    <x v="545"/>
    <x v="0"/>
    <x v="0"/>
    <x v="133"/>
    <n v="1"/>
    <n v="1425"/>
    <n v="1425"/>
    <n v="1524"/>
    <n v="1524"/>
    <m/>
    <n v="229"/>
    <n v="1753"/>
    <n v="1753"/>
    <n v="0"/>
    <x v="15"/>
    <s v="true"/>
    <s v="true"/>
    <x v="0"/>
  </r>
  <r>
    <n v="184"/>
    <d v="2024-07-19T00:00:00"/>
    <s v="7/2024"/>
    <x v="23"/>
    <x v="27"/>
    <x v="0"/>
    <x v="0"/>
    <x v="128"/>
    <n v="1"/>
    <n v="467"/>
    <n v="467"/>
    <n v="501"/>
    <n v="501"/>
    <m/>
    <n v="75"/>
    <n v="576"/>
    <n v="576"/>
    <n v="0"/>
    <x v="15"/>
    <s v="true"/>
    <s v="true"/>
    <x v="0"/>
  </r>
  <r>
    <n v="184"/>
    <d v="2024-07-19T00:00:00"/>
    <s v="7/2024"/>
    <x v="23"/>
    <x v="546"/>
    <x v="0"/>
    <x v="0"/>
    <x v="132"/>
    <n v="1"/>
    <n v="455"/>
    <n v="455"/>
    <n v="491"/>
    <n v="491"/>
    <m/>
    <n v="74"/>
    <n v="565"/>
    <n v="565"/>
    <n v="0"/>
    <x v="15"/>
    <s v="true"/>
    <s v="true"/>
    <x v="0"/>
  </r>
  <r>
    <n v="184"/>
    <d v="2024-07-19T00:00:00"/>
    <s v="7/2024"/>
    <x v="23"/>
    <x v="547"/>
    <x v="0"/>
    <x v="0"/>
    <x v="128"/>
    <n v="1"/>
    <n v="638"/>
    <n v="638"/>
    <n v="675"/>
    <n v="675"/>
    <m/>
    <n v="101"/>
    <n v="776"/>
    <n v="776"/>
    <n v="0"/>
    <x v="15"/>
    <s v="true"/>
    <s v="true"/>
    <x v="0"/>
  </r>
  <r>
    <n v="184"/>
    <d v="2024-07-19T00:00:00"/>
    <s v="7/2024"/>
    <x v="23"/>
    <x v="548"/>
    <x v="0"/>
    <x v="0"/>
    <x v="128"/>
    <n v="1"/>
    <n v="619"/>
    <n v="619"/>
    <n v="652"/>
    <n v="652"/>
    <m/>
    <n v="98"/>
    <n v="750"/>
    <n v="750"/>
    <n v="0"/>
    <x v="16"/>
    <s v="true"/>
    <s v="true"/>
    <x v="0"/>
  </r>
  <r>
    <n v="184"/>
    <d v="2024-07-19T00:00:00"/>
    <s v="7/2024"/>
    <x v="23"/>
    <x v="549"/>
    <x v="0"/>
    <x v="0"/>
    <x v="128"/>
    <n v="1"/>
    <n v="183"/>
    <n v="183"/>
    <n v="193"/>
    <n v="193"/>
    <m/>
    <n v="29"/>
    <n v="222"/>
    <n v="222"/>
    <n v="0"/>
    <x v="16"/>
    <s v="true"/>
    <s v="true"/>
    <x v="0"/>
  </r>
  <r>
    <n v="184"/>
    <d v="2024-07-19T00:00:00"/>
    <s v="7/2024"/>
    <x v="23"/>
    <x v="505"/>
    <x v="0"/>
    <x v="0"/>
    <x v="133"/>
    <n v="1"/>
    <n v="289"/>
    <n v="289"/>
    <n v="305"/>
    <n v="305"/>
    <m/>
    <n v="46"/>
    <n v="351"/>
    <n v="351"/>
    <n v="0"/>
    <x v="16"/>
    <s v="true"/>
    <s v="true"/>
    <x v="0"/>
  </r>
  <r>
    <n v="185"/>
    <d v="2024-07-21T00:00:00"/>
    <s v="7/2024"/>
    <x v="0"/>
    <x v="550"/>
    <x v="0"/>
    <x v="0"/>
    <x v="128"/>
    <n v="1"/>
    <n v="10900"/>
    <n v="10900"/>
    <n v="10900"/>
    <n v="10900"/>
    <n v="579"/>
    <n v="1090"/>
    <n v="12569"/>
    <n v="12569"/>
    <n v="0"/>
    <x v="20"/>
    <s v="true"/>
    <s v="true"/>
    <x v="0"/>
  </r>
  <r>
    <n v="186"/>
    <d v="2024-07-24T00:00:00"/>
    <s v="7/2024"/>
    <x v="48"/>
    <x v="551"/>
    <x v="0"/>
    <x v="0"/>
    <x v="132"/>
    <n v="1"/>
    <n v="1414"/>
    <n v="1414"/>
    <n v="1489"/>
    <n v="1489"/>
    <m/>
    <n v="223"/>
    <n v="1712"/>
    <n v="1712"/>
    <n v="0"/>
    <x v="16"/>
    <s v="true"/>
    <s v="true"/>
    <x v="0"/>
  </r>
  <r>
    <n v="186"/>
    <d v="2024-07-24T00:00:00"/>
    <s v="7/2024"/>
    <x v="48"/>
    <x v="552"/>
    <x v="0"/>
    <x v="0"/>
    <x v="134"/>
    <n v="1"/>
    <n v="477"/>
    <n v="477"/>
    <n v="503"/>
    <n v="503"/>
    <m/>
    <n v="75"/>
    <n v="578"/>
    <n v="578"/>
    <n v="0"/>
    <x v="16"/>
    <s v="true"/>
    <s v="true"/>
    <x v="0"/>
  </r>
  <r>
    <n v="186"/>
    <d v="2024-07-24T00:00:00"/>
    <s v="7/2024"/>
    <x v="48"/>
    <x v="553"/>
    <x v="0"/>
    <x v="0"/>
    <x v="113"/>
    <n v="1"/>
    <n v="1386"/>
    <n v="1386"/>
    <n v="1459"/>
    <n v="1459"/>
    <m/>
    <n v="219"/>
    <n v="1678"/>
    <n v="1678"/>
    <n v="0"/>
    <x v="16"/>
    <s v="true"/>
    <s v="true"/>
    <x v="0"/>
  </r>
  <r>
    <n v="186"/>
    <d v="2024-07-24T00:00:00"/>
    <s v="7/2024"/>
    <x v="48"/>
    <x v="554"/>
    <x v="0"/>
    <x v="0"/>
    <x v="132"/>
    <n v="1"/>
    <n v="247"/>
    <n v="247"/>
    <n v="261"/>
    <n v="261"/>
    <m/>
    <n v="39"/>
    <n v="300"/>
    <n v="300"/>
    <n v="0"/>
    <x v="16"/>
    <s v="true"/>
    <s v="true"/>
    <x v="0"/>
  </r>
  <r>
    <n v="186"/>
    <d v="2024-07-24T00:00:00"/>
    <s v="7/2024"/>
    <x v="48"/>
    <x v="555"/>
    <x v="0"/>
    <x v="0"/>
    <x v="132"/>
    <n v="1"/>
    <n v="336"/>
    <n v="336"/>
    <n v="354"/>
    <n v="354"/>
    <m/>
    <n v="53"/>
    <n v="407"/>
    <n v="407"/>
    <n v="0"/>
    <x v="16"/>
    <s v="true"/>
    <s v="true"/>
    <x v="0"/>
  </r>
  <r>
    <n v="186"/>
    <d v="2024-07-24T00:00:00"/>
    <s v="7/2024"/>
    <x v="48"/>
    <x v="556"/>
    <x v="0"/>
    <x v="0"/>
    <x v="132"/>
    <n v="1"/>
    <n v="228"/>
    <n v="228"/>
    <n v="240"/>
    <n v="240"/>
    <m/>
    <n v="36"/>
    <n v="276"/>
    <n v="276"/>
    <n v="0"/>
    <x v="16"/>
    <s v="true"/>
    <s v="true"/>
    <x v="0"/>
  </r>
  <r>
    <n v="186"/>
    <d v="2024-07-24T00:00:00"/>
    <s v="7/2024"/>
    <x v="48"/>
    <x v="557"/>
    <x v="0"/>
    <x v="0"/>
    <x v="132"/>
    <n v="1"/>
    <n v="226"/>
    <n v="226"/>
    <n v="238"/>
    <n v="238"/>
    <m/>
    <n v="36"/>
    <n v="274"/>
    <n v="274"/>
    <n v="0"/>
    <x v="16"/>
    <s v="true"/>
    <s v="true"/>
    <x v="0"/>
  </r>
  <r>
    <n v="186"/>
    <d v="2024-07-24T00:00:00"/>
    <s v="7/2024"/>
    <x v="48"/>
    <x v="558"/>
    <x v="0"/>
    <x v="0"/>
    <x v="135"/>
    <n v="1"/>
    <n v="124"/>
    <n v="124"/>
    <n v="131"/>
    <n v="131"/>
    <m/>
    <n v="20"/>
    <n v="151"/>
    <n v="151"/>
    <n v="0"/>
    <x v="16"/>
    <s v="true"/>
    <s v="true"/>
    <x v="0"/>
  </r>
  <r>
    <n v="186"/>
    <d v="2024-07-24T00:00:00"/>
    <s v="7/2024"/>
    <x v="48"/>
    <x v="559"/>
    <x v="0"/>
    <x v="0"/>
    <x v="113"/>
    <n v="1"/>
    <n v="545"/>
    <n v="545"/>
    <n v="574"/>
    <n v="574"/>
    <m/>
    <n v="86"/>
    <n v="660"/>
    <n v="660"/>
    <n v="0"/>
    <x v="16"/>
    <s v="true"/>
    <s v="true"/>
    <x v="0"/>
  </r>
  <r>
    <n v="186"/>
    <d v="2024-07-24T00:00:00"/>
    <s v="7/2024"/>
    <x v="48"/>
    <x v="560"/>
    <x v="0"/>
    <x v="0"/>
    <x v="134"/>
    <n v="1"/>
    <n v="449"/>
    <n v="449"/>
    <n v="473"/>
    <n v="473"/>
    <m/>
    <n v="71"/>
    <n v="544"/>
    <n v="544"/>
    <n v="0"/>
    <x v="16"/>
    <s v="true"/>
    <s v="true"/>
    <x v="0"/>
  </r>
  <r>
    <n v="186"/>
    <d v="2024-07-24T00:00:00"/>
    <s v="7/2024"/>
    <x v="48"/>
    <x v="561"/>
    <x v="0"/>
    <x v="0"/>
    <x v="132"/>
    <n v="1"/>
    <n v="275"/>
    <n v="275"/>
    <n v="290"/>
    <n v="290"/>
    <m/>
    <n v="44"/>
    <n v="334"/>
    <n v="334"/>
    <n v="0"/>
    <x v="16"/>
    <s v="true"/>
    <s v="true"/>
    <x v="0"/>
  </r>
  <r>
    <n v="186"/>
    <d v="2024-07-24T00:00:00"/>
    <s v="7/2024"/>
    <x v="48"/>
    <x v="562"/>
    <x v="0"/>
    <x v="0"/>
    <x v="135"/>
    <n v="1"/>
    <n v="421"/>
    <n v="421"/>
    <n v="444"/>
    <n v="444"/>
    <m/>
    <n v="67"/>
    <n v="511"/>
    <n v="511"/>
    <n v="0"/>
    <x v="16"/>
    <s v="true"/>
    <s v="true"/>
    <x v="0"/>
  </r>
  <r>
    <n v="186"/>
    <d v="2024-07-24T00:00:00"/>
    <s v="7/2024"/>
    <x v="48"/>
    <x v="563"/>
    <x v="0"/>
    <x v="0"/>
    <x v="132"/>
    <n v="1"/>
    <n v="511"/>
    <n v="511"/>
    <n v="538"/>
    <n v="538"/>
    <m/>
    <n v="81"/>
    <n v="619"/>
    <n v="619"/>
    <n v="0"/>
    <x v="16"/>
    <s v="true"/>
    <s v="true"/>
    <x v="0"/>
  </r>
  <r>
    <n v="186"/>
    <d v="2024-07-24T00:00:00"/>
    <s v="7/2024"/>
    <x v="48"/>
    <x v="564"/>
    <x v="0"/>
    <x v="0"/>
    <x v="132"/>
    <n v="1"/>
    <n v="380"/>
    <n v="380"/>
    <n v="400"/>
    <n v="400"/>
    <m/>
    <n v="60"/>
    <n v="460"/>
    <n v="460"/>
    <n v="0"/>
    <x v="16"/>
    <s v="true"/>
    <s v="true"/>
    <x v="0"/>
  </r>
  <r>
    <n v="186"/>
    <d v="2024-07-24T00:00:00"/>
    <s v="7/2024"/>
    <x v="48"/>
    <x v="110"/>
    <x v="0"/>
    <x v="0"/>
    <x v="132"/>
    <n v="1"/>
    <n v="242"/>
    <n v="242"/>
    <n v="255"/>
    <n v="255"/>
    <m/>
    <n v="38"/>
    <n v="293"/>
    <n v="293"/>
    <n v="0"/>
    <x v="16"/>
    <s v="true"/>
    <s v="true"/>
    <x v="0"/>
  </r>
  <r>
    <n v="186"/>
    <d v="2024-07-24T00:00:00"/>
    <s v="7/2024"/>
    <x v="48"/>
    <x v="565"/>
    <x v="0"/>
    <x v="0"/>
    <x v="132"/>
    <n v="1"/>
    <n v="259"/>
    <n v="259"/>
    <n v="273"/>
    <n v="273"/>
    <m/>
    <n v="41"/>
    <n v="314"/>
    <n v="314"/>
    <n v="0"/>
    <x v="16"/>
    <s v="true"/>
    <s v="true"/>
    <x v="0"/>
  </r>
  <r>
    <n v="187"/>
    <d v="2024-07-24T00:00:00"/>
    <s v="7/2024"/>
    <x v="59"/>
    <x v="566"/>
    <x v="0"/>
    <x v="0"/>
    <x v="134"/>
    <n v="1"/>
    <n v="1227"/>
    <n v="1227"/>
    <n v="1292"/>
    <n v="1292"/>
    <m/>
    <n v="200"/>
    <n v="1492"/>
    <n v="1492"/>
    <n v="0"/>
    <x v="16"/>
    <s v="true"/>
    <s v="true"/>
    <x v="0"/>
  </r>
  <r>
    <n v="188"/>
    <d v="2024-07-24T00:00:00"/>
    <s v="7/2024"/>
    <x v="60"/>
    <x v="257"/>
    <x v="0"/>
    <x v="0"/>
    <x v="129"/>
    <n v="1"/>
    <n v="26000"/>
    <n v="26000"/>
    <n v="26000"/>
    <n v="26000"/>
    <n v="470"/>
    <n v="2600"/>
    <n v="3070"/>
    <n v="3070"/>
    <n v="0"/>
    <x v="20"/>
    <s v="true"/>
    <s v="true"/>
    <x v="0"/>
  </r>
  <r>
    <n v="189"/>
    <d v="2024-07-25T00:00:00"/>
    <s v="7/2024"/>
    <x v="23"/>
    <x v="252"/>
    <x v="0"/>
    <x v="0"/>
    <x v="136"/>
    <n v="1"/>
    <n v="13491"/>
    <n v="13491"/>
    <n v="13491"/>
    <n v="13491"/>
    <m/>
    <n v="1349"/>
    <n v="14840"/>
    <n v="14840"/>
    <n v="0"/>
    <x v="18"/>
    <s v="true"/>
    <s v="true"/>
    <x v="0"/>
  </r>
  <r>
    <n v="189"/>
    <d v="2024-07-25T00:00:00"/>
    <s v="7/2024"/>
    <x v="23"/>
    <x v="275"/>
    <x v="0"/>
    <x v="0"/>
    <x v="136"/>
    <n v="1"/>
    <n v="339"/>
    <n v="339"/>
    <n v="357"/>
    <n v="357"/>
    <m/>
    <n v="36"/>
    <n v="393"/>
    <n v="393"/>
    <n v="0"/>
    <x v="16"/>
    <s v="true"/>
    <s v="true"/>
    <x v="0"/>
  </r>
  <r>
    <n v="189"/>
    <d v="2024-07-25T00:00:00"/>
    <s v="7/2024"/>
    <x v="23"/>
    <x v="462"/>
    <x v="0"/>
    <x v="0"/>
    <x v="137"/>
    <n v="1"/>
    <n v="843"/>
    <n v="843"/>
    <n v="856"/>
    <n v="856"/>
    <m/>
    <n v="86"/>
    <n v="942"/>
    <n v="942"/>
    <n v="0"/>
    <x v="15"/>
    <s v="true"/>
    <s v="true"/>
    <x v="0"/>
  </r>
  <r>
    <n v="190"/>
    <d v="2024-07-27T00:00:00"/>
    <s v="7/2024"/>
    <x v="3"/>
    <x v="567"/>
    <x v="0"/>
    <x v="0"/>
    <x v="138"/>
    <n v="1"/>
    <n v="549"/>
    <n v="549"/>
    <n v="572"/>
    <n v="572"/>
    <m/>
    <n v="86"/>
    <n v="658"/>
    <n v="658"/>
    <n v="0"/>
    <x v="15"/>
    <s v="true"/>
    <s v="true"/>
    <x v="0"/>
  </r>
  <r>
    <n v="190"/>
    <d v="2024-07-27T00:00:00"/>
    <s v="7/2024"/>
    <x v="3"/>
    <x v="568"/>
    <x v="0"/>
    <x v="0"/>
    <x v="113"/>
    <n v="1"/>
    <n v="481"/>
    <n v="481"/>
    <n v="516"/>
    <n v="516"/>
    <m/>
    <n v="77"/>
    <n v="593"/>
    <n v="593"/>
    <n v="0"/>
    <x v="15"/>
    <s v="true"/>
    <s v="true"/>
    <x v="0"/>
  </r>
  <r>
    <n v="190"/>
    <d v="2024-07-27T00:00:00"/>
    <s v="7/2024"/>
    <x v="3"/>
    <x v="569"/>
    <x v="0"/>
    <x v="0"/>
    <x v="113"/>
    <n v="1"/>
    <n v="637"/>
    <n v="637"/>
    <n v="682"/>
    <n v="682"/>
    <m/>
    <n v="102"/>
    <n v="784"/>
    <n v="784"/>
    <n v="0"/>
    <x v="15"/>
    <s v="true"/>
    <s v="true"/>
    <x v="0"/>
  </r>
  <r>
    <n v="204"/>
    <d v="2024-08-10T00:00:00"/>
    <s v="8/2024"/>
    <x v="26"/>
    <x v="257"/>
    <x v="0"/>
    <x v="35"/>
    <x v="139"/>
    <n v="1"/>
    <n v="3200"/>
    <n v="3200"/>
    <n v="3200"/>
    <n v="3200"/>
    <m/>
    <n v="320"/>
    <n v="320"/>
    <n v="320"/>
    <n v="0"/>
    <x v="21"/>
    <s v="true"/>
    <s v="true"/>
    <x v="0"/>
  </r>
  <r>
    <n v="204"/>
    <d v="2024-08-10T00:00:00"/>
    <s v="8/2024"/>
    <x v="26"/>
    <x v="257"/>
    <x v="0"/>
    <x v="36"/>
    <x v="136"/>
    <n v="1"/>
    <n v="1100"/>
    <n v="1100"/>
    <n v="1100"/>
    <n v="1100"/>
    <m/>
    <n v="110"/>
    <n v="110"/>
    <n v="110"/>
    <n v="0"/>
    <x v="21"/>
    <s v="true"/>
    <s v="true"/>
    <x v="0"/>
  </r>
  <r>
    <n v="204"/>
    <d v="2024-08-10T00:00:00"/>
    <s v="8/2024"/>
    <x v="26"/>
    <x v="257"/>
    <x v="0"/>
    <x v="37"/>
    <x v="140"/>
    <n v="1"/>
    <n v="5900"/>
    <n v="5900"/>
    <n v="5900"/>
    <n v="5900"/>
    <m/>
    <n v="590"/>
    <n v="590"/>
    <n v="590"/>
    <n v="0"/>
    <x v="21"/>
    <s v="true"/>
    <s v="true"/>
    <x v="0"/>
  </r>
  <r>
    <n v="192"/>
    <d v="2024-07-29T00:00:00"/>
    <s v="7/2024"/>
    <x v="34"/>
    <x v="570"/>
    <x v="0"/>
    <x v="0"/>
    <x v="140"/>
    <n v="1"/>
    <n v="2181"/>
    <n v="2181"/>
    <n v="2331"/>
    <n v="2331"/>
    <m/>
    <n v="350"/>
    <n v="2681"/>
    <n v="2681"/>
    <n v="0"/>
    <x v="15"/>
    <s v="true"/>
    <s v="true"/>
    <x v="0"/>
  </r>
  <r>
    <n v="192"/>
    <d v="2024-07-29T00:00:00"/>
    <s v="7/2024"/>
    <x v="34"/>
    <x v="571"/>
    <x v="0"/>
    <x v="0"/>
    <x v="141"/>
    <n v="0"/>
    <n v="3378"/>
    <n v="0"/>
    <n v="3712"/>
    <n v="0"/>
    <m/>
    <n v="0"/>
    <n v="0"/>
    <m/>
    <n v="0"/>
    <x v="15"/>
    <s v="true"/>
    <s v="true"/>
    <x v="0"/>
  </r>
  <r>
    <n v="193"/>
    <d v="2024-07-29T00:00:00"/>
    <s v="7/2024"/>
    <x v="50"/>
    <x v="572"/>
    <x v="0"/>
    <x v="0"/>
    <x v="138"/>
    <n v="1"/>
    <n v="599"/>
    <n v="599"/>
    <n v="612"/>
    <n v="612"/>
    <m/>
    <n v="92"/>
    <n v="704"/>
    <n v="704"/>
    <n v="0"/>
    <x v="16"/>
    <s v="true"/>
    <s v="true"/>
    <x v="0"/>
  </r>
  <r>
    <n v="193"/>
    <d v="2024-07-29T00:00:00"/>
    <s v="7/2024"/>
    <x v="50"/>
    <x v="573"/>
    <x v="0"/>
    <x v="0"/>
    <x v="138"/>
    <n v="1"/>
    <n v="368"/>
    <n v="368"/>
    <n v="376"/>
    <n v="376"/>
    <m/>
    <n v="56"/>
    <n v="432"/>
    <n v="432"/>
    <n v="0"/>
    <x v="16"/>
    <s v="true"/>
    <s v="true"/>
    <x v="0"/>
  </r>
  <r>
    <n v="193"/>
    <d v="2024-07-29T00:00:00"/>
    <s v="7/2024"/>
    <x v="50"/>
    <x v="118"/>
    <x v="0"/>
    <x v="0"/>
    <x v="138"/>
    <n v="1"/>
    <n v="385"/>
    <n v="385"/>
    <n v="393"/>
    <n v="393"/>
    <m/>
    <n v="59"/>
    <n v="452"/>
    <n v="452"/>
    <n v="0"/>
    <x v="16"/>
    <s v="true"/>
    <s v="true"/>
    <x v="0"/>
  </r>
  <r>
    <n v="193"/>
    <d v="2024-07-29T00:00:00"/>
    <s v="7/2024"/>
    <x v="50"/>
    <x v="574"/>
    <x v="0"/>
    <x v="0"/>
    <x v="138"/>
    <n v="1"/>
    <n v="433"/>
    <n v="433"/>
    <n v="442"/>
    <n v="442"/>
    <m/>
    <n v="66"/>
    <n v="508"/>
    <n v="508"/>
    <n v="0"/>
    <x v="16"/>
    <s v="true"/>
    <s v="true"/>
    <x v="0"/>
  </r>
  <r>
    <n v="193"/>
    <d v="2024-07-29T00:00:00"/>
    <s v="7/2024"/>
    <x v="50"/>
    <x v="575"/>
    <x v="0"/>
    <x v="0"/>
    <x v="138"/>
    <n v="1"/>
    <n v="225"/>
    <n v="225"/>
    <n v="230"/>
    <n v="230"/>
    <m/>
    <n v="35"/>
    <n v="265"/>
    <n v="265"/>
    <n v="0"/>
    <x v="16"/>
    <s v="true"/>
    <s v="true"/>
    <x v="0"/>
  </r>
  <r>
    <n v="193"/>
    <d v="2024-07-29T00:00:00"/>
    <s v="7/2024"/>
    <x v="50"/>
    <x v="576"/>
    <x v="0"/>
    <x v="0"/>
    <x v="138"/>
    <n v="1"/>
    <n v="498"/>
    <n v="498"/>
    <n v="509"/>
    <n v="509"/>
    <m/>
    <n v="76"/>
    <n v="585"/>
    <n v="585"/>
    <n v="0"/>
    <x v="16"/>
    <s v="true"/>
    <s v="true"/>
    <x v="0"/>
  </r>
  <r>
    <n v="193"/>
    <d v="2024-07-29T00:00:00"/>
    <s v="7/2024"/>
    <x v="50"/>
    <x v="577"/>
    <x v="0"/>
    <x v="0"/>
    <x v="142"/>
    <n v="1"/>
    <n v="381"/>
    <n v="381"/>
    <n v="389"/>
    <n v="389"/>
    <m/>
    <n v="58"/>
    <n v="447"/>
    <n v="447"/>
    <n v="0"/>
    <x v="16"/>
    <s v="true"/>
    <s v="true"/>
    <x v="0"/>
  </r>
  <r>
    <n v="193"/>
    <d v="2024-07-29T00:00:00"/>
    <s v="7/2024"/>
    <x v="50"/>
    <x v="578"/>
    <x v="0"/>
    <x v="0"/>
    <x v="138"/>
    <n v="1"/>
    <n v="1242"/>
    <n v="1242"/>
    <n v="1268"/>
    <n v="1268"/>
    <m/>
    <n v="190"/>
    <n v="1458"/>
    <n v="1458"/>
    <n v="0"/>
    <x v="16"/>
    <s v="true"/>
    <s v="true"/>
    <x v="0"/>
  </r>
  <r>
    <n v="193"/>
    <d v="2024-07-29T00:00:00"/>
    <s v="7/2024"/>
    <x v="50"/>
    <x v="568"/>
    <x v="0"/>
    <x v="0"/>
    <x v="138"/>
    <n v="1"/>
    <n v="733"/>
    <n v="733"/>
    <n v="748"/>
    <n v="748"/>
    <m/>
    <n v="112"/>
    <n v="860"/>
    <n v="860"/>
    <n v="0"/>
    <x v="16"/>
    <s v="true"/>
    <s v="true"/>
    <x v="0"/>
  </r>
  <r>
    <n v="192"/>
    <d v="2024-07-29T00:00:00"/>
    <s v="7/2024"/>
    <x v="34"/>
    <x v="579"/>
    <x v="0"/>
    <x v="0"/>
    <x v="140"/>
    <n v="1"/>
    <n v="914"/>
    <n v="914"/>
    <n v="1004"/>
    <n v="1004"/>
    <m/>
    <n v="151"/>
    <n v="1155"/>
    <n v="1155"/>
    <n v="0"/>
    <x v="15"/>
    <s v="true"/>
    <s v="true"/>
    <x v="0"/>
  </r>
  <r>
    <n v="194"/>
    <d v="2024-08-02T00:00:00"/>
    <s v="8/2024"/>
    <x v="52"/>
    <x v="73"/>
    <x v="0"/>
    <x v="0"/>
    <x v="24"/>
    <n v="1"/>
    <n v="6366"/>
    <n v="6366"/>
    <n v="6366"/>
    <n v="6366"/>
    <n v="200"/>
    <n v="955"/>
    <n v="1155"/>
    <n v="1155"/>
    <n v="0"/>
    <x v="15"/>
    <s v="true"/>
    <s v="true"/>
    <x v="0"/>
  </r>
  <r>
    <n v="195"/>
    <d v="2024-08-02T00:00:00"/>
    <s v="8/2024"/>
    <x v="27"/>
    <x v="73"/>
    <x v="0"/>
    <x v="0"/>
    <x v="24"/>
    <n v="1"/>
    <n v="4524"/>
    <n v="4524"/>
    <n v="4524"/>
    <n v="4524"/>
    <m/>
    <n v="452"/>
    <n v="452"/>
    <n v="452"/>
    <n v="0"/>
    <x v="16"/>
    <s v="true"/>
    <s v="true"/>
    <x v="0"/>
  </r>
  <r>
    <n v="196"/>
    <d v="2024-08-04T00:00:00"/>
    <s v="8/2024"/>
    <x v="61"/>
    <x v="580"/>
    <x v="0"/>
    <x v="0"/>
    <x v="143"/>
    <n v="1"/>
    <n v="526"/>
    <n v="526"/>
    <n v="554"/>
    <n v="554"/>
    <m/>
    <n v="83"/>
    <n v="637"/>
    <n v="637"/>
    <n v="0"/>
    <x v="16"/>
    <s v="true"/>
    <s v="true"/>
    <x v="0"/>
  </r>
  <r>
    <n v="196"/>
    <d v="2024-08-04T00:00:00"/>
    <s v="8/2024"/>
    <x v="61"/>
    <x v="581"/>
    <x v="0"/>
    <x v="0"/>
    <x v="143"/>
    <n v="1"/>
    <n v="1198"/>
    <n v="1198"/>
    <n v="1262"/>
    <n v="1262"/>
    <m/>
    <n v="189"/>
    <n v="1451"/>
    <n v="1451"/>
    <n v="0"/>
    <x v="16"/>
    <s v="true"/>
    <s v="true"/>
    <x v="0"/>
  </r>
  <r>
    <n v="196"/>
    <d v="2024-08-04T00:00:00"/>
    <s v="8/2024"/>
    <x v="61"/>
    <x v="582"/>
    <x v="0"/>
    <x v="0"/>
    <x v="139"/>
    <n v="1"/>
    <n v="647"/>
    <n v="647"/>
    <n v="682"/>
    <n v="682"/>
    <m/>
    <n v="102"/>
    <n v="784"/>
    <n v="784"/>
    <n v="0"/>
    <x v="16"/>
    <s v="true"/>
    <s v="true"/>
    <x v="0"/>
  </r>
  <r>
    <n v="192"/>
    <d v="2024-07-29T00:00:00"/>
    <s v="7/2024"/>
    <x v="34"/>
    <x v="571"/>
    <x v="0"/>
    <x v="0"/>
    <x v="144"/>
    <n v="0"/>
    <n v="3934"/>
    <n v="0"/>
    <n v="4173"/>
    <n v="0"/>
    <m/>
    <n v="0"/>
    <n v="0"/>
    <m/>
    <n v="0"/>
    <x v="15"/>
    <s v="true"/>
    <s v="true"/>
    <x v="0"/>
  </r>
  <r>
    <n v="192"/>
    <d v="2024-07-29T00:00:00"/>
    <s v="7/2024"/>
    <x v="34"/>
    <x v="539"/>
    <x v="0"/>
    <x v="0"/>
    <x v="145"/>
    <n v="1"/>
    <n v="297"/>
    <n v="297"/>
    <n v="349"/>
    <n v="349"/>
    <m/>
    <n v="52"/>
    <n v="401"/>
    <n v="401"/>
    <n v="0"/>
    <x v="15"/>
    <s v="true"/>
    <s v="true"/>
    <x v="0"/>
  </r>
  <r>
    <n v="198"/>
    <d v="2024-08-06T00:00:00"/>
    <s v="8/2024"/>
    <x v="62"/>
    <x v="583"/>
    <x v="0"/>
    <x v="0"/>
    <x v="146"/>
    <n v="1"/>
    <n v="1201"/>
    <n v="1201"/>
    <n v="1292"/>
    <n v="1292"/>
    <m/>
    <n v="194"/>
    <n v="1486"/>
    <n v="1486"/>
    <n v="0"/>
    <x v="16"/>
    <s v="true"/>
    <s v="true"/>
    <x v="0"/>
  </r>
  <r>
    <n v="198"/>
    <d v="2024-08-06T00:00:00"/>
    <s v="8/2024"/>
    <x v="62"/>
    <x v="584"/>
    <x v="0"/>
    <x v="0"/>
    <x v="147"/>
    <n v="1"/>
    <n v="1253"/>
    <n v="1253"/>
    <n v="1348"/>
    <n v="1348"/>
    <m/>
    <n v="202"/>
    <n v="1550"/>
    <n v="1550"/>
    <n v="0"/>
    <x v="16"/>
    <s v="true"/>
    <s v="true"/>
    <x v="0"/>
  </r>
  <r>
    <n v="199"/>
    <d v="2024-08-07T00:00:00"/>
    <s v="8/2024"/>
    <x v="24"/>
    <x v="585"/>
    <x v="0"/>
    <x v="0"/>
    <x v="139"/>
    <n v="1"/>
    <n v="1449"/>
    <n v="1449"/>
    <n v="1576"/>
    <n v="1576"/>
    <m/>
    <n v="236"/>
    <n v="1812"/>
    <n v="1812"/>
    <n v="0"/>
    <x v="16"/>
    <s v="true"/>
    <s v="true"/>
    <x v="0"/>
  </r>
  <r>
    <n v="199"/>
    <d v="2024-08-07T00:00:00"/>
    <s v="8/2024"/>
    <x v="24"/>
    <x v="501"/>
    <x v="0"/>
    <x v="0"/>
    <x v="148"/>
    <n v="1"/>
    <n v="525"/>
    <n v="525"/>
    <n v="571"/>
    <n v="571"/>
    <m/>
    <n v="86"/>
    <n v="657"/>
    <n v="657"/>
    <n v="0"/>
    <x v="16"/>
    <s v="true"/>
    <s v="true"/>
    <x v="0"/>
  </r>
  <r>
    <n v="199"/>
    <d v="2024-08-07T00:00:00"/>
    <s v="8/2024"/>
    <x v="24"/>
    <x v="586"/>
    <x v="0"/>
    <x v="0"/>
    <x v="149"/>
    <n v="1"/>
    <n v="271"/>
    <n v="271"/>
    <n v="279"/>
    <n v="279"/>
    <m/>
    <n v="42"/>
    <n v="321"/>
    <n v="321"/>
    <n v="0"/>
    <x v="15"/>
    <s v="true"/>
    <s v="true"/>
    <x v="0"/>
  </r>
  <r>
    <n v="199"/>
    <d v="2024-08-07T00:00:00"/>
    <s v="8/2024"/>
    <x v="24"/>
    <x v="587"/>
    <x v="0"/>
    <x v="0"/>
    <x v="150"/>
    <n v="1"/>
    <n v="400"/>
    <n v="400"/>
    <n v="400"/>
    <n v="400"/>
    <n v="150"/>
    <n v="60"/>
    <n v="610"/>
    <n v="610"/>
    <n v="0"/>
    <x v="24"/>
    <s v="true"/>
    <s v="true"/>
    <x v="0"/>
  </r>
  <r>
    <n v="199"/>
    <d v="2024-08-07T00:00:00"/>
    <s v="8/2024"/>
    <x v="24"/>
    <x v="588"/>
    <x v="0"/>
    <x v="38"/>
    <x v="150"/>
    <n v="5"/>
    <n v="300"/>
    <n v="1500"/>
    <n v="300"/>
    <n v="1500"/>
    <n v="600"/>
    <n v="225"/>
    <n v="2325"/>
    <n v="2325"/>
    <n v="0"/>
    <x v="25"/>
    <s v="true"/>
    <s v="true"/>
    <x v="0"/>
  </r>
  <r>
    <n v="200"/>
    <d v="2024-08-07T00:00:00"/>
    <s v="8/2024"/>
    <x v="3"/>
    <x v="395"/>
    <x v="0"/>
    <x v="0"/>
    <x v="151"/>
    <n v="1"/>
    <n v="3708"/>
    <n v="3708"/>
    <n v="4031"/>
    <n v="4031"/>
    <m/>
    <n v="605"/>
    <n v="4636"/>
    <n v="4636"/>
    <n v="0"/>
    <x v="16"/>
    <s v="true"/>
    <s v="true"/>
    <x v="0"/>
  </r>
  <r>
    <n v="201"/>
    <d v="2024-08-08T00:00:00"/>
    <s v="8/2024"/>
    <x v="60"/>
    <x v="257"/>
    <x v="0"/>
    <x v="39"/>
    <x v="139"/>
    <n v="1"/>
    <n v="35000"/>
    <n v="35000"/>
    <n v="35000"/>
    <n v="35000"/>
    <n v="200"/>
    <n v="3500"/>
    <n v="3700"/>
    <n v="3700"/>
    <n v="0"/>
    <x v="20"/>
    <s v="true"/>
    <s v="true"/>
    <x v="0"/>
  </r>
  <r>
    <n v="202"/>
    <d v="2024-08-08T00:00:00"/>
    <s v="8/2024"/>
    <x v="63"/>
    <x v="73"/>
    <x v="0"/>
    <x v="0"/>
    <x v="139"/>
    <n v="1"/>
    <n v="4557"/>
    <n v="4557"/>
    <n v="4557"/>
    <n v="4557"/>
    <m/>
    <n v="684"/>
    <n v="684"/>
    <n v="684"/>
    <n v="0"/>
    <x v="1"/>
    <s v="true"/>
    <s v="true"/>
    <x v="0"/>
  </r>
  <r>
    <n v="203"/>
    <d v="2024-08-09T00:00:00"/>
    <s v="8/2024"/>
    <x v="64"/>
    <x v="73"/>
    <x v="0"/>
    <x v="0"/>
    <x v="139"/>
    <n v="1"/>
    <n v="5926"/>
    <n v="5926"/>
    <n v="5926"/>
    <n v="5926"/>
    <m/>
    <n v="889"/>
    <n v="889"/>
    <n v="889"/>
    <n v="0"/>
    <x v="1"/>
    <s v="true"/>
    <s v="true"/>
    <x v="0"/>
  </r>
  <r>
    <n v="199"/>
    <d v="2024-08-07T00:00:00"/>
    <s v="8/2024"/>
    <x v="24"/>
    <x v="589"/>
    <x v="0"/>
    <x v="0"/>
    <x v="152"/>
    <n v="1"/>
    <n v="250"/>
    <n v="250"/>
    <n v="250"/>
    <n v="250"/>
    <m/>
    <m/>
    <n v="250"/>
    <n v="250"/>
    <n v="0"/>
    <x v="24"/>
    <s v="true"/>
    <s v="true"/>
    <x v="0"/>
  </r>
  <r>
    <n v="204"/>
    <d v="2024-08-10T00:00:00"/>
    <s v="8/2024"/>
    <x v="26"/>
    <x v="257"/>
    <x v="0"/>
    <x v="40"/>
    <x v="149"/>
    <n v="1"/>
    <n v="2800"/>
    <n v="2800"/>
    <n v="2800"/>
    <n v="2800"/>
    <m/>
    <n v="280"/>
    <n v="280"/>
    <n v="280"/>
    <n v="0"/>
    <x v="20"/>
    <s v="true"/>
    <s v="true"/>
    <x v="0"/>
  </r>
  <r>
    <n v="204"/>
    <d v="2024-08-10T00:00:00"/>
    <s v="8/2024"/>
    <x v="26"/>
    <x v="257"/>
    <x v="0"/>
    <x v="41"/>
    <x v="153"/>
    <n v="1"/>
    <n v="4000"/>
    <n v="4000"/>
    <n v="4000"/>
    <n v="4000"/>
    <m/>
    <n v="400"/>
    <n v="400"/>
    <n v="400"/>
    <n v="0"/>
    <x v="20"/>
    <s v="true"/>
    <s v="true"/>
    <x v="0"/>
  </r>
  <r>
    <n v="204"/>
    <d v="2024-08-10T00:00:00"/>
    <s v="8/2024"/>
    <x v="26"/>
    <x v="257"/>
    <x v="0"/>
    <x v="42"/>
    <x v="153"/>
    <n v="1"/>
    <n v="3090"/>
    <n v="3090"/>
    <n v="3090"/>
    <n v="3090"/>
    <m/>
    <n v="309"/>
    <n v="309"/>
    <n v="309"/>
    <n v="0"/>
    <x v="20"/>
    <s v="true"/>
    <s v="true"/>
    <x v="0"/>
  </r>
  <r>
    <n v="204"/>
    <d v="2024-08-10T00:00:00"/>
    <s v="8/2024"/>
    <x v="26"/>
    <x v="257"/>
    <x v="0"/>
    <x v="43"/>
    <x v="154"/>
    <n v="1"/>
    <n v="5400"/>
    <n v="5400"/>
    <n v="5400"/>
    <n v="5400"/>
    <m/>
    <n v="540"/>
    <n v="540"/>
    <n v="540"/>
    <n v="0"/>
    <x v="21"/>
    <s v="true"/>
    <s v="true"/>
    <x v="0"/>
  </r>
  <r>
    <n v="204"/>
    <d v="2024-08-10T00:00:00"/>
    <s v="8/2024"/>
    <x v="26"/>
    <x v="257"/>
    <x v="0"/>
    <x v="44"/>
    <x v="155"/>
    <n v="1"/>
    <n v="12990"/>
    <n v="12990"/>
    <n v="12990"/>
    <n v="12990"/>
    <n v="480.75"/>
    <n v="1299"/>
    <n v="1779.75"/>
    <n v="1779.75"/>
    <n v="0"/>
    <x v="20"/>
    <s v="true"/>
    <s v="true"/>
    <x v="0"/>
  </r>
  <r>
    <n v="204"/>
    <d v="2024-08-10T00:00:00"/>
    <s v="8/2024"/>
    <x v="26"/>
    <x v="257"/>
    <x v="0"/>
    <x v="45"/>
    <x v="150"/>
    <n v="1"/>
    <n v="15990"/>
    <n v="15990"/>
    <n v="15990"/>
    <n v="15990"/>
    <m/>
    <n v="1599"/>
    <n v="1599"/>
    <n v="1599"/>
    <n v="0"/>
    <x v="20"/>
    <s v="true"/>
    <s v="true"/>
    <x v="0"/>
  </r>
  <r>
    <n v="204"/>
    <d v="2024-08-10T00:00:00"/>
    <s v="8/2024"/>
    <x v="26"/>
    <x v="257"/>
    <x v="0"/>
    <x v="46"/>
    <x v="155"/>
    <n v="1"/>
    <n v="6000"/>
    <n v="6000"/>
    <n v="6000"/>
    <n v="6000"/>
    <n v="748"/>
    <n v="600"/>
    <n v="1348"/>
    <n v="1348"/>
    <n v="0"/>
    <x v="21"/>
    <s v="true"/>
    <s v="true"/>
    <x v="0"/>
  </r>
  <r>
    <n v="205"/>
    <d v="2024-08-10T00:00:00"/>
    <s v="8/2024"/>
    <x v="34"/>
    <x v="571"/>
    <x v="0"/>
    <x v="0"/>
    <x v="155"/>
    <n v="1"/>
    <n v="4310"/>
    <n v="4310"/>
    <n v="4622"/>
    <n v="4622"/>
    <m/>
    <n v="693"/>
    <n v="5315"/>
    <n v="5315"/>
    <n v="0"/>
    <x v="15"/>
    <s v="true"/>
    <s v="true"/>
    <x v="0"/>
  </r>
  <r>
    <n v="205"/>
    <d v="2024-08-10T00:00:00"/>
    <s v="8/2024"/>
    <x v="34"/>
    <x v="579"/>
    <x v="0"/>
    <x v="0"/>
    <x v="154"/>
    <n v="1"/>
    <n v="978"/>
    <n v="978"/>
    <n v="1030"/>
    <n v="1030"/>
    <m/>
    <n v="155"/>
    <n v="1185"/>
    <n v="1185"/>
    <n v="0"/>
    <x v="15"/>
    <s v="true"/>
    <s v="true"/>
    <x v="0"/>
  </r>
  <r>
    <n v="205"/>
    <d v="2024-08-10T00:00:00"/>
    <s v="8/2024"/>
    <x v="34"/>
    <x v="590"/>
    <x v="0"/>
    <x v="0"/>
    <x v="151"/>
    <n v="1"/>
    <n v="2239"/>
    <n v="2239"/>
    <n v="2367"/>
    <n v="2367"/>
    <m/>
    <n v="355"/>
    <n v="2722"/>
    <n v="2722"/>
    <n v="0"/>
    <x v="15"/>
    <s v="true"/>
    <s v="true"/>
    <x v="0"/>
  </r>
  <r>
    <n v="205"/>
    <d v="2024-08-10T00:00:00"/>
    <s v="8/2024"/>
    <x v="34"/>
    <x v="591"/>
    <x v="0"/>
    <x v="0"/>
    <x v="154"/>
    <n v="1"/>
    <n v="353"/>
    <n v="353"/>
    <n v="360"/>
    <n v="360"/>
    <m/>
    <n v="54"/>
    <n v="414"/>
    <n v="414"/>
    <n v="0"/>
    <x v="15"/>
    <s v="true"/>
    <s v="true"/>
    <x v="0"/>
  </r>
  <r>
    <n v="206"/>
    <d v="2024-08-10T00:00:00"/>
    <s v="8/2024"/>
    <x v="15"/>
    <x v="592"/>
    <x v="0"/>
    <x v="0"/>
    <x v="149"/>
    <n v="1"/>
    <n v="55000"/>
    <n v="55000"/>
    <n v="55000"/>
    <n v="55000"/>
    <n v="613"/>
    <n v="5500"/>
    <n v="61113"/>
    <n v="61113"/>
    <n v="0"/>
    <x v="20"/>
    <s v="true"/>
    <s v="true"/>
    <x v="0"/>
  </r>
  <r>
    <n v="207"/>
    <d v="2024-08-12T00:00:00"/>
    <s v="8/2024"/>
    <x v="1"/>
    <x v="593"/>
    <x v="0"/>
    <x v="0"/>
    <x v="154"/>
    <n v="1"/>
    <n v="332"/>
    <n v="332"/>
    <n v="350"/>
    <n v="350"/>
    <m/>
    <n v="35"/>
    <n v="385"/>
    <n v="385"/>
    <n v="0"/>
    <x v="16"/>
    <s v="true"/>
    <s v="true"/>
    <x v="0"/>
  </r>
  <r>
    <n v="207"/>
    <d v="2024-08-12T00:00:00"/>
    <s v="8/2024"/>
    <x v="1"/>
    <x v="474"/>
    <x v="0"/>
    <x v="0"/>
    <x v="154"/>
    <n v="1"/>
    <n v="698"/>
    <n v="698"/>
    <n v="735"/>
    <n v="735"/>
    <m/>
    <n v="74"/>
    <n v="809"/>
    <n v="809"/>
    <n v="0"/>
    <x v="16"/>
    <s v="true"/>
    <s v="true"/>
    <x v="0"/>
  </r>
  <r>
    <n v="207"/>
    <d v="2024-08-12T00:00:00"/>
    <s v="8/2024"/>
    <x v="1"/>
    <x v="474"/>
    <x v="0"/>
    <x v="0"/>
    <x v="154"/>
    <n v="1"/>
    <n v="685"/>
    <n v="685"/>
    <n v="722"/>
    <n v="722"/>
    <m/>
    <n v="72"/>
    <n v="794"/>
    <n v="794"/>
    <n v="0"/>
    <x v="16"/>
    <s v="true"/>
    <s v="true"/>
    <x v="0"/>
  </r>
  <r>
    <n v="204"/>
    <d v="2024-08-10T00:00:00"/>
    <s v="8/2024"/>
    <x v="26"/>
    <x v="257"/>
    <x v="0"/>
    <x v="47"/>
    <x v="150"/>
    <n v="1"/>
    <n v="13500"/>
    <n v="13500"/>
    <n v="13500"/>
    <n v="13500"/>
    <m/>
    <n v="1350"/>
    <n v="1350"/>
    <n v="1350"/>
    <n v="0"/>
    <x v="20"/>
    <s v="true"/>
    <s v="true"/>
    <x v="0"/>
  </r>
  <r>
    <n v="208"/>
    <d v="2024-08-13T00:00:00"/>
    <s v="8/2024"/>
    <x v="64"/>
    <x v="73"/>
    <x v="0"/>
    <x v="0"/>
    <x v="155"/>
    <n v="1"/>
    <n v="3970"/>
    <n v="3970"/>
    <n v="3970"/>
    <n v="3970"/>
    <m/>
    <n v="596"/>
    <n v="596"/>
    <n v="596"/>
    <n v="0"/>
    <x v="1"/>
    <s v="true"/>
    <s v="true"/>
    <x v="0"/>
  </r>
  <r>
    <n v="209"/>
    <d v="2024-08-13T00:00:00"/>
    <s v="8/2024"/>
    <x v="52"/>
    <x v="73"/>
    <x v="0"/>
    <x v="0"/>
    <x v="155"/>
    <n v="1"/>
    <n v="10871"/>
    <n v="10871"/>
    <n v="10871"/>
    <n v="10871"/>
    <n v="200"/>
    <n v="1087"/>
    <n v="1287"/>
    <n v="1287"/>
    <n v="0"/>
    <x v="15"/>
    <s v="true"/>
    <s v="true"/>
    <x v="0"/>
  </r>
  <r>
    <n v="210"/>
    <d v="2024-08-16T00:00:00"/>
    <s v="8/2024"/>
    <x v="49"/>
    <x v="594"/>
    <x v="0"/>
    <x v="48"/>
    <x v="156"/>
    <n v="1"/>
    <n v="12688"/>
    <n v="12688"/>
    <n v="12688"/>
    <n v="12688"/>
    <m/>
    <n v="1269"/>
    <n v="13957"/>
    <n v="13957"/>
    <n v="0"/>
    <x v="18"/>
    <s v="true"/>
    <s v="true"/>
    <x v="0"/>
  </r>
  <r>
    <n v="211"/>
    <d v="2024-08-16T00:00:00"/>
    <s v="8/2024"/>
    <x v="34"/>
    <x v="595"/>
    <x v="0"/>
    <x v="0"/>
    <x v="145"/>
    <n v="1"/>
    <n v="1073"/>
    <n v="1073"/>
    <n v="1155"/>
    <n v="1155"/>
    <m/>
    <n v="100"/>
    <n v="1255"/>
    <n v="1255"/>
    <n v="0"/>
    <x v="15"/>
    <s v="true"/>
    <s v="true"/>
    <x v="0"/>
  </r>
  <r>
    <n v="211"/>
    <d v="2024-08-16T00:00:00"/>
    <s v="8/2024"/>
    <x v="34"/>
    <x v="596"/>
    <x v="0"/>
    <x v="0"/>
    <x v="144"/>
    <n v="1"/>
    <n v="345"/>
    <n v="345"/>
    <n v="345"/>
    <n v="345"/>
    <m/>
    <n v="100"/>
    <n v="445"/>
    <n v="445"/>
    <n v="0"/>
    <x v="15"/>
    <s v="true"/>
    <s v="true"/>
    <x v="0"/>
  </r>
  <r>
    <n v="212"/>
    <d v="2024-08-16T00:00:00"/>
    <s v="8/2024"/>
    <x v="10"/>
    <x v="597"/>
    <x v="0"/>
    <x v="0"/>
    <x v="149"/>
    <n v="1"/>
    <n v="233"/>
    <n v="233"/>
    <n v="233"/>
    <n v="233"/>
    <m/>
    <n v="200"/>
    <n v="433"/>
    <n v="433"/>
    <n v="0"/>
    <x v="15"/>
    <s v="true"/>
    <s v="true"/>
    <x v="0"/>
  </r>
  <r>
    <n v="213"/>
    <d v="2024-08-16T00:00:00"/>
    <s v="8/2024"/>
    <x v="65"/>
    <x v="73"/>
    <x v="0"/>
    <x v="0"/>
    <x v="149"/>
    <n v="1"/>
    <n v="12991"/>
    <n v="12991"/>
    <n v="12991"/>
    <n v="12991"/>
    <m/>
    <n v="1299"/>
    <n v="1299"/>
    <n v="1299"/>
    <n v="0"/>
    <x v="16"/>
    <s v="true"/>
    <s v="true"/>
    <x v="0"/>
  </r>
  <r>
    <n v="214"/>
    <d v="2024-08-16T00:00:00"/>
    <s v="8/2024"/>
    <x v="63"/>
    <x v="73"/>
    <x v="0"/>
    <x v="0"/>
    <x v="149"/>
    <n v="1"/>
    <n v="5915"/>
    <n v="5915"/>
    <n v="5915"/>
    <n v="5915"/>
    <m/>
    <n v="887"/>
    <n v="887"/>
    <n v="887"/>
    <n v="0"/>
    <x v="15"/>
    <s v="true"/>
    <s v="true"/>
    <x v="0"/>
  </r>
  <r>
    <n v="215"/>
    <d v="2024-08-16T00:00:00"/>
    <s v="8/2024"/>
    <x v="23"/>
    <x v="598"/>
    <x v="0"/>
    <x v="0"/>
    <x v="137"/>
    <n v="1"/>
    <n v="239"/>
    <n v="239"/>
    <n v="244"/>
    <n v="244"/>
    <m/>
    <n v="37"/>
    <n v="281"/>
    <n v="281"/>
    <n v="0"/>
    <x v="15"/>
    <s v="true"/>
    <s v="true"/>
    <x v="0"/>
  </r>
  <r>
    <n v="215"/>
    <d v="2024-08-16T00:00:00"/>
    <s v="8/2024"/>
    <x v="23"/>
    <x v="599"/>
    <x v="0"/>
    <x v="0"/>
    <x v="137"/>
    <n v="1"/>
    <n v="633"/>
    <n v="633"/>
    <n v="682"/>
    <n v="682"/>
    <m/>
    <n v="102"/>
    <n v="784"/>
    <n v="784"/>
    <n v="0"/>
    <x v="15"/>
    <s v="true"/>
    <s v="true"/>
    <x v="0"/>
  </r>
  <r>
    <n v="215"/>
    <d v="2024-08-16T00:00:00"/>
    <s v="8/2024"/>
    <x v="23"/>
    <x v="600"/>
    <x v="0"/>
    <x v="0"/>
    <x v="137"/>
    <n v="1"/>
    <n v="495"/>
    <n v="495"/>
    <n v="531"/>
    <n v="531"/>
    <m/>
    <n v="80"/>
    <n v="611"/>
    <n v="611"/>
    <n v="0"/>
    <x v="15"/>
    <s v="true"/>
    <s v="true"/>
    <x v="0"/>
  </r>
  <r>
    <n v="215"/>
    <d v="2024-08-16T00:00:00"/>
    <s v="8/2024"/>
    <x v="23"/>
    <x v="601"/>
    <x v="0"/>
    <x v="0"/>
    <x v="137"/>
    <n v="1"/>
    <n v="281"/>
    <n v="281"/>
    <n v="290"/>
    <n v="290"/>
    <m/>
    <n v="44"/>
    <n v="334"/>
    <n v="334"/>
    <n v="0"/>
    <x v="15"/>
    <s v="true"/>
    <s v="true"/>
    <x v="0"/>
  </r>
  <r>
    <n v="215"/>
    <d v="2024-08-16T00:00:00"/>
    <s v="8/2024"/>
    <x v="23"/>
    <x v="139"/>
    <x v="0"/>
    <x v="0"/>
    <x v="137"/>
    <n v="1"/>
    <n v="268"/>
    <n v="268"/>
    <n v="283"/>
    <n v="283"/>
    <m/>
    <n v="42"/>
    <n v="325"/>
    <n v="325"/>
    <n v="0"/>
    <x v="16"/>
    <s v="true"/>
    <s v="true"/>
    <x v="0"/>
  </r>
  <r>
    <n v="215"/>
    <d v="2024-08-16T00:00:00"/>
    <s v="8/2024"/>
    <x v="23"/>
    <x v="602"/>
    <x v="0"/>
    <x v="0"/>
    <x v="145"/>
    <n v="1"/>
    <n v="256"/>
    <n v="256"/>
    <n v="270"/>
    <n v="270"/>
    <m/>
    <n v="41"/>
    <n v="311"/>
    <n v="311"/>
    <n v="0"/>
    <x v="16"/>
    <s v="true"/>
    <s v="true"/>
    <x v="0"/>
  </r>
  <r>
    <n v="215"/>
    <d v="2024-08-16T00:00:00"/>
    <s v="8/2024"/>
    <x v="23"/>
    <x v="603"/>
    <x v="0"/>
    <x v="0"/>
    <x v="145"/>
    <n v="1"/>
    <n v="569"/>
    <n v="569"/>
    <n v="599"/>
    <n v="599"/>
    <m/>
    <n v="90"/>
    <n v="689"/>
    <n v="689"/>
    <n v="0"/>
    <x v="16"/>
    <s v="true"/>
    <s v="true"/>
    <x v="0"/>
  </r>
  <r>
    <n v="215"/>
    <d v="2024-08-16T00:00:00"/>
    <s v="8/2024"/>
    <x v="23"/>
    <x v="604"/>
    <x v="0"/>
    <x v="0"/>
    <x v="137"/>
    <n v="1"/>
    <n v="153"/>
    <n v="153"/>
    <n v="162"/>
    <n v="162"/>
    <m/>
    <n v="24"/>
    <n v="186"/>
    <n v="186"/>
    <n v="0"/>
    <x v="16"/>
    <s v="true"/>
    <s v="true"/>
    <x v="0"/>
  </r>
  <r>
    <n v="215"/>
    <d v="2024-08-16T00:00:00"/>
    <s v="8/2024"/>
    <x v="23"/>
    <x v="605"/>
    <x v="0"/>
    <x v="0"/>
    <x v="157"/>
    <n v="1"/>
    <n v="385"/>
    <n v="385"/>
    <n v="393"/>
    <n v="393"/>
    <m/>
    <n v="59"/>
    <n v="452"/>
    <n v="452"/>
    <n v="0"/>
    <x v="15"/>
    <s v="true"/>
    <s v="true"/>
    <x v="0"/>
  </r>
  <r>
    <n v="215"/>
    <d v="2024-08-16T00:00:00"/>
    <s v="8/2024"/>
    <x v="23"/>
    <x v="606"/>
    <x v="0"/>
    <x v="0"/>
    <x v="137"/>
    <n v="1"/>
    <n v="253"/>
    <n v="253"/>
    <n v="261"/>
    <n v="261"/>
    <m/>
    <n v="39"/>
    <n v="300"/>
    <n v="300"/>
    <n v="0"/>
    <x v="15"/>
    <s v="true"/>
    <s v="true"/>
    <x v="0"/>
  </r>
  <r>
    <n v="215"/>
    <d v="2024-08-16T00:00:00"/>
    <s v="8/2024"/>
    <x v="23"/>
    <x v="607"/>
    <x v="0"/>
    <x v="0"/>
    <x v="145"/>
    <n v="1"/>
    <n v="1241"/>
    <n v="1241"/>
    <n v="1307"/>
    <n v="1307"/>
    <m/>
    <n v="196"/>
    <n v="1503"/>
    <n v="1503"/>
    <n v="0"/>
    <x v="16"/>
    <s v="true"/>
    <s v="true"/>
    <x v="0"/>
  </r>
  <r>
    <n v="216"/>
    <d v="2024-08-17T00:00:00"/>
    <s v="8/2024"/>
    <x v="35"/>
    <x v="608"/>
    <x v="0"/>
    <x v="0"/>
    <x v="137"/>
    <n v="1"/>
    <n v="1159"/>
    <n v="1159"/>
    <n v="1250"/>
    <n v="1250"/>
    <m/>
    <n v="188"/>
    <n v="1438"/>
    <n v="1438"/>
    <n v="0"/>
    <x v="15"/>
    <s v="true"/>
    <s v="true"/>
    <x v="0"/>
  </r>
  <r>
    <n v="216"/>
    <d v="2024-08-17T00:00:00"/>
    <s v="8/2024"/>
    <x v="35"/>
    <x v="609"/>
    <x v="0"/>
    <x v="49"/>
    <x v="158"/>
    <n v="1"/>
    <n v="1000"/>
    <n v="1000"/>
    <n v="1000"/>
    <n v="1000"/>
    <n v="1228.01"/>
    <n v="150"/>
    <n v="2378.0100000000002"/>
    <n v="2378.0100000000002"/>
    <n v="0"/>
    <x v="20"/>
    <s v="true"/>
    <s v="true"/>
    <x v="0"/>
  </r>
  <r>
    <n v="191"/>
    <d v="2024-08-19T00:00:00"/>
    <s v="8/2024"/>
    <x v="26"/>
    <x v="257"/>
    <x v="0"/>
    <x v="50"/>
    <x v="159"/>
    <n v="1"/>
    <n v="29038"/>
    <n v="29038"/>
    <n v="29038"/>
    <n v="29038"/>
    <m/>
    <n v="2904"/>
    <n v="2904"/>
    <n v="2904"/>
    <n v="0"/>
    <x v="20"/>
    <s v="true"/>
    <s v="true"/>
    <x v="0"/>
  </r>
  <r>
    <n v="191"/>
    <d v="2024-08-19T00:00:00"/>
    <s v="8/2024"/>
    <x v="26"/>
    <x v="257"/>
    <x v="0"/>
    <x v="51"/>
    <x v="160"/>
    <n v="1"/>
    <n v="15000"/>
    <n v="15000"/>
    <n v="15000"/>
    <n v="15000"/>
    <n v="0"/>
    <n v="1500"/>
    <n v="1500"/>
    <n v="1500"/>
    <n v="0"/>
    <x v="20"/>
    <s v="true"/>
    <s v="true"/>
    <x v="0"/>
  </r>
  <r>
    <n v="191"/>
    <d v="2024-08-19T00:00:00"/>
    <s v="8/2024"/>
    <x v="26"/>
    <x v="257"/>
    <x v="0"/>
    <x v="52"/>
    <x v="160"/>
    <n v="1"/>
    <n v="2650"/>
    <n v="2650"/>
    <n v="2650"/>
    <n v="2650"/>
    <n v="0"/>
    <n v="265"/>
    <n v="265"/>
    <n v="265"/>
    <n v="0"/>
    <x v="20"/>
    <s v="true"/>
    <s v="true"/>
    <x v="0"/>
  </r>
  <r>
    <n v="217"/>
    <d v="2024-08-19T00:00:00"/>
    <s v="8/2024"/>
    <x v="47"/>
    <x v="610"/>
    <x v="0"/>
    <x v="0"/>
    <x v="141"/>
    <n v="1"/>
    <n v="581"/>
    <n v="581"/>
    <n v="612"/>
    <n v="612"/>
    <m/>
    <n v="92"/>
    <n v="704"/>
    <n v="704"/>
    <n v="0"/>
    <x v="16"/>
    <s v="true"/>
    <s v="true"/>
    <x v="0"/>
  </r>
  <r>
    <n v="217"/>
    <d v="2024-08-19T00:00:00"/>
    <s v="8/2024"/>
    <x v="47"/>
    <x v="611"/>
    <x v="0"/>
    <x v="0"/>
    <x v="157"/>
    <n v="1"/>
    <n v="2584"/>
    <n v="2584"/>
    <n v="2720"/>
    <n v="2720"/>
    <m/>
    <n v="408"/>
    <n v="3128"/>
    <n v="3128"/>
    <n v="0"/>
    <x v="16"/>
    <s v="true"/>
    <s v="true"/>
    <x v="0"/>
  </r>
  <r>
    <n v="217"/>
    <d v="2024-08-19T00:00:00"/>
    <s v="8/2024"/>
    <x v="47"/>
    <x v="612"/>
    <x v="0"/>
    <x v="0"/>
    <x v="160"/>
    <n v="1"/>
    <n v="885"/>
    <n v="885"/>
    <n v="932"/>
    <n v="932"/>
    <m/>
    <n v="140"/>
    <n v="1072"/>
    <n v="1072"/>
    <n v="0"/>
    <x v="16"/>
    <s v="true"/>
    <s v="true"/>
    <x v="0"/>
  </r>
  <r>
    <n v="217"/>
    <d v="2024-08-19T00:00:00"/>
    <s v="8/2024"/>
    <x v="47"/>
    <x v="613"/>
    <x v="0"/>
    <x v="0"/>
    <x v="160"/>
    <n v="1"/>
    <n v="1970"/>
    <n v="1970"/>
    <n v="2074"/>
    <n v="2074"/>
    <m/>
    <n v="311"/>
    <n v="2385"/>
    <n v="2385"/>
    <n v="0"/>
    <x v="16"/>
    <s v="true"/>
    <s v="true"/>
    <x v="0"/>
  </r>
  <r>
    <n v="217"/>
    <d v="2024-08-19T00:00:00"/>
    <s v="8/2024"/>
    <x v="47"/>
    <x v="614"/>
    <x v="0"/>
    <x v="0"/>
    <x v="141"/>
    <n v="1"/>
    <n v="594"/>
    <n v="594"/>
    <n v="626"/>
    <n v="626"/>
    <m/>
    <n v="94"/>
    <n v="720"/>
    <n v="720"/>
    <n v="0"/>
    <x v="16"/>
    <s v="true"/>
    <s v="true"/>
    <x v="0"/>
  </r>
  <r>
    <n v="217"/>
    <d v="2024-08-19T00:00:00"/>
    <s v="8/2024"/>
    <x v="47"/>
    <x v="27"/>
    <x v="0"/>
    <x v="0"/>
    <x v="157"/>
    <n v="1"/>
    <n v="419"/>
    <n v="419"/>
    <n v="442"/>
    <n v="442"/>
    <m/>
    <n v="66"/>
    <n v="508"/>
    <n v="508"/>
    <n v="0"/>
    <x v="16"/>
    <s v="true"/>
    <s v="true"/>
    <x v="0"/>
  </r>
  <r>
    <n v="217"/>
    <d v="2024-08-19T00:00:00"/>
    <s v="8/2024"/>
    <x v="47"/>
    <x v="615"/>
    <x v="0"/>
    <x v="0"/>
    <x v="160"/>
    <n v="1"/>
    <n v="373"/>
    <n v="373"/>
    <n v="393"/>
    <n v="393"/>
    <m/>
    <n v="59"/>
    <n v="452"/>
    <n v="452"/>
    <n v="0"/>
    <x v="16"/>
    <s v="true"/>
    <s v="true"/>
    <x v="0"/>
  </r>
  <r>
    <n v="219"/>
    <d v="2024-08-20T00:00:00"/>
    <s v="8/2024"/>
    <x v="48"/>
    <x v="616"/>
    <x v="0"/>
    <x v="0"/>
    <x v="160"/>
    <n v="1"/>
    <n v="2813"/>
    <n v="2813"/>
    <n v="2962"/>
    <n v="2962"/>
    <n v="148"/>
    <n v="444"/>
    <n v="3554"/>
    <n v="3554"/>
    <n v="0"/>
    <x v="16"/>
    <s v="true"/>
    <s v="true"/>
    <x v="0"/>
  </r>
  <r>
    <n v="219"/>
    <d v="2024-08-20T00:00:00"/>
    <s v="8/2024"/>
    <x v="48"/>
    <x v="541"/>
    <x v="0"/>
    <x v="0"/>
    <x v="160"/>
    <n v="1"/>
    <n v="1322"/>
    <n v="1322"/>
    <n v="1392"/>
    <n v="1392"/>
    <m/>
    <n v="209"/>
    <n v="1601"/>
    <n v="1601"/>
    <n v="0"/>
    <x v="16"/>
    <s v="true"/>
    <s v="true"/>
    <x v="0"/>
  </r>
  <r>
    <n v="219"/>
    <d v="2024-08-20T00:00:00"/>
    <s v="8/2024"/>
    <x v="48"/>
    <x v="617"/>
    <x v="0"/>
    <x v="0"/>
    <x v="160"/>
    <n v="1"/>
    <n v="470"/>
    <n v="470"/>
    <n v="495"/>
    <n v="495"/>
    <m/>
    <n v="74"/>
    <n v="569"/>
    <n v="569"/>
    <n v="0"/>
    <x v="16"/>
    <s v="true"/>
    <s v="true"/>
    <x v="0"/>
  </r>
  <r>
    <n v="219"/>
    <d v="2024-08-20T00:00:00"/>
    <s v="8/2024"/>
    <x v="48"/>
    <x v="618"/>
    <x v="0"/>
    <x v="0"/>
    <x v="160"/>
    <n v="1"/>
    <n v="297"/>
    <n v="297"/>
    <n v="313"/>
    <n v="313"/>
    <m/>
    <n v="47"/>
    <n v="360"/>
    <n v="360"/>
    <n v="0"/>
    <x v="16"/>
    <s v="true"/>
    <s v="true"/>
    <x v="0"/>
  </r>
  <r>
    <n v="191"/>
    <d v="2024-08-19T00:00:00"/>
    <s v="8/2024"/>
    <x v="26"/>
    <x v="257"/>
    <x v="0"/>
    <x v="53"/>
    <x v="161"/>
    <n v="1"/>
    <n v="11990"/>
    <n v="11990"/>
    <n v="11990"/>
    <n v="11990"/>
    <m/>
    <n v="1199"/>
    <n v="1199"/>
    <n v="1199"/>
    <n v="0"/>
    <x v="20"/>
    <s v="true"/>
    <s v="true"/>
    <x v="0"/>
  </r>
  <r>
    <n v="191"/>
    <d v="2024-08-19T00:00:00"/>
    <s v="8/2024"/>
    <x v="26"/>
    <x v="257"/>
    <x v="0"/>
    <x v="54"/>
    <x v="158"/>
    <n v="1"/>
    <n v="1999"/>
    <n v="1999"/>
    <n v="1999"/>
    <n v="1999"/>
    <m/>
    <n v="200"/>
    <n v="200"/>
    <n v="200"/>
    <n v="0"/>
    <x v="20"/>
    <s v="true"/>
    <s v="true"/>
    <x v="0"/>
  </r>
  <r>
    <n v="191"/>
    <d v="2024-08-19T00:00:00"/>
    <s v="8/2024"/>
    <x v="26"/>
    <x v="257"/>
    <x v="0"/>
    <x v="55"/>
    <x v="161"/>
    <n v="1"/>
    <n v="31000"/>
    <n v="31000"/>
    <n v="31000"/>
    <n v="31000"/>
    <m/>
    <n v="3100"/>
    <n v="3100"/>
    <n v="3100"/>
    <n v="0"/>
    <x v="20"/>
    <s v="true"/>
    <s v="true"/>
    <x v="0"/>
  </r>
  <r>
    <n v="227"/>
    <d v="2024-08-27T00:00:00"/>
    <s v="8/2024"/>
    <x v="60"/>
    <x v="257"/>
    <x v="0"/>
    <x v="56"/>
    <x v="141"/>
    <n v="1"/>
    <n v="6900"/>
    <n v="6900"/>
    <n v="6900"/>
    <n v="6900"/>
    <m/>
    <n v="690"/>
    <n v="690"/>
    <n v="690"/>
    <n v="0"/>
    <x v="20"/>
    <s v="true"/>
    <s v="true"/>
    <x v="0"/>
  </r>
  <r>
    <n v="220"/>
    <d v="2024-08-23T00:00:00"/>
    <s v="8/2024"/>
    <x v="66"/>
    <x v="73"/>
    <x v="0"/>
    <x v="0"/>
    <x v="157"/>
    <n v="1"/>
    <n v="13818"/>
    <n v="13818"/>
    <n v="13818"/>
    <n v="13818"/>
    <n v="200"/>
    <n v="2073"/>
    <n v="2273"/>
    <n v="2273"/>
    <n v="0"/>
    <x v="1"/>
    <s v="true"/>
    <s v="true"/>
    <x v="0"/>
  </r>
  <r>
    <n v="221"/>
    <d v="2024-08-23T00:00:00"/>
    <s v="8/2024"/>
    <x v="64"/>
    <x v="73"/>
    <x v="0"/>
    <x v="0"/>
    <x v="157"/>
    <n v="1"/>
    <n v="5561"/>
    <n v="5561"/>
    <n v="5561"/>
    <n v="5561"/>
    <m/>
    <n v="834"/>
    <n v="834"/>
    <n v="834"/>
    <n v="0"/>
    <x v="15"/>
    <s v="true"/>
    <s v="true"/>
    <x v="0"/>
  </r>
  <r>
    <n v="222"/>
    <d v="2024-08-23T00:00:00"/>
    <s v="8/2024"/>
    <x v="34"/>
    <x v="619"/>
    <x v="0"/>
    <x v="0"/>
    <x v="162"/>
    <n v="1"/>
    <n v="527"/>
    <n v="527"/>
    <n v="560"/>
    <n v="560"/>
    <m/>
    <n v="84"/>
    <n v="644"/>
    <n v="644"/>
    <n v="0"/>
    <x v="15"/>
    <s v="true"/>
    <s v="true"/>
    <x v="0"/>
  </r>
  <r>
    <n v="223"/>
    <d v="2024-08-24T00:00:00"/>
    <s v="8/2024"/>
    <x v="23"/>
    <x v="403"/>
    <x v="0"/>
    <x v="0"/>
    <x v="163"/>
    <n v="1"/>
    <n v="155"/>
    <n v="155"/>
    <n v="158"/>
    <n v="158"/>
    <m/>
    <n v="67"/>
    <n v="225"/>
    <n v="225"/>
    <n v="0"/>
    <x v="15"/>
    <s v="true"/>
    <s v="true"/>
    <x v="0"/>
  </r>
  <r>
    <n v="223"/>
    <d v="2024-08-24T00:00:00"/>
    <s v="8/2024"/>
    <x v="23"/>
    <x v="383"/>
    <x v="0"/>
    <x v="0"/>
    <x v="164"/>
    <n v="1"/>
    <n v="123"/>
    <n v="123"/>
    <n v="126"/>
    <n v="126"/>
    <m/>
    <n v="67"/>
    <n v="193"/>
    <n v="193"/>
    <n v="0"/>
    <x v="15"/>
    <s v="true"/>
    <s v="true"/>
    <x v="0"/>
  </r>
  <r>
    <n v="223"/>
    <d v="2024-08-24T00:00:00"/>
    <s v="8/2024"/>
    <x v="23"/>
    <x v="27"/>
    <x v="0"/>
    <x v="0"/>
    <x v="164"/>
    <n v="1"/>
    <n v="549"/>
    <n v="549"/>
    <n v="589"/>
    <n v="589"/>
    <m/>
    <n v="67"/>
    <n v="656"/>
    <n v="656"/>
    <n v="0"/>
    <x v="15"/>
    <s v="true"/>
    <s v="true"/>
    <x v="0"/>
  </r>
  <r>
    <n v="224"/>
    <d v="2024-08-24T00:00:00"/>
    <s v="8/2024"/>
    <x v="59"/>
    <x v="620"/>
    <x v="0"/>
    <x v="0"/>
    <x v="158"/>
    <n v="1"/>
    <n v="1191"/>
    <n v="1191"/>
    <n v="1254"/>
    <n v="1254"/>
    <m/>
    <n v="200"/>
    <n v="1454"/>
    <n v="1454"/>
    <n v="0"/>
    <x v="16"/>
    <s v="true"/>
    <s v="true"/>
    <x v="0"/>
  </r>
  <r>
    <n v="191"/>
    <d v="2024-08-19T00:00:00"/>
    <s v="8/2024"/>
    <x v="26"/>
    <x v="257"/>
    <x v="0"/>
    <x v="57"/>
    <x v="165"/>
    <n v="1"/>
    <n v="6850"/>
    <n v="6850"/>
    <n v="6850"/>
    <n v="6850"/>
    <n v="320"/>
    <n v="685"/>
    <n v="1005"/>
    <n v="1005"/>
    <n v="0"/>
    <x v="20"/>
    <s v="true"/>
    <s v="true"/>
    <x v="0"/>
  </r>
  <r>
    <n v="227"/>
    <d v="2024-08-27T00:00:00"/>
    <s v="8/2024"/>
    <x v="60"/>
    <x v="257"/>
    <x v="0"/>
    <x v="58"/>
    <x v="156"/>
    <n v="1"/>
    <n v="80000"/>
    <n v="80000"/>
    <n v="80000"/>
    <n v="80000"/>
    <m/>
    <n v="8000"/>
    <n v="8000"/>
    <n v="8000"/>
    <n v="0"/>
    <x v="20"/>
    <s v="true"/>
    <s v="true"/>
    <x v="0"/>
  </r>
  <r>
    <n v="225"/>
    <d v="2024-08-25T00:00:00"/>
    <s v="8/2024"/>
    <x v="67"/>
    <x v="621"/>
    <x v="0"/>
    <x v="0"/>
    <x v="163"/>
    <n v="1"/>
    <n v="1122"/>
    <n v="1122"/>
    <n v="1241"/>
    <n v="1241"/>
    <m/>
    <n v="186"/>
    <n v="1427"/>
    <n v="1427"/>
    <n v="0"/>
    <x v="15"/>
    <s v="true"/>
    <s v="true"/>
    <x v="0"/>
  </r>
  <r>
    <n v="225"/>
    <d v="2024-08-25T00:00:00"/>
    <s v="8/2024"/>
    <x v="67"/>
    <x v="622"/>
    <x v="0"/>
    <x v="0"/>
    <x v="162"/>
    <n v="1"/>
    <n v="937"/>
    <n v="937"/>
    <n v="982"/>
    <n v="982"/>
    <m/>
    <n v="147"/>
    <n v="1129"/>
    <n v="1129"/>
    <n v="0"/>
    <x v="15"/>
    <s v="true"/>
    <s v="true"/>
    <x v="0"/>
  </r>
  <r>
    <n v="225"/>
    <d v="2024-08-25T00:00:00"/>
    <s v="8/2024"/>
    <x v="67"/>
    <x v="623"/>
    <x v="0"/>
    <x v="0"/>
    <x v="162"/>
    <n v="1"/>
    <n v="899"/>
    <n v="899"/>
    <n v="943"/>
    <n v="943"/>
    <m/>
    <n v="141"/>
    <n v="1084"/>
    <n v="1084"/>
    <n v="0"/>
    <x v="15"/>
    <s v="true"/>
    <s v="true"/>
    <x v="0"/>
  </r>
  <r>
    <n v="226"/>
    <d v="2024-08-26T00:00:00"/>
    <s v="8/2024"/>
    <x v="47"/>
    <x v="624"/>
    <x v="0"/>
    <x v="0"/>
    <x v="162"/>
    <n v="1"/>
    <n v="665"/>
    <n v="665"/>
    <n v="701"/>
    <n v="701"/>
    <m/>
    <n v="105"/>
    <n v="806"/>
    <n v="806"/>
    <n v="0"/>
    <x v="16"/>
    <s v="true"/>
    <s v="true"/>
    <x v="0"/>
  </r>
  <r>
    <n v="226"/>
    <d v="2024-08-26T00:00:00"/>
    <s v="8/2024"/>
    <x v="47"/>
    <x v="625"/>
    <x v="0"/>
    <x v="0"/>
    <x v="162"/>
    <n v="1"/>
    <n v="688"/>
    <n v="688"/>
    <n v="725"/>
    <n v="725"/>
    <m/>
    <n v="109"/>
    <n v="834"/>
    <n v="834"/>
    <n v="0"/>
    <x v="16"/>
    <s v="true"/>
    <s v="true"/>
    <x v="0"/>
  </r>
  <r>
    <n v="226"/>
    <d v="2024-08-26T00:00:00"/>
    <s v="8/2024"/>
    <x v="47"/>
    <x v="626"/>
    <x v="0"/>
    <x v="0"/>
    <x v="166"/>
    <n v="1"/>
    <n v="314"/>
    <n v="314"/>
    <n v="331"/>
    <n v="331"/>
    <m/>
    <n v="50"/>
    <n v="381"/>
    <n v="381"/>
    <n v="0"/>
    <x v="16"/>
    <s v="true"/>
    <s v="true"/>
    <x v="0"/>
  </r>
  <r>
    <n v="226"/>
    <d v="2024-08-26T00:00:00"/>
    <s v="8/2024"/>
    <x v="47"/>
    <x v="627"/>
    <x v="0"/>
    <x v="0"/>
    <x v="166"/>
    <n v="1"/>
    <n v="553"/>
    <n v="553"/>
    <n v="583"/>
    <n v="583"/>
    <m/>
    <n v="87"/>
    <n v="670"/>
    <n v="670"/>
    <n v="0"/>
    <x v="16"/>
    <s v="true"/>
    <s v="true"/>
    <x v="0"/>
  </r>
  <r>
    <n v="226"/>
    <d v="2024-08-26T00:00:00"/>
    <s v="8/2024"/>
    <x v="47"/>
    <x v="628"/>
    <x v="0"/>
    <x v="0"/>
    <x v="156"/>
    <n v="1"/>
    <n v="427"/>
    <n v="427"/>
    <n v="450"/>
    <n v="450"/>
    <m/>
    <n v="68"/>
    <n v="518"/>
    <n v="518"/>
    <n v="0"/>
    <x v="16"/>
    <s v="true"/>
    <s v="true"/>
    <x v="0"/>
  </r>
  <r>
    <n v="226"/>
    <d v="2024-08-26T00:00:00"/>
    <s v="8/2024"/>
    <x v="47"/>
    <x v="629"/>
    <x v="0"/>
    <x v="0"/>
    <x v="156"/>
    <n v="1"/>
    <n v="253"/>
    <n v="253"/>
    <n v="267"/>
    <n v="267"/>
    <m/>
    <n v="40"/>
    <n v="307"/>
    <n v="307"/>
    <n v="0"/>
    <x v="16"/>
    <s v="true"/>
    <s v="true"/>
    <x v="0"/>
  </r>
  <r>
    <n v="226"/>
    <d v="2024-08-26T00:00:00"/>
    <s v="8/2024"/>
    <x v="47"/>
    <x v="630"/>
    <x v="0"/>
    <x v="0"/>
    <x v="166"/>
    <n v="1"/>
    <n v="169"/>
    <n v="169"/>
    <n v="178"/>
    <n v="178"/>
    <m/>
    <n v="27"/>
    <n v="205"/>
    <n v="205"/>
    <n v="0"/>
    <x v="16"/>
    <s v="true"/>
    <s v="true"/>
    <x v="0"/>
  </r>
  <r>
    <n v="226"/>
    <d v="2024-08-26T00:00:00"/>
    <s v="8/2024"/>
    <x v="47"/>
    <x v="402"/>
    <x v="0"/>
    <x v="0"/>
    <x v="166"/>
    <n v="1"/>
    <n v="493"/>
    <n v="493"/>
    <n v="519"/>
    <n v="519"/>
    <m/>
    <n v="78"/>
    <n v="597"/>
    <n v="597"/>
    <n v="0"/>
    <x v="16"/>
    <s v="true"/>
    <s v="true"/>
    <x v="0"/>
  </r>
  <r>
    <n v="227"/>
    <d v="2024-08-27T00:00:00"/>
    <s v="8/2024"/>
    <x v="60"/>
    <x v="257"/>
    <x v="0"/>
    <x v="59"/>
    <x v="144"/>
    <n v="1"/>
    <n v="19000"/>
    <n v="19000"/>
    <n v="19000"/>
    <n v="19000"/>
    <m/>
    <n v="1900"/>
    <n v="1900"/>
    <n v="1900"/>
    <n v="0"/>
    <x v="20"/>
    <s v="true"/>
    <s v="true"/>
    <x v="0"/>
  </r>
  <r>
    <n v="191"/>
    <d v="2024-08-19T00:00:00"/>
    <s v="8/2024"/>
    <x v="26"/>
    <x v="257"/>
    <x v="0"/>
    <x v="60"/>
    <x v="166"/>
    <n v="1"/>
    <n v="10000"/>
    <n v="10000"/>
    <n v="10000"/>
    <n v="10000"/>
    <n v="859"/>
    <n v="1000"/>
    <n v="1859"/>
    <n v="1859"/>
    <n v="0"/>
    <x v="20"/>
    <s v="true"/>
    <s v="true"/>
    <x v="0"/>
  </r>
  <r>
    <n v="197"/>
    <d v="2024-08-28T00:00:00"/>
    <s v="8/2024"/>
    <x v="1"/>
    <x v="631"/>
    <x v="0"/>
    <x v="0"/>
    <x v="144"/>
    <n v="1"/>
    <n v="117"/>
    <n v="117"/>
    <n v="124"/>
    <n v="124"/>
    <m/>
    <n v="33"/>
    <n v="157"/>
    <n v="157"/>
    <n v="0"/>
    <x v="16"/>
    <s v="true"/>
    <s v="true"/>
    <x v="0"/>
  </r>
  <r>
    <n v="197"/>
    <d v="2024-08-28T00:00:00"/>
    <s v="8/2024"/>
    <x v="1"/>
    <x v="632"/>
    <x v="0"/>
    <x v="0"/>
    <x v="165"/>
    <n v="1"/>
    <n v="135"/>
    <n v="135"/>
    <n v="143"/>
    <n v="143"/>
    <m/>
    <n v="33"/>
    <n v="176"/>
    <n v="176"/>
    <n v="0"/>
    <x v="16"/>
    <s v="true"/>
    <s v="true"/>
    <x v="0"/>
  </r>
  <r>
    <n v="197"/>
    <d v="2024-08-28T00:00:00"/>
    <s v="8/2024"/>
    <x v="1"/>
    <x v="633"/>
    <x v="0"/>
    <x v="0"/>
    <x v="144"/>
    <n v="1"/>
    <n v="122"/>
    <n v="122"/>
    <n v="129"/>
    <n v="129"/>
    <m/>
    <n v="33"/>
    <n v="162"/>
    <n v="162"/>
    <n v="0"/>
    <x v="16"/>
    <s v="true"/>
    <s v="true"/>
    <x v="0"/>
  </r>
  <r>
    <n v="197"/>
    <d v="2024-08-28T00:00:00"/>
    <s v="8/2024"/>
    <x v="1"/>
    <x v="634"/>
    <x v="0"/>
    <x v="0"/>
    <x v="144"/>
    <n v="1"/>
    <n v="128"/>
    <n v="128"/>
    <n v="135"/>
    <n v="135"/>
    <m/>
    <n v="33"/>
    <n v="168"/>
    <n v="168"/>
    <n v="0"/>
    <x v="16"/>
    <s v="true"/>
    <s v="true"/>
    <x v="0"/>
  </r>
  <r>
    <n v="197"/>
    <d v="2024-08-28T00:00:00"/>
    <s v="8/2024"/>
    <x v="1"/>
    <x v="635"/>
    <x v="0"/>
    <x v="0"/>
    <x v="167"/>
    <n v="1"/>
    <n v="140"/>
    <n v="140"/>
    <n v="148"/>
    <n v="148"/>
    <m/>
    <n v="33"/>
    <n v="181"/>
    <n v="181"/>
    <n v="0"/>
    <x v="16"/>
    <s v="true"/>
    <s v="true"/>
    <x v="0"/>
  </r>
  <r>
    <n v="197"/>
    <d v="2024-08-28T00:00:00"/>
    <s v="8/2024"/>
    <x v="1"/>
    <x v="636"/>
    <x v="0"/>
    <x v="0"/>
    <x v="144"/>
    <n v="1"/>
    <n v="128"/>
    <n v="128"/>
    <n v="135"/>
    <n v="135"/>
    <m/>
    <n v="33"/>
    <n v="168"/>
    <n v="168"/>
    <n v="0"/>
    <x v="16"/>
    <s v="true"/>
    <s v="true"/>
    <x v="0"/>
  </r>
  <r>
    <n v="222"/>
    <d v="2024-08-23T00:00:00"/>
    <s v="8/2024"/>
    <x v="34"/>
    <x v="637"/>
    <x v="0"/>
    <x v="0"/>
    <x v="144"/>
    <n v="1"/>
    <n v="398"/>
    <n v="398"/>
    <n v="406"/>
    <n v="406"/>
    <m/>
    <n v="61"/>
    <n v="467"/>
    <n v="467"/>
    <n v="0"/>
    <x v="15"/>
    <s v="true"/>
    <s v="true"/>
    <x v="0"/>
  </r>
  <r>
    <n v="222"/>
    <d v="2024-08-23T00:00:00"/>
    <s v="8/2024"/>
    <x v="34"/>
    <x v="638"/>
    <x v="0"/>
    <x v="0"/>
    <x v="144"/>
    <n v="1"/>
    <n v="147"/>
    <n v="147"/>
    <n v="150"/>
    <n v="150"/>
    <m/>
    <n v="23"/>
    <n v="173"/>
    <n v="173"/>
    <n v="0"/>
    <x v="15"/>
    <s v="true"/>
    <s v="true"/>
    <x v="0"/>
  </r>
  <r>
    <n v="222"/>
    <d v="2024-08-23T00:00:00"/>
    <s v="8/2024"/>
    <x v="34"/>
    <x v="639"/>
    <x v="0"/>
    <x v="0"/>
    <x v="159"/>
    <n v="5"/>
    <n v="661"/>
    <n v="3305"/>
    <n v="696"/>
    <n v="3480"/>
    <m/>
    <n v="522"/>
    <n v="4002"/>
    <n v="4002"/>
    <n v="0"/>
    <x v="16"/>
    <s v="true"/>
    <s v="true"/>
    <x v="0"/>
  </r>
  <r>
    <n v="222"/>
    <d v="2024-08-23T00:00:00"/>
    <s v="8/2024"/>
    <x v="34"/>
    <x v="640"/>
    <x v="0"/>
    <x v="0"/>
    <x v="144"/>
    <n v="1"/>
    <n v="1476"/>
    <n v="1476"/>
    <n v="1583"/>
    <n v="1583"/>
    <m/>
    <n v="237"/>
    <n v="1820"/>
    <n v="1820"/>
    <n v="0"/>
    <x v="15"/>
    <s v="true"/>
    <s v="true"/>
    <x v="0"/>
  </r>
  <r>
    <n v="228"/>
    <d v="2024-08-30T00:00:00"/>
    <s v="8/2024"/>
    <x v="64"/>
    <x v="73"/>
    <x v="0"/>
    <x v="0"/>
    <x v="156"/>
    <n v="1"/>
    <n v="2018"/>
    <n v="2018"/>
    <n v="2018"/>
    <n v="2018"/>
    <m/>
    <n v="303"/>
    <n v="303"/>
    <n v="303"/>
    <n v="0"/>
    <x v="15"/>
    <s v="true"/>
    <s v="true"/>
    <x v="0"/>
  </r>
  <r>
    <n v="229"/>
    <d v="2024-08-30T00:00:00"/>
    <s v="8/2024"/>
    <x v="63"/>
    <x v="73"/>
    <x v="0"/>
    <x v="0"/>
    <x v="156"/>
    <n v="1"/>
    <n v="2309"/>
    <n v="2309"/>
    <n v="2309"/>
    <n v="2309"/>
    <m/>
    <n v="346"/>
    <n v="346"/>
    <n v="346"/>
    <n v="0"/>
    <x v="15"/>
    <s v="true"/>
    <s v="true"/>
    <x v="0"/>
  </r>
  <r>
    <n v="230"/>
    <d v="2024-09-01T00:00:00"/>
    <s v="9/2024"/>
    <x v="10"/>
    <x v="641"/>
    <x v="0"/>
    <x v="0"/>
    <x v="167"/>
    <n v="1"/>
    <n v="1022"/>
    <n v="1022"/>
    <n v="1132"/>
    <n v="1132"/>
    <m/>
    <n v="170"/>
    <n v="1302"/>
    <n v="1302"/>
    <n v="0"/>
    <x v="15"/>
    <s v="true"/>
    <s v="true"/>
    <x v="0"/>
  </r>
  <r>
    <n v="230"/>
    <d v="2024-09-01T00:00:00"/>
    <s v="9/2024"/>
    <x v="10"/>
    <x v="642"/>
    <x v="0"/>
    <x v="0"/>
    <x v="168"/>
    <n v="1"/>
    <n v="355"/>
    <n v="355"/>
    <n v="362"/>
    <n v="362"/>
    <m/>
    <n v="54"/>
    <n v="416"/>
    <n v="416"/>
    <n v="0"/>
    <x v="15"/>
    <s v="true"/>
    <s v="true"/>
    <x v="0"/>
  </r>
  <r>
    <n v="230"/>
    <d v="2024-09-01T00:00:00"/>
    <s v="9/2024"/>
    <x v="10"/>
    <x v="643"/>
    <x v="0"/>
    <x v="0"/>
    <x v="169"/>
    <n v="1"/>
    <n v="330"/>
    <n v="330"/>
    <n v="337"/>
    <n v="337"/>
    <m/>
    <n v="51"/>
    <n v="388"/>
    <n v="388"/>
    <n v="0"/>
    <x v="15"/>
    <s v="true"/>
    <s v="true"/>
    <x v="0"/>
  </r>
  <r>
    <n v="230"/>
    <d v="2024-09-01T00:00:00"/>
    <s v="9/2024"/>
    <x v="10"/>
    <x v="644"/>
    <x v="0"/>
    <x v="0"/>
    <x v="169"/>
    <n v="1"/>
    <n v="1007"/>
    <n v="1007"/>
    <n v="1104"/>
    <n v="1104"/>
    <m/>
    <n v="166"/>
    <n v="1270"/>
    <n v="1270"/>
    <n v="0"/>
    <x v="15"/>
    <s v="true"/>
    <s v="true"/>
    <x v="0"/>
  </r>
  <r>
    <n v="231"/>
    <d v="2024-09-02T00:00:00"/>
    <s v="9/2024"/>
    <x v="68"/>
    <x v="645"/>
    <x v="0"/>
    <x v="0"/>
    <x v="170"/>
    <n v="1"/>
    <n v="1282"/>
    <n v="1282"/>
    <n v="1391"/>
    <n v="1391"/>
    <m/>
    <n v="200"/>
    <n v="1591"/>
    <n v="1591"/>
    <n v="0"/>
    <x v="15"/>
    <s v="true"/>
    <s v="true"/>
    <x v="0"/>
  </r>
  <r>
    <n v="233"/>
    <d v="2024-09-02T00:00:00"/>
    <s v="9/2024"/>
    <x v="24"/>
    <x v="646"/>
    <x v="0"/>
    <x v="0"/>
    <x v="159"/>
    <n v="1"/>
    <n v="247"/>
    <n v="247"/>
    <n v="252"/>
    <n v="252"/>
    <m/>
    <n v="38"/>
    <n v="290"/>
    <n v="290"/>
    <n v="0"/>
    <x v="15"/>
    <s v="true"/>
    <s v="true"/>
    <x v="0"/>
  </r>
  <r>
    <n v="233"/>
    <d v="2024-09-02T00:00:00"/>
    <s v="9/2024"/>
    <x v="24"/>
    <x v="647"/>
    <x v="0"/>
    <x v="0"/>
    <x v="167"/>
    <n v="1"/>
    <n v="242"/>
    <n v="242"/>
    <n v="255"/>
    <n v="255"/>
    <m/>
    <n v="38"/>
    <n v="293"/>
    <n v="293"/>
    <n v="0"/>
    <x v="16"/>
    <s v="true"/>
    <s v="true"/>
    <x v="0"/>
  </r>
  <r>
    <n v="233"/>
    <d v="2024-09-02T00:00:00"/>
    <s v="9/2024"/>
    <x v="24"/>
    <x v="648"/>
    <x v="0"/>
    <x v="0"/>
    <x v="167"/>
    <n v="1"/>
    <n v="311"/>
    <n v="311"/>
    <n v="328"/>
    <n v="328"/>
    <m/>
    <n v="49"/>
    <n v="377"/>
    <n v="377"/>
    <n v="0"/>
    <x v="16"/>
    <s v="true"/>
    <s v="true"/>
    <x v="0"/>
  </r>
  <r>
    <n v="233"/>
    <d v="2024-09-02T00:00:00"/>
    <s v="9/2024"/>
    <x v="24"/>
    <x v="649"/>
    <x v="0"/>
    <x v="0"/>
    <x v="171"/>
    <n v="1"/>
    <n v="816"/>
    <n v="816"/>
    <n v="816"/>
    <n v="816"/>
    <n v="199"/>
    <n v="122"/>
    <n v="1137"/>
    <n v="1137"/>
    <n v="0"/>
    <x v="19"/>
    <s v="true"/>
    <s v="true"/>
    <x v="0"/>
  </r>
  <r>
    <n v="233"/>
    <d v="2024-09-02T00:00:00"/>
    <s v="9/2024"/>
    <x v="24"/>
    <x v="588"/>
    <x v="0"/>
    <x v="0"/>
    <x v="171"/>
    <n v="4"/>
    <n v="750"/>
    <n v="3000"/>
    <n v="750"/>
    <n v="3000"/>
    <n v="509"/>
    <n v="450"/>
    <n v="3959"/>
    <n v="3959"/>
    <n v="0"/>
    <x v="21"/>
    <s v="true"/>
    <s v="true"/>
    <x v="0"/>
  </r>
  <r>
    <n v="234"/>
    <d v="2024-09-03T00:00:00"/>
    <s v="9/2024"/>
    <x v="26"/>
    <x v="257"/>
    <x v="0"/>
    <x v="61"/>
    <x v="172"/>
    <n v="1"/>
    <n v="10000"/>
    <n v="10000"/>
    <n v="10000"/>
    <n v="10000"/>
    <m/>
    <n v="1000"/>
    <n v="1000"/>
    <n v="1000"/>
    <n v="0"/>
    <x v="20"/>
    <s v="true"/>
    <s v="true"/>
    <x v="0"/>
  </r>
  <r>
    <n v="234"/>
    <d v="2024-09-03T00:00:00"/>
    <s v="9/2024"/>
    <x v="26"/>
    <x v="257"/>
    <x v="0"/>
    <x v="62"/>
    <x v="170"/>
    <n v="1"/>
    <n v="5750"/>
    <n v="5750"/>
    <n v="5750"/>
    <n v="5750"/>
    <m/>
    <n v="575"/>
    <n v="575"/>
    <n v="575"/>
    <n v="0"/>
    <x v="20"/>
    <s v="true"/>
    <s v="true"/>
    <x v="0"/>
  </r>
  <r>
    <n v="234"/>
    <d v="2024-09-03T00:00:00"/>
    <s v="9/2024"/>
    <x v="26"/>
    <x v="257"/>
    <x v="0"/>
    <x v="63"/>
    <x v="173"/>
    <n v="1"/>
    <n v="9000"/>
    <n v="9000"/>
    <n v="9000"/>
    <n v="9000"/>
    <m/>
    <n v="900"/>
    <n v="900"/>
    <n v="900"/>
    <n v="0"/>
    <x v="20"/>
    <s v="true"/>
    <s v="true"/>
    <x v="0"/>
  </r>
  <r>
    <n v="235"/>
    <d v="2024-09-04T00:00:00"/>
    <s v="9/2024"/>
    <x v="47"/>
    <x v="650"/>
    <x v="0"/>
    <x v="0"/>
    <x v="171"/>
    <n v="1"/>
    <n v="1702"/>
    <n v="1702"/>
    <n v="1792"/>
    <n v="1792"/>
    <m/>
    <n v="269"/>
    <n v="2061"/>
    <n v="2061"/>
    <n v="0"/>
    <x v="16"/>
    <s v="true"/>
    <s v="true"/>
    <x v="0"/>
  </r>
  <r>
    <n v="235"/>
    <d v="2024-09-04T00:00:00"/>
    <s v="9/2024"/>
    <x v="47"/>
    <x v="651"/>
    <x v="0"/>
    <x v="0"/>
    <x v="159"/>
    <n v="1"/>
    <n v="2052"/>
    <n v="2052"/>
    <n v="2160"/>
    <n v="2160"/>
    <m/>
    <n v="324"/>
    <n v="2484"/>
    <n v="2484"/>
    <n v="0"/>
    <x v="16"/>
    <s v="true"/>
    <s v="true"/>
    <x v="0"/>
  </r>
  <r>
    <n v="235"/>
    <d v="2024-09-04T00:00:00"/>
    <s v="9/2024"/>
    <x v="47"/>
    <x v="652"/>
    <x v="0"/>
    <x v="0"/>
    <x v="168"/>
    <n v="1"/>
    <n v="318"/>
    <n v="318"/>
    <n v="335"/>
    <n v="335"/>
    <m/>
    <n v="50"/>
    <n v="385"/>
    <n v="385"/>
    <n v="0"/>
    <x v="16"/>
    <s v="true"/>
    <s v="true"/>
    <x v="0"/>
  </r>
  <r>
    <n v="235"/>
    <d v="2024-09-04T00:00:00"/>
    <s v="9/2024"/>
    <x v="47"/>
    <x v="581"/>
    <x v="0"/>
    <x v="0"/>
    <x v="171"/>
    <n v="1"/>
    <n v="668"/>
    <n v="668"/>
    <n v="704"/>
    <n v="704"/>
    <m/>
    <n v="106"/>
    <n v="810"/>
    <n v="810"/>
    <n v="0"/>
    <x v="16"/>
    <s v="true"/>
    <s v="true"/>
    <x v="0"/>
  </r>
  <r>
    <n v="235"/>
    <d v="2024-09-04T00:00:00"/>
    <s v="9/2024"/>
    <x v="47"/>
    <x v="653"/>
    <x v="0"/>
    <x v="0"/>
    <x v="174"/>
    <n v="1"/>
    <n v="91"/>
    <n v="91"/>
    <n v="96"/>
    <n v="96"/>
    <m/>
    <n v="14"/>
    <n v="110"/>
    <n v="110"/>
    <n v="0"/>
    <x v="16"/>
    <s v="true"/>
    <s v="true"/>
    <x v="0"/>
  </r>
  <r>
    <n v="235"/>
    <d v="2024-09-04T00:00:00"/>
    <s v="9/2024"/>
    <x v="47"/>
    <x v="611"/>
    <x v="0"/>
    <x v="0"/>
    <x v="171"/>
    <n v="1"/>
    <n v="1135"/>
    <n v="1135"/>
    <n v="1195"/>
    <n v="1195"/>
    <m/>
    <n v="179"/>
    <n v="1374"/>
    <n v="1374"/>
    <n v="0"/>
    <x v="16"/>
    <s v="true"/>
    <s v="true"/>
    <x v="0"/>
  </r>
  <r>
    <n v="236"/>
    <d v="2024-09-05T00:00:00"/>
    <s v="9/2024"/>
    <x v="61"/>
    <x v="654"/>
    <x v="0"/>
    <x v="0"/>
    <x v="171"/>
    <n v="1"/>
    <n v="569"/>
    <n v="569"/>
    <n v="599"/>
    <n v="599"/>
    <m/>
    <n v="90"/>
    <n v="689"/>
    <n v="689"/>
    <n v="0"/>
    <x v="16"/>
    <s v="true"/>
    <s v="true"/>
    <x v="0"/>
  </r>
  <r>
    <n v="236"/>
    <d v="2024-09-05T00:00:00"/>
    <s v="9/2024"/>
    <x v="61"/>
    <x v="655"/>
    <x v="0"/>
    <x v="0"/>
    <x v="171"/>
    <n v="1"/>
    <n v="304"/>
    <n v="304"/>
    <n v="321"/>
    <n v="321"/>
    <m/>
    <n v="48"/>
    <n v="369"/>
    <n v="369"/>
    <n v="0"/>
    <x v="16"/>
    <s v="true"/>
    <s v="true"/>
    <x v="0"/>
  </r>
  <r>
    <n v="236"/>
    <d v="2024-09-05T00:00:00"/>
    <s v="9/2024"/>
    <x v="61"/>
    <x v="138"/>
    <x v="0"/>
    <x v="0"/>
    <x v="171"/>
    <n v="1"/>
    <n v="554"/>
    <n v="554"/>
    <n v="584"/>
    <n v="584"/>
    <m/>
    <n v="88"/>
    <n v="672"/>
    <n v="672"/>
    <n v="0"/>
    <x v="16"/>
    <s v="true"/>
    <s v="true"/>
    <x v="0"/>
  </r>
  <r>
    <n v="236"/>
    <d v="2024-09-05T00:00:00"/>
    <s v="9/2024"/>
    <x v="61"/>
    <x v="656"/>
    <x v="0"/>
    <x v="0"/>
    <x v="171"/>
    <n v="1"/>
    <n v="337"/>
    <n v="337"/>
    <n v="355"/>
    <n v="355"/>
    <m/>
    <n v="53"/>
    <n v="408"/>
    <n v="408"/>
    <n v="0"/>
    <x v="16"/>
    <s v="true"/>
    <s v="true"/>
    <x v="0"/>
  </r>
  <r>
    <n v="236"/>
    <d v="2024-09-05T00:00:00"/>
    <s v="9/2024"/>
    <x v="61"/>
    <x v="657"/>
    <x v="0"/>
    <x v="0"/>
    <x v="171"/>
    <n v="1"/>
    <n v="247"/>
    <n v="247"/>
    <n v="261"/>
    <n v="261"/>
    <m/>
    <n v="39"/>
    <n v="300"/>
    <n v="300"/>
    <n v="0"/>
    <x v="16"/>
    <s v="true"/>
    <s v="true"/>
    <x v="0"/>
  </r>
  <r>
    <n v="236"/>
    <d v="2024-09-05T00:00:00"/>
    <s v="9/2024"/>
    <x v="61"/>
    <x v="658"/>
    <x v="0"/>
    <x v="0"/>
    <x v="171"/>
    <n v="1"/>
    <n v="58"/>
    <n v="58"/>
    <n v="62"/>
    <n v="62"/>
    <m/>
    <n v="9"/>
    <n v="71"/>
    <n v="71"/>
    <n v="0"/>
    <x v="16"/>
    <s v="true"/>
    <s v="true"/>
    <x v="0"/>
  </r>
  <r>
    <n v="236"/>
    <d v="2024-09-05T00:00:00"/>
    <s v="9/2024"/>
    <x v="61"/>
    <x v="659"/>
    <x v="0"/>
    <x v="0"/>
    <x v="171"/>
    <n v="1"/>
    <n v="191"/>
    <n v="191"/>
    <n v="202"/>
    <n v="202"/>
    <m/>
    <n v="30"/>
    <n v="232"/>
    <n v="232"/>
    <n v="0"/>
    <x v="16"/>
    <s v="true"/>
    <s v="true"/>
    <x v="0"/>
  </r>
  <r>
    <n v="236"/>
    <d v="2024-09-05T00:00:00"/>
    <s v="9/2024"/>
    <x v="61"/>
    <x v="660"/>
    <x v="0"/>
    <x v="0"/>
    <x v="171"/>
    <n v="1"/>
    <n v="190"/>
    <n v="190"/>
    <n v="200"/>
    <n v="200"/>
    <m/>
    <n v="30"/>
    <n v="230"/>
    <n v="230"/>
    <n v="0"/>
    <x v="16"/>
    <s v="true"/>
    <s v="true"/>
    <x v="0"/>
  </r>
  <r>
    <n v="236"/>
    <d v="2024-09-05T00:00:00"/>
    <s v="9/2024"/>
    <x v="61"/>
    <x v="661"/>
    <x v="0"/>
    <x v="0"/>
    <x v="171"/>
    <n v="1"/>
    <n v="162"/>
    <n v="162"/>
    <n v="171"/>
    <n v="171"/>
    <m/>
    <n v="26"/>
    <n v="197"/>
    <n v="197"/>
    <n v="0"/>
    <x v="16"/>
    <s v="true"/>
    <s v="true"/>
    <x v="0"/>
  </r>
  <r>
    <n v="234"/>
    <d v="2024-09-03T00:00:00"/>
    <s v="9/2024"/>
    <x v="26"/>
    <x v="257"/>
    <x v="0"/>
    <x v="64"/>
    <x v="168"/>
    <n v="1"/>
    <n v="13600"/>
    <n v="13600"/>
    <n v="13600"/>
    <n v="13600"/>
    <n v="566"/>
    <n v="1360"/>
    <n v="1926"/>
    <n v="1926"/>
    <n v="0"/>
    <x v="20"/>
    <s v="true"/>
    <s v="true"/>
    <x v="0"/>
  </r>
  <r>
    <n v="237"/>
    <d v="2024-09-06T00:00:00"/>
    <s v="9/2024"/>
    <x v="64"/>
    <x v="73"/>
    <x v="0"/>
    <x v="0"/>
    <x v="24"/>
    <n v="1"/>
    <n v="3615"/>
    <n v="3615"/>
    <n v="3615"/>
    <n v="3615"/>
    <m/>
    <n v="542"/>
    <n v="542"/>
    <n v="542"/>
    <n v="0"/>
    <x v="15"/>
    <s v="true"/>
    <s v="true"/>
    <x v="0"/>
  </r>
  <r>
    <n v="238"/>
    <d v="2024-09-06T00:00:00"/>
    <s v="9/2024"/>
    <x v="69"/>
    <x v="73"/>
    <x v="0"/>
    <x v="0"/>
    <x v="24"/>
    <n v="1"/>
    <n v="2953"/>
    <n v="2953"/>
    <n v="2953"/>
    <n v="2953"/>
    <m/>
    <n v="443"/>
    <n v="443"/>
    <n v="443"/>
    <n v="0"/>
    <x v="15"/>
    <s v="true"/>
    <s v="true"/>
    <x v="0"/>
  </r>
  <r>
    <n v="239"/>
    <d v="2024-09-06T00:00:00"/>
    <s v="9/2024"/>
    <x v="66"/>
    <x v="73"/>
    <x v="0"/>
    <x v="0"/>
    <x v="24"/>
    <n v="1"/>
    <n v="4836"/>
    <n v="4836"/>
    <n v="4836"/>
    <n v="4836"/>
    <m/>
    <n v="725"/>
    <n v="725"/>
    <n v="725"/>
    <n v="0"/>
    <x v="15"/>
    <s v="true"/>
    <s v="true"/>
    <x v="0"/>
  </r>
  <r>
    <n v="240"/>
    <d v="2024-09-06T00:00:00"/>
    <s v="9/2024"/>
    <x v="70"/>
    <x v="73"/>
    <x v="0"/>
    <x v="0"/>
    <x v="24"/>
    <n v="1"/>
    <n v="13270"/>
    <n v="13270"/>
    <n v="13270"/>
    <n v="13270"/>
    <m/>
    <n v="1327"/>
    <n v="1327"/>
    <n v="1327"/>
    <n v="0"/>
    <x v="15"/>
    <s v="true"/>
    <s v="true"/>
    <x v="0"/>
  </r>
  <r>
    <n v="234"/>
    <d v="2024-09-03T00:00:00"/>
    <s v="9/2024"/>
    <x v="26"/>
    <x v="257"/>
    <x v="0"/>
    <x v="65"/>
    <x v="175"/>
    <n v="1"/>
    <n v="1800"/>
    <n v="1800"/>
    <n v="1800"/>
    <n v="1800"/>
    <m/>
    <n v="180"/>
    <n v="180"/>
    <n v="180"/>
    <n v="0"/>
    <x v="19"/>
    <s v="true"/>
    <s v="true"/>
    <x v="0"/>
  </r>
  <r>
    <n v="241"/>
    <d v="2024-09-06T00:00:00"/>
    <s v="9/2024"/>
    <x v="23"/>
    <x v="12"/>
    <x v="0"/>
    <x v="0"/>
    <x v="174"/>
    <n v="1"/>
    <n v="129"/>
    <n v="129"/>
    <n v="136"/>
    <n v="136"/>
    <m/>
    <n v="20"/>
    <n v="156"/>
    <n v="156"/>
    <n v="0"/>
    <x v="16"/>
    <s v="true"/>
    <s v="true"/>
    <x v="0"/>
  </r>
  <r>
    <n v="241"/>
    <d v="2024-09-06T00:00:00"/>
    <s v="9/2024"/>
    <x v="23"/>
    <x v="662"/>
    <x v="0"/>
    <x v="0"/>
    <x v="168"/>
    <n v="1"/>
    <n v="155"/>
    <n v="155"/>
    <n v="164"/>
    <n v="164"/>
    <m/>
    <n v="25"/>
    <n v="189"/>
    <n v="189"/>
    <n v="0"/>
    <x v="16"/>
    <s v="true"/>
    <s v="true"/>
    <x v="0"/>
  </r>
  <r>
    <n v="241"/>
    <d v="2024-09-06T00:00:00"/>
    <s v="9/2024"/>
    <x v="23"/>
    <x v="663"/>
    <x v="0"/>
    <x v="0"/>
    <x v="175"/>
    <n v="1"/>
    <n v="140"/>
    <n v="140"/>
    <n v="148"/>
    <n v="148"/>
    <m/>
    <n v="22"/>
    <n v="170"/>
    <n v="170"/>
    <n v="0"/>
    <x v="16"/>
    <s v="true"/>
    <s v="true"/>
    <x v="0"/>
  </r>
  <r>
    <n v="241"/>
    <d v="2024-09-06T00:00:00"/>
    <s v="9/2024"/>
    <x v="23"/>
    <x v="664"/>
    <x v="0"/>
    <x v="0"/>
    <x v="168"/>
    <n v="1"/>
    <n v="1110"/>
    <n v="1110"/>
    <n v="1194"/>
    <n v="1194"/>
    <m/>
    <n v="179"/>
    <n v="1373"/>
    <n v="1373"/>
    <n v="0"/>
    <x v="15"/>
    <s v="true"/>
    <s v="true"/>
    <x v="0"/>
  </r>
  <r>
    <n v="241"/>
    <d v="2024-09-06T00:00:00"/>
    <s v="9/2024"/>
    <x v="23"/>
    <x v="665"/>
    <x v="0"/>
    <x v="0"/>
    <x v="174"/>
    <n v="1"/>
    <n v="513"/>
    <n v="513"/>
    <n v="544"/>
    <n v="544"/>
    <m/>
    <n v="82"/>
    <n v="626"/>
    <n v="626"/>
    <n v="0"/>
    <x v="15"/>
    <s v="true"/>
    <s v="true"/>
    <x v="0"/>
  </r>
  <r>
    <n v="241"/>
    <d v="2024-09-06T00:00:00"/>
    <s v="9/2024"/>
    <x v="23"/>
    <x v="666"/>
    <x v="0"/>
    <x v="0"/>
    <x v="173"/>
    <n v="1"/>
    <n v="165"/>
    <n v="165"/>
    <n v="168"/>
    <n v="168"/>
    <m/>
    <n v="25"/>
    <n v="193"/>
    <n v="193"/>
    <n v="0"/>
    <x v="15"/>
    <s v="true"/>
    <s v="true"/>
    <x v="0"/>
  </r>
  <r>
    <n v="241"/>
    <d v="2024-09-06T00:00:00"/>
    <s v="9/2024"/>
    <x v="23"/>
    <x v="667"/>
    <x v="0"/>
    <x v="0"/>
    <x v="174"/>
    <n v="1"/>
    <n v="359"/>
    <n v="359"/>
    <n v="359"/>
    <n v="359"/>
    <m/>
    <n v="54"/>
    <n v="413"/>
    <n v="413"/>
    <n v="0"/>
    <x v="15"/>
    <s v="true"/>
    <s v="true"/>
    <x v="0"/>
  </r>
  <r>
    <n v="242"/>
    <d v="2024-09-08T00:00:00"/>
    <s v="9/2024"/>
    <x v="67"/>
    <x v="668"/>
    <x v="0"/>
    <x v="0"/>
    <x v="176"/>
    <n v="1"/>
    <n v="1324"/>
    <n v="1324"/>
    <n v="1464"/>
    <n v="1464"/>
    <m/>
    <n v="220"/>
    <n v="1684"/>
    <n v="1684"/>
    <n v="0"/>
    <x v="15"/>
    <s v="true"/>
    <s v="true"/>
    <x v="0"/>
  </r>
  <r>
    <n v="242"/>
    <d v="2024-09-08T00:00:00"/>
    <s v="9/2024"/>
    <x v="67"/>
    <x v="651"/>
    <x v="0"/>
    <x v="0"/>
    <x v="176"/>
    <n v="1"/>
    <n v="693"/>
    <n v="693"/>
    <n v="780"/>
    <n v="780"/>
    <m/>
    <n v="117"/>
    <n v="897"/>
    <n v="897"/>
    <n v="0"/>
    <x v="15"/>
    <s v="true"/>
    <s v="true"/>
    <x v="0"/>
  </r>
  <r>
    <n v="242"/>
    <d v="2024-09-08T00:00:00"/>
    <s v="9/2024"/>
    <x v="67"/>
    <x v="669"/>
    <x v="0"/>
    <x v="0"/>
    <x v="161"/>
    <n v="1"/>
    <n v="366"/>
    <n v="366"/>
    <n v="373"/>
    <n v="373"/>
    <m/>
    <n v="56"/>
    <n v="429"/>
    <n v="429"/>
    <n v="0"/>
    <x v="15"/>
    <s v="true"/>
    <s v="true"/>
    <x v="0"/>
  </r>
  <r>
    <n v="243"/>
    <d v="2024-09-08T00:00:00"/>
    <s v="9/2024"/>
    <x v="62"/>
    <x v="670"/>
    <x v="0"/>
    <x v="0"/>
    <x v="173"/>
    <n v="1"/>
    <n v="978"/>
    <n v="978"/>
    <n v="1030"/>
    <n v="1030"/>
    <m/>
    <n v="155"/>
    <n v="1185"/>
    <n v="1185"/>
    <n v="0"/>
    <x v="16"/>
    <s v="true"/>
    <s v="true"/>
    <x v="0"/>
  </r>
  <r>
    <n v="243"/>
    <d v="2024-09-08T00:00:00"/>
    <s v="9/2024"/>
    <x v="62"/>
    <x v="671"/>
    <x v="0"/>
    <x v="0"/>
    <x v="173"/>
    <n v="1"/>
    <n v="676"/>
    <n v="676"/>
    <n v="712"/>
    <n v="712"/>
    <m/>
    <n v="107"/>
    <n v="819"/>
    <n v="819"/>
    <n v="0"/>
    <x v="16"/>
    <s v="true"/>
    <s v="true"/>
    <x v="0"/>
  </r>
  <r>
    <n v="243"/>
    <d v="2024-09-08T00:00:00"/>
    <s v="9/2024"/>
    <x v="62"/>
    <x v="672"/>
    <x v="0"/>
    <x v="0"/>
    <x v="173"/>
    <n v="0"/>
    <n v="517"/>
    <n v="0"/>
    <n v="545"/>
    <n v="0"/>
    <m/>
    <n v="0"/>
    <n v="0"/>
    <n v="0"/>
    <n v="0"/>
    <x v="16"/>
    <s v="true"/>
    <s v="true"/>
    <x v="0"/>
  </r>
  <r>
    <n v="243"/>
    <d v="2024-09-08T00:00:00"/>
    <s v="9/2024"/>
    <x v="62"/>
    <x v="673"/>
    <x v="0"/>
    <x v="0"/>
    <x v="173"/>
    <n v="1"/>
    <n v="2547"/>
    <n v="2547"/>
    <n v="2682"/>
    <n v="2682"/>
    <m/>
    <n v="402"/>
    <n v="3084"/>
    <n v="3084"/>
    <n v="0"/>
    <x v="16"/>
    <s v="true"/>
    <s v="true"/>
    <x v="0"/>
  </r>
  <r>
    <n v="243"/>
    <d v="2024-09-08T00:00:00"/>
    <s v="9/2024"/>
    <x v="62"/>
    <x v="674"/>
    <x v="0"/>
    <x v="0"/>
    <x v="176"/>
    <n v="1"/>
    <n v="557"/>
    <n v="557"/>
    <n v="587"/>
    <n v="587"/>
    <m/>
    <n v="88"/>
    <n v="675"/>
    <n v="675"/>
    <n v="0"/>
    <x v="16"/>
    <s v="true"/>
    <s v="true"/>
    <x v="0"/>
  </r>
  <r>
    <n v="244"/>
    <d v="2024-09-09T00:00:00"/>
    <s v="9/2024"/>
    <x v="24"/>
    <x v="675"/>
    <x v="0"/>
    <x v="0"/>
    <x v="176"/>
    <n v="1"/>
    <n v="2976"/>
    <n v="2976"/>
    <n v="3132"/>
    <n v="3132"/>
    <m/>
    <n v="470"/>
    <n v="3602"/>
    <n v="3602"/>
    <n v="0"/>
    <x v="15"/>
    <s v="true"/>
    <s v="true"/>
    <x v="0"/>
  </r>
  <r>
    <n v="245"/>
    <d v="2024-09-11T00:00:00"/>
    <s v="9/2024"/>
    <x v="47"/>
    <x v="613"/>
    <x v="0"/>
    <x v="0"/>
    <x v="161"/>
    <n v="1"/>
    <n v="1976"/>
    <n v="1976"/>
    <n v="2080"/>
    <n v="2080"/>
    <m/>
    <n v="312"/>
    <n v="2392"/>
    <n v="2392"/>
    <n v="0"/>
    <x v="16"/>
    <s v="true"/>
    <s v="true"/>
    <x v="0"/>
  </r>
  <r>
    <n v="245"/>
    <d v="2024-09-11T00:00:00"/>
    <s v="9/2024"/>
    <x v="47"/>
    <x v="676"/>
    <x v="0"/>
    <x v="0"/>
    <x v="177"/>
    <n v="1"/>
    <n v="2223"/>
    <n v="2223"/>
    <n v="2340"/>
    <n v="2340"/>
    <n v="117"/>
    <n v="351"/>
    <n v="2808"/>
    <n v="2808"/>
    <n v="0"/>
    <x v="16"/>
    <s v="true"/>
    <s v="true"/>
    <x v="0"/>
  </r>
  <r>
    <n v="245"/>
    <d v="2024-09-11T00:00:00"/>
    <s v="9/2024"/>
    <x v="47"/>
    <x v="677"/>
    <x v="0"/>
    <x v="0"/>
    <x v="175"/>
    <n v="1"/>
    <n v="3973"/>
    <n v="3973"/>
    <n v="4183"/>
    <n v="4183"/>
    <n v="209.15"/>
    <n v="627"/>
    <n v="5019.1499999999996"/>
    <n v="5019.1499999999996"/>
    <n v="0"/>
    <x v="16"/>
    <s v="true"/>
    <s v="true"/>
    <x v="0"/>
  </r>
  <r>
    <n v="234"/>
    <d v="2024-09-03T00:00:00"/>
    <s v="9/2024"/>
    <x v="26"/>
    <x v="257"/>
    <x v="0"/>
    <x v="66"/>
    <x v="178"/>
    <n v="1"/>
    <n v="6500"/>
    <n v="6500"/>
    <n v="6500"/>
    <n v="6500"/>
    <m/>
    <n v="650"/>
    <n v="650"/>
    <n v="650"/>
    <n v="0"/>
    <x v="20"/>
    <s v="true"/>
    <s v="true"/>
    <x v="0"/>
  </r>
  <r>
    <n v="234"/>
    <d v="2024-09-03T00:00:00"/>
    <s v="9/2024"/>
    <x v="26"/>
    <x v="257"/>
    <x v="0"/>
    <x v="67"/>
    <x v="177"/>
    <n v="1"/>
    <n v="3000"/>
    <n v="3000"/>
    <n v="3000"/>
    <n v="3000"/>
    <m/>
    <n v="300"/>
    <n v="300"/>
    <n v="300"/>
    <n v="0"/>
    <x v="20"/>
    <s v="true"/>
    <s v="true"/>
    <x v="0"/>
  </r>
  <r>
    <n v="234"/>
    <d v="2024-09-03T00:00:00"/>
    <s v="9/2024"/>
    <x v="26"/>
    <x v="257"/>
    <x v="0"/>
    <x v="68"/>
    <x v="179"/>
    <n v="1"/>
    <n v="2400"/>
    <n v="2400"/>
    <n v="2400"/>
    <n v="2400"/>
    <m/>
    <n v="240"/>
    <n v="240"/>
    <n v="240"/>
    <n v="0"/>
    <x v="20"/>
    <s v="true"/>
    <s v="true"/>
    <x v="0"/>
  </r>
  <r>
    <n v="234"/>
    <d v="2024-09-03T00:00:00"/>
    <s v="9/2024"/>
    <x v="26"/>
    <x v="257"/>
    <x v="0"/>
    <x v="69"/>
    <x v="180"/>
    <n v="1"/>
    <n v="1250"/>
    <n v="1250"/>
    <n v="1250"/>
    <n v="1250"/>
    <n v="445"/>
    <n v="125"/>
    <n v="570"/>
    <n v="570"/>
    <n v="0"/>
    <x v="20"/>
    <s v="true"/>
    <s v="true"/>
    <x v="0"/>
  </r>
  <r>
    <n v="234"/>
    <d v="2024-09-03T00:00:00"/>
    <s v="9/2024"/>
    <x v="26"/>
    <x v="257"/>
    <x v="0"/>
    <x v="70"/>
    <x v="177"/>
    <n v="1"/>
    <n v="3200"/>
    <n v="3200"/>
    <n v="3200"/>
    <n v="3200"/>
    <m/>
    <n v="320"/>
    <n v="320"/>
    <n v="320"/>
    <n v="0"/>
    <x v="20"/>
    <s v="true"/>
    <s v="true"/>
    <x v="0"/>
  </r>
  <r>
    <n v="234"/>
    <d v="2024-09-03T00:00:00"/>
    <s v="9/2024"/>
    <x v="26"/>
    <x v="257"/>
    <x v="0"/>
    <x v="71"/>
    <x v="180"/>
    <n v="1"/>
    <n v="3850"/>
    <n v="3850"/>
    <n v="3850"/>
    <n v="3850"/>
    <m/>
    <n v="385"/>
    <n v="385"/>
    <n v="385"/>
    <n v="0"/>
    <x v="19"/>
    <s v="true"/>
    <s v="true"/>
    <x v="0"/>
  </r>
  <r>
    <n v="247"/>
    <d v="2024-09-11T00:00:00"/>
    <s v="9/2024"/>
    <x v="71"/>
    <x v="678"/>
    <x v="0"/>
    <x v="0"/>
    <x v="181"/>
    <n v="1"/>
    <n v="726"/>
    <n v="726"/>
    <n v="757"/>
    <n v="757"/>
    <m/>
    <n v="114"/>
    <n v="871"/>
    <n v="871"/>
    <n v="0"/>
    <x v="18"/>
    <s v="true"/>
    <s v="true"/>
    <x v="0"/>
  </r>
  <r>
    <n v="247"/>
    <d v="2024-09-11T00:00:00"/>
    <s v="9/2024"/>
    <x v="71"/>
    <x v="679"/>
    <x v="0"/>
    <x v="0"/>
    <x v="175"/>
    <n v="1"/>
    <n v="1049"/>
    <n v="1049"/>
    <n v="1105"/>
    <n v="1105"/>
    <m/>
    <n v="166"/>
    <n v="1271"/>
    <n v="1271"/>
    <n v="0"/>
    <x v="16"/>
    <s v="true"/>
    <s v="true"/>
    <x v="0"/>
  </r>
  <r>
    <n v="247"/>
    <d v="2024-09-11T00:00:00"/>
    <s v="9/2024"/>
    <x v="71"/>
    <x v="680"/>
    <x v="0"/>
    <x v="0"/>
    <x v="182"/>
    <n v="0"/>
    <n v="1171"/>
    <n v="0"/>
    <n v="1250"/>
    <n v="0"/>
    <m/>
    <n v="0"/>
    <n v="0"/>
    <m/>
    <n v="0"/>
    <x v="15"/>
    <s v="true"/>
    <s v="true"/>
    <x v="0"/>
  </r>
  <r>
    <n v="248"/>
    <d v="2024-09-13T00:00:00"/>
    <s v="9/2024"/>
    <x v="63"/>
    <x v="73"/>
    <x v="0"/>
    <x v="0"/>
    <x v="175"/>
    <n v="1"/>
    <n v="204"/>
    <n v="204"/>
    <n v="204"/>
    <n v="204"/>
    <m/>
    <n v="200"/>
    <n v="200"/>
    <n v="200"/>
    <n v="0"/>
    <x v="15"/>
    <s v="true"/>
    <s v="true"/>
    <x v="0"/>
  </r>
  <r>
    <n v="249"/>
    <d v="2024-09-13T00:00:00"/>
    <s v="9/2024"/>
    <x v="66"/>
    <x v="73"/>
    <x v="0"/>
    <x v="0"/>
    <x v="175"/>
    <n v="1"/>
    <n v="17840"/>
    <n v="17840"/>
    <n v="17840"/>
    <n v="17840"/>
    <m/>
    <n v="1784"/>
    <n v="1784"/>
    <n v="1784"/>
    <n v="0"/>
    <x v="15"/>
    <s v="true"/>
    <s v="true"/>
    <x v="0"/>
  </r>
  <r>
    <n v="250"/>
    <d v="2024-09-13T00:00:00"/>
    <s v="9/2024"/>
    <x v="23"/>
    <x v="681"/>
    <x v="0"/>
    <x v="0"/>
    <x v="180"/>
    <n v="1"/>
    <n v="433"/>
    <n v="433"/>
    <n v="456"/>
    <n v="456"/>
    <m/>
    <n v="68"/>
    <n v="524"/>
    <n v="524"/>
    <n v="0"/>
    <x v="16"/>
    <s v="true"/>
    <s v="true"/>
    <x v="0"/>
  </r>
  <r>
    <n v="250"/>
    <d v="2024-09-13T00:00:00"/>
    <s v="9/2024"/>
    <x v="23"/>
    <x v="682"/>
    <x v="0"/>
    <x v="0"/>
    <x v="180"/>
    <n v="1"/>
    <n v="75"/>
    <n v="75"/>
    <n v="79"/>
    <n v="79"/>
    <m/>
    <n v="12"/>
    <n v="91"/>
    <n v="91"/>
    <n v="0"/>
    <x v="16"/>
    <s v="true"/>
    <s v="true"/>
    <x v="0"/>
  </r>
  <r>
    <n v="250"/>
    <d v="2024-09-13T00:00:00"/>
    <s v="9/2024"/>
    <x v="23"/>
    <x v="683"/>
    <x v="0"/>
    <x v="0"/>
    <x v="180"/>
    <n v="1"/>
    <n v="880"/>
    <n v="880"/>
    <n v="927"/>
    <n v="927"/>
    <m/>
    <n v="139"/>
    <n v="1066"/>
    <n v="1066"/>
    <n v="0"/>
    <x v="16"/>
    <s v="true"/>
    <s v="true"/>
    <x v="0"/>
  </r>
  <r>
    <n v="250"/>
    <d v="2024-09-13T00:00:00"/>
    <s v="9/2024"/>
    <x v="23"/>
    <x v="684"/>
    <x v="0"/>
    <x v="0"/>
    <x v="180"/>
    <n v="1"/>
    <n v="151"/>
    <n v="151"/>
    <n v="159"/>
    <n v="159"/>
    <m/>
    <n v="24"/>
    <n v="183"/>
    <n v="183"/>
    <n v="0"/>
    <x v="15"/>
    <s v="true"/>
    <s v="true"/>
    <x v="0"/>
  </r>
  <r>
    <n v="250"/>
    <d v="2024-09-13T00:00:00"/>
    <s v="9/2024"/>
    <x v="23"/>
    <x v="121"/>
    <x v="0"/>
    <x v="0"/>
    <x v="180"/>
    <n v="1"/>
    <n v="244"/>
    <n v="244"/>
    <n v="249"/>
    <n v="249"/>
    <m/>
    <n v="37"/>
    <n v="286"/>
    <n v="286"/>
    <n v="0"/>
    <x v="15"/>
    <s v="true"/>
    <s v="true"/>
    <x v="0"/>
  </r>
  <r>
    <n v="250"/>
    <d v="2024-09-13T00:00:00"/>
    <s v="9/2024"/>
    <x v="23"/>
    <x v="685"/>
    <x v="0"/>
    <x v="0"/>
    <x v="180"/>
    <n v="1"/>
    <n v="642"/>
    <n v="642"/>
    <n v="680"/>
    <n v="680"/>
    <m/>
    <n v="102"/>
    <n v="782"/>
    <n v="782"/>
    <n v="0"/>
    <x v="15"/>
    <s v="true"/>
    <s v="true"/>
    <x v="0"/>
  </r>
  <r>
    <n v="251"/>
    <d v="2024-09-13T00:00:00"/>
    <s v="9/2024"/>
    <x v="15"/>
    <x v="686"/>
    <x v="0"/>
    <x v="72"/>
    <x v="183"/>
    <n v="1"/>
    <n v="4500"/>
    <n v="4500"/>
    <n v="4500"/>
    <n v="4500"/>
    <n v="318"/>
    <n v="675"/>
    <n v="5493"/>
    <n v="5493"/>
    <n v="0"/>
    <x v="19"/>
    <s v="true"/>
    <s v="true"/>
    <x v="0"/>
  </r>
  <r>
    <n v="252"/>
    <d v="2024-09-14T00:00:00"/>
    <s v="9/2024"/>
    <x v="24"/>
    <x v="675"/>
    <x v="0"/>
    <x v="0"/>
    <x v="177"/>
    <n v="1"/>
    <n v="3026"/>
    <n v="3026"/>
    <n v="3185"/>
    <n v="3185"/>
    <m/>
    <n v="478"/>
    <n v="3663"/>
    <n v="3663"/>
    <n v="0"/>
    <x v="16"/>
    <s v="true"/>
    <s v="true"/>
    <x v="0"/>
  </r>
  <r>
    <n v="253"/>
    <d v="2024-09-14T00:00:00"/>
    <s v="9/2024"/>
    <x v="1"/>
    <x v="687"/>
    <x v="0"/>
    <x v="0"/>
    <x v="184"/>
    <n v="1"/>
    <n v="1641"/>
    <n v="1641"/>
    <n v="1709"/>
    <n v="1709"/>
    <m/>
    <n v="171"/>
    <n v="1880"/>
    <n v="1880"/>
    <n v="0"/>
    <x v="15"/>
    <s v="true"/>
    <s v="true"/>
    <x v="0"/>
  </r>
  <r>
    <n v="253"/>
    <d v="2024-09-14T00:00:00"/>
    <s v="9/2024"/>
    <x v="1"/>
    <x v="110"/>
    <x v="0"/>
    <x v="0"/>
    <x v="178"/>
    <n v="1"/>
    <n v="475"/>
    <n v="475"/>
    <n v="501"/>
    <n v="501"/>
    <m/>
    <n v="50"/>
    <n v="551"/>
    <n v="551"/>
    <n v="0"/>
    <x v="16"/>
    <s v="true"/>
    <s v="true"/>
    <x v="0"/>
  </r>
  <r>
    <n v="253"/>
    <d v="2024-09-14T00:00:00"/>
    <s v="9/2024"/>
    <x v="1"/>
    <x v="110"/>
    <x v="0"/>
    <x v="0"/>
    <x v="178"/>
    <n v="1"/>
    <n v="292"/>
    <n v="292"/>
    <n v="308"/>
    <n v="308"/>
    <m/>
    <n v="31"/>
    <n v="339"/>
    <n v="339"/>
    <n v="0"/>
    <x v="16"/>
    <s v="true"/>
    <s v="true"/>
    <x v="0"/>
  </r>
  <r>
    <n v="253"/>
    <d v="2024-09-14T00:00:00"/>
    <s v="9/2024"/>
    <x v="1"/>
    <x v="688"/>
    <x v="0"/>
    <x v="0"/>
    <x v="177"/>
    <n v="1"/>
    <n v="128"/>
    <n v="128"/>
    <n v="135"/>
    <n v="135"/>
    <m/>
    <n v="14"/>
    <n v="149"/>
    <n v="149"/>
    <n v="0"/>
    <x v="16"/>
    <s v="true"/>
    <s v="true"/>
    <x v="0"/>
  </r>
  <r>
    <n v="253"/>
    <d v="2024-09-14T00:00:00"/>
    <s v="9/2024"/>
    <x v="1"/>
    <x v="688"/>
    <x v="0"/>
    <x v="0"/>
    <x v="177"/>
    <n v="1"/>
    <n v="159"/>
    <n v="159"/>
    <n v="168"/>
    <n v="168"/>
    <m/>
    <n v="17"/>
    <n v="185"/>
    <n v="185"/>
    <n v="0"/>
    <x v="16"/>
    <s v="true"/>
    <s v="true"/>
    <x v="0"/>
  </r>
  <r>
    <n v="253"/>
    <d v="2024-09-14T00:00:00"/>
    <s v="9/2024"/>
    <x v="1"/>
    <x v="688"/>
    <x v="0"/>
    <x v="0"/>
    <x v="177"/>
    <n v="1"/>
    <n v="128"/>
    <n v="128"/>
    <n v="135"/>
    <n v="135"/>
    <m/>
    <n v="14"/>
    <n v="149"/>
    <n v="149"/>
    <n v="0"/>
    <x v="16"/>
    <s v="true"/>
    <s v="true"/>
    <x v="0"/>
  </r>
  <r>
    <n v="253"/>
    <d v="2024-09-14T00:00:00"/>
    <s v="9/2024"/>
    <x v="1"/>
    <x v="688"/>
    <x v="0"/>
    <x v="0"/>
    <x v="177"/>
    <n v="1"/>
    <n v="151"/>
    <n v="151"/>
    <n v="159"/>
    <n v="159"/>
    <m/>
    <n v="16"/>
    <n v="175"/>
    <n v="175"/>
    <n v="0"/>
    <x v="16"/>
    <s v="true"/>
    <s v="true"/>
    <x v="0"/>
  </r>
  <r>
    <n v="253"/>
    <d v="2024-09-14T00:00:00"/>
    <s v="9/2024"/>
    <x v="1"/>
    <x v="688"/>
    <x v="0"/>
    <x v="0"/>
    <x v="177"/>
    <n v="1"/>
    <n v="242"/>
    <n v="242"/>
    <n v="255"/>
    <n v="255"/>
    <m/>
    <n v="26"/>
    <n v="281"/>
    <n v="281"/>
    <n v="0"/>
    <x v="16"/>
    <s v="true"/>
    <s v="true"/>
    <x v="0"/>
  </r>
  <r>
    <n v="253"/>
    <d v="2024-09-14T00:00:00"/>
    <s v="9/2024"/>
    <x v="1"/>
    <x v="688"/>
    <x v="0"/>
    <x v="0"/>
    <x v="177"/>
    <n v="1"/>
    <n v="159"/>
    <n v="159"/>
    <n v="168"/>
    <n v="168"/>
    <m/>
    <n v="17"/>
    <n v="185"/>
    <n v="185"/>
    <n v="0"/>
    <x v="16"/>
    <s v="true"/>
    <s v="true"/>
    <x v="0"/>
  </r>
  <r>
    <n v="253"/>
    <d v="2024-09-14T00:00:00"/>
    <s v="9/2024"/>
    <x v="1"/>
    <x v="688"/>
    <x v="0"/>
    <x v="0"/>
    <x v="177"/>
    <n v="1"/>
    <n v="156"/>
    <n v="156"/>
    <n v="165"/>
    <n v="165"/>
    <m/>
    <n v="17"/>
    <n v="182"/>
    <n v="182"/>
    <n v="0"/>
    <x v="16"/>
    <s v="true"/>
    <s v="true"/>
    <x v="0"/>
  </r>
  <r>
    <n v="253"/>
    <d v="2024-09-14T00:00:00"/>
    <s v="9/2024"/>
    <x v="1"/>
    <x v="688"/>
    <x v="0"/>
    <x v="0"/>
    <x v="178"/>
    <n v="1"/>
    <n v="171"/>
    <n v="171"/>
    <n v="180"/>
    <n v="180"/>
    <m/>
    <n v="18"/>
    <n v="198"/>
    <n v="198"/>
    <n v="0"/>
    <x v="16"/>
    <s v="true"/>
    <s v="true"/>
    <x v="0"/>
  </r>
  <r>
    <n v="254"/>
    <d v="2024-09-16T00:00:00"/>
    <s v="9/2024"/>
    <x v="9"/>
    <x v="689"/>
    <x v="0"/>
    <x v="0"/>
    <x v="185"/>
    <n v="1"/>
    <n v="907"/>
    <n v="907"/>
    <n v="1005"/>
    <n v="1005"/>
    <m/>
    <n v="200"/>
    <n v="1205"/>
    <n v="1205"/>
    <n v="0"/>
    <x v="15"/>
    <s v="true"/>
    <s v="true"/>
    <x v="0"/>
  </r>
  <r>
    <n v="255"/>
    <d v="2024-09-16T00:00:00"/>
    <s v="9/2024"/>
    <x v="72"/>
    <x v="690"/>
    <x v="0"/>
    <x v="0"/>
    <x v="178"/>
    <n v="1"/>
    <n v="7010"/>
    <n v="7010"/>
    <n v="7494"/>
    <n v="7494"/>
    <m/>
    <n v="1124"/>
    <n v="8618"/>
    <n v="8618"/>
    <n v="0"/>
    <x v="15"/>
    <s v="true"/>
    <s v="true"/>
    <x v="0"/>
  </r>
  <r>
    <n v="255"/>
    <d v="2024-09-16T00:00:00"/>
    <s v="9/2024"/>
    <x v="72"/>
    <x v="691"/>
    <x v="0"/>
    <x v="0"/>
    <x v="179"/>
    <n v="1"/>
    <n v="637"/>
    <n v="637"/>
    <n v="686"/>
    <n v="686"/>
    <m/>
    <n v="103"/>
    <n v="789"/>
    <n v="789"/>
    <n v="0"/>
    <x v="16"/>
    <s v="true"/>
    <s v="true"/>
    <x v="0"/>
  </r>
  <r>
    <n v="255"/>
    <d v="2024-09-16T00:00:00"/>
    <s v="9/2024"/>
    <x v="72"/>
    <x v="692"/>
    <x v="0"/>
    <x v="0"/>
    <x v="185"/>
    <n v="1"/>
    <n v="1182"/>
    <n v="1182"/>
    <n v="1273"/>
    <n v="1273"/>
    <m/>
    <n v="191"/>
    <n v="1464"/>
    <n v="1464"/>
    <n v="0"/>
    <x v="15"/>
    <s v="true"/>
    <s v="true"/>
    <x v="0"/>
  </r>
  <r>
    <n v="256"/>
    <d v="2024-09-17T00:00:00"/>
    <s v="9/2024"/>
    <x v="26"/>
    <x v="257"/>
    <x v="0"/>
    <x v="73"/>
    <x v="172"/>
    <n v="1"/>
    <n v="6500"/>
    <n v="6500"/>
    <n v="6500"/>
    <n v="6500"/>
    <m/>
    <n v="650"/>
    <n v="650"/>
    <n v="650"/>
    <n v="0"/>
    <x v="20"/>
    <s v="true"/>
    <s v="true"/>
    <x v="0"/>
  </r>
  <r>
    <n v="256"/>
    <d v="2024-09-17T00:00:00"/>
    <s v="9/2024"/>
    <x v="26"/>
    <x v="257"/>
    <x v="0"/>
    <x v="74"/>
    <x v="183"/>
    <n v="1"/>
    <n v="6517"/>
    <n v="6517"/>
    <n v="6517"/>
    <n v="6517"/>
    <m/>
    <n v="652"/>
    <n v="652"/>
    <n v="652"/>
    <n v="0"/>
    <x v="20"/>
    <s v="true"/>
    <s v="true"/>
    <x v="0"/>
  </r>
  <r>
    <n v="256"/>
    <d v="2024-09-17T00:00:00"/>
    <s v="9/2024"/>
    <x v="26"/>
    <x v="257"/>
    <x v="0"/>
    <x v="75"/>
    <x v="172"/>
    <n v="1"/>
    <n v="8000"/>
    <n v="8000"/>
    <n v="8000"/>
    <n v="8000"/>
    <m/>
    <n v="800"/>
    <n v="800"/>
    <n v="800"/>
    <n v="0"/>
    <x v="20"/>
    <s v="true"/>
    <s v="true"/>
    <x v="0"/>
  </r>
  <r>
    <n v="256"/>
    <d v="2024-09-17T00:00:00"/>
    <s v="9/2024"/>
    <x v="26"/>
    <x v="257"/>
    <x v="0"/>
    <x v="76"/>
    <x v="185"/>
    <n v="1"/>
    <n v="5150"/>
    <n v="5150"/>
    <n v="5150"/>
    <n v="5150"/>
    <m/>
    <n v="515"/>
    <n v="515"/>
    <n v="515"/>
    <n v="0"/>
    <x v="20"/>
    <s v="true"/>
    <s v="true"/>
    <x v="0"/>
  </r>
  <r>
    <n v="256"/>
    <d v="2024-09-17T00:00:00"/>
    <s v="9/2024"/>
    <x v="26"/>
    <x v="257"/>
    <x v="0"/>
    <x v="77"/>
    <x v="186"/>
    <n v="1"/>
    <n v="500"/>
    <n v="500"/>
    <n v="500"/>
    <n v="500"/>
    <m/>
    <n v="50"/>
    <n v="50"/>
    <n v="50"/>
    <n v="0"/>
    <x v="20"/>
    <s v="true"/>
    <s v="true"/>
    <x v="0"/>
  </r>
  <r>
    <n v="256"/>
    <d v="2024-09-17T00:00:00"/>
    <s v="9/2024"/>
    <x v="26"/>
    <x v="257"/>
    <x v="0"/>
    <x v="78"/>
    <x v="186"/>
    <n v="1"/>
    <n v="1500"/>
    <n v="1500"/>
    <n v="1500"/>
    <n v="1500"/>
    <m/>
    <n v="150"/>
    <n v="150"/>
    <n v="150"/>
    <n v="0"/>
    <x v="20"/>
    <s v="true"/>
    <s v="true"/>
    <x v="0"/>
  </r>
  <r>
    <n v="256"/>
    <d v="2024-09-17T00:00:00"/>
    <s v="9/2024"/>
    <x v="26"/>
    <x v="257"/>
    <x v="0"/>
    <x v="79"/>
    <x v="184"/>
    <n v="1"/>
    <n v="2660"/>
    <n v="2660"/>
    <n v="2660"/>
    <n v="2660"/>
    <m/>
    <n v="266"/>
    <n v="266"/>
    <n v="266"/>
    <n v="0"/>
    <x v="20"/>
    <s v="true"/>
    <s v="true"/>
    <x v="0"/>
  </r>
  <r>
    <n v="256"/>
    <d v="2024-09-17T00:00:00"/>
    <s v="9/2024"/>
    <x v="26"/>
    <x v="257"/>
    <x v="0"/>
    <x v="80"/>
    <x v="186"/>
    <n v="1"/>
    <n v="1500"/>
    <n v="1500"/>
    <n v="1500"/>
    <n v="1500"/>
    <m/>
    <n v="150"/>
    <n v="150"/>
    <n v="150"/>
    <n v="0"/>
    <x v="20"/>
    <s v="true"/>
    <s v="true"/>
    <x v="0"/>
  </r>
  <r>
    <n v="256"/>
    <d v="2024-09-17T00:00:00"/>
    <s v="9/2024"/>
    <x v="26"/>
    <x v="257"/>
    <x v="0"/>
    <x v="81"/>
    <x v="183"/>
    <n v="1"/>
    <n v="0"/>
    <n v="0"/>
    <n v="0"/>
    <n v="0"/>
    <m/>
    <n v="0"/>
    <n v="0"/>
    <n v="0"/>
    <n v="0"/>
    <x v="20"/>
    <s v="true"/>
    <s v="true"/>
    <x v="0"/>
  </r>
  <r>
    <n v="256"/>
    <d v="2024-09-17T00:00:00"/>
    <s v="9/2024"/>
    <x v="26"/>
    <x v="257"/>
    <x v="0"/>
    <x v="82"/>
    <x v="184"/>
    <n v="1"/>
    <n v="5500"/>
    <n v="5500"/>
    <n v="5500"/>
    <n v="5500"/>
    <n v="350"/>
    <n v="550"/>
    <n v="900"/>
    <n v="900"/>
    <n v="0"/>
    <x v="20"/>
    <s v="true"/>
    <s v="true"/>
    <x v="0"/>
  </r>
  <r>
    <n v="257"/>
    <d v="2024-09-17T00:00:00"/>
    <s v="9/2024"/>
    <x v="39"/>
    <x v="257"/>
    <x v="0"/>
    <x v="83"/>
    <x v="184"/>
    <n v="1"/>
    <n v="13952"/>
    <n v="13952"/>
    <n v="13952"/>
    <n v="13952"/>
    <n v="757.52000000000044"/>
    <n v="1395"/>
    <n v="2152.5200000000004"/>
    <n v="2152.5200000000004"/>
    <n v="0"/>
    <x v="19"/>
    <s v="true"/>
    <s v="true"/>
    <x v="0"/>
  </r>
  <r>
    <n v="247"/>
    <d v="2024-09-11T00:00:00"/>
    <s v="9/2024"/>
    <x v="71"/>
    <x v="693"/>
    <x v="0"/>
    <x v="0"/>
    <x v="187"/>
    <n v="1"/>
    <n v="531"/>
    <n v="531"/>
    <n v="531"/>
    <n v="531"/>
    <n v="258"/>
    <n v="80"/>
    <n v="869"/>
    <n v="869"/>
    <n v="0"/>
    <x v="19"/>
    <s v="true"/>
    <s v="true"/>
    <x v="0"/>
  </r>
  <r>
    <n v="247"/>
    <d v="2024-09-11T00:00:00"/>
    <s v="9/2024"/>
    <x v="71"/>
    <x v="694"/>
    <x v="0"/>
    <x v="0"/>
    <x v="188"/>
    <n v="1"/>
    <n v="379"/>
    <n v="379"/>
    <n v="379"/>
    <n v="379"/>
    <m/>
    <n v="57"/>
    <n v="436"/>
    <n v="436"/>
    <n v="0"/>
    <x v="19"/>
    <s v="true"/>
    <s v="true"/>
    <x v="0"/>
  </r>
  <r>
    <n v="247"/>
    <d v="2024-09-11T00:00:00"/>
    <s v="9/2024"/>
    <x v="71"/>
    <x v="695"/>
    <x v="0"/>
    <x v="0"/>
    <x v="188"/>
    <n v="1"/>
    <n v="673"/>
    <n v="673"/>
    <n v="673"/>
    <n v="673"/>
    <n v="341"/>
    <n v="101"/>
    <n v="1115"/>
    <n v="1115"/>
    <n v="0"/>
    <x v="19"/>
    <s v="true"/>
    <s v="true"/>
    <x v="0"/>
  </r>
  <r>
    <n v="258"/>
    <d v="2024-09-19T00:00:00"/>
    <s v="9/2024"/>
    <x v="73"/>
    <x v="696"/>
    <x v="0"/>
    <x v="0"/>
    <x v="184"/>
    <n v="1"/>
    <n v="2683"/>
    <n v="2683"/>
    <n v="2862"/>
    <n v="2862"/>
    <m/>
    <n v="429"/>
    <n v="3291"/>
    <n v="3291"/>
    <n v="0"/>
    <x v="15"/>
    <s v="true"/>
    <s v="true"/>
    <x v="0"/>
  </r>
  <r>
    <n v="258"/>
    <d v="2024-09-19T00:00:00"/>
    <s v="9/2024"/>
    <x v="73"/>
    <x v="697"/>
    <x v="0"/>
    <x v="0"/>
    <x v="189"/>
    <n v="1"/>
    <n v="3050"/>
    <n v="3050"/>
    <n v="3225"/>
    <n v="3225"/>
    <m/>
    <n v="484"/>
    <n v="3709"/>
    <n v="3709"/>
    <n v="0"/>
    <x v="15"/>
    <s v="true"/>
    <s v="true"/>
    <x v="0"/>
  </r>
  <r>
    <n v="256"/>
    <d v="2024-09-17T00:00:00"/>
    <s v="9/2024"/>
    <x v="26"/>
    <x v="257"/>
    <x v="0"/>
    <x v="84"/>
    <x v="190"/>
    <n v="1"/>
    <n v="6990"/>
    <n v="6990"/>
    <n v="6990"/>
    <n v="6990"/>
    <n v="492"/>
    <n v="699"/>
    <n v="1191"/>
    <n v="1191"/>
    <n v="0"/>
    <x v="20"/>
    <s v="true"/>
    <s v="true"/>
    <x v="0"/>
  </r>
  <r>
    <n v="232"/>
    <d v="2024-09-20T00:00:00"/>
    <s v="9/2024"/>
    <x v="66"/>
    <x v="73"/>
    <x v="0"/>
    <x v="0"/>
    <x v="191"/>
    <n v="1"/>
    <n v="5766"/>
    <n v="5766"/>
    <n v="5766"/>
    <n v="5766"/>
    <n v="400"/>
    <n v="865"/>
    <n v="1265"/>
    <n v="1265"/>
    <n v="0"/>
    <x v="15"/>
    <s v="true"/>
    <s v="true"/>
    <x v="0"/>
  </r>
  <r>
    <n v="246"/>
    <d v="2024-09-20T00:00:00"/>
    <s v="9/2024"/>
    <x v="63"/>
    <x v="73"/>
    <x v="0"/>
    <x v="0"/>
    <x v="191"/>
    <n v="1"/>
    <n v="4481"/>
    <n v="4481"/>
    <n v="4481"/>
    <n v="4481"/>
    <m/>
    <n v="672"/>
    <n v="672"/>
    <n v="672"/>
    <n v="0"/>
    <x v="15"/>
    <s v="true"/>
    <s v="true"/>
    <x v="0"/>
  </r>
  <r>
    <n v="259"/>
    <d v="2024-09-20T00:00:00"/>
    <s v="9/2024"/>
    <x v="64"/>
    <x v="73"/>
    <x v="0"/>
    <x v="0"/>
    <x v="191"/>
    <n v="1"/>
    <n v="4792"/>
    <n v="4792"/>
    <n v="4792"/>
    <n v="4792"/>
    <m/>
    <n v="719"/>
    <n v="719"/>
    <n v="719"/>
    <n v="0"/>
    <x v="15"/>
    <s v="true"/>
    <s v="true"/>
    <x v="0"/>
  </r>
  <r>
    <n v="260"/>
    <d v="2024-09-20T00:00:00"/>
    <s v="9/2024"/>
    <x v="74"/>
    <x v="73"/>
    <x v="0"/>
    <x v="0"/>
    <x v="191"/>
    <n v="1"/>
    <n v="11179"/>
    <n v="11179"/>
    <n v="11179"/>
    <n v="11179"/>
    <m/>
    <n v="1118"/>
    <n v="1118"/>
    <n v="1118"/>
    <n v="0"/>
    <x v="15"/>
    <s v="true"/>
    <s v="true"/>
    <x v="0"/>
  </r>
  <r>
    <n v="261"/>
    <d v="2024-09-21T00:00:00"/>
    <s v="9/2024"/>
    <x v="23"/>
    <x v="698"/>
    <x v="0"/>
    <x v="0"/>
    <x v="192"/>
    <n v="1"/>
    <n v="441"/>
    <n v="441"/>
    <n v="450"/>
    <n v="450"/>
    <m/>
    <n v="68"/>
    <n v="518"/>
    <n v="518"/>
    <n v="0"/>
    <x v="15"/>
    <s v="true"/>
    <s v="true"/>
    <x v="0"/>
  </r>
  <r>
    <n v="261"/>
    <d v="2024-09-21T00:00:00"/>
    <s v="9/2024"/>
    <x v="23"/>
    <x v="699"/>
    <x v="0"/>
    <x v="0"/>
    <x v="172"/>
    <n v="1"/>
    <n v="108"/>
    <n v="108"/>
    <n v="120"/>
    <n v="120"/>
    <m/>
    <n v="18"/>
    <n v="138"/>
    <n v="138"/>
    <n v="0"/>
    <x v="15"/>
    <s v="true"/>
    <s v="true"/>
    <x v="0"/>
  </r>
  <r>
    <n v="261"/>
    <d v="2024-09-21T00:00:00"/>
    <s v="9/2024"/>
    <x v="23"/>
    <x v="683"/>
    <x v="0"/>
    <x v="0"/>
    <x v="186"/>
    <n v="1"/>
    <n v="1144"/>
    <n v="1144"/>
    <n v="1205"/>
    <n v="1205"/>
    <m/>
    <n v="181"/>
    <n v="1386"/>
    <n v="1386"/>
    <n v="0"/>
    <x v="16"/>
    <s v="true"/>
    <s v="true"/>
    <x v="0"/>
  </r>
  <r>
    <n v="261"/>
    <d v="2024-09-21T00:00:00"/>
    <s v="9/2024"/>
    <x v="23"/>
    <x v="700"/>
    <x v="0"/>
    <x v="0"/>
    <x v="186"/>
    <n v="1"/>
    <n v="258"/>
    <n v="258"/>
    <n v="272"/>
    <n v="272"/>
    <m/>
    <n v="41"/>
    <n v="313"/>
    <n v="313"/>
    <n v="0"/>
    <x v="16"/>
    <s v="true"/>
    <s v="true"/>
    <x v="0"/>
  </r>
  <r>
    <n v="261"/>
    <d v="2024-09-21T00:00:00"/>
    <s v="9/2024"/>
    <x v="23"/>
    <x v="701"/>
    <x v="0"/>
    <x v="0"/>
    <x v="186"/>
    <n v="1"/>
    <n v="356"/>
    <n v="356"/>
    <n v="375"/>
    <n v="375"/>
    <m/>
    <n v="56"/>
    <n v="431"/>
    <n v="431"/>
    <n v="0"/>
    <x v="16"/>
    <s v="true"/>
    <s v="true"/>
    <x v="0"/>
  </r>
  <r>
    <n v="218"/>
    <d v="2024-09-24T00:00:00"/>
    <s v="9/2024"/>
    <x v="50"/>
    <x v="702"/>
    <x v="0"/>
    <x v="0"/>
    <x v="193"/>
    <n v="1"/>
    <n v="2660"/>
    <n v="2660"/>
    <n v="2800"/>
    <n v="2800"/>
    <m/>
    <n v="420"/>
    <n v="3220"/>
    <n v="3220"/>
    <n v="0"/>
    <x v="16"/>
    <s v="true"/>
    <s v="true"/>
    <x v="0"/>
  </r>
  <r>
    <n v="218"/>
    <d v="2024-09-24T00:00:00"/>
    <s v="9/2024"/>
    <x v="50"/>
    <x v="703"/>
    <x v="0"/>
    <x v="0"/>
    <x v="193"/>
    <n v="1"/>
    <n v="410"/>
    <n v="410"/>
    <n v="432"/>
    <n v="432"/>
    <m/>
    <n v="65"/>
    <n v="497"/>
    <n v="497"/>
    <n v="0"/>
    <x v="16"/>
    <s v="true"/>
    <s v="true"/>
    <x v="0"/>
  </r>
  <r>
    <n v="218"/>
    <d v="2024-09-24T00:00:00"/>
    <s v="9/2024"/>
    <x v="50"/>
    <x v="704"/>
    <x v="0"/>
    <x v="0"/>
    <x v="193"/>
    <n v="1"/>
    <n v="478"/>
    <n v="478"/>
    <n v="504"/>
    <n v="504"/>
    <m/>
    <n v="76"/>
    <n v="580"/>
    <n v="580"/>
    <n v="0"/>
    <x v="16"/>
    <s v="true"/>
    <s v="true"/>
    <x v="0"/>
  </r>
  <r>
    <n v="218"/>
    <d v="2024-09-24T00:00:00"/>
    <s v="9/2024"/>
    <x v="50"/>
    <x v="705"/>
    <x v="0"/>
    <x v="0"/>
    <x v="193"/>
    <n v="2"/>
    <n v="257"/>
    <n v="514"/>
    <n v="271"/>
    <n v="542"/>
    <m/>
    <n v="81"/>
    <n v="623"/>
    <n v="623"/>
    <n v="0"/>
    <x v="16"/>
    <s v="true"/>
    <s v="true"/>
    <x v="0"/>
  </r>
  <r>
    <n v="263"/>
    <d v="2024-09-25T00:00:00"/>
    <s v="9/2024"/>
    <x v="1"/>
    <x v="706"/>
    <x v="0"/>
    <x v="0"/>
    <x v="188"/>
    <n v="3"/>
    <n v="466"/>
    <n v="1398"/>
    <n v="491"/>
    <n v="1473"/>
    <m/>
    <n v="147"/>
    <n v="1620"/>
    <n v="1620"/>
    <n v="0"/>
    <x v="16"/>
    <s v="true"/>
    <s v="true"/>
    <x v="0"/>
  </r>
  <r>
    <n v="263"/>
    <d v="2024-09-25T00:00:00"/>
    <s v="9/2024"/>
    <x v="1"/>
    <x v="707"/>
    <x v="0"/>
    <x v="0"/>
    <x v="190"/>
    <n v="1"/>
    <n v="346"/>
    <n v="346"/>
    <n v="365"/>
    <n v="365"/>
    <m/>
    <n v="37"/>
    <n v="402"/>
    <n v="402"/>
    <n v="0"/>
    <x v="16"/>
    <s v="true"/>
    <s v="true"/>
    <x v="0"/>
  </r>
  <r>
    <n v="263"/>
    <d v="2024-09-25T00:00:00"/>
    <s v="9/2024"/>
    <x v="1"/>
    <x v="708"/>
    <x v="0"/>
    <x v="0"/>
    <x v="190"/>
    <n v="1"/>
    <n v="179"/>
    <n v="179"/>
    <n v="189"/>
    <n v="189"/>
    <n v="47"/>
    <n v="19"/>
    <n v="255"/>
    <n v="255"/>
    <n v="0"/>
    <x v="16"/>
    <s v="true"/>
    <s v="true"/>
    <x v="0"/>
  </r>
  <r>
    <n v="264"/>
    <d v="2024-09-25T00:00:00"/>
    <s v="9/2024"/>
    <x v="3"/>
    <x v="152"/>
    <x v="0"/>
    <x v="0"/>
    <x v="190"/>
    <n v="1"/>
    <n v="6900"/>
    <n v="6900"/>
    <n v="6900"/>
    <n v="6900"/>
    <n v="169"/>
    <n v="1035"/>
    <n v="8104"/>
    <n v="8104"/>
    <n v="0"/>
    <x v="18"/>
    <s v="true"/>
    <s v="true"/>
    <x v="0"/>
  </r>
  <r>
    <n v="265"/>
    <d v="2024-09-27T00:00:00"/>
    <s v="9/2024"/>
    <x v="75"/>
    <x v="73"/>
    <x v="0"/>
    <x v="0"/>
    <x v="190"/>
    <n v="1"/>
    <n v="1240"/>
    <n v="1240"/>
    <n v="1240"/>
    <n v="1240"/>
    <m/>
    <n v="200"/>
    <n v="200"/>
    <n v="200"/>
    <n v="0"/>
    <x v="15"/>
    <s v="true"/>
    <s v="true"/>
    <x v="0"/>
  </r>
  <r>
    <n v="266"/>
    <d v="2024-09-27T00:00:00"/>
    <s v="9/2024"/>
    <x v="66"/>
    <x v="73"/>
    <x v="0"/>
    <x v="0"/>
    <x v="190"/>
    <n v="1"/>
    <n v="525"/>
    <n v="525"/>
    <n v="525"/>
    <n v="525"/>
    <n v="200"/>
    <n v="200"/>
    <n v="400"/>
    <n v="400"/>
    <n v="0"/>
    <x v="15"/>
    <s v="true"/>
    <s v="true"/>
    <x v="0"/>
  </r>
  <r>
    <n v="268"/>
    <d v="2024-09-27T00:00:00"/>
    <s v="9/2024"/>
    <x v="27"/>
    <x v="73"/>
    <x v="0"/>
    <x v="0"/>
    <x v="190"/>
    <n v="1"/>
    <n v="2674"/>
    <n v="2674"/>
    <n v="2674"/>
    <n v="2674"/>
    <m/>
    <n v="267"/>
    <n v="267"/>
    <n v="267"/>
    <n v="0"/>
    <x v="15"/>
    <s v="true"/>
    <s v="true"/>
    <x v="0"/>
  </r>
  <r>
    <n v="269"/>
    <d v="2024-09-27T00:00:00"/>
    <s v="9/2024"/>
    <x v="64"/>
    <x v="73"/>
    <x v="0"/>
    <x v="0"/>
    <x v="190"/>
    <n v="1"/>
    <n v="4428"/>
    <n v="4428"/>
    <n v="4428"/>
    <n v="4428"/>
    <m/>
    <n v="664"/>
    <n v="664"/>
    <n v="664"/>
    <n v="0"/>
    <x v="15"/>
    <s v="true"/>
    <s v="true"/>
    <x v="0"/>
  </r>
  <r>
    <n v="256"/>
    <d v="2024-09-17T00:00:00"/>
    <s v="9/2024"/>
    <x v="26"/>
    <x v="257"/>
    <x v="0"/>
    <x v="85"/>
    <x v="190"/>
    <n v="1"/>
    <n v="15450"/>
    <n v="15450"/>
    <n v="15450"/>
    <n v="15450"/>
    <m/>
    <n v="1545"/>
    <n v="1545"/>
    <n v="1545"/>
    <n v="0"/>
    <x v="20"/>
    <s v="true"/>
    <s v="true"/>
    <x v="0"/>
  </r>
  <r>
    <n v="274"/>
    <d v="2024-10-04T00:00:00"/>
    <s v="10/2024"/>
    <x v="60"/>
    <x v="257"/>
    <x v="0"/>
    <x v="86"/>
    <x v="194"/>
    <n v="1"/>
    <n v="30000"/>
    <n v="30000"/>
    <n v="30000"/>
    <n v="30000"/>
    <n v="200"/>
    <n v="3000"/>
    <n v="3200"/>
    <n v="3200"/>
    <n v="0"/>
    <x v="20"/>
    <s v="true"/>
    <s v="true"/>
    <x v="0"/>
  </r>
  <r>
    <n v="270"/>
    <d v="2024-09-28T00:00:00"/>
    <s v="9/2024"/>
    <x v="76"/>
    <x v="709"/>
    <x v="0"/>
    <x v="0"/>
    <x v="188"/>
    <n v="1"/>
    <n v="313"/>
    <n v="313"/>
    <n v="330"/>
    <n v="330"/>
    <m/>
    <n v="50"/>
    <n v="380"/>
    <n v="380"/>
    <n v="0"/>
    <x v="16"/>
    <s v="true"/>
    <s v="true"/>
    <x v="0"/>
  </r>
  <r>
    <n v="270"/>
    <d v="2024-09-28T00:00:00"/>
    <s v="9/2024"/>
    <x v="76"/>
    <x v="710"/>
    <x v="0"/>
    <x v="0"/>
    <x v="188"/>
    <n v="1"/>
    <n v="960"/>
    <n v="960"/>
    <n v="1011"/>
    <n v="1011"/>
    <m/>
    <n v="152"/>
    <n v="1163"/>
    <n v="1163"/>
    <n v="0"/>
    <x v="16"/>
    <s v="true"/>
    <s v="true"/>
    <x v="0"/>
  </r>
  <r>
    <n v="270"/>
    <d v="2024-09-28T00:00:00"/>
    <s v="9/2024"/>
    <x v="76"/>
    <x v="711"/>
    <x v="0"/>
    <x v="0"/>
    <x v="187"/>
    <n v="1"/>
    <n v="544"/>
    <n v="544"/>
    <n v="573"/>
    <n v="573"/>
    <m/>
    <n v="86"/>
    <n v="659"/>
    <n v="659"/>
    <n v="0"/>
    <x v="16"/>
    <s v="true"/>
    <s v="true"/>
    <x v="0"/>
  </r>
  <r>
    <n v="270"/>
    <d v="2024-09-28T00:00:00"/>
    <s v="9/2024"/>
    <x v="76"/>
    <x v="712"/>
    <x v="0"/>
    <x v="0"/>
    <x v="187"/>
    <n v="1"/>
    <n v="1267"/>
    <n v="1267"/>
    <n v="1334"/>
    <n v="1334"/>
    <m/>
    <n v="200"/>
    <n v="1534"/>
    <n v="1534"/>
    <n v="0"/>
    <x v="16"/>
    <s v="true"/>
    <s v="true"/>
    <x v="0"/>
  </r>
  <r>
    <n v="271"/>
    <d v="2024-09-30T00:00:00"/>
    <s v="9/2024"/>
    <x v="23"/>
    <x v="713"/>
    <x v="0"/>
    <x v="0"/>
    <x v="195"/>
    <n v="0"/>
    <n v="260"/>
    <n v="0"/>
    <n v="265"/>
    <n v="0"/>
    <m/>
    <n v="0"/>
    <n v="0"/>
    <n v="0"/>
    <n v="0"/>
    <x v="15"/>
    <s v="true"/>
    <s v="true"/>
    <x v="0"/>
  </r>
  <r>
    <n v="271"/>
    <d v="2024-09-30T00:00:00"/>
    <s v="9/2024"/>
    <x v="23"/>
    <x v="714"/>
    <x v="0"/>
    <x v="0"/>
    <x v="196"/>
    <n v="1"/>
    <n v="292"/>
    <n v="292"/>
    <n v="308"/>
    <n v="308"/>
    <m/>
    <n v="46"/>
    <n v="354"/>
    <n v="354"/>
    <n v="0"/>
    <x v="16"/>
    <s v="true"/>
    <s v="true"/>
    <x v="0"/>
  </r>
  <r>
    <n v="271"/>
    <d v="2024-09-30T00:00:00"/>
    <s v="9/2024"/>
    <x v="23"/>
    <x v="81"/>
    <x v="0"/>
    <x v="0"/>
    <x v="188"/>
    <n v="1"/>
    <n v="551"/>
    <n v="551"/>
    <n v="591"/>
    <n v="591"/>
    <m/>
    <n v="89"/>
    <n v="680"/>
    <n v="680"/>
    <n v="0"/>
    <x v="15"/>
    <s v="true"/>
    <s v="true"/>
    <x v="0"/>
  </r>
  <r>
    <n v="271"/>
    <d v="2024-09-30T00:00:00"/>
    <s v="9/2024"/>
    <x v="23"/>
    <x v="715"/>
    <x v="0"/>
    <x v="0"/>
    <x v="195"/>
    <n v="1"/>
    <n v="662"/>
    <n v="662"/>
    <n v="662"/>
    <n v="662"/>
    <m/>
    <n v="99"/>
    <n v="761"/>
    <n v="761"/>
    <n v="0"/>
    <x v="15"/>
    <s v="true"/>
    <s v="true"/>
    <x v="0"/>
  </r>
  <r>
    <n v="271"/>
    <d v="2024-09-30T00:00:00"/>
    <s v="9/2024"/>
    <x v="23"/>
    <x v="716"/>
    <x v="0"/>
    <x v="0"/>
    <x v="196"/>
    <n v="1"/>
    <n v="133"/>
    <n v="133"/>
    <n v="140"/>
    <n v="140"/>
    <m/>
    <n v="21"/>
    <n v="161"/>
    <n v="161"/>
    <n v="0"/>
    <x v="15"/>
    <s v="true"/>
    <s v="true"/>
    <x v="0"/>
  </r>
  <r>
    <n v="271"/>
    <d v="2024-09-30T00:00:00"/>
    <s v="9/2024"/>
    <x v="23"/>
    <x v="714"/>
    <x v="0"/>
    <x v="0"/>
    <x v="195"/>
    <n v="1"/>
    <n v="331"/>
    <n v="331"/>
    <n v="338"/>
    <n v="338"/>
    <m/>
    <n v="51"/>
    <n v="389"/>
    <n v="389"/>
    <n v="0"/>
    <x v="15"/>
    <s v="true"/>
    <s v="true"/>
    <x v="0"/>
  </r>
  <r>
    <n v="272"/>
    <d v="2024-09-30T00:00:00"/>
    <s v="9/2024"/>
    <x v="24"/>
    <x v="717"/>
    <x v="0"/>
    <x v="87"/>
    <x v="24"/>
    <n v="1"/>
    <n v="198"/>
    <n v="198"/>
    <n v="222"/>
    <n v="222"/>
    <n v="240"/>
    <n v="22"/>
    <n v="484"/>
    <n v="484"/>
    <n v="0"/>
    <x v="22"/>
    <s v="true"/>
    <s v="true"/>
    <x v="0"/>
  </r>
  <r>
    <n v="272"/>
    <d v="2024-09-30T00:00:00"/>
    <s v="9/2024"/>
    <x v="24"/>
    <x v="718"/>
    <x v="0"/>
    <x v="0"/>
    <x v="24"/>
    <n v="0"/>
    <n v="529"/>
    <n v="0"/>
    <n v="529"/>
    <n v="0"/>
    <m/>
    <n v="0"/>
    <n v="0"/>
    <m/>
    <n v="0"/>
    <x v="24"/>
    <s v="true"/>
    <s v="true"/>
    <x v="0"/>
  </r>
  <r>
    <n v="272"/>
    <d v="2024-09-30T00:00:00"/>
    <s v="9/2024"/>
    <x v="24"/>
    <x v="719"/>
    <x v="0"/>
    <x v="0"/>
    <x v="24"/>
    <n v="1"/>
    <n v="445"/>
    <n v="445"/>
    <n v="479"/>
    <n v="479"/>
    <m/>
    <n v="48"/>
    <n v="527"/>
    <n v="527"/>
    <n v="0"/>
    <x v="15"/>
    <s v="true"/>
    <s v="true"/>
    <x v="0"/>
  </r>
  <r>
    <n v="272"/>
    <d v="2024-09-30T00:00:00"/>
    <s v="9/2024"/>
    <x v="24"/>
    <x v="720"/>
    <x v="0"/>
    <x v="0"/>
    <x v="24"/>
    <n v="2"/>
    <n v="154"/>
    <n v="308"/>
    <n v="154"/>
    <n v="308"/>
    <n v="99"/>
    <n v="31"/>
    <n v="438"/>
    <n v="438"/>
    <n v="0"/>
    <x v="26"/>
    <s v="true"/>
    <s v="true"/>
    <x v="0"/>
  </r>
  <r>
    <n v="272"/>
    <d v="2024-09-30T00:00:00"/>
    <s v="9/2024"/>
    <x v="24"/>
    <x v="721"/>
    <x v="0"/>
    <x v="0"/>
    <x v="24"/>
    <n v="1"/>
    <n v="154"/>
    <n v="154"/>
    <n v="154"/>
    <n v="154"/>
    <n v="98"/>
    <n v="15"/>
    <n v="267"/>
    <n v="267"/>
    <n v="0"/>
    <x v="26"/>
    <s v="true"/>
    <s v="true"/>
    <x v="0"/>
  </r>
  <r>
    <n v="272"/>
    <d v="2024-09-30T00:00:00"/>
    <s v="9/2024"/>
    <x v="24"/>
    <x v="722"/>
    <x v="0"/>
    <x v="0"/>
    <x v="24"/>
    <n v="1"/>
    <n v="349"/>
    <n v="349"/>
    <n v="349"/>
    <n v="349"/>
    <n v="99"/>
    <n v="35"/>
    <n v="483"/>
    <n v="483"/>
    <n v="0"/>
    <x v="26"/>
    <s v="true"/>
    <s v="true"/>
    <x v="0"/>
  </r>
  <r>
    <n v="272"/>
    <d v="2024-09-30T00:00:00"/>
    <s v="9/2024"/>
    <x v="24"/>
    <x v="723"/>
    <x v="0"/>
    <x v="0"/>
    <x v="24"/>
    <n v="1"/>
    <n v="439"/>
    <n v="439"/>
    <n v="439"/>
    <n v="439"/>
    <n v="98"/>
    <n v="44"/>
    <n v="581"/>
    <n v="581"/>
    <n v="0"/>
    <x v="26"/>
    <s v="true"/>
    <s v="true"/>
    <x v="0"/>
  </r>
  <r>
    <n v="272"/>
    <d v="2024-09-30T00:00:00"/>
    <s v="9/2024"/>
    <x v="24"/>
    <x v="724"/>
    <x v="0"/>
    <x v="0"/>
    <x v="194"/>
    <n v="1"/>
    <n v="468"/>
    <n v="468"/>
    <n v="493"/>
    <n v="493"/>
    <m/>
    <n v="49"/>
    <n v="542"/>
    <n v="542"/>
    <n v="0"/>
    <x v="15"/>
    <s v="true"/>
    <s v="true"/>
    <x v="0"/>
  </r>
  <r>
    <n v="272"/>
    <d v="2024-09-30T00:00:00"/>
    <s v="9/2024"/>
    <x v="24"/>
    <x v="725"/>
    <x v="0"/>
    <x v="0"/>
    <x v="188"/>
    <n v="1"/>
    <n v="1197"/>
    <n v="1197"/>
    <n v="1293"/>
    <n v="1293"/>
    <m/>
    <n v="129"/>
    <n v="1422"/>
    <n v="1422"/>
    <n v="0"/>
    <x v="15"/>
    <s v="true"/>
    <s v="true"/>
    <x v="0"/>
  </r>
  <r>
    <n v="272"/>
    <d v="2024-09-30T00:00:00"/>
    <s v="9/2024"/>
    <x v="24"/>
    <x v="726"/>
    <x v="0"/>
    <x v="0"/>
    <x v="188"/>
    <n v="1"/>
    <n v="377"/>
    <n v="377"/>
    <n v="406"/>
    <n v="406"/>
    <m/>
    <n v="41"/>
    <n v="447"/>
    <n v="447"/>
    <n v="0"/>
    <x v="15"/>
    <s v="true"/>
    <s v="true"/>
    <x v="0"/>
  </r>
  <r>
    <n v="272"/>
    <d v="2024-09-30T00:00:00"/>
    <s v="9/2024"/>
    <x v="24"/>
    <x v="289"/>
    <x v="0"/>
    <x v="0"/>
    <x v="197"/>
    <n v="1"/>
    <n v="1620"/>
    <n v="1620"/>
    <n v="1761"/>
    <n v="1761"/>
    <m/>
    <n v="176"/>
    <n v="1937"/>
    <n v="1937"/>
    <n v="0"/>
    <x v="15"/>
    <s v="true"/>
    <s v="true"/>
    <x v="0"/>
  </r>
  <r>
    <n v="272"/>
    <d v="2024-09-30T00:00:00"/>
    <s v="9/2024"/>
    <x v="24"/>
    <x v="727"/>
    <x v="0"/>
    <x v="0"/>
    <x v="195"/>
    <n v="1"/>
    <n v="532"/>
    <n v="532"/>
    <n v="575"/>
    <n v="575"/>
    <m/>
    <n v="58"/>
    <n v="633"/>
    <n v="633"/>
    <n v="0"/>
    <x v="15"/>
    <s v="true"/>
    <s v="true"/>
    <x v="0"/>
  </r>
  <r>
    <n v="272"/>
    <d v="2024-09-30T00:00:00"/>
    <s v="9/2024"/>
    <x v="24"/>
    <x v="728"/>
    <x v="0"/>
    <x v="0"/>
    <x v="198"/>
    <n v="1"/>
    <n v="230"/>
    <n v="230"/>
    <n v="235"/>
    <n v="235"/>
    <m/>
    <n v="24"/>
    <n v="259"/>
    <n v="259"/>
    <n v="0"/>
    <x v="15"/>
    <s v="true"/>
    <s v="true"/>
    <x v="0"/>
  </r>
  <r>
    <n v="272"/>
    <d v="2024-09-30T00:00:00"/>
    <s v="9/2024"/>
    <x v="24"/>
    <x v="729"/>
    <x v="0"/>
    <x v="0"/>
    <x v="199"/>
    <n v="0"/>
    <n v="791"/>
    <n v="0"/>
    <n v="854"/>
    <n v="0"/>
    <m/>
    <n v="0"/>
    <n v="0"/>
    <n v="0"/>
    <n v="0"/>
    <x v="15"/>
    <s v="true"/>
    <s v="true"/>
    <x v="0"/>
  </r>
  <r>
    <n v="272"/>
    <d v="2024-09-30T00:00:00"/>
    <s v="9/2024"/>
    <x v="24"/>
    <x v="730"/>
    <x v="0"/>
    <x v="0"/>
    <x v="188"/>
    <n v="1"/>
    <n v="196"/>
    <n v="196"/>
    <n v="200"/>
    <n v="200"/>
    <m/>
    <n v="20"/>
    <n v="220"/>
    <n v="220"/>
    <n v="0"/>
    <x v="15"/>
    <s v="true"/>
    <s v="true"/>
    <x v="0"/>
  </r>
  <r>
    <n v="272"/>
    <d v="2024-09-30T00:00:00"/>
    <s v="9/2024"/>
    <x v="24"/>
    <x v="731"/>
    <x v="0"/>
    <x v="0"/>
    <x v="197"/>
    <n v="1"/>
    <n v="1495"/>
    <n v="1495"/>
    <n v="1558"/>
    <n v="1558"/>
    <m/>
    <n v="156"/>
    <n v="1714"/>
    <n v="1714"/>
    <n v="0"/>
    <x v="15"/>
    <s v="true"/>
    <s v="true"/>
    <x v="0"/>
  </r>
  <r>
    <n v="272"/>
    <d v="2024-09-30T00:00:00"/>
    <s v="9/2024"/>
    <x v="24"/>
    <x v="732"/>
    <x v="0"/>
    <x v="0"/>
    <x v="194"/>
    <n v="1"/>
    <n v="180"/>
    <n v="180"/>
    <n v="184"/>
    <n v="184"/>
    <m/>
    <n v="18"/>
    <n v="202"/>
    <n v="202"/>
    <n v="0"/>
    <x v="15"/>
    <s v="true"/>
    <s v="true"/>
    <x v="0"/>
  </r>
  <r>
    <n v="272"/>
    <d v="2024-09-30T00:00:00"/>
    <s v="9/2024"/>
    <x v="24"/>
    <x v="733"/>
    <x v="0"/>
    <x v="0"/>
    <x v="188"/>
    <n v="1"/>
    <n v="306"/>
    <n v="306"/>
    <n v="312"/>
    <n v="312"/>
    <m/>
    <n v="31"/>
    <n v="343"/>
    <n v="343"/>
    <n v="0"/>
    <x v="15"/>
    <s v="true"/>
    <s v="true"/>
    <x v="0"/>
  </r>
  <r>
    <n v="272"/>
    <d v="2024-09-30T00:00:00"/>
    <s v="9/2024"/>
    <x v="24"/>
    <x v="734"/>
    <x v="0"/>
    <x v="0"/>
    <x v="188"/>
    <n v="1"/>
    <n v="279"/>
    <n v="279"/>
    <n v="285"/>
    <n v="285"/>
    <m/>
    <n v="29"/>
    <n v="314"/>
    <n v="314"/>
    <n v="0"/>
    <x v="15"/>
    <s v="true"/>
    <s v="true"/>
    <x v="0"/>
  </r>
  <r>
    <n v="272"/>
    <d v="2024-09-30T00:00:00"/>
    <s v="9/2024"/>
    <x v="24"/>
    <x v="735"/>
    <x v="0"/>
    <x v="0"/>
    <x v="24"/>
    <n v="1"/>
    <n v="400"/>
    <n v="400"/>
    <n v="400"/>
    <n v="400"/>
    <n v="212"/>
    <n v="40"/>
    <n v="652"/>
    <n v="652"/>
    <n v="0"/>
    <x v="19"/>
    <s v="true"/>
    <s v="true"/>
    <x v="0"/>
  </r>
  <r>
    <n v="272"/>
    <d v="2024-09-30T00:00:00"/>
    <s v="9/2024"/>
    <x v="24"/>
    <x v="736"/>
    <x v="0"/>
    <x v="0"/>
    <x v="196"/>
    <n v="1"/>
    <n v="201"/>
    <n v="201"/>
    <n v="212"/>
    <n v="212"/>
    <m/>
    <n v="21"/>
    <n v="233"/>
    <n v="233"/>
    <n v="0"/>
    <x v="16"/>
    <s v="true"/>
    <s v="true"/>
    <x v="0"/>
  </r>
  <r>
    <n v="272"/>
    <d v="2024-09-30T00:00:00"/>
    <s v="9/2024"/>
    <x v="24"/>
    <x v="737"/>
    <x v="0"/>
    <x v="0"/>
    <x v="196"/>
    <n v="1"/>
    <n v="383"/>
    <n v="383"/>
    <n v="404"/>
    <n v="404"/>
    <m/>
    <n v="40"/>
    <n v="444"/>
    <n v="444"/>
    <n v="0"/>
    <x v="16"/>
    <s v="true"/>
    <s v="true"/>
    <x v="0"/>
  </r>
  <r>
    <n v="272"/>
    <d v="2024-09-30T00:00:00"/>
    <s v="9/2024"/>
    <x v="24"/>
    <x v="738"/>
    <x v="0"/>
    <x v="0"/>
    <x v="188"/>
    <n v="1"/>
    <n v="164"/>
    <n v="164"/>
    <n v="173"/>
    <n v="173"/>
    <m/>
    <n v="17"/>
    <n v="190"/>
    <n v="190"/>
    <n v="0"/>
    <x v="16"/>
    <s v="true"/>
    <s v="true"/>
    <x v="0"/>
  </r>
  <r>
    <n v="272"/>
    <d v="2024-09-30T00:00:00"/>
    <s v="9/2024"/>
    <x v="24"/>
    <x v="739"/>
    <x v="0"/>
    <x v="0"/>
    <x v="199"/>
    <n v="1"/>
    <n v="126"/>
    <n v="126"/>
    <n v="133"/>
    <n v="133"/>
    <m/>
    <n v="13"/>
    <n v="146"/>
    <n v="146"/>
    <n v="0"/>
    <x v="16"/>
    <s v="true"/>
    <s v="true"/>
    <x v="0"/>
  </r>
  <r>
    <n v="272"/>
    <d v="2024-09-30T00:00:00"/>
    <s v="9/2024"/>
    <x v="24"/>
    <x v="740"/>
    <x v="0"/>
    <x v="0"/>
    <x v="196"/>
    <n v="1"/>
    <n v="276"/>
    <n v="276"/>
    <n v="291"/>
    <n v="291"/>
    <m/>
    <n v="29"/>
    <n v="320"/>
    <n v="320"/>
    <n v="0"/>
    <x v="16"/>
    <s v="true"/>
    <s v="true"/>
    <x v="0"/>
  </r>
  <r>
    <n v="272"/>
    <d v="2024-09-30T00:00:00"/>
    <s v="9/2024"/>
    <x v="24"/>
    <x v="741"/>
    <x v="0"/>
    <x v="0"/>
    <x v="188"/>
    <n v="1"/>
    <n v="1087"/>
    <n v="1087"/>
    <n v="1145"/>
    <n v="1145"/>
    <m/>
    <n v="115"/>
    <n v="1260"/>
    <n v="1260"/>
    <n v="0"/>
    <x v="16"/>
    <s v="true"/>
    <s v="true"/>
    <x v="0"/>
  </r>
  <r>
    <n v="272"/>
    <d v="2024-09-30T00:00:00"/>
    <s v="9/2024"/>
    <x v="24"/>
    <x v="742"/>
    <x v="0"/>
    <x v="0"/>
    <x v="188"/>
    <n v="1"/>
    <n v="242"/>
    <n v="242"/>
    <n v="242"/>
    <n v="242"/>
    <m/>
    <n v="24"/>
    <n v="266"/>
    <n v="266"/>
    <n v="0"/>
    <x v="18"/>
    <s v="true"/>
    <s v="true"/>
    <x v="0"/>
  </r>
  <r>
    <n v="272"/>
    <d v="2024-09-30T00:00:00"/>
    <s v="9/2024"/>
    <x v="24"/>
    <x v="743"/>
    <x v="0"/>
    <x v="0"/>
    <x v="195"/>
    <n v="3"/>
    <n v="622"/>
    <n v="1866"/>
    <n v="655"/>
    <n v="1965"/>
    <m/>
    <n v="197"/>
    <n v="2162"/>
    <n v="2162"/>
    <n v="0"/>
    <x v="16"/>
    <s v="true"/>
    <s v="true"/>
    <x v="0"/>
  </r>
  <r>
    <n v="272"/>
    <d v="2024-09-30T00:00:00"/>
    <s v="9/2024"/>
    <x v="24"/>
    <x v="744"/>
    <x v="0"/>
    <x v="0"/>
    <x v="24"/>
    <n v="0"/>
    <n v="690"/>
    <n v="0"/>
    <n v="690"/>
    <n v="0"/>
    <m/>
    <n v="0"/>
    <n v="0"/>
    <m/>
    <n v="0"/>
    <x v="27"/>
    <s v="true"/>
    <s v="true"/>
    <x v="0"/>
  </r>
  <r>
    <n v="272"/>
    <d v="2024-09-30T00:00:00"/>
    <s v="9/2024"/>
    <x v="24"/>
    <x v="745"/>
    <x v="0"/>
    <x v="0"/>
    <x v="189"/>
    <n v="1"/>
    <n v="1043"/>
    <n v="1043"/>
    <n v="1098"/>
    <n v="1098"/>
    <m/>
    <n v="110"/>
    <n v="1208"/>
    <n v="1208"/>
    <n v="0"/>
    <x v="16"/>
    <s v="true"/>
    <s v="true"/>
    <x v="0"/>
  </r>
  <r>
    <n v="272"/>
    <d v="2024-09-30T00:00:00"/>
    <s v="9/2024"/>
    <x v="24"/>
    <x v="746"/>
    <x v="0"/>
    <x v="0"/>
    <x v="200"/>
    <n v="1"/>
    <n v="946"/>
    <n v="946"/>
    <n v="1021"/>
    <n v="1021"/>
    <m/>
    <n v="102"/>
    <n v="1123"/>
    <n v="1123"/>
    <n v="0"/>
    <x v="15"/>
    <s v="true"/>
    <s v="true"/>
    <x v="0"/>
  </r>
  <r>
    <n v="272"/>
    <d v="2024-09-30T00:00:00"/>
    <s v="9/2024"/>
    <x v="24"/>
    <x v="747"/>
    <x v="0"/>
    <x v="0"/>
    <x v="200"/>
    <n v="1"/>
    <n v="630"/>
    <n v="630"/>
    <n v="679"/>
    <n v="679"/>
    <m/>
    <n v="68"/>
    <n v="747"/>
    <n v="747"/>
    <n v="0"/>
    <x v="15"/>
    <s v="true"/>
    <s v="true"/>
    <x v="0"/>
  </r>
  <r>
    <n v="272"/>
    <d v="2024-09-30T00:00:00"/>
    <s v="9/2024"/>
    <x v="24"/>
    <x v="748"/>
    <x v="0"/>
    <x v="0"/>
    <x v="201"/>
    <n v="1"/>
    <n v="199"/>
    <n v="199"/>
    <n v="199"/>
    <n v="199"/>
    <m/>
    <n v="20"/>
    <n v="219"/>
    <n v="219"/>
    <n v="0"/>
    <x v="21"/>
    <s v="true"/>
    <s v="true"/>
    <x v="0"/>
  </r>
  <r>
    <n v="272"/>
    <d v="2024-09-30T00:00:00"/>
    <s v="9/2024"/>
    <x v="24"/>
    <x v="749"/>
    <x v="0"/>
    <x v="0"/>
    <x v="194"/>
    <n v="1"/>
    <n v="195"/>
    <n v="195"/>
    <n v="199"/>
    <n v="199"/>
    <m/>
    <n v="20"/>
    <n v="219"/>
    <n v="219"/>
    <n v="0"/>
    <x v="15"/>
    <s v="true"/>
    <s v="true"/>
    <x v="0"/>
  </r>
  <r>
    <n v="273"/>
    <d v="2024-10-03T00:00:00"/>
    <s v="10/2024"/>
    <x v="47"/>
    <x v="750"/>
    <x v="0"/>
    <x v="0"/>
    <x v="189"/>
    <n v="1"/>
    <n v="185"/>
    <n v="185"/>
    <n v="189"/>
    <n v="189"/>
    <m/>
    <n v="28"/>
    <n v="217"/>
    <n v="217"/>
    <n v="0"/>
    <x v="15"/>
    <s v="true"/>
    <s v="true"/>
    <x v="0"/>
  </r>
  <r>
    <n v="273"/>
    <d v="2024-10-03T00:00:00"/>
    <s v="10/2024"/>
    <x v="47"/>
    <x v="751"/>
    <x v="0"/>
    <x v="0"/>
    <x v="189"/>
    <n v="1"/>
    <n v="197"/>
    <n v="197"/>
    <n v="208"/>
    <n v="208"/>
    <m/>
    <n v="31"/>
    <n v="239"/>
    <n v="239"/>
    <n v="0"/>
    <x v="16"/>
    <s v="true"/>
    <s v="true"/>
    <x v="0"/>
  </r>
  <r>
    <n v="273"/>
    <d v="2024-10-03T00:00:00"/>
    <s v="10/2024"/>
    <x v="47"/>
    <x v="752"/>
    <x v="0"/>
    <x v="0"/>
    <x v="189"/>
    <n v="1"/>
    <n v="754"/>
    <n v="754"/>
    <n v="794"/>
    <n v="794"/>
    <m/>
    <n v="119"/>
    <n v="913"/>
    <n v="913"/>
    <n v="0"/>
    <x v="16"/>
    <s v="true"/>
    <s v="true"/>
    <x v="0"/>
  </r>
  <r>
    <n v="273"/>
    <d v="2024-10-03T00:00:00"/>
    <s v="10/2024"/>
    <x v="47"/>
    <x v="753"/>
    <x v="0"/>
    <x v="0"/>
    <x v="202"/>
    <n v="1"/>
    <n v="291"/>
    <n v="291"/>
    <n v="307"/>
    <n v="307"/>
    <m/>
    <n v="46"/>
    <n v="353"/>
    <n v="353"/>
    <n v="0"/>
    <x v="16"/>
    <s v="true"/>
    <s v="true"/>
    <x v="0"/>
  </r>
  <r>
    <n v="273"/>
    <d v="2024-10-03T00:00:00"/>
    <s v="10/2024"/>
    <x v="47"/>
    <x v="754"/>
    <x v="0"/>
    <x v="0"/>
    <x v="189"/>
    <n v="1"/>
    <n v="159"/>
    <n v="159"/>
    <n v="168"/>
    <n v="168"/>
    <m/>
    <n v="25"/>
    <n v="193"/>
    <n v="193"/>
    <n v="0"/>
    <x v="16"/>
    <s v="true"/>
    <s v="true"/>
    <x v="0"/>
  </r>
  <r>
    <n v="273"/>
    <d v="2024-10-03T00:00:00"/>
    <s v="10/2024"/>
    <x v="47"/>
    <x v="755"/>
    <x v="0"/>
    <x v="0"/>
    <x v="189"/>
    <n v="1"/>
    <n v="1035"/>
    <n v="1035"/>
    <n v="1090"/>
    <n v="1090"/>
    <m/>
    <n v="164"/>
    <n v="1254"/>
    <n v="1254"/>
    <n v="0"/>
    <x v="16"/>
    <s v="true"/>
    <s v="true"/>
    <x v="0"/>
  </r>
  <r>
    <n v="273"/>
    <d v="2024-10-03T00:00:00"/>
    <s v="10/2024"/>
    <x v="47"/>
    <x v="756"/>
    <x v="0"/>
    <x v="0"/>
    <x v="189"/>
    <n v="1"/>
    <n v="322"/>
    <n v="322"/>
    <n v="339"/>
    <n v="339"/>
    <m/>
    <n v="51"/>
    <n v="390"/>
    <n v="390"/>
    <n v="0"/>
    <x v="16"/>
    <s v="true"/>
    <s v="true"/>
    <x v="0"/>
  </r>
  <r>
    <n v="273"/>
    <d v="2024-10-03T00:00:00"/>
    <s v="10/2024"/>
    <x v="47"/>
    <x v="757"/>
    <x v="0"/>
    <x v="0"/>
    <x v="189"/>
    <n v="1"/>
    <n v="233"/>
    <n v="233"/>
    <n v="246"/>
    <n v="246"/>
    <m/>
    <n v="37"/>
    <n v="283"/>
    <n v="283"/>
    <n v="0"/>
    <x v="16"/>
    <s v="true"/>
    <s v="true"/>
    <x v="0"/>
  </r>
  <r>
    <n v="273"/>
    <d v="2024-10-03T00:00:00"/>
    <s v="10/2024"/>
    <x v="47"/>
    <x v="758"/>
    <x v="0"/>
    <x v="0"/>
    <x v="189"/>
    <n v="1"/>
    <n v="304"/>
    <n v="304"/>
    <n v="321"/>
    <n v="321"/>
    <m/>
    <n v="48"/>
    <n v="369"/>
    <n v="369"/>
    <n v="0"/>
    <x v="16"/>
    <s v="true"/>
    <s v="true"/>
    <x v="0"/>
  </r>
  <r>
    <n v="273"/>
    <d v="2024-10-03T00:00:00"/>
    <s v="10/2024"/>
    <x v="47"/>
    <x v="134"/>
    <x v="0"/>
    <x v="0"/>
    <x v="189"/>
    <n v="1"/>
    <n v="119"/>
    <n v="119"/>
    <n v="126"/>
    <n v="126"/>
    <m/>
    <n v="19"/>
    <n v="145"/>
    <n v="145"/>
    <n v="0"/>
    <x v="16"/>
    <s v="true"/>
    <s v="true"/>
    <x v="0"/>
  </r>
  <r>
    <n v="273"/>
    <d v="2024-10-03T00:00:00"/>
    <s v="10/2024"/>
    <x v="47"/>
    <x v="759"/>
    <x v="0"/>
    <x v="0"/>
    <x v="189"/>
    <n v="1"/>
    <n v="178"/>
    <n v="178"/>
    <n v="188"/>
    <n v="188"/>
    <m/>
    <n v="28"/>
    <n v="216"/>
    <n v="216"/>
    <n v="0"/>
    <x v="16"/>
    <s v="true"/>
    <s v="true"/>
    <x v="0"/>
  </r>
  <r>
    <n v="273"/>
    <d v="2024-10-03T00:00:00"/>
    <s v="10/2024"/>
    <x v="47"/>
    <x v="760"/>
    <x v="0"/>
    <x v="0"/>
    <x v="189"/>
    <n v="1"/>
    <n v="527"/>
    <n v="527"/>
    <n v="555"/>
    <n v="555"/>
    <m/>
    <n v="83"/>
    <n v="638"/>
    <n v="638"/>
    <n v="0"/>
    <x v="16"/>
    <s v="true"/>
    <s v="true"/>
    <x v="0"/>
  </r>
  <r>
    <n v="273"/>
    <d v="2024-10-03T00:00:00"/>
    <s v="10/2024"/>
    <x v="47"/>
    <x v="761"/>
    <x v="0"/>
    <x v="0"/>
    <x v="189"/>
    <n v="1"/>
    <n v="238"/>
    <n v="238"/>
    <n v="251"/>
    <n v="251"/>
    <m/>
    <n v="38"/>
    <n v="289"/>
    <n v="289"/>
    <n v="0"/>
    <x v="16"/>
    <s v="true"/>
    <s v="true"/>
    <x v="0"/>
  </r>
  <r>
    <n v="273"/>
    <d v="2024-10-03T00:00:00"/>
    <s v="10/2024"/>
    <x v="47"/>
    <x v="762"/>
    <x v="0"/>
    <x v="0"/>
    <x v="189"/>
    <n v="1"/>
    <n v="351"/>
    <n v="351"/>
    <n v="370"/>
    <n v="370"/>
    <m/>
    <n v="56"/>
    <n v="426"/>
    <n v="426"/>
    <n v="0"/>
    <x v="16"/>
    <s v="true"/>
    <s v="true"/>
    <x v="0"/>
  </r>
  <r>
    <n v="273"/>
    <d v="2024-10-03T00:00:00"/>
    <s v="10/2024"/>
    <x v="47"/>
    <x v="763"/>
    <x v="0"/>
    <x v="0"/>
    <x v="189"/>
    <n v="1"/>
    <n v="308"/>
    <n v="308"/>
    <n v="325"/>
    <n v="325"/>
    <m/>
    <n v="49"/>
    <n v="374"/>
    <n v="374"/>
    <n v="0"/>
    <x v="16"/>
    <s v="true"/>
    <s v="true"/>
    <x v="0"/>
  </r>
  <r>
    <n v="295"/>
    <d v="2024-10-15T00:00:00"/>
    <s v="10/2024"/>
    <x v="47"/>
    <x v="764"/>
    <x v="0"/>
    <x v="0"/>
    <x v="198"/>
    <n v="0"/>
    <n v="324"/>
    <n v="0"/>
    <n v="342"/>
    <n v="0"/>
    <m/>
    <n v="0"/>
    <n v="0"/>
    <n v="0"/>
    <n v="0"/>
    <x v="16"/>
    <s v="true"/>
    <s v="true"/>
    <x v="0"/>
  </r>
  <r>
    <n v="275"/>
    <d v="2024-10-04T00:00:00"/>
    <s v="10/2024"/>
    <x v="27"/>
    <x v="73"/>
    <x v="0"/>
    <x v="0"/>
    <x v="194"/>
    <n v="1"/>
    <n v="5133"/>
    <n v="5133"/>
    <n v="5133"/>
    <n v="5133"/>
    <n v="200"/>
    <n v="513"/>
    <n v="713"/>
    <n v="713"/>
    <n v="0"/>
    <x v="16"/>
    <s v="true"/>
    <s v="true"/>
    <x v="0"/>
  </r>
  <r>
    <n v="276"/>
    <d v="2024-10-04T00:00:00"/>
    <s v="10/2024"/>
    <x v="74"/>
    <x v="73"/>
    <x v="0"/>
    <x v="0"/>
    <x v="194"/>
    <n v="1"/>
    <n v="8838"/>
    <n v="8838"/>
    <n v="8838"/>
    <n v="8838"/>
    <m/>
    <n v="1326"/>
    <n v="1326"/>
    <n v="1326"/>
    <n v="0"/>
    <x v="16"/>
    <s v="true"/>
    <s v="true"/>
    <x v="0"/>
  </r>
  <r>
    <n v="277"/>
    <d v="2024-10-04T00:00:00"/>
    <s v="10/2024"/>
    <x v="77"/>
    <x v="73"/>
    <x v="0"/>
    <x v="0"/>
    <x v="194"/>
    <n v="1"/>
    <n v="4468"/>
    <n v="4468"/>
    <n v="4468"/>
    <n v="4468"/>
    <m/>
    <n v="670"/>
    <n v="670"/>
    <n v="670"/>
    <n v="0"/>
    <x v="16"/>
    <s v="true"/>
    <s v="true"/>
    <x v="0"/>
  </r>
  <r>
    <n v="278"/>
    <d v="2024-10-04T00:00:00"/>
    <s v="10/2024"/>
    <x v="23"/>
    <x v="765"/>
    <x v="0"/>
    <x v="0"/>
    <x v="202"/>
    <n v="1"/>
    <n v="420"/>
    <n v="420"/>
    <n v="429"/>
    <n v="429"/>
    <m/>
    <n v="64"/>
    <n v="493"/>
    <n v="493"/>
    <n v="0"/>
    <x v="15"/>
    <s v="true"/>
    <s v="true"/>
    <x v="0"/>
  </r>
  <r>
    <n v="278"/>
    <d v="2024-10-04T00:00:00"/>
    <s v="10/2024"/>
    <x v="23"/>
    <x v="766"/>
    <x v="0"/>
    <x v="0"/>
    <x v="202"/>
    <n v="1"/>
    <n v="318"/>
    <n v="318"/>
    <n v="325"/>
    <n v="325"/>
    <m/>
    <n v="49"/>
    <n v="374"/>
    <n v="374"/>
    <n v="0"/>
    <x v="15"/>
    <s v="true"/>
    <s v="true"/>
    <x v="0"/>
  </r>
  <r>
    <n v="278"/>
    <d v="2024-10-04T00:00:00"/>
    <s v="10/2024"/>
    <x v="23"/>
    <x v="767"/>
    <x v="0"/>
    <x v="0"/>
    <x v="197"/>
    <n v="1"/>
    <n v="327"/>
    <n v="327"/>
    <n v="345"/>
    <n v="345"/>
    <m/>
    <n v="52"/>
    <n v="397"/>
    <n v="397"/>
    <n v="0"/>
    <x v="16"/>
    <s v="true"/>
    <s v="true"/>
    <x v="0"/>
  </r>
  <r>
    <n v="278"/>
    <d v="2024-10-04T00:00:00"/>
    <s v="10/2024"/>
    <x v="23"/>
    <x v="493"/>
    <x v="0"/>
    <x v="0"/>
    <x v="202"/>
    <n v="1"/>
    <n v="636"/>
    <n v="636"/>
    <n v="670"/>
    <n v="670"/>
    <m/>
    <n v="101"/>
    <n v="771"/>
    <n v="771"/>
    <n v="0"/>
    <x v="16"/>
    <s v="true"/>
    <s v="true"/>
    <x v="0"/>
  </r>
  <r>
    <n v="278"/>
    <d v="2024-10-04T00:00:00"/>
    <s v="10/2024"/>
    <x v="23"/>
    <x v="768"/>
    <x v="0"/>
    <x v="0"/>
    <x v="202"/>
    <n v="1"/>
    <n v="128"/>
    <n v="128"/>
    <n v="135"/>
    <n v="135"/>
    <m/>
    <n v="20"/>
    <n v="155"/>
    <n v="155"/>
    <n v="0"/>
    <x v="16"/>
    <s v="true"/>
    <s v="true"/>
    <x v="0"/>
  </r>
  <r>
    <n v="278"/>
    <d v="2024-10-04T00:00:00"/>
    <s v="10/2024"/>
    <x v="23"/>
    <x v="769"/>
    <x v="0"/>
    <x v="0"/>
    <x v="197"/>
    <n v="1"/>
    <n v="1125"/>
    <n v="1125"/>
    <n v="1211"/>
    <n v="1211"/>
    <m/>
    <n v="182"/>
    <n v="1393"/>
    <n v="1393"/>
    <n v="0"/>
    <x v="15"/>
    <s v="true"/>
    <s v="true"/>
    <x v="0"/>
  </r>
  <r>
    <n v="278"/>
    <d v="2024-10-04T00:00:00"/>
    <s v="10/2024"/>
    <x v="23"/>
    <x v="769"/>
    <x v="0"/>
    <x v="0"/>
    <x v="202"/>
    <n v="1"/>
    <n v="282"/>
    <n v="282"/>
    <n v="297"/>
    <n v="297"/>
    <m/>
    <n v="45"/>
    <n v="342"/>
    <n v="342"/>
    <n v="0"/>
    <x v="16"/>
    <s v="true"/>
    <s v="true"/>
    <x v="0"/>
  </r>
  <r>
    <n v="279"/>
    <d v="2024-10-04T00:00:00"/>
    <s v="10/2024"/>
    <x v="48"/>
    <x v="770"/>
    <x v="0"/>
    <x v="0"/>
    <x v="194"/>
    <n v="1"/>
    <n v="249"/>
    <n v="249"/>
    <n v="263"/>
    <n v="263"/>
    <m/>
    <n v="39"/>
    <n v="302"/>
    <n v="302"/>
    <n v="0"/>
    <x v="16"/>
    <s v="true"/>
    <s v="true"/>
    <x v="0"/>
  </r>
  <r>
    <n v="279"/>
    <d v="2024-10-04T00:00:00"/>
    <s v="10/2024"/>
    <x v="48"/>
    <x v="771"/>
    <x v="0"/>
    <x v="0"/>
    <x v="202"/>
    <n v="1"/>
    <n v="357"/>
    <n v="357"/>
    <n v="376"/>
    <n v="376"/>
    <m/>
    <n v="56"/>
    <n v="432"/>
    <n v="432"/>
    <n v="0"/>
    <x v="16"/>
    <s v="true"/>
    <s v="true"/>
    <x v="0"/>
  </r>
  <r>
    <n v="279"/>
    <d v="2024-10-04T00:00:00"/>
    <s v="10/2024"/>
    <x v="48"/>
    <x v="772"/>
    <x v="0"/>
    <x v="0"/>
    <x v="202"/>
    <n v="1"/>
    <n v="195"/>
    <n v="195"/>
    <n v="206"/>
    <n v="206"/>
    <m/>
    <n v="31"/>
    <n v="237"/>
    <n v="237"/>
    <n v="0"/>
    <x v="16"/>
    <s v="true"/>
    <s v="true"/>
    <x v="0"/>
  </r>
  <r>
    <n v="279"/>
    <d v="2024-10-04T00:00:00"/>
    <s v="10/2024"/>
    <x v="48"/>
    <x v="437"/>
    <x v="0"/>
    <x v="0"/>
    <x v="197"/>
    <n v="1"/>
    <n v="228"/>
    <n v="228"/>
    <n v="241"/>
    <n v="241"/>
    <m/>
    <n v="36"/>
    <n v="277"/>
    <n v="277"/>
    <n v="0"/>
    <x v="16"/>
    <s v="true"/>
    <s v="true"/>
    <x v="0"/>
  </r>
  <r>
    <n v="279"/>
    <d v="2024-10-04T00:00:00"/>
    <s v="10/2024"/>
    <x v="48"/>
    <x v="773"/>
    <x v="0"/>
    <x v="0"/>
    <x v="202"/>
    <n v="1"/>
    <n v="376"/>
    <n v="376"/>
    <n v="396"/>
    <n v="396"/>
    <m/>
    <n v="59"/>
    <n v="455"/>
    <n v="455"/>
    <n v="0"/>
    <x v="16"/>
    <s v="true"/>
    <s v="true"/>
    <x v="0"/>
  </r>
  <r>
    <n v="279"/>
    <d v="2024-10-04T00:00:00"/>
    <s v="10/2024"/>
    <x v="48"/>
    <x v="774"/>
    <x v="0"/>
    <x v="0"/>
    <x v="202"/>
    <n v="1"/>
    <n v="116"/>
    <n v="116"/>
    <n v="123"/>
    <n v="123"/>
    <m/>
    <n v="18"/>
    <n v="141"/>
    <n v="141"/>
    <n v="0"/>
    <x v="16"/>
    <s v="true"/>
    <s v="true"/>
    <x v="0"/>
  </r>
  <r>
    <n v="279"/>
    <d v="2024-10-04T00:00:00"/>
    <s v="10/2024"/>
    <x v="48"/>
    <x v="775"/>
    <x v="0"/>
    <x v="0"/>
    <x v="202"/>
    <n v="1"/>
    <n v="440"/>
    <n v="440"/>
    <n v="464"/>
    <n v="464"/>
    <m/>
    <n v="70"/>
    <n v="534"/>
    <n v="534"/>
    <n v="0"/>
    <x v="16"/>
    <s v="true"/>
    <s v="true"/>
    <x v="0"/>
  </r>
  <r>
    <n v="279"/>
    <d v="2024-10-04T00:00:00"/>
    <s v="10/2024"/>
    <x v="48"/>
    <x v="776"/>
    <x v="0"/>
    <x v="0"/>
    <x v="202"/>
    <n v="1"/>
    <n v="581"/>
    <n v="581"/>
    <n v="612"/>
    <n v="612"/>
    <m/>
    <n v="92"/>
    <n v="704"/>
    <n v="704"/>
    <n v="0"/>
    <x v="16"/>
    <s v="true"/>
    <s v="true"/>
    <x v="0"/>
  </r>
  <r>
    <n v="279"/>
    <d v="2024-10-04T00:00:00"/>
    <s v="10/2024"/>
    <x v="48"/>
    <x v="777"/>
    <x v="0"/>
    <x v="0"/>
    <x v="202"/>
    <n v="1"/>
    <n v="279"/>
    <n v="279"/>
    <n v="294"/>
    <n v="294"/>
    <m/>
    <n v="44"/>
    <n v="338"/>
    <n v="338"/>
    <n v="0"/>
    <x v="16"/>
    <s v="true"/>
    <s v="true"/>
    <x v="0"/>
  </r>
  <r>
    <n v="279"/>
    <d v="2024-10-04T00:00:00"/>
    <s v="10/2024"/>
    <x v="48"/>
    <x v="778"/>
    <x v="0"/>
    <x v="0"/>
    <x v="197"/>
    <n v="1"/>
    <n v="116"/>
    <n v="116"/>
    <n v="123"/>
    <n v="123"/>
    <m/>
    <n v="18"/>
    <n v="141"/>
    <n v="141"/>
    <n v="0"/>
    <x v="16"/>
    <s v="true"/>
    <s v="true"/>
    <x v="0"/>
  </r>
  <r>
    <n v="279"/>
    <d v="2024-10-04T00:00:00"/>
    <s v="10/2024"/>
    <x v="48"/>
    <x v="779"/>
    <x v="0"/>
    <x v="0"/>
    <x v="199"/>
    <n v="1"/>
    <n v="188"/>
    <n v="188"/>
    <n v="198"/>
    <n v="198"/>
    <m/>
    <n v="30"/>
    <n v="228"/>
    <n v="228"/>
    <n v="0"/>
    <x v="16"/>
    <s v="true"/>
    <s v="true"/>
    <x v="0"/>
  </r>
  <r>
    <n v="279"/>
    <d v="2024-10-04T00:00:00"/>
    <s v="10/2024"/>
    <x v="48"/>
    <x v="780"/>
    <x v="0"/>
    <x v="0"/>
    <x v="197"/>
    <n v="1"/>
    <n v="155"/>
    <n v="155"/>
    <n v="164"/>
    <n v="164"/>
    <m/>
    <n v="25"/>
    <n v="189"/>
    <n v="189"/>
    <n v="0"/>
    <x v="16"/>
    <s v="true"/>
    <s v="true"/>
    <x v="0"/>
  </r>
  <r>
    <n v="279"/>
    <d v="2024-10-04T00:00:00"/>
    <s v="10/2024"/>
    <x v="48"/>
    <x v="781"/>
    <x v="0"/>
    <x v="0"/>
    <x v="197"/>
    <n v="1"/>
    <n v="152"/>
    <n v="152"/>
    <n v="160"/>
    <n v="160"/>
    <m/>
    <n v="24"/>
    <n v="184"/>
    <n v="184"/>
    <n v="0"/>
    <x v="16"/>
    <s v="true"/>
    <s v="true"/>
    <x v="0"/>
  </r>
  <r>
    <n v="279"/>
    <d v="2024-10-04T00:00:00"/>
    <s v="10/2024"/>
    <x v="48"/>
    <x v="782"/>
    <x v="0"/>
    <x v="0"/>
    <x v="202"/>
    <n v="1"/>
    <n v="162"/>
    <n v="162"/>
    <n v="171"/>
    <n v="171"/>
    <m/>
    <n v="26"/>
    <n v="197"/>
    <n v="197"/>
    <n v="0"/>
    <x v="16"/>
    <s v="true"/>
    <s v="true"/>
    <x v="0"/>
  </r>
  <r>
    <n v="279"/>
    <d v="2024-10-04T00:00:00"/>
    <s v="10/2024"/>
    <x v="48"/>
    <x v="783"/>
    <x v="0"/>
    <x v="0"/>
    <x v="199"/>
    <n v="1"/>
    <n v="250"/>
    <n v="250"/>
    <n v="264"/>
    <n v="264"/>
    <m/>
    <n v="40"/>
    <n v="304"/>
    <n v="304"/>
    <n v="0"/>
    <x v="16"/>
    <s v="true"/>
    <s v="true"/>
    <x v="0"/>
  </r>
  <r>
    <n v="279"/>
    <d v="2024-10-04T00:00:00"/>
    <s v="10/2024"/>
    <x v="48"/>
    <x v="784"/>
    <x v="0"/>
    <x v="0"/>
    <x v="197"/>
    <n v="1"/>
    <n v="196"/>
    <n v="196"/>
    <n v="207"/>
    <n v="207"/>
    <m/>
    <n v="31"/>
    <n v="238"/>
    <n v="238"/>
    <n v="0"/>
    <x v="16"/>
    <s v="true"/>
    <s v="true"/>
    <x v="0"/>
  </r>
  <r>
    <n v="280"/>
    <d v="2024-10-06T00:00:00"/>
    <s v="10/2024"/>
    <x v="1"/>
    <x v="785"/>
    <x v="0"/>
    <x v="0"/>
    <x v="197"/>
    <n v="1"/>
    <n v="1615"/>
    <n v="1615"/>
    <n v="1655"/>
    <n v="1655"/>
    <m/>
    <n v="166"/>
    <n v="1821"/>
    <n v="1821"/>
    <n v="0"/>
    <x v="16"/>
    <s v="true"/>
    <s v="true"/>
    <x v="0"/>
  </r>
  <r>
    <n v="281"/>
    <d v="2024-10-07T00:00:00"/>
    <s v="10/2024"/>
    <x v="10"/>
    <x v="200"/>
    <x v="0"/>
    <x v="0"/>
    <x v="200"/>
    <n v="1"/>
    <n v="494"/>
    <n v="494"/>
    <n v="524"/>
    <n v="524"/>
    <m/>
    <n v="100"/>
    <n v="624"/>
    <n v="624"/>
    <n v="0"/>
    <x v="15"/>
    <s v="true"/>
    <s v="true"/>
    <x v="0"/>
  </r>
  <r>
    <n v="282"/>
    <d v="2024-10-07T00:00:00"/>
    <s v="10/2024"/>
    <x v="3"/>
    <x v="152"/>
    <x v="0"/>
    <x v="0"/>
    <x v="201"/>
    <n v="1"/>
    <n v="5000"/>
    <n v="5000"/>
    <n v="5000"/>
    <n v="5000"/>
    <n v="190"/>
    <n v="750"/>
    <n v="5940"/>
    <n v="5940"/>
    <n v="0"/>
    <x v="8"/>
    <s v="true"/>
    <s v="true"/>
    <x v="0"/>
  </r>
  <r>
    <n v="281"/>
    <d v="2024-10-07T00:00:00"/>
    <s v="10/2024"/>
    <x v="10"/>
    <x v="786"/>
    <x v="0"/>
    <x v="0"/>
    <x v="200"/>
    <n v="1"/>
    <n v="580"/>
    <n v="580"/>
    <n v="580"/>
    <n v="580"/>
    <m/>
    <n v="100"/>
    <n v="680"/>
    <n v="680"/>
    <n v="0"/>
    <x v="15"/>
    <s v="true"/>
    <s v="true"/>
    <x v="0"/>
  </r>
  <r>
    <n v="283"/>
    <d v="2024-10-10T00:00:00"/>
    <s v="10/2024"/>
    <x v="26"/>
    <x v="257"/>
    <x v="0"/>
    <x v="88"/>
    <x v="197"/>
    <n v="1"/>
    <n v="14000"/>
    <n v="14000"/>
    <n v="14000"/>
    <n v="14000"/>
    <m/>
    <n v="1400"/>
    <n v="1400"/>
    <n v="1400"/>
    <n v="0"/>
    <x v="20"/>
    <s v="true"/>
    <s v="true"/>
    <x v="0"/>
  </r>
  <r>
    <n v="283"/>
    <d v="2024-10-10T00:00:00"/>
    <s v="10/2024"/>
    <x v="26"/>
    <x v="257"/>
    <x v="0"/>
    <x v="89"/>
    <x v="198"/>
    <n v="1"/>
    <n v="3600"/>
    <n v="3600"/>
    <n v="3600"/>
    <n v="3600"/>
    <m/>
    <n v="360"/>
    <n v="360"/>
    <n v="360"/>
    <n v="0"/>
    <x v="20"/>
    <s v="true"/>
    <s v="true"/>
    <x v="0"/>
  </r>
  <r>
    <n v="283"/>
    <d v="2024-10-10T00:00:00"/>
    <s v="10/2024"/>
    <x v="26"/>
    <x v="257"/>
    <x v="0"/>
    <x v="90"/>
    <x v="203"/>
    <n v="1"/>
    <n v="6600"/>
    <n v="6600"/>
    <n v="6600"/>
    <n v="6600"/>
    <m/>
    <n v="660"/>
    <n v="660"/>
    <n v="660"/>
    <n v="0"/>
    <x v="20"/>
    <s v="true"/>
    <s v="true"/>
    <x v="0"/>
  </r>
  <r>
    <n v="283"/>
    <d v="2024-10-10T00:00:00"/>
    <s v="10/2024"/>
    <x v="26"/>
    <x v="257"/>
    <x v="0"/>
    <x v="91"/>
    <x v="198"/>
    <n v="1"/>
    <n v="7000"/>
    <n v="7000"/>
    <n v="7000"/>
    <n v="7000"/>
    <m/>
    <n v="700"/>
    <n v="700"/>
    <n v="700"/>
    <n v="0"/>
    <x v="20"/>
    <s v="true"/>
    <s v="true"/>
    <x v="0"/>
  </r>
  <r>
    <n v="283"/>
    <d v="2024-10-10T00:00:00"/>
    <s v="10/2024"/>
    <x v="26"/>
    <x v="257"/>
    <x v="0"/>
    <x v="92"/>
    <x v="200"/>
    <n v="1"/>
    <n v="4630"/>
    <n v="4630"/>
    <n v="4630"/>
    <n v="4630"/>
    <m/>
    <n v="463"/>
    <n v="463"/>
    <n v="463"/>
    <n v="0"/>
    <x v="20"/>
    <s v="true"/>
    <s v="true"/>
    <x v="0"/>
  </r>
  <r>
    <n v="283"/>
    <d v="2024-10-10T00:00:00"/>
    <s v="10/2024"/>
    <x v="26"/>
    <x v="257"/>
    <x v="0"/>
    <x v="93"/>
    <x v="204"/>
    <n v="1"/>
    <n v="7900"/>
    <n v="7900"/>
    <n v="7900"/>
    <n v="7900"/>
    <m/>
    <n v="790"/>
    <n v="790"/>
    <n v="790"/>
    <n v="0"/>
    <x v="20"/>
    <s v="true"/>
    <s v="true"/>
    <x v="0"/>
  </r>
  <r>
    <n v="283"/>
    <d v="2024-10-10T00:00:00"/>
    <s v="10/2024"/>
    <x v="26"/>
    <x v="257"/>
    <x v="0"/>
    <x v="94"/>
    <x v="205"/>
    <n v="1"/>
    <n v="12500"/>
    <n v="12500"/>
    <n v="12500"/>
    <n v="12500"/>
    <m/>
    <n v="1250"/>
    <n v="1250"/>
    <n v="1250"/>
    <n v="0"/>
    <x v="20"/>
    <s v="true"/>
    <s v="true"/>
    <x v="0"/>
  </r>
  <r>
    <n v="283"/>
    <d v="2024-10-10T00:00:00"/>
    <s v="10/2024"/>
    <x v="26"/>
    <x v="257"/>
    <x v="0"/>
    <x v="95"/>
    <x v="206"/>
    <n v="1"/>
    <n v="4750"/>
    <n v="4750"/>
    <n v="4750"/>
    <n v="4750"/>
    <m/>
    <n v="475"/>
    <n v="475"/>
    <n v="475"/>
    <n v="0"/>
    <x v="20"/>
    <s v="true"/>
    <s v="true"/>
    <x v="0"/>
  </r>
  <r>
    <n v="284"/>
    <d v="2024-10-10T00:00:00"/>
    <s v="10/2024"/>
    <x v="78"/>
    <x v="257"/>
    <x v="0"/>
    <x v="96"/>
    <x v="207"/>
    <n v="1"/>
    <n v="2100"/>
    <n v="2100"/>
    <n v="2100"/>
    <n v="2100"/>
    <m/>
    <n v="315"/>
    <n v="315"/>
    <n v="315"/>
    <n v="0"/>
    <x v="20"/>
    <s v="true"/>
    <s v="true"/>
    <x v="0"/>
  </r>
  <r>
    <n v="285"/>
    <d v="2024-10-11T00:00:00"/>
    <s v="10/2024"/>
    <x v="79"/>
    <x v="73"/>
    <x v="0"/>
    <x v="0"/>
    <x v="208"/>
    <n v="1"/>
    <n v="2807"/>
    <n v="2807"/>
    <n v="2807"/>
    <n v="2807"/>
    <m/>
    <n v="421"/>
    <n v="421"/>
    <n v="421"/>
    <n v="0"/>
    <x v="15"/>
    <s v="true"/>
    <s v="true"/>
    <x v="0"/>
  </r>
  <r>
    <n v="286"/>
    <d v="2024-10-11T00:00:00"/>
    <s v="10/2024"/>
    <x v="66"/>
    <x v="73"/>
    <x v="0"/>
    <x v="0"/>
    <x v="208"/>
    <n v="1"/>
    <n v="38955"/>
    <n v="38955"/>
    <n v="38955"/>
    <n v="38955"/>
    <m/>
    <n v="3896"/>
    <n v="3896"/>
    <n v="3896"/>
    <n v="0"/>
    <x v="15"/>
    <s v="true"/>
    <s v="true"/>
    <x v="0"/>
  </r>
  <r>
    <n v="287"/>
    <d v="2024-10-11T00:00:00"/>
    <s v="10/2024"/>
    <x v="64"/>
    <x v="73"/>
    <x v="0"/>
    <x v="0"/>
    <x v="208"/>
    <n v="1"/>
    <n v="1230"/>
    <n v="1230"/>
    <n v="1230"/>
    <n v="1230"/>
    <m/>
    <n v="200"/>
    <n v="200"/>
    <n v="200"/>
    <n v="0"/>
    <x v="15"/>
    <s v="true"/>
    <s v="true"/>
    <x v="0"/>
  </r>
  <r>
    <n v="288"/>
    <d v="2024-10-11T00:00:00"/>
    <s v="10/2024"/>
    <x v="27"/>
    <x v="73"/>
    <x v="0"/>
    <x v="0"/>
    <x v="208"/>
    <n v="1"/>
    <n v="5138"/>
    <n v="5138"/>
    <n v="5138"/>
    <n v="5138"/>
    <m/>
    <n v="514"/>
    <n v="514"/>
    <n v="514"/>
    <n v="0"/>
    <x v="15"/>
    <s v="true"/>
    <s v="true"/>
    <x v="0"/>
  </r>
  <r>
    <n v="289"/>
    <d v="2024-10-11T00:00:00"/>
    <s v="10/2024"/>
    <x v="80"/>
    <x v="73"/>
    <x v="0"/>
    <x v="0"/>
    <x v="208"/>
    <n v="1"/>
    <n v="3810"/>
    <n v="3810"/>
    <n v="3810"/>
    <n v="3810"/>
    <m/>
    <n v="572"/>
    <n v="572"/>
    <n v="572"/>
    <n v="0"/>
    <x v="15"/>
    <s v="true"/>
    <s v="true"/>
    <x v="0"/>
  </r>
  <r>
    <n v="290"/>
    <d v="2024-10-10T00:00:00"/>
    <s v="10/2024"/>
    <x v="9"/>
    <x v="787"/>
    <x v="0"/>
    <x v="0"/>
    <x v="206"/>
    <n v="1"/>
    <n v="3654"/>
    <n v="3654"/>
    <n v="3654"/>
    <n v="3654"/>
    <m/>
    <n v="548"/>
    <n v="4202"/>
    <n v="4202"/>
    <n v="0"/>
    <x v="15"/>
    <s v="true"/>
    <s v="true"/>
    <x v="0"/>
  </r>
  <r>
    <n v="290"/>
    <d v="2024-10-10T00:00:00"/>
    <s v="10/2024"/>
    <x v="9"/>
    <x v="788"/>
    <x v="0"/>
    <x v="0"/>
    <x v="209"/>
    <n v="1"/>
    <n v="912"/>
    <n v="912"/>
    <n v="980"/>
    <n v="980"/>
    <m/>
    <n v="147"/>
    <n v="1127"/>
    <n v="1127"/>
    <n v="0"/>
    <x v="15"/>
    <s v="true"/>
    <s v="true"/>
    <x v="0"/>
  </r>
  <r>
    <n v="291"/>
    <d v="2024-10-13T00:00:00"/>
    <s v="10/2024"/>
    <x v="23"/>
    <x v="121"/>
    <x v="0"/>
    <x v="0"/>
    <x v="205"/>
    <n v="1"/>
    <n v="251"/>
    <n v="251"/>
    <n v="265"/>
    <n v="265"/>
    <m/>
    <n v="40"/>
    <n v="305"/>
    <n v="305"/>
    <n v="0"/>
    <x v="16"/>
    <s v="true"/>
    <s v="true"/>
    <x v="0"/>
  </r>
  <r>
    <n v="291"/>
    <d v="2024-10-13T00:00:00"/>
    <s v="10/2024"/>
    <x v="23"/>
    <x v="789"/>
    <x v="0"/>
    <x v="0"/>
    <x v="206"/>
    <n v="1"/>
    <n v="171"/>
    <n v="171"/>
    <n v="180"/>
    <n v="180"/>
    <m/>
    <n v="27"/>
    <n v="207"/>
    <n v="207"/>
    <n v="0"/>
    <x v="16"/>
    <s v="true"/>
    <s v="true"/>
    <x v="0"/>
  </r>
  <r>
    <n v="291"/>
    <d v="2024-10-13T00:00:00"/>
    <s v="10/2024"/>
    <x v="23"/>
    <x v="790"/>
    <x v="0"/>
    <x v="0"/>
    <x v="206"/>
    <n v="1"/>
    <n v="128"/>
    <n v="128"/>
    <n v="135"/>
    <n v="135"/>
    <m/>
    <n v="20"/>
    <n v="155"/>
    <n v="155"/>
    <n v="0"/>
    <x v="16"/>
    <s v="true"/>
    <s v="true"/>
    <x v="0"/>
  </r>
  <r>
    <n v="291"/>
    <d v="2024-10-13T00:00:00"/>
    <s v="10/2024"/>
    <x v="23"/>
    <x v="791"/>
    <x v="0"/>
    <x v="0"/>
    <x v="206"/>
    <n v="1"/>
    <n v="105"/>
    <n v="105"/>
    <n v="111"/>
    <n v="111"/>
    <m/>
    <n v="17"/>
    <n v="128"/>
    <n v="128"/>
    <n v="0"/>
    <x v="16"/>
    <s v="true"/>
    <s v="true"/>
    <x v="0"/>
  </r>
  <r>
    <n v="291"/>
    <d v="2024-10-13T00:00:00"/>
    <s v="10/2024"/>
    <x v="23"/>
    <x v="792"/>
    <x v="0"/>
    <x v="0"/>
    <x v="205"/>
    <n v="1"/>
    <n v="538"/>
    <n v="538"/>
    <n v="567"/>
    <n v="567"/>
    <m/>
    <n v="85"/>
    <n v="652"/>
    <n v="652"/>
    <n v="0"/>
    <x v="16"/>
    <s v="true"/>
    <s v="true"/>
    <x v="0"/>
  </r>
  <r>
    <n v="291"/>
    <d v="2024-10-13T00:00:00"/>
    <s v="10/2024"/>
    <x v="23"/>
    <x v="793"/>
    <x v="0"/>
    <x v="0"/>
    <x v="205"/>
    <n v="1"/>
    <n v="152"/>
    <n v="152"/>
    <n v="161"/>
    <n v="161"/>
    <m/>
    <n v="24"/>
    <n v="185"/>
    <n v="185"/>
    <n v="0"/>
    <x v="16"/>
    <s v="true"/>
    <s v="true"/>
    <x v="0"/>
  </r>
  <r>
    <n v="291"/>
    <d v="2024-10-13T00:00:00"/>
    <s v="10/2024"/>
    <x v="23"/>
    <x v="794"/>
    <x v="0"/>
    <x v="0"/>
    <x v="204"/>
    <n v="1"/>
    <n v="277"/>
    <n v="277"/>
    <n v="292"/>
    <n v="292"/>
    <m/>
    <n v="44"/>
    <n v="336"/>
    <n v="336"/>
    <n v="0"/>
    <x v="16"/>
    <s v="true"/>
    <s v="true"/>
    <x v="0"/>
  </r>
  <r>
    <n v="291"/>
    <d v="2024-10-13T00:00:00"/>
    <s v="10/2024"/>
    <x v="23"/>
    <x v="795"/>
    <x v="0"/>
    <x v="0"/>
    <x v="207"/>
    <n v="1"/>
    <n v="170"/>
    <n v="170"/>
    <n v="179"/>
    <n v="179"/>
    <m/>
    <n v="27"/>
    <n v="206"/>
    <n v="206"/>
    <n v="0"/>
    <x v="16"/>
    <s v="true"/>
    <s v="true"/>
    <x v="0"/>
  </r>
  <r>
    <n v="291"/>
    <d v="2024-10-13T00:00:00"/>
    <s v="10/2024"/>
    <x v="23"/>
    <x v="789"/>
    <x v="0"/>
    <x v="0"/>
    <x v="209"/>
    <n v="1"/>
    <n v="179"/>
    <n v="179"/>
    <n v="189"/>
    <n v="189"/>
    <m/>
    <n v="28"/>
    <n v="217"/>
    <n v="217"/>
    <n v="0"/>
    <x v="16"/>
    <s v="true"/>
    <s v="true"/>
    <x v="0"/>
  </r>
  <r>
    <n v="292"/>
    <d v="2024-10-14T00:00:00"/>
    <s v="10/2024"/>
    <x v="81"/>
    <x v="796"/>
    <x v="0"/>
    <x v="0"/>
    <x v="205"/>
    <n v="1"/>
    <n v="1385"/>
    <n v="1385"/>
    <n v="1458"/>
    <n v="1458"/>
    <m/>
    <n v="200"/>
    <n v="1658"/>
    <n v="1658"/>
    <n v="0"/>
    <x v="16"/>
    <s v="true"/>
    <s v="true"/>
    <x v="0"/>
  </r>
  <r>
    <n v="293"/>
    <d v="2024-10-14T00:00:00"/>
    <s v="10/2024"/>
    <x v="50"/>
    <x v="705"/>
    <x v="0"/>
    <x v="0"/>
    <x v="209"/>
    <n v="1"/>
    <n v="235"/>
    <n v="235"/>
    <n v="248"/>
    <n v="248"/>
    <m/>
    <n v="37"/>
    <n v="285"/>
    <n v="285"/>
    <n v="0"/>
    <x v="16"/>
    <s v="true"/>
    <s v="true"/>
    <x v="0"/>
  </r>
  <r>
    <n v="293"/>
    <d v="2024-10-14T00:00:00"/>
    <s v="10/2024"/>
    <x v="50"/>
    <x v="704"/>
    <x v="0"/>
    <x v="0"/>
    <x v="209"/>
    <n v="1"/>
    <n v="511"/>
    <n v="511"/>
    <n v="538"/>
    <n v="538"/>
    <m/>
    <n v="81"/>
    <n v="619"/>
    <n v="619"/>
    <n v="0"/>
    <x v="16"/>
    <s v="true"/>
    <s v="true"/>
    <x v="0"/>
  </r>
  <r>
    <n v="293"/>
    <d v="2024-10-14T00:00:00"/>
    <s v="10/2024"/>
    <x v="50"/>
    <x v="797"/>
    <x v="0"/>
    <x v="0"/>
    <x v="209"/>
    <n v="1"/>
    <n v="267"/>
    <n v="267"/>
    <n v="282"/>
    <n v="282"/>
    <m/>
    <n v="42"/>
    <n v="324"/>
    <n v="324"/>
    <n v="0"/>
    <x v="16"/>
    <s v="true"/>
    <s v="true"/>
    <x v="0"/>
  </r>
  <r>
    <n v="293"/>
    <d v="2024-10-14T00:00:00"/>
    <s v="10/2024"/>
    <x v="50"/>
    <x v="798"/>
    <x v="0"/>
    <x v="0"/>
    <x v="205"/>
    <n v="1"/>
    <n v="652"/>
    <n v="652"/>
    <n v="687"/>
    <n v="687"/>
    <m/>
    <n v="103"/>
    <n v="790"/>
    <n v="790"/>
    <n v="0"/>
    <x v="16"/>
    <s v="true"/>
    <s v="true"/>
    <x v="0"/>
  </r>
  <r>
    <n v="293"/>
    <d v="2024-10-14T00:00:00"/>
    <s v="10/2024"/>
    <x v="50"/>
    <x v="799"/>
    <x v="0"/>
    <x v="0"/>
    <x v="210"/>
    <n v="2"/>
    <n v="171"/>
    <n v="342"/>
    <n v="180"/>
    <n v="360"/>
    <m/>
    <n v="54"/>
    <n v="414"/>
    <n v="414"/>
    <n v="0"/>
    <x v="16"/>
    <s v="true"/>
    <s v="true"/>
    <x v="0"/>
  </r>
  <r>
    <n v="293"/>
    <d v="2024-10-14T00:00:00"/>
    <s v="10/2024"/>
    <x v="50"/>
    <x v="800"/>
    <x v="0"/>
    <x v="0"/>
    <x v="207"/>
    <n v="2"/>
    <n v="320"/>
    <n v="640"/>
    <n v="337"/>
    <n v="674"/>
    <m/>
    <n v="101"/>
    <n v="775"/>
    <n v="775"/>
    <n v="0"/>
    <x v="16"/>
    <s v="true"/>
    <s v="true"/>
    <x v="0"/>
  </r>
  <r>
    <n v="294"/>
    <d v="2024-10-15T00:00:00"/>
    <s v="10/2024"/>
    <x v="24"/>
    <x v="721"/>
    <x v="0"/>
    <x v="0"/>
    <x v="211"/>
    <n v="1"/>
    <n v="370"/>
    <n v="370"/>
    <n v="398"/>
    <n v="398"/>
    <m/>
    <n v="60"/>
    <n v="458"/>
    <n v="458"/>
    <n v="0"/>
    <x v="15"/>
    <s v="true"/>
    <s v="true"/>
    <x v="0"/>
  </r>
  <r>
    <n v="294"/>
    <d v="2024-10-15T00:00:00"/>
    <s v="10/2024"/>
    <x v="24"/>
    <x v="801"/>
    <x v="0"/>
    <x v="0"/>
    <x v="207"/>
    <n v="7"/>
    <n v="269"/>
    <n v="1883"/>
    <n v="275"/>
    <n v="1925"/>
    <m/>
    <n v="289"/>
    <n v="2214"/>
    <n v="2214"/>
    <n v="0"/>
    <x v="15"/>
    <s v="true"/>
    <s v="true"/>
    <x v="0"/>
  </r>
  <r>
    <n v="295"/>
    <d v="2024-10-15T00:00:00"/>
    <s v="10/2024"/>
    <x v="47"/>
    <x v="802"/>
    <x v="0"/>
    <x v="0"/>
    <x v="212"/>
    <n v="1"/>
    <n v="386"/>
    <n v="386"/>
    <n v="407"/>
    <n v="407"/>
    <m/>
    <n v="61"/>
    <n v="468"/>
    <n v="468"/>
    <n v="0"/>
    <x v="16"/>
    <s v="true"/>
    <s v="true"/>
    <x v="0"/>
  </r>
  <r>
    <n v="295"/>
    <d v="2024-10-15T00:00:00"/>
    <s v="10/2024"/>
    <x v="47"/>
    <x v="630"/>
    <x v="0"/>
    <x v="0"/>
    <x v="209"/>
    <n v="1"/>
    <n v="136"/>
    <n v="136"/>
    <n v="144"/>
    <n v="144"/>
    <m/>
    <n v="22"/>
    <n v="166"/>
    <n v="166"/>
    <n v="0"/>
    <x v="16"/>
    <s v="true"/>
    <s v="true"/>
    <x v="0"/>
  </r>
  <r>
    <n v="295"/>
    <d v="2024-10-15T00:00:00"/>
    <s v="10/2024"/>
    <x v="47"/>
    <x v="803"/>
    <x v="0"/>
    <x v="0"/>
    <x v="207"/>
    <n v="1"/>
    <n v="240"/>
    <n v="240"/>
    <n v="253"/>
    <n v="253"/>
    <m/>
    <n v="38"/>
    <n v="291"/>
    <n v="291"/>
    <n v="0"/>
    <x v="16"/>
    <s v="true"/>
    <s v="true"/>
    <x v="0"/>
  </r>
  <r>
    <n v="295"/>
    <d v="2024-10-15T00:00:00"/>
    <s v="10/2024"/>
    <x v="47"/>
    <x v="804"/>
    <x v="0"/>
    <x v="0"/>
    <x v="213"/>
    <n v="1"/>
    <n v="481"/>
    <n v="481"/>
    <n v="507"/>
    <n v="507"/>
    <m/>
    <n v="76"/>
    <n v="583"/>
    <n v="583"/>
    <n v="0"/>
    <x v="16"/>
    <s v="true"/>
    <s v="true"/>
    <x v="0"/>
  </r>
  <r>
    <n v="295"/>
    <d v="2024-10-15T00:00:00"/>
    <s v="10/2024"/>
    <x v="47"/>
    <x v="805"/>
    <x v="0"/>
    <x v="0"/>
    <x v="209"/>
    <n v="1"/>
    <n v="169"/>
    <n v="169"/>
    <n v="178"/>
    <n v="178"/>
    <m/>
    <n v="27"/>
    <n v="205"/>
    <n v="205"/>
    <n v="0"/>
    <x v="16"/>
    <s v="true"/>
    <s v="true"/>
    <x v="0"/>
  </r>
  <r>
    <n v="295"/>
    <d v="2024-10-15T00:00:00"/>
    <s v="10/2024"/>
    <x v="47"/>
    <x v="806"/>
    <x v="0"/>
    <x v="0"/>
    <x v="212"/>
    <n v="1"/>
    <n v="478"/>
    <n v="478"/>
    <n v="504"/>
    <n v="504"/>
    <m/>
    <n v="76"/>
    <n v="580"/>
    <n v="580"/>
    <n v="0"/>
    <x v="16"/>
    <s v="true"/>
    <s v="true"/>
    <x v="0"/>
  </r>
  <r>
    <n v="295"/>
    <d v="2024-10-15T00:00:00"/>
    <s v="10/2024"/>
    <x v="47"/>
    <x v="110"/>
    <x v="0"/>
    <x v="0"/>
    <x v="207"/>
    <n v="1"/>
    <n v="270"/>
    <n v="270"/>
    <n v="285"/>
    <n v="285"/>
    <m/>
    <n v="43"/>
    <n v="328"/>
    <n v="328"/>
    <n v="0"/>
    <x v="16"/>
    <s v="true"/>
    <s v="true"/>
    <x v="0"/>
  </r>
  <r>
    <n v="295"/>
    <d v="2024-10-15T00:00:00"/>
    <s v="10/2024"/>
    <x v="47"/>
    <x v="807"/>
    <x v="0"/>
    <x v="0"/>
    <x v="207"/>
    <n v="1"/>
    <n v="263"/>
    <n v="263"/>
    <n v="277"/>
    <n v="277"/>
    <m/>
    <n v="42"/>
    <n v="319"/>
    <n v="319"/>
    <n v="0"/>
    <x v="16"/>
    <s v="true"/>
    <s v="true"/>
    <x v="0"/>
  </r>
  <r>
    <n v="295"/>
    <d v="2024-10-15T00:00:00"/>
    <s v="10/2024"/>
    <x v="47"/>
    <x v="663"/>
    <x v="0"/>
    <x v="0"/>
    <x v="210"/>
    <n v="1"/>
    <n v="184"/>
    <n v="184"/>
    <n v="194"/>
    <n v="194"/>
    <m/>
    <n v="29"/>
    <n v="223"/>
    <n v="223"/>
    <n v="0"/>
    <x v="16"/>
    <s v="true"/>
    <s v="true"/>
    <x v="0"/>
  </r>
  <r>
    <n v="295"/>
    <d v="2024-10-15T00:00:00"/>
    <s v="10/2024"/>
    <x v="47"/>
    <x v="808"/>
    <x v="0"/>
    <x v="0"/>
    <x v="207"/>
    <n v="1"/>
    <n v="459"/>
    <n v="459"/>
    <n v="484"/>
    <n v="484"/>
    <m/>
    <n v="73"/>
    <n v="557"/>
    <n v="557"/>
    <n v="0"/>
    <x v="16"/>
    <s v="true"/>
    <s v="true"/>
    <x v="0"/>
  </r>
  <r>
    <n v="295"/>
    <d v="2024-10-15T00:00:00"/>
    <s v="10/2024"/>
    <x v="47"/>
    <x v="809"/>
    <x v="0"/>
    <x v="0"/>
    <x v="207"/>
    <n v="1"/>
    <n v="274"/>
    <n v="274"/>
    <n v="289"/>
    <n v="289"/>
    <m/>
    <n v="43"/>
    <n v="332"/>
    <n v="332"/>
    <n v="0"/>
    <x v="16"/>
    <s v="true"/>
    <s v="true"/>
    <x v="0"/>
  </r>
  <r>
    <n v="295"/>
    <d v="2024-10-15T00:00:00"/>
    <s v="10/2024"/>
    <x v="47"/>
    <x v="810"/>
    <x v="0"/>
    <x v="0"/>
    <x v="212"/>
    <n v="1"/>
    <n v="352"/>
    <n v="352"/>
    <n v="371"/>
    <n v="371"/>
    <m/>
    <n v="56"/>
    <n v="427"/>
    <n v="427"/>
    <n v="0"/>
    <x v="16"/>
    <s v="true"/>
    <s v="true"/>
    <x v="0"/>
  </r>
  <r>
    <n v="295"/>
    <d v="2024-10-15T00:00:00"/>
    <s v="10/2024"/>
    <x v="47"/>
    <x v="811"/>
    <x v="0"/>
    <x v="0"/>
    <x v="209"/>
    <n v="1"/>
    <n v="373"/>
    <n v="373"/>
    <n v="393"/>
    <n v="393"/>
    <m/>
    <n v="59"/>
    <n v="452"/>
    <n v="452"/>
    <n v="0"/>
    <x v="16"/>
    <s v="true"/>
    <s v="true"/>
    <x v="0"/>
  </r>
  <r>
    <n v="294"/>
    <d v="2024-10-15T00:00:00"/>
    <s v="10/2024"/>
    <x v="24"/>
    <x v="812"/>
    <x v="0"/>
    <x v="0"/>
    <x v="213"/>
    <n v="1"/>
    <n v="1940"/>
    <n v="1940"/>
    <n v="1940"/>
    <n v="1940"/>
    <m/>
    <n v="291"/>
    <n v="2231"/>
    <n v="2231"/>
    <n v="0"/>
    <x v="21"/>
    <s v="true"/>
    <s v="true"/>
    <x v="0"/>
  </r>
  <r>
    <n v="283"/>
    <d v="2024-10-10T00:00:00"/>
    <s v="10/2024"/>
    <x v="26"/>
    <x v="257"/>
    <x v="0"/>
    <x v="97"/>
    <x v="213"/>
    <n v="1"/>
    <n v="5500"/>
    <n v="5500"/>
    <n v="5500"/>
    <n v="5500"/>
    <m/>
    <n v="550"/>
    <n v="550"/>
    <n v="550"/>
    <n v="0"/>
    <x v="20"/>
    <s v="true"/>
    <s v="true"/>
    <x v="0"/>
  </r>
  <r>
    <n v="267"/>
    <d v="2024-10-15T00:00:00"/>
    <s v="10/2024"/>
    <x v="1"/>
    <x v="813"/>
    <x v="0"/>
    <x v="0"/>
    <x v="207"/>
    <n v="1"/>
    <n v="885"/>
    <n v="885"/>
    <n v="932"/>
    <n v="932"/>
    <m/>
    <n v="93"/>
    <n v="1025"/>
    <n v="1025"/>
    <n v="0"/>
    <x v="16"/>
    <s v="true"/>
    <s v="true"/>
    <x v="0"/>
  </r>
  <r>
    <n v="267"/>
    <d v="2024-10-15T00:00:00"/>
    <s v="10/2024"/>
    <x v="1"/>
    <x v="110"/>
    <x v="0"/>
    <x v="0"/>
    <x v="207"/>
    <n v="1"/>
    <n v="359"/>
    <n v="359"/>
    <n v="378"/>
    <n v="378"/>
    <m/>
    <n v="38"/>
    <n v="416"/>
    <n v="416"/>
    <n v="0"/>
    <x v="16"/>
    <s v="true"/>
    <s v="true"/>
    <x v="0"/>
  </r>
  <r>
    <n v="267"/>
    <d v="2024-10-15T00:00:00"/>
    <s v="10/2024"/>
    <x v="1"/>
    <x v="814"/>
    <x v="0"/>
    <x v="0"/>
    <x v="207"/>
    <n v="1"/>
    <n v="414"/>
    <n v="414"/>
    <n v="436"/>
    <n v="436"/>
    <m/>
    <n v="44"/>
    <n v="480"/>
    <n v="480"/>
    <n v="0"/>
    <x v="16"/>
    <s v="true"/>
    <s v="true"/>
    <x v="0"/>
  </r>
  <r>
    <n v="267"/>
    <d v="2024-10-15T00:00:00"/>
    <s v="10/2024"/>
    <x v="1"/>
    <x v="815"/>
    <x v="0"/>
    <x v="0"/>
    <x v="214"/>
    <n v="1"/>
    <n v="628"/>
    <n v="628"/>
    <n v="662"/>
    <n v="662"/>
    <m/>
    <n v="66"/>
    <n v="728"/>
    <n v="728"/>
    <n v="0"/>
    <x v="16"/>
    <s v="true"/>
    <s v="true"/>
    <x v="0"/>
  </r>
  <r>
    <n v="267"/>
    <d v="2024-10-15T00:00:00"/>
    <s v="10/2024"/>
    <x v="1"/>
    <x v="816"/>
    <x v="0"/>
    <x v="0"/>
    <x v="207"/>
    <n v="1"/>
    <n v="319"/>
    <n v="319"/>
    <n v="336"/>
    <n v="336"/>
    <m/>
    <n v="34"/>
    <n v="370"/>
    <n v="370"/>
    <n v="0"/>
    <x v="16"/>
    <s v="true"/>
    <s v="true"/>
    <x v="0"/>
  </r>
  <r>
    <n v="267"/>
    <d v="2024-10-15T00:00:00"/>
    <s v="10/2024"/>
    <x v="1"/>
    <x v="817"/>
    <x v="0"/>
    <x v="0"/>
    <x v="207"/>
    <n v="1"/>
    <n v="316"/>
    <n v="316"/>
    <n v="333"/>
    <n v="333"/>
    <m/>
    <n v="33"/>
    <n v="366"/>
    <n v="366"/>
    <n v="0"/>
    <x v="16"/>
    <s v="true"/>
    <s v="true"/>
    <x v="0"/>
  </r>
  <r>
    <n v="296"/>
    <d v="2024-10-18T00:00:00"/>
    <s v="10/2024"/>
    <x v="66"/>
    <x v="73"/>
    <x v="0"/>
    <x v="0"/>
    <x v="207"/>
    <n v="1"/>
    <n v="8283"/>
    <n v="8283"/>
    <n v="8283"/>
    <n v="8283"/>
    <m/>
    <n v="1242"/>
    <n v="1242"/>
    <n v="1242"/>
    <n v="0"/>
    <x v="16"/>
    <s v="true"/>
    <s v="true"/>
    <x v="0"/>
  </r>
  <r>
    <n v="297"/>
    <d v="2024-10-18T00:00:00"/>
    <s v="10/2024"/>
    <x v="64"/>
    <x v="73"/>
    <x v="0"/>
    <x v="0"/>
    <x v="207"/>
    <n v="1"/>
    <n v="1589"/>
    <n v="1589"/>
    <n v="1589"/>
    <n v="1589"/>
    <m/>
    <n v="238"/>
    <n v="238"/>
    <n v="238"/>
    <n v="0"/>
    <x v="16"/>
    <s v="true"/>
    <s v="true"/>
    <x v="0"/>
  </r>
  <r>
    <n v="298"/>
    <d v="2024-10-18T00:00:00"/>
    <s v="10/2024"/>
    <x v="79"/>
    <x v="73"/>
    <x v="0"/>
    <x v="0"/>
    <x v="207"/>
    <n v="1"/>
    <n v="3189"/>
    <n v="3189"/>
    <n v="3189"/>
    <n v="3189"/>
    <m/>
    <n v="478"/>
    <n v="478"/>
    <n v="478"/>
    <n v="0"/>
    <x v="16"/>
    <s v="true"/>
    <s v="true"/>
    <x v="0"/>
  </r>
  <r>
    <n v="299"/>
    <d v="2024-10-19T00:00:00"/>
    <s v="10/2024"/>
    <x v="73"/>
    <x v="818"/>
    <x v="0"/>
    <x v="0"/>
    <x v="214"/>
    <n v="1"/>
    <n v="1881"/>
    <n v="1881"/>
    <n v="2024"/>
    <n v="2024"/>
    <m/>
    <n v="202"/>
    <n v="2226"/>
    <n v="2226"/>
    <n v="0"/>
    <x v="15"/>
    <s v="true"/>
    <s v="true"/>
    <x v="0"/>
  </r>
  <r>
    <n v="299"/>
    <d v="2024-10-19T00:00:00"/>
    <s v="10/2024"/>
    <x v="73"/>
    <x v="819"/>
    <x v="0"/>
    <x v="0"/>
    <x v="213"/>
    <n v="1"/>
    <n v="1211"/>
    <n v="1211"/>
    <n v="1298"/>
    <n v="1298"/>
    <m/>
    <n v="130"/>
    <n v="1428"/>
    <n v="1428"/>
    <n v="0"/>
    <x v="15"/>
    <s v="true"/>
    <s v="true"/>
    <x v="0"/>
  </r>
  <r>
    <n v="299"/>
    <d v="2024-10-19T00:00:00"/>
    <s v="10/2024"/>
    <x v="73"/>
    <x v="820"/>
    <x v="0"/>
    <x v="0"/>
    <x v="213"/>
    <n v="1"/>
    <n v="1508"/>
    <n v="1508"/>
    <n v="1615"/>
    <n v="1615"/>
    <m/>
    <n v="162"/>
    <n v="1777"/>
    <n v="1777"/>
    <n v="0"/>
    <x v="15"/>
    <s v="true"/>
    <s v="true"/>
    <x v="0"/>
  </r>
  <r>
    <n v="299"/>
    <d v="2024-10-19T00:00:00"/>
    <s v="10/2024"/>
    <x v="73"/>
    <x v="821"/>
    <x v="0"/>
    <x v="0"/>
    <x v="213"/>
    <n v="1"/>
    <n v="1344"/>
    <n v="1344"/>
    <n v="1446"/>
    <n v="1446"/>
    <m/>
    <n v="145"/>
    <n v="1591"/>
    <n v="1591"/>
    <n v="0"/>
    <x v="15"/>
    <s v="true"/>
    <s v="true"/>
    <x v="0"/>
  </r>
  <r>
    <n v="299"/>
    <d v="2024-10-19T00:00:00"/>
    <s v="10/2024"/>
    <x v="73"/>
    <x v="822"/>
    <x v="0"/>
    <x v="0"/>
    <x v="213"/>
    <n v="1"/>
    <n v="900"/>
    <n v="900"/>
    <n v="968"/>
    <n v="968"/>
    <m/>
    <n v="97"/>
    <n v="1065"/>
    <n v="1065"/>
    <n v="0"/>
    <x v="15"/>
    <s v="true"/>
    <s v="true"/>
    <x v="0"/>
  </r>
  <r>
    <n v="300"/>
    <d v="2024-10-19T00:00:00"/>
    <s v="10/2024"/>
    <x v="10"/>
    <x v="208"/>
    <x v="0"/>
    <x v="0"/>
    <x v="210"/>
    <n v="1"/>
    <n v="301"/>
    <n v="301"/>
    <n v="341"/>
    <n v="341"/>
    <m/>
    <n v="200"/>
    <n v="541"/>
    <n v="541"/>
    <n v="0"/>
    <x v="15"/>
    <s v="true"/>
    <s v="true"/>
    <x v="0"/>
  </r>
  <r>
    <n v="302"/>
    <d v="2024-10-19T00:00:00"/>
    <s v="10/2024"/>
    <x v="23"/>
    <x v="823"/>
    <x v="0"/>
    <x v="0"/>
    <x v="214"/>
    <n v="1"/>
    <n v="500"/>
    <n v="500"/>
    <n v="527"/>
    <n v="527"/>
    <m/>
    <n v="79"/>
    <n v="606"/>
    <n v="606"/>
    <n v="0"/>
    <x v="16"/>
    <s v="true"/>
    <s v="true"/>
    <x v="0"/>
  </r>
  <r>
    <n v="302"/>
    <d v="2024-10-19T00:00:00"/>
    <s v="10/2024"/>
    <x v="23"/>
    <x v="824"/>
    <x v="0"/>
    <x v="0"/>
    <x v="214"/>
    <n v="1"/>
    <n v="128"/>
    <n v="128"/>
    <n v="135"/>
    <n v="135"/>
    <m/>
    <n v="20"/>
    <n v="155"/>
    <n v="155"/>
    <n v="0"/>
    <x v="16"/>
    <s v="true"/>
    <s v="true"/>
    <x v="0"/>
  </r>
  <r>
    <n v="302"/>
    <d v="2024-10-19T00:00:00"/>
    <s v="10/2024"/>
    <x v="23"/>
    <x v="825"/>
    <x v="0"/>
    <x v="0"/>
    <x v="214"/>
    <n v="1"/>
    <n v="420"/>
    <n v="420"/>
    <n v="443"/>
    <n v="443"/>
    <m/>
    <n v="66"/>
    <n v="509"/>
    <n v="509"/>
    <n v="0"/>
    <x v="16"/>
    <s v="true"/>
    <s v="true"/>
    <x v="0"/>
  </r>
  <r>
    <n v="302"/>
    <d v="2024-10-19T00:00:00"/>
    <s v="10/2024"/>
    <x v="23"/>
    <x v="826"/>
    <x v="0"/>
    <x v="0"/>
    <x v="210"/>
    <n v="1"/>
    <n v="176"/>
    <n v="176"/>
    <n v="180"/>
    <n v="180"/>
    <m/>
    <n v="27"/>
    <n v="207"/>
    <n v="207"/>
    <n v="0"/>
    <x v="15"/>
    <s v="true"/>
    <s v="true"/>
    <x v="0"/>
  </r>
  <r>
    <n v="302"/>
    <d v="2024-10-19T00:00:00"/>
    <s v="10/2024"/>
    <x v="23"/>
    <x v="827"/>
    <x v="0"/>
    <x v="0"/>
    <x v="214"/>
    <n v="1"/>
    <n v="286"/>
    <n v="286"/>
    <n v="292"/>
    <n v="292"/>
    <m/>
    <n v="44"/>
    <n v="336"/>
    <n v="336"/>
    <n v="0"/>
    <x v="15"/>
    <s v="true"/>
    <s v="true"/>
    <x v="0"/>
  </r>
  <r>
    <n v="302"/>
    <d v="2024-10-19T00:00:00"/>
    <s v="10/2024"/>
    <x v="23"/>
    <x v="828"/>
    <x v="0"/>
    <x v="0"/>
    <x v="210"/>
    <n v="1"/>
    <n v="411"/>
    <n v="411"/>
    <n v="421"/>
    <n v="421"/>
    <m/>
    <n v="63"/>
    <n v="484"/>
    <n v="484"/>
    <n v="0"/>
    <x v="15"/>
    <s v="true"/>
    <s v="true"/>
    <x v="0"/>
  </r>
  <r>
    <n v="302"/>
    <d v="2024-10-19T00:00:00"/>
    <s v="10/2024"/>
    <x v="23"/>
    <x v="829"/>
    <x v="0"/>
    <x v="0"/>
    <x v="215"/>
    <n v="1"/>
    <n v="617"/>
    <n v="617"/>
    <n v="664"/>
    <n v="664"/>
    <m/>
    <n v="100"/>
    <n v="764"/>
    <n v="764"/>
    <n v="0"/>
    <x v="15"/>
    <s v="true"/>
    <s v="true"/>
    <x v="0"/>
  </r>
  <r>
    <n v="302"/>
    <d v="2024-10-19T00:00:00"/>
    <s v="10/2024"/>
    <x v="23"/>
    <x v="830"/>
    <x v="0"/>
    <x v="0"/>
    <x v="210"/>
    <n v="1"/>
    <n v="227"/>
    <n v="227"/>
    <n v="232"/>
    <n v="232"/>
    <m/>
    <n v="35"/>
    <n v="267"/>
    <n v="267"/>
    <n v="0"/>
    <x v="15"/>
    <s v="true"/>
    <s v="true"/>
    <x v="0"/>
  </r>
  <r>
    <n v="302"/>
    <d v="2024-10-19T00:00:00"/>
    <s v="10/2024"/>
    <x v="23"/>
    <x v="831"/>
    <x v="0"/>
    <x v="0"/>
    <x v="210"/>
    <n v="1"/>
    <n v="1131"/>
    <n v="1131"/>
    <n v="1215"/>
    <n v="1215"/>
    <m/>
    <n v="182"/>
    <n v="1397"/>
    <n v="1397"/>
    <n v="0"/>
    <x v="15"/>
    <s v="true"/>
    <s v="true"/>
    <x v="0"/>
  </r>
  <r>
    <n v="302"/>
    <d v="2024-10-19T00:00:00"/>
    <s v="10/2024"/>
    <x v="23"/>
    <x v="121"/>
    <x v="0"/>
    <x v="0"/>
    <x v="215"/>
    <n v="1"/>
    <n v="267"/>
    <n v="267"/>
    <n v="272"/>
    <n v="272"/>
    <m/>
    <n v="41"/>
    <n v="313"/>
    <n v="313"/>
    <n v="0"/>
    <x v="15"/>
    <s v="true"/>
    <s v="true"/>
    <x v="0"/>
  </r>
  <r>
    <n v="304"/>
    <d v="2024-10-20T00:00:00"/>
    <s v="10/2024"/>
    <x v="50"/>
    <x v="832"/>
    <x v="0"/>
    <x v="0"/>
    <x v="211"/>
    <n v="1"/>
    <n v="1127"/>
    <n v="1127"/>
    <n v="1187"/>
    <n v="1187"/>
    <m/>
    <n v="178"/>
    <n v="1365"/>
    <n v="1365"/>
    <n v="0"/>
    <x v="16"/>
    <s v="true"/>
    <s v="true"/>
    <x v="0"/>
  </r>
  <r>
    <n v="304"/>
    <d v="2024-10-20T00:00:00"/>
    <s v="10/2024"/>
    <x v="50"/>
    <x v="833"/>
    <x v="0"/>
    <x v="0"/>
    <x v="214"/>
    <n v="1"/>
    <n v="270"/>
    <n v="270"/>
    <n v="285"/>
    <n v="285"/>
    <m/>
    <n v="43"/>
    <n v="328"/>
    <n v="328"/>
    <n v="0"/>
    <x v="16"/>
    <s v="true"/>
    <s v="true"/>
    <x v="0"/>
  </r>
  <r>
    <n v="304"/>
    <d v="2024-10-20T00:00:00"/>
    <s v="10/2024"/>
    <x v="50"/>
    <x v="834"/>
    <x v="0"/>
    <x v="0"/>
    <x v="216"/>
    <n v="1"/>
    <n v="284"/>
    <n v="284"/>
    <n v="299"/>
    <n v="299"/>
    <m/>
    <n v="45"/>
    <n v="344"/>
    <n v="344"/>
    <n v="0"/>
    <x v="16"/>
    <s v="true"/>
    <s v="true"/>
    <x v="0"/>
  </r>
  <r>
    <n v="304"/>
    <d v="2024-10-20T00:00:00"/>
    <s v="10/2024"/>
    <x v="50"/>
    <x v="81"/>
    <x v="0"/>
    <x v="0"/>
    <x v="214"/>
    <n v="1"/>
    <n v="494"/>
    <n v="494"/>
    <n v="520"/>
    <n v="520"/>
    <m/>
    <n v="78"/>
    <n v="598"/>
    <n v="598"/>
    <n v="0"/>
    <x v="16"/>
    <s v="true"/>
    <s v="true"/>
    <x v="0"/>
  </r>
  <r>
    <n v="304"/>
    <d v="2024-10-20T00:00:00"/>
    <s v="10/2024"/>
    <x v="50"/>
    <x v="788"/>
    <x v="0"/>
    <x v="0"/>
    <x v="214"/>
    <n v="1"/>
    <n v="578"/>
    <n v="578"/>
    <n v="609"/>
    <n v="609"/>
    <m/>
    <n v="91"/>
    <n v="700"/>
    <n v="700"/>
    <n v="0"/>
    <x v="16"/>
    <s v="true"/>
    <s v="true"/>
    <x v="0"/>
  </r>
  <r>
    <n v="304"/>
    <d v="2024-10-20T00:00:00"/>
    <s v="10/2024"/>
    <x v="50"/>
    <x v="835"/>
    <x v="0"/>
    <x v="0"/>
    <x v="216"/>
    <n v="1"/>
    <n v="392"/>
    <n v="392"/>
    <n v="413"/>
    <n v="413"/>
    <m/>
    <n v="62"/>
    <n v="475"/>
    <n v="475"/>
    <n v="0"/>
    <x v="16"/>
    <s v="true"/>
    <s v="true"/>
    <x v="0"/>
  </r>
  <r>
    <n v="299"/>
    <d v="2024-10-19T00:00:00"/>
    <s v="10/2024"/>
    <x v="73"/>
    <x v="836"/>
    <x v="0"/>
    <x v="0"/>
    <x v="217"/>
    <n v="1"/>
    <n v="1083"/>
    <n v="1083"/>
    <n v="1158"/>
    <n v="1158"/>
    <m/>
    <n v="116"/>
    <n v="1274"/>
    <n v="1274"/>
    <n v="0"/>
    <x v="15"/>
    <s v="true"/>
    <s v="true"/>
    <x v="0"/>
  </r>
  <r>
    <n v="299"/>
    <d v="2024-10-19T00:00:00"/>
    <s v="10/2024"/>
    <x v="73"/>
    <x v="837"/>
    <x v="0"/>
    <x v="0"/>
    <x v="203"/>
    <n v="1"/>
    <n v="1650"/>
    <n v="1650"/>
    <n v="1759"/>
    <n v="1759"/>
    <m/>
    <n v="176"/>
    <n v="1935"/>
    <n v="1935"/>
    <n v="0"/>
    <x v="15"/>
    <s v="true"/>
    <s v="true"/>
    <x v="0"/>
  </r>
  <r>
    <n v="303"/>
    <d v="2024-10-20T00:00:00"/>
    <s v="10/2024"/>
    <x v="10"/>
    <x v="838"/>
    <x v="0"/>
    <x v="0"/>
    <x v="211"/>
    <n v="1"/>
    <n v="3754"/>
    <n v="3754"/>
    <n v="3952"/>
    <n v="3952"/>
    <m/>
    <n v="395"/>
    <n v="4347"/>
    <n v="4347"/>
    <n v="0"/>
    <x v="16"/>
    <s v="true"/>
    <s v="true"/>
    <x v="0"/>
  </r>
  <r>
    <n v="303"/>
    <d v="2024-10-20T00:00:00"/>
    <s v="10/2024"/>
    <x v="10"/>
    <x v="839"/>
    <x v="0"/>
    <x v="0"/>
    <x v="218"/>
    <n v="1"/>
    <n v="2453"/>
    <n v="2453"/>
    <n v="2583"/>
    <n v="2583"/>
    <m/>
    <n v="258"/>
    <n v="2841"/>
    <n v="2841"/>
    <n v="0"/>
    <x v="16"/>
    <s v="true"/>
    <s v="true"/>
    <x v="0"/>
  </r>
  <r>
    <n v="303"/>
    <d v="2024-10-20T00:00:00"/>
    <s v="10/2024"/>
    <x v="10"/>
    <x v="840"/>
    <x v="0"/>
    <x v="0"/>
    <x v="218"/>
    <n v="1"/>
    <n v="573"/>
    <n v="573"/>
    <n v="604"/>
    <n v="604"/>
    <m/>
    <n v="60"/>
    <n v="664"/>
    <n v="664"/>
    <n v="0"/>
    <x v="16"/>
    <s v="true"/>
    <s v="true"/>
    <x v="0"/>
  </r>
  <r>
    <n v="303"/>
    <d v="2024-10-20T00:00:00"/>
    <s v="10/2024"/>
    <x v="10"/>
    <x v="841"/>
    <x v="0"/>
    <x v="0"/>
    <x v="219"/>
    <n v="1"/>
    <n v="1702"/>
    <n v="1702"/>
    <n v="1792"/>
    <n v="1792"/>
    <m/>
    <n v="179"/>
    <n v="1971"/>
    <n v="1971"/>
    <n v="0"/>
    <x v="16"/>
    <s v="true"/>
    <s v="true"/>
    <x v="0"/>
  </r>
  <r>
    <n v="303"/>
    <d v="2024-10-20T00:00:00"/>
    <s v="10/2024"/>
    <x v="10"/>
    <x v="842"/>
    <x v="0"/>
    <x v="0"/>
    <x v="219"/>
    <n v="1"/>
    <n v="760"/>
    <n v="760"/>
    <n v="800"/>
    <n v="800"/>
    <m/>
    <n v="80"/>
    <n v="880"/>
    <n v="880"/>
    <n v="0"/>
    <x v="16"/>
    <s v="true"/>
    <s v="true"/>
    <x v="0"/>
  </r>
  <r>
    <n v="303"/>
    <d v="2024-10-20T00:00:00"/>
    <s v="10/2024"/>
    <x v="10"/>
    <x v="843"/>
    <x v="0"/>
    <x v="0"/>
    <x v="211"/>
    <n v="1"/>
    <n v="390"/>
    <n v="390"/>
    <n v="411"/>
    <n v="411"/>
    <m/>
    <n v="41"/>
    <n v="452"/>
    <n v="452"/>
    <n v="0"/>
    <x v="16"/>
    <s v="true"/>
    <s v="true"/>
    <x v="0"/>
  </r>
  <r>
    <n v="305"/>
    <d v="2024-10-21T00:00:00"/>
    <s v="10/2024"/>
    <x v="1"/>
    <x v="165"/>
    <x v="0"/>
    <x v="0"/>
    <x v="216"/>
    <n v="1"/>
    <n v="681"/>
    <n v="681"/>
    <n v="717"/>
    <n v="717"/>
    <m/>
    <n v="72"/>
    <n v="789"/>
    <n v="789"/>
    <n v="0"/>
    <x v="16"/>
    <s v="true"/>
    <s v="true"/>
    <x v="0"/>
  </r>
  <r>
    <n v="305"/>
    <d v="2024-10-21T00:00:00"/>
    <s v="10/2024"/>
    <x v="1"/>
    <x v="844"/>
    <x v="0"/>
    <x v="0"/>
    <x v="216"/>
    <n v="1"/>
    <n v="311"/>
    <n v="311"/>
    <n v="328"/>
    <n v="328"/>
    <m/>
    <n v="33"/>
    <n v="361"/>
    <n v="361"/>
    <n v="0"/>
    <x v="16"/>
    <s v="true"/>
    <s v="true"/>
    <x v="0"/>
  </r>
  <r>
    <n v="305"/>
    <d v="2024-10-21T00:00:00"/>
    <s v="10/2024"/>
    <x v="1"/>
    <x v="845"/>
    <x v="0"/>
    <x v="0"/>
    <x v="216"/>
    <n v="1"/>
    <n v="311"/>
    <n v="311"/>
    <n v="328"/>
    <n v="328"/>
    <m/>
    <n v="33"/>
    <n v="361"/>
    <n v="361"/>
    <n v="0"/>
    <x v="16"/>
    <s v="true"/>
    <s v="true"/>
    <x v="0"/>
  </r>
  <r>
    <n v="305"/>
    <d v="2024-10-21T00:00:00"/>
    <s v="10/2024"/>
    <x v="1"/>
    <x v="846"/>
    <x v="0"/>
    <x v="0"/>
    <x v="216"/>
    <n v="1"/>
    <n v="311"/>
    <n v="311"/>
    <n v="328"/>
    <n v="328"/>
    <m/>
    <n v="33"/>
    <n v="361"/>
    <n v="361"/>
    <n v="0"/>
    <x v="16"/>
    <s v="true"/>
    <s v="true"/>
    <x v="0"/>
  </r>
  <r>
    <n v="306"/>
    <d v="2024-10-23T00:00:00"/>
    <s v="10/2024"/>
    <x v="61"/>
    <x v="847"/>
    <x v="0"/>
    <x v="0"/>
    <x v="211"/>
    <n v="1"/>
    <n v="249"/>
    <n v="249"/>
    <n v="263"/>
    <n v="263"/>
    <m/>
    <n v="39"/>
    <n v="302"/>
    <n v="302"/>
    <n v="0"/>
    <x v="16"/>
    <s v="true"/>
    <s v="true"/>
    <x v="0"/>
  </r>
  <r>
    <n v="306"/>
    <d v="2024-10-23T00:00:00"/>
    <s v="10/2024"/>
    <x v="61"/>
    <x v="600"/>
    <x v="0"/>
    <x v="0"/>
    <x v="220"/>
    <n v="1"/>
    <n v="584"/>
    <n v="584"/>
    <n v="615"/>
    <n v="615"/>
    <m/>
    <n v="92"/>
    <n v="707"/>
    <n v="707"/>
    <n v="0"/>
    <x v="16"/>
    <s v="true"/>
    <s v="true"/>
    <x v="0"/>
  </r>
  <r>
    <n v="306"/>
    <d v="2024-10-23T00:00:00"/>
    <s v="10/2024"/>
    <x v="61"/>
    <x v="600"/>
    <x v="0"/>
    <x v="0"/>
    <x v="219"/>
    <n v="1"/>
    <n v="538"/>
    <n v="538"/>
    <n v="567"/>
    <n v="567"/>
    <m/>
    <n v="85"/>
    <n v="652"/>
    <n v="652"/>
    <n v="0"/>
    <x v="16"/>
    <s v="true"/>
    <s v="true"/>
    <x v="0"/>
  </r>
  <r>
    <n v="306"/>
    <d v="2024-10-23T00:00:00"/>
    <s v="10/2024"/>
    <x v="61"/>
    <x v="848"/>
    <x v="0"/>
    <x v="0"/>
    <x v="217"/>
    <n v="1"/>
    <n v="542"/>
    <n v="542"/>
    <n v="571"/>
    <n v="571"/>
    <m/>
    <n v="86"/>
    <n v="657"/>
    <n v="657"/>
    <n v="0"/>
    <x v="16"/>
    <s v="true"/>
    <s v="true"/>
    <x v="0"/>
  </r>
  <r>
    <n v="306"/>
    <d v="2024-10-23T00:00:00"/>
    <s v="10/2024"/>
    <x v="61"/>
    <x v="849"/>
    <x v="0"/>
    <x v="0"/>
    <x v="211"/>
    <n v="1"/>
    <n v="442"/>
    <n v="442"/>
    <n v="466"/>
    <n v="466"/>
    <m/>
    <n v="70"/>
    <n v="536"/>
    <n v="536"/>
    <n v="0"/>
    <x v="16"/>
    <s v="true"/>
    <s v="true"/>
    <x v="0"/>
  </r>
  <r>
    <n v="307"/>
    <d v="2024-10-23T00:00:00"/>
    <s v="10/2024"/>
    <x v="47"/>
    <x v="850"/>
    <x v="0"/>
    <x v="0"/>
    <x v="221"/>
    <n v="1"/>
    <n v="149"/>
    <n v="149"/>
    <n v="157"/>
    <n v="157"/>
    <m/>
    <n v="24"/>
    <n v="181"/>
    <n v="181"/>
    <n v="0"/>
    <x v="16"/>
    <s v="true"/>
    <s v="true"/>
    <x v="0"/>
  </r>
  <r>
    <n v="307"/>
    <d v="2024-10-23T00:00:00"/>
    <s v="10/2024"/>
    <x v="47"/>
    <x v="851"/>
    <x v="0"/>
    <x v="0"/>
    <x v="219"/>
    <n v="1"/>
    <n v="167"/>
    <n v="167"/>
    <n v="176"/>
    <n v="176"/>
    <m/>
    <n v="26"/>
    <n v="202"/>
    <n v="202"/>
    <n v="0"/>
    <x v="16"/>
    <s v="true"/>
    <s v="true"/>
    <x v="0"/>
  </r>
  <r>
    <n v="307"/>
    <d v="2024-10-23T00:00:00"/>
    <s v="10/2024"/>
    <x v="47"/>
    <x v="852"/>
    <x v="0"/>
    <x v="0"/>
    <x v="217"/>
    <n v="1"/>
    <n v="350"/>
    <n v="350"/>
    <n v="369"/>
    <n v="369"/>
    <m/>
    <n v="55"/>
    <n v="424"/>
    <n v="424"/>
    <n v="0"/>
    <x v="16"/>
    <s v="true"/>
    <s v="true"/>
    <x v="0"/>
  </r>
  <r>
    <n v="307"/>
    <d v="2024-10-23T00:00:00"/>
    <s v="10/2024"/>
    <x v="47"/>
    <x v="853"/>
    <x v="0"/>
    <x v="0"/>
    <x v="215"/>
    <n v="1"/>
    <n v="133"/>
    <n v="133"/>
    <n v="140"/>
    <n v="140"/>
    <m/>
    <n v="21"/>
    <n v="161"/>
    <n v="161"/>
    <n v="0"/>
    <x v="16"/>
    <s v="true"/>
    <s v="true"/>
    <x v="0"/>
  </r>
  <r>
    <n v="307"/>
    <d v="2024-10-23T00:00:00"/>
    <s v="10/2024"/>
    <x v="47"/>
    <x v="854"/>
    <x v="0"/>
    <x v="0"/>
    <x v="219"/>
    <n v="1"/>
    <n v="174"/>
    <n v="174"/>
    <n v="184"/>
    <n v="184"/>
    <m/>
    <n v="28"/>
    <n v="212"/>
    <n v="212"/>
    <n v="0"/>
    <x v="16"/>
    <s v="true"/>
    <s v="true"/>
    <x v="0"/>
  </r>
  <r>
    <n v="307"/>
    <d v="2024-10-23T00:00:00"/>
    <s v="10/2024"/>
    <x v="47"/>
    <x v="214"/>
    <x v="0"/>
    <x v="0"/>
    <x v="218"/>
    <n v="0"/>
    <n v="153"/>
    <n v="0"/>
    <n v="162"/>
    <n v="0"/>
    <m/>
    <n v="0"/>
    <n v="0"/>
    <n v="0"/>
    <n v="0"/>
    <x v="16"/>
    <s v="true"/>
    <s v="true"/>
    <x v="0"/>
  </r>
  <r>
    <n v="307"/>
    <d v="2024-10-23T00:00:00"/>
    <s v="10/2024"/>
    <x v="47"/>
    <x v="855"/>
    <x v="0"/>
    <x v="0"/>
    <x v="211"/>
    <n v="1"/>
    <n v="242"/>
    <n v="242"/>
    <n v="255"/>
    <n v="255"/>
    <m/>
    <n v="38"/>
    <n v="293"/>
    <n v="293"/>
    <n v="0"/>
    <x v="16"/>
    <s v="true"/>
    <s v="true"/>
    <x v="0"/>
  </r>
  <r>
    <n v="307"/>
    <d v="2024-10-23T00:00:00"/>
    <s v="10/2024"/>
    <x v="47"/>
    <x v="856"/>
    <x v="0"/>
    <x v="0"/>
    <x v="219"/>
    <n v="1"/>
    <n v="703"/>
    <n v="703"/>
    <n v="740"/>
    <n v="740"/>
    <m/>
    <n v="111"/>
    <n v="851"/>
    <n v="851"/>
    <n v="0"/>
    <x v="16"/>
    <s v="true"/>
    <s v="true"/>
    <x v="0"/>
  </r>
  <r>
    <n v="307"/>
    <d v="2024-10-23T00:00:00"/>
    <s v="10/2024"/>
    <x v="47"/>
    <x v="857"/>
    <x v="0"/>
    <x v="0"/>
    <x v="218"/>
    <n v="1"/>
    <n v="257"/>
    <n v="257"/>
    <n v="271"/>
    <n v="271"/>
    <m/>
    <n v="41"/>
    <n v="312"/>
    <n v="312"/>
    <n v="0"/>
    <x v="16"/>
    <s v="true"/>
    <s v="true"/>
    <x v="0"/>
  </r>
  <r>
    <n v="307"/>
    <d v="2024-10-23T00:00:00"/>
    <s v="10/2024"/>
    <x v="47"/>
    <x v="858"/>
    <x v="0"/>
    <x v="0"/>
    <x v="218"/>
    <n v="1"/>
    <n v="258"/>
    <n v="258"/>
    <n v="272"/>
    <n v="272"/>
    <m/>
    <n v="41"/>
    <n v="313"/>
    <n v="313"/>
    <n v="0"/>
    <x v="16"/>
    <s v="true"/>
    <s v="true"/>
    <x v="0"/>
  </r>
  <r>
    <n v="307"/>
    <d v="2024-10-23T00:00:00"/>
    <s v="10/2024"/>
    <x v="47"/>
    <x v="859"/>
    <x v="0"/>
    <x v="0"/>
    <x v="211"/>
    <n v="1"/>
    <n v="525"/>
    <n v="525"/>
    <n v="553"/>
    <n v="553"/>
    <m/>
    <n v="83"/>
    <n v="636"/>
    <n v="636"/>
    <n v="0"/>
    <x v="16"/>
    <s v="true"/>
    <s v="true"/>
    <x v="0"/>
  </r>
  <r>
    <n v="307"/>
    <d v="2024-10-23T00:00:00"/>
    <s v="10/2024"/>
    <x v="47"/>
    <x v="539"/>
    <x v="0"/>
    <x v="0"/>
    <x v="211"/>
    <n v="1"/>
    <n v="386"/>
    <n v="386"/>
    <n v="407"/>
    <n v="407"/>
    <m/>
    <n v="61"/>
    <n v="468"/>
    <n v="468"/>
    <n v="0"/>
    <x v="16"/>
    <s v="true"/>
    <s v="true"/>
    <x v="0"/>
  </r>
  <r>
    <n v="303"/>
    <d v="2024-10-20T00:00:00"/>
    <s v="10/2024"/>
    <x v="10"/>
    <x v="860"/>
    <x v="0"/>
    <x v="0"/>
    <x v="211"/>
    <n v="1"/>
    <n v="1005"/>
    <n v="1005"/>
    <n v="1058"/>
    <n v="1058"/>
    <m/>
    <n v="106"/>
    <n v="1164"/>
    <n v="1164"/>
    <n v="0"/>
    <x v="16"/>
    <s v="true"/>
    <s v="true"/>
    <x v="0"/>
  </r>
  <r>
    <n v="301"/>
    <d v="2024-10-19T00:00:00"/>
    <s v="10/2024"/>
    <x v="82"/>
    <x v="712"/>
    <x v="0"/>
    <x v="0"/>
    <x v="217"/>
    <n v="2"/>
    <n v="482"/>
    <n v="964"/>
    <n v="508"/>
    <n v="1016"/>
    <m/>
    <n v="200"/>
    <n v="1216"/>
    <n v="1216"/>
    <n v="0"/>
    <x v="16"/>
    <s v="true"/>
    <s v="true"/>
    <x v="0"/>
  </r>
  <r>
    <n v="308"/>
    <d v="2024-10-25T00:00:00"/>
    <s v="10/2024"/>
    <x v="3"/>
    <x v="73"/>
    <x v="0"/>
    <x v="0"/>
    <x v="211"/>
    <n v="1"/>
    <n v="1"/>
    <n v="1"/>
    <n v="1"/>
    <n v="1"/>
    <m/>
    <n v="200"/>
    <n v="200"/>
    <n v="200"/>
    <n v="0"/>
    <x v="15"/>
    <s v="true"/>
    <s v="true"/>
    <x v="0"/>
  </r>
  <r>
    <n v="309"/>
    <d v="2024-10-25T00:00:00"/>
    <s v="10/2024"/>
    <x v="79"/>
    <x v="73"/>
    <x v="0"/>
    <x v="0"/>
    <x v="211"/>
    <n v="1"/>
    <n v="3712"/>
    <n v="3712"/>
    <n v="3712"/>
    <n v="3712"/>
    <m/>
    <n v="557"/>
    <n v="557"/>
    <n v="557"/>
    <n v="0"/>
    <x v="16"/>
    <s v="true"/>
    <s v="true"/>
    <x v="0"/>
  </r>
  <r>
    <n v="310"/>
    <d v="2024-10-27T00:00:00"/>
    <s v="10/2024"/>
    <x v="1"/>
    <x v="861"/>
    <x v="0"/>
    <x v="0"/>
    <x v="215"/>
    <n v="1"/>
    <n v="778"/>
    <n v="778"/>
    <n v="819"/>
    <n v="819"/>
    <m/>
    <n v="82"/>
    <n v="901"/>
    <n v="901"/>
    <n v="0"/>
    <x v="16"/>
    <s v="true"/>
    <s v="true"/>
    <x v="0"/>
  </r>
  <r>
    <n v="310"/>
    <d v="2024-10-27T00:00:00"/>
    <s v="10/2024"/>
    <x v="1"/>
    <x v="707"/>
    <x v="0"/>
    <x v="0"/>
    <x v="222"/>
    <n v="1"/>
    <n v="614"/>
    <n v="614"/>
    <n v="647"/>
    <n v="647"/>
    <m/>
    <n v="65"/>
    <n v="712"/>
    <n v="712"/>
    <n v="0"/>
    <x v="16"/>
    <s v="true"/>
    <s v="true"/>
    <x v="0"/>
  </r>
  <r>
    <n v="310"/>
    <d v="2024-10-27T00:00:00"/>
    <s v="10/2024"/>
    <x v="1"/>
    <x v="862"/>
    <x v="0"/>
    <x v="0"/>
    <x v="223"/>
    <n v="1"/>
    <n v="171"/>
    <n v="171"/>
    <n v="180"/>
    <n v="180"/>
    <m/>
    <n v="18"/>
    <n v="198"/>
    <n v="198"/>
    <n v="0"/>
    <x v="16"/>
    <s v="true"/>
    <s v="true"/>
    <x v="0"/>
  </r>
  <r>
    <n v="310"/>
    <d v="2024-10-27T00:00:00"/>
    <s v="10/2024"/>
    <x v="1"/>
    <x v="110"/>
    <x v="0"/>
    <x v="0"/>
    <x v="224"/>
    <n v="1"/>
    <n v="455"/>
    <n v="455"/>
    <n v="479"/>
    <n v="479"/>
    <m/>
    <n v="48"/>
    <n v="527"/>
    <n v="527"/>
    <n v="0"/>
    <x v="16"/>
    <s v="true"/>
    <s v="true"/>
    <x v="0"/>
  </r>
  <r>
    <n v="310"/>
    <d v="2024-10-27T00:00:00"/>
    <s v="10/2024"/>
    <x v="1"/>
    <x v="863"/>
    <x v="0"/>
    <x v="0"/>
    <x v="224"/>
    <n v="1"/>
    <n v="552"/>
    <n v="552"/>
    <n v="582"/>
    <n v="582"/>
    <m/>
    <n v="58"/>
    <n v="640"/>
    <n v="640"/>
    <n v="0"/>
    <x v="16"/>
    <s v="true"/>
    <s v="true"/>
    <x v="0"/>
  </r>
  <r>
    <n v="310"/>
    <d v="2024-10-27T00:00:00"/>
    <s v="10/2024"/>
    <x v="1"/>
    <x v="110"/>
    <x v="0"/>
    <x v="0"/>
    <x v="224"/>
    <n v="1"/>
    <n v="342"/>
    <n v="342"/>
    <n v="360"/>
    <n v="360"/>
    <m/>
    <n v="36"/>
    <n v="396"/>
    <n v="396"/>
    <n v="0"/>
    <x v="16"/>
    <s v="true"/>
    <s v="true"/>
    <x v="0"/>
  </r>
  <r>
    <n v="311"/>
    <d v="2024-10-28T00:00:00"/>
    <s v="10/2024"/>
    <x v="15"/>
    <x v="864"/>
    <x v="0"/>
    <x v="98"/>
    <x v="223"/>
    <n v="1"/>
    <n v="3000"/>
    <n v="3000"/>
    <n v="3000"/>
    <n v="3000"/>
    <n v="400"/>
    <n v="450"/>
    <n v="3850"/>
    <n v="3850"/>
    <n v="0"/>
    <x v="20"/>
    <s v="true"/>
    <s v="true"/>
    <x v="0"/>
  </r>
  <r>
    <n v="312"/>
    <d v="2024-10-28T00:00:00"/>
    <s v="10/2024"/>
    <x v="34"/>
    <x v="865"/>
    <x v="0"/>
    <x v="0"/>
    <x v="220"/>
    <n v="1"/>
    <n v="816"/>
    <n v="816"/>
    <n v="886"/>
    <n v="886"/>
    <m/>
    <n v="133"/>
    <n v="1019"/>
    <n v="1019"/>
    <n v="0"/>
    <x v="15"/>
    <s v="true"/>
    <s v="true"/>
    <x v="0"/>
  </r>
  <r>
    <n v="312"/>
    <d v="2024-10-28T00:00:00"/>
    <s v="10/2024"/>
    <x v="34"/>
    <x v="866"/>
    <x v="0"/>
    <x v="0"/>
    <x v="225"/>
    <n v="1"/>
    <n v="423"/>
    <n v="423"/>
    <n v="436"/>
    <n v="436"/>
    <m/>
    <n v="65"/>
    <n v="501"/>
    <n v="501"/>
    <n v="0"/>
    <x v="15"/>
    <s v="true"/>
    <s v="true"/>
    <x v="0"/>
  </r>
  <r>
    <n v="312"/>
    <d v="2024-10-28T00:00:00"/>
    <s v="10/2024"/>
    <x v="34"/>
    <x v="867"/>
    <x v="0"/>
    <x v="0"/>
    <x v="215"/>
    <n v="1"/>
    <n v="351"/>
    <n v="351"/>
    <n v="362"/>
    <n v="362"/>
    <m/>
    <n v="54"/>
    <n v="416"/>
    <n v="416"/>
    <n v="0"/>
    <x v="15"/>
    <s v="true"/>
    <s v="true"/>
    <x v="0"/>
  </r>
  <r>
    <n v="312"/>
    <d v="2024-10-28T00:00:00"/>
    <s v="10/2024"/>
    <x v="34"/>
    <x v="868"/>
    <x v="0"/>
    <x v="0"/>
    <x v="221"/>
    <n v="1"/>
    <n v="327"/>
    <n v="327"/>
    <n v="337"/>
    <n v="337"/>
    <m/>
    <n v="51"/>
    <n v="388"/>
    <n v="388"/>
    <n v="0"/>
    <x v="15"/>
    <s v="true"/>
    <s v="true"/>
    <x v="0"/>
  </r>
  <r>
    <n v="312"/>
    <d v="2024-10-28T00:00:00"/>
    <s v="10/2024"/>
    <x v="34"/>
    <x v="869"/>
    <x v="0"/>
    <x v="0"/>
    <x v="215"/>
    <n v="1"/>
    <n v="1726"/>
    <n v="1726"/>
    <n v="1871"/>
    <n v="1871"/>
    <m/>
    <n v="281"/>
    <n v="2152"/>
    <n v="2152"/>
    <n v="0"/>
    <x v="15"/>
    <s v="true"/>
    <s v="true"/>
    <x v="0"/>
  </r>
  <r>
    <n v="312"/>
    <d v="2024-10-28T00:00:00"/>
    <s v="10/2024"/>
    <x v="34"/>
    <x v="870"/>
    <x v="0"/>
    <x v="0"/>
    <x v="224"/>
    <n v="1"/>
    <n v="540"/>
    <n v="540"/>
    <n v="578"/>
    <n v="578"/>
    <m/>
    <n v="87"/>
    <n v="665"/>
    <n v="665"/>
    <n v="0"/>
    <x v="15"/>
    <s v="true"/>
    <s v="true"/>
    <x v="0"/>
  </r>
  <r>
    <n v="312"/>
    <d v="2024-10-28T00:00:00"/>
    <s v="10/2024"/>
    <x v="34"/>
    <x v="871"/>
    <x v="0"/>
    <x v="0"/>
    <x v="225"/>
    <n v="1"/>
    <n v="247"/>
    <n v="247"/>
    <n v="258"/>
    <n v="258"/>
    <m/>
    <n v="39"/>
    <n v="297"/>
    <n v="297"/>
    <n v="0"/>
    <x v="15"/>
    <s v="true"/>
    <s v="true"/>
    <x v="0"/>
  </r>
  <r>
    <n v="313"/>
    <d v="2024-10-28T00:00:00"/>
    <s v="10/2024"/>
    <x v="9"/>
    <x v="872"/>
    <x v="0"/>
    <x v="0"/>
    <x v="224"/>
    <n v="1"/>
    <n v="503"/>
    <n v="503"/>
    <n v="535"/>
    <n v="535"/>
    <m/>
    <n v="80"/>
    <n v="615"/>
    <n v="615"/>
    <n v="0"/>
    <x v="15"/>
    <s v="true"/>
    <s v="true"/>
    <x v="0"/>
  </r>
  <r>
    <n v="313"/>
    <d v="2024-10-28T00:00:00"/>
    <s v="10/2024"/>
    <x v="9"/>
    <x v="873"/>
    <x v="0"/>
    <x v="0"/>
    <x v="220"/>
    <n v="1"/>
    <n v="1674"/>
    <n v="1674"/>
    <n v="1794"/>
    <n v="1794"/>
    <m/>
    <n v="269"/>
    <n v="2063"/>
    <n v="2063"/>
    <n v="0"/>
    <x v="15"/>
    <s v="true"/>
    <s v="true"/>
    <x v="0"/>
  </r>
  <r>
    <n v="313"/>
    <d v="2024-10-28T00:00:00"/>
    <s v="10/2024"/>
    <x v="9"/>
    <x v="874"/>
    <x v="0"/>
    <x v="0"/>
    <x v="222"/>
    <n v="1"/>
    <n v="2255"/>
    <n v="2255"/>
    <n v="2421"/>
    <n v="2421"/>
    <m/>
    <n v="363"/>
    <n v="2784"/>
    <n v="2784"/>
    <n v="0"/>
    <x v="15"/>
    <s v="true"/>
    <s v="true"/>
    <x v="0"/>
  </r>
  <r>
    <n v="314"/>
    <d v="2024-10-29T00:00:00"/>
    <s v="10/2024"/>
    <x v="61"/>
    <x v="875"/>
    <x v="0"/>
    <x v="0"/>
    <x v="222"/>
    <n v="1"/>
    <n v="135"/>
    <n v="135"/>
    <n v="143"/>
    <n v="143"/>
    <m/>
    <n v="21"/>
    <n v="164"/>
    <n v="164"/>
    <n v="0"/>
    <x v="16"/>
    <s v="true"/>
    <s v="true"/>
    <x v="0"/>
  </r>
  <r>
    <n v="314"/>
    <d v="2024-10-29T00:00:00"/>
    <s v="10/2024"/>
    <x v="61"/>
    <x v="875"/>
    <x v="0"/>
    <x v="0"/>
    <x v="222"/>
    <n v="1"/>
    <n v="135"/>
    <n v="135"/>
    <n v="143"/>
    <n v="143"/>
    <m/>
    <n v="21"/>
    <n v="164"/>
    <n v="164"/>
    <n v="0"/>
    <x v="16"/>
    <s v="true"/>
    <s v="true"/>
    <x v="0"/>
  </r>
  <r>
    <n v="314"/>
    <d v="2024-10-29T00:00:00"/>
    <s v="10/2024"/>
    <x v="61"/>
    <x v="876"/>
    <x v="0"/>
    <x v="0"/>
    <x v="221"/>
    <n v="1"/>
    <n v="262"/>
    <n v="262"/>
    <n v="276"/>
    <n v="276"/>
    <m/>
    <n v="41"/>
    <n v="317"/>
    <n v="317"/>
    <n v="0"/>
    <x v="16"/>
    <s v="true"/>
    <s v="true"/>
    <x v="0"/>
  </r>
  <r>
    <n v="314"/>
    <d v="2024-10-29T00:00:00"/>
    <s v="10/2024"/>
    <x v="61"/>
    <x v="683"/>
    <x v="0"/>
    <x v="0"/>
    <x v="224"/>
    <n v="1"/>
    <n v="1167"/>
    <n v="1167"/>
    <n v="1229"/>
    <n v="1229"/>
    <m/>
    <n v="184"/>
    <n v="1413"/>
    <n v="1413"/>
    <n v="0"/>
    <x v="16"/>
    <s v="true"/>
    <s v="true"/>
    <x v="0"/>
  </r>
  <r>
    <n v="315"/>
    <d v="2024-10-29T00:00:00"/>
    <s v="10/2024"/>
    <x v="76"/>
    <x v="877"/>
    <x v="0"/>
    <x v="0"/>
    <x v="224"/>
    <n v="1"/>
    <n v="1125"/>
    <n v="1125"/>
    <n v="1185"/>
    <n v="1185"/>
    <m/>
    <n v="178"/>
    <n v="1363"/>
    <n v="1363"/>
    <n v="0"/>
    <x v="16"/>
    <s v="true"/>
    <s v="true"/>
    <x v="0"/>
  </r>
  <r>
    <n v="315"/>
    <d v="2024-10-29T00:00:00"/>
    <s v="10/2024"/>
    <x v="76"/>
    <x v="712"/>
    <x v="0"/>
    <x v="0"/>
    <x v="224"/>
    <n v="1"/>
    <n v="1044"/>
    <n v="1044"/>
    <n v="1099"/>
    <n v="1099"/>
    <m/>
    <n v="165"/>
    <n v="1264"/>
    <n v="1264"/>
    <n v="0"/>
    <x v="16"/>
    <s v="true"/>
    <s v="true"/>
    <x v="0"/>
  </r>
  <r>
    <n v="315"/>
    <d v="2024-10-29T00:00:00"/>
    <s v="10/2024"/>
    <x v="76"/>
    <x v="878"/>
    <x v="0"/>
    <x v="0"/>
    <x v="224"/>
    <n v="1"/>
    <n v="766"/>
    <n v="766"/>
    <n v="807"/>
    <n v="807"/>
    <m/>
    <n v="121"/>
    <n v="928"/>
    <n v="928"/>
    <n v="0"/>
    <x v="16"/>
    <s v="true"/>
    <s v="true"/>
    <x v="0"/>
  </r>
  <r>
    <n v="316"/>
    <d v="2024-10-30T00:00:00"/>
    <s v="10/2024"/>
    <x v="35"/>
    <x v="879"/>
    <x v="0"/>
    <x v="0"/>
    <x v="220"/>
    <n v="4"/>
    <n v="532"/>
    <n v="2128"/>
    <n v="579"/>
    <n v="2316"/>
    <m/>
    <n v="347"/>
    <n v="2663"/>
    <n v="2663"/>
    <n v="0"/>
    <x v="15"/>
    <s v="true"/>
    <s v="true"/>
    <x v="0"/>
  </r>
  <r>
    <n v="317"/>
    <d v="2024-10-31T00:00:00"/>
    <s v="10/2024"/>
    <x v="61"/>
    <x v="880"/>
    <x v="0"/>
    <x v="0"/>
    <x v="225"/>
    <n v="1"/>
    <n v="332"/>
    <n v="332"/>
    <n v="350"/>
    <n v="350"/>
    <m/>
    <n v="53"/>
    <n v="403"/>
    <n v="403"/>
    <n v="0"/>
    <x v="16"/>
    <s v="true"/>
    <s v="true"/>
    <x v="0"/>
  </r>
  <r>
    <n v="317"/>
    <d v="2024-10-31T00:00:00"/>
    <s v="10/2024"/>
    <x v="61"/>
    <x v="881"/>
    <x v="0"/>
    <x v="0"/>
    <x v="221"/>
    <n v="1"/>
    <n v="759"/>
    <n v="759"/>
    <n v="799"/>
    <n v="799"/>
    <m/>
    <n v="120"/>
    <n v="919"/>
    <n v="919"/>
    <n v="0"/>
    <x v="16"/>
    <s v="true"/>
    <s v="true"/>
    <x v="0"/>
  </r>
  <r>
    <n v="317"/>
    <d v="2024-10-31T00:00:00"/>
    <s v="10/2024"/>
    <x v="61"/>
    <x v="882"/>
    <x v="0"/>
    <x v="0"/>
    <x v="226"/>
    <n v="1"/>
    <n v="367"/>
    <n v="367"/>
    <n v="387"/>
    <n v="387"/>
    <m/>
    <n v="58"/>
    <n v="445"/>
    <n v="445"/>
    <n v="0"/>
    <x v="16"/>
    <s v="true"/>
    <s v="true"/>
    <x v="0"/>
  </r>
  <r>
    <n v="317"/>
    <d v="2024-10-31T00:00:00"/>
    <s v="10/2024"/>
    <x v="61"/>
    <x v="883"/>
    <x v="0"/>
    <x v="0"/>
    <x v="221"/>
    <n v="1"/>
    <n v="356"/>
    <n v="356"/>
    <n v="375"/>
    <n v="375"/>
    <m/>
    <n v="56"/>
    <n v="431"/>
    <n v="431"/>
    <n v="0"/>
    <x v="16"/>
    <s v="true"/>
    <s v="true"/>
    <x v="0"/>
  </r>
  <r>
    <n v="317"/>
    <d v="2024-10-31T00:00:00"/>
    <s v="10/2024"/>
    <x v="61"/>
    <x v="280"/>
    <x v="0"/>
    <x v="0"/>
    <x v="221"/>
    <n v="2"/>
    <n v="414"/>
    <n v="828"/>
    <n v="436"/>
    <n v="872"/>
    <m/>
    <n v="131"/>
    <n v="1003"/>
    <n v="1003"/>
    <n v="0"/>
    <x v="16"/>
    <s v="true"/>
    <s v="true"/>
    <x v="0"/>
  </r>
  <r>
    <n v="316"/>
    <d v="2024-10-30T00:00:00"/>
    <s v="10/2024"/>
    <x v="35"/>
    <x v="884"/>
    <x v="0"/>
    <x v="99"/>
    <x v="227"/>
    <n v="1"/>
    <n v="500"/>
    <n v="500"/>
    <n v="500"/>
    <n v="500"/>
    <m/>
    <n v="75"/>
    <n v="575"/>
    <n v="575"/>
    <n v="0"/>
    <x v="21"/>
    <s v="true"/>
    <s v="true"/>
    <x v="0"/>
  </r>
  <r>
    <n v="316"/>
    <d v="2024-10-30T00:00:00"/>
    <s v="10/2024"/>
    <x v="35"/>
    <x v="885"/>
    <x v="0"/>
    <x v="100"/>
    <x v="220"/>
    <n v="1"/>
    <n v="800"/>
    <n v="800"/>
    <n v="800"/>
    <n v="800"/>
    <n v="650"/>
    <n v="120"/>
    <n v="1570"/>
    <n v="1570"/>
    <n v="0"/>
    <x v="20"/>
    <s v="true"/>
    <s v="true"/>
    <x v="0"/>
  </r>
  <r>
    <n v="318"/>
    <d v="2024-10-31T00:00:00"/>
    <s v="10/2024"/>
    <x v="23"/>
    <x v="886"/>
    <x v="0"/>
    <x v="0"/>
    <x v="223"/>
    <n v="1"/>
    <n v="91"/>
    <n v="91"/>
    <n v="95"/>
    <n v="95"/>
    <m/>
    <n v="14"/>
    <n v="109"/>
    <n v="109"/>
    <n v="0"/>
    <x v="15"/>
    <s v="true"/>
    <s v="true"/>
    <x v="0"/>
  </r>
  <r>
    <n v="318"/>
    <d v="2024-10-31T00:00:00"/>
    <s v="10/2024"/>
    <x v="23"/>
    <x v="12"/>
    <x v="0"/>
    <x v="0"/>
    <x v="220"/>
    <n v="1"/>
    <n v="124"/>
    <n v="124"/>
    <n v="129"/>
    <n v="129"/>
    <m/>
    <n v="19"/>
    <n v="148"/>
    <n v="148"/>
    <n v="0"/>
    <x v="15"/>
    <s v="true"/>
    <s v="true"/>
    <x v="0"/>
  </r>
  <r>
    <n v="318"/>
    <d v="2024-10-31T00:00:00"/>
    <s v="10/2024"/>
    <x v="23"/>
    <x v="407"/>
    <x v="0"/>
    <x v="0"/>
    <x v="221"/>
    <n v="1"/>
    <n v="128"/>
    <n v="128"/>
    <n v="135"/>
    <n v="135"/>
    <m/>
    <n v="20"/>
    <n v="155"/>
    <n v="155"/>
    <n v="0"/>
    <x v="16"/>
    <s v="true"/>
    <s v="true"/>
    <x v="0"/>
  </r>
  <r>
    <n v="318"/>
    <d v="2024-10-31T00:00:00"/>
    <s v="10/2024"/>
    <x v="23"/>
    <x v="887"/>
    <x v="0"/>
    <x v="0"/>
    <x v="222"/>
    <n v="1"/>
    <n v="130"/>
    <n v="130"/>
    <n v="137"/>
    <n v="137"/>
    <m/>
    <n v="21"/>
    <n v="158"/>
    <n v="158"/>
    <n v="0"/>
    <x v="16"/>
    <s v="true"/>
    <s v="true"/>
    <x v="0"/>
  </r>
  <r>
    <n v="318"/>
    <d v="2024-10-31T00:00:00"/>
    <s v="10/2024"/>
    <x v="23"/>
    <x v="888"/>
    <x v="0"/>
    <x v="0"/>
    <x v="221"/>
    <n v="1"/>
    <n v="489"/>
    <n v="489"/>
    <n v="515"/>
    <n v="515"/>
    <m/>
    <n v="77"/>
    <n v="592"/>
    <n v="592"/>
    <n v="0"/>
    <x v="16"/>
    <s v="true"/>
    <s v="true"/>
    <x v="0"/>
  </r>
  <r>
    <n v="318"/>
    <d v="2024-10-31T00:00:00"/>
    <s v="10/2024"/>
    <x v="23"/>
    <x v="888"/>
    <x v="0"/>
    <x v="0"/>
    <x v="221"/>
    <n v="1"/>
    <n v="459"/>
    <n v="459"/>
    <n v="484"/>
    <n v="484"/>
    <m/>
    <n v="73"/>
    <n v="557"/>
    <n v="557"/>
    <n v="0"/>
    <x v="16"/>
    <s v="true"/>
    <s v="true"/>
    <x v="0"/>
  </r>
  <r>
    <n v="318"/>
    <d v="2024-10-31T00:00:00"/>
    <s v="10/2024"/>
    <x v="23"/>
    <x v="889"/>
    <x v="0"/>
    <x v="0"/>
    <x v="220"/>
    <n v="1"/>
    <n v="144"/>
    <n v="144"/>
    <n v="152"/>
    <n v="152"/>
    <m/>
    <n v="23"/>
    <n v="175"/>
    <n v="175"/>
    <n v="0"/>
    <x v="16"/>
    <s v="true"/>
    <s v="true"/>
    <x v="0"/>
  </r>
  <r>
    <n v="319"/>
    <d v="2024-10-31T00:00:00"/>
    <s v="10/2024"/>
    <x v="83"/>
    <x v="890"/>
    <x v="0"/>
    <x v="0"/>
    <x v="221"/>
    <n v="3"/>
    <n v="182"/>
    <n v="546"/>
    <n v="192"/>
    <n v="576"/>
    <m/>
    <n v="86"/>
    <n v="662"/>
    <n v="662"/>
    <n v="0"/>
    <x v="16"/>
    <s v="true"/>
    <s v="true"/>
    <x v="0"/>
  </r>
  <r>
    <n v="319"/>
    <d v="2024-10-31T00:00:00"/>
    <s v="10/2024"/>
    <x v="83"/>
    <x v="891"/>
    <x v="0"/>
    <x v="0"/>
    <x v="221"/>
    <n v="1"/>
    <n v="497"/>
    <n v="497"/>
    <n v="524"/>
    <n v="524"/>
    <m/>
    <n v="79"/>
    <n v="603"/>
    <n v="603"/>
    <n v="0"/>
    <x v="16"/>
    <s v="true"/>
    <s v="true"/>
    <x v="0"/>
  </r>
  <r>
    <n v="319"/>
    <d v="2024-10-31T00:00:00"/>
    <s v="10/2024"/>
    <x v="83"/>
    <x v="478"/>
    <x v="0"/>
    <x v="0"/>
    <x v="221"/>
    <n v="1"/>
    <n v="411"/>
    <n v="411"/>
    <n v="433"/>
    <n v="433"/>
    <m/>
    <n v="65"/>
    <n v="498"/>
    <n v="498"/>
    <n v="0"/>
    <x v="16"/>
    <s v="true"/>
    <s v="true"/>
    <x v="0"/>
  </r>
  <r>
    <n v="319"/>
    <d v="2024-10-31T00:00:00"/>
    <s v="10/2024"/>
    <x v="83"/>
    <x v="892"/>
    <x v="0"/>
    <x v="0"/>
    <x v="221"/>
    <n v="1"/>
    <n v="294"/>
    <n v="294"/>
    <n v="310"/>
    <n v="310"/>
    <m/>
    <n v="47"/>
    <n v="357"/>
    <n v="357"/>
    <n v="0"/>
    <x v="16"/>
    <s v="true"/>
    <s v="true"/>
    <x v="0"/>
  </r>
  <r>
    <n v="317"/>
    <d v="2024-10-31T00:00:00"/>
    <s v="10/2024"/>
    <x v="61"/>
    <x v="893"/>
    <x v="0"/>
    <x v="0"/>
    <x v="223"/>
    <n v="1"/>
    <n v="802"/>
    <n v="802"/>
    <n v="872"/>
    <n v="872"/>
    <m/>
    <n v="131"/>
    <n v="1003"/>
    <n v="1003"/>
    <n v="0"/>
    <x v="16"/>
    <s v="true"/>
    <s v="true"/>
    <x v="0"/>
  </r>
  <r>
    <n v="320"/>
    <d v="2024-11-01T00:00:00"/>
    <s v="11/2024"/>
    <x v="26"/>
    <x v="257"/>
    <x v="0"/>
    <x v="101"/>
    <x v="223"/>
    <n v="1"/>
    <n v="1400"/>
    <n v="1400"/>
    <n v="14000"/>
    <n v="14000"/>
    <m/>
    <n v="1400"/>
    <n v="1400"/>
    <n v="1400"/>
    <n v="0"/>
    <x v="20"/>
    <s v="true"/>
    <s v="true"/>
    <x v="0"/>
  </r>
  <r>
    <n v="320"/>
    <d v="2024-11-01T00:00:00"/>
    <s v="11/2024"/>
    <x v="26"/>
    <x v="257"/>
    <x v="0"/>
    <x v="102"/>
    <x v="223"/>
    <n v="1"/>
    <n v="2315"/>
    <n v="2315"/>
    <n v="2315"/>
    <n v="2315"/>
    <m/>
    <n v="232"/>
    <n v="232"/>
    <n v="232"/>
    <n v="0"/>
    <x v="20"/>
    <s v="true"/>
    <s v="true"/>
    <x v="0"/>
  </r>
  <r>
    <n v="316"/>
    <d v="2024-10-30T00:00:00"/>
    <s v="10/2024"/>
    <x v="35"/>
    <x v="894"/>
    <x v="0"/>
    <x v="0"/>
    <x v="228"/>
    <n v="1"/>
    <n v="420"/>
    <n v="420"/>
    <n v="433"/>
    <n v="433"/>
    <m/>
    <n v="65"/>
    <n v="498"/>
    <n v="498"/>
    <n v="0"/>
    <x v="15"/>
    <s v="true"/>
    <s v="true"/>
    <x v="0"/>
  </r>
  <r>
    <n v="321"/>
    <d v="2024-11-01T00:00:00"/>
    <s v="11/2024"/>
    <x v="66"/>
    <x v="73"/>
    <x v="0"/>
    <x v="0"/>
    <x v="223"/>
    <n v="1"/>
    <n v="3366"/>
    <n v="3366"/>
    <n v="3366"/>
    <n v="3366"/>
    <m/>
    <n v="505"/>
    <n v="505"/>
    <n v="505"/>
    <n v="0"/>
    <x v="16"/>
    <s v="true"/>
    <s v="true"/>
    <x v="0"/>
  </r>
  <r>
    <n v="322"/>
    <d v="2024-11-01T00:00:00"/>
    <s v="11/2024"/>
    <x v="79"/>
    <x v="73"/>
    <x v="0"/>
    <x v="0"/>
    <x v="223"/>
    <n v="1"/>
    <n v="4219"/>
    <n v="4219"/>
    <n v="4219"/>
    <n v="4219"/>
    <m/>
    <n v="633"/>
    <n v="633"/>
    <n v="633"/>
    <n v="0"/>
    <x v="16"/>
    <s v="true"/>
    <s v="true"/>
    <x v="0"/>
  </r>
  <r>
    <n v="323"/>
    <d v="2024-11-02T00:00:00"/>
    <s v="11/2024"/>
    <x v="73"/>
    <x v="895"/>
    <x v="0"/>
    <x v="0"/>
    <x v="226"/>
    <n v="1"/>
    <n v="1168"/>
    <n v="1168"/>
    <n v="1258"/>
    <n v="1258"/>
    <m/>
    <n v="126"/>
    <n v="1384"/>
    <n v="1384"/>
    <n v="0"/>
    <x v="15"/>
    <s v="true"/>
    <s v="true"/>
    <x v="0"/>
  </r>
  <r>
    <n v="323"/>
    <d v="2024-11-02T00:00:00"/>
    <s v="11/2024"/>
    <x v="73"/>
    <x v="896"/>
    <x v="0"/>
    <x v="0"/>
    <x v="225"/>
    <n v="1"/>
    <n v="888"/>
    <n v="888"/>
    <n v="965"/>
    <n v="965"/>
    <m/>
    <n v="97"/>
    <n v="1062"/>
    <n v="1062"/>
    <n v="0"/>
    <x v="15"/>
    <s v="true"/>
    <s v="true"/>
    <x v="0"/>
  </r>
  <r>
    <n v="323"/>
    <d v="2024-11-02T00:00:00"/>
    <s v="11/2024"/>
    <x v="73"/>
    <x v="897"/>
    <x v="0"/>
    <x v="0"/>
    <x v="225"/>
    <n v="1"/>
    <n v="767"/>
    <n v="767"/>
    <n v="834"/>
    <n v="834"/>
    <m/>
    <n v="83"/>
    <n v="917"/>
    <n v="917"/>
    <n v="0"/>
    <x v="15"/>
    <s v="true"/>
    <s v="true"/>
    <x v="0"/>
  </r>
  <r>
    <n v="323"/>
    <d v="2024-11-02T00:00:00"/>
    <s v="11/2024"/>
    <x v="73"/>
    <x v="898"/>
    <x v="0"/>
    <x v="0"/>
    <x v="225"/>
    <n v="1"/>
    <n v="898"/>
    <n v="898"/>
    <n v="976"/>
    <n v="976"/>
    <m/>
    <n v="98"/>
    <n v="1074"/>
    <n v="1074"/>
    <n v="0"/>
    <x v="15"/>
    <s v="true"/>
    <s v="true"/>
    <x v="0"/>
  </r>
  <r>
    <n v="323"/>
    <d v="2024-11-02T00:00:00"/>
    <s v="11/2024"/>
    <x v="73"/>
    <x v="899"/>
    <x v="0"/>
    <x v="0"/>
    <x v="225"/>
    <n v="1"/>
    <n v="443"/>
    <n v="443"/>
    <n v="476"/>
    <n v="476"/>
    <m/>
    <n v="48"/>
    <n v="524"/>
    <n v="524"/>
    <n v="0"/>
    <x v="15"/>
    <s v="true"/>
    <s v="true"/>
    <x v="0"/>
  </r>
  <r>
    <n v="323"/>
    <d v="2024-11-02T00:00:00"/>
    <s v="11/2024"/>
    <x v="73"/>
    <x v="900"/>
    <x v="0"/>
    <x v="0"/>
    <x v="225"/>
    <n v="1"/>
    <n v="416"/>
    <n v="416"/>
    <n v="433"/>
    <n v="433"/>
    <m/>
    <n v="43"/>
    <n v="476"/>
    <n v="476"/>
    <n v="0"/>
    <x v="15"/>
    <s v="true"/>
    <s v="true"/>
    <x v="0"/>
  </r>
  <r>
    <n v="323"/>
    <d v="2024-11-02T00:00:00"/>
    <s v="11/2024"/>
    <x v="73"/>
    <x v="901"/>
    <x v="0"/>
    <x v="0"/>
    <x v="222"/>
    <n v="1"/>
    <n v="377"/>
    <n v="377"/>
    <n v="406"/>
    <n v="406"/>
    <m/>
    <n v="41"/>
    <n v="447"/>
    <n v="447"/>
    <n v="0"/>
    <x v="15"/>
    <s v="true"/>
    <s v="true"/>
    <x v="0"/>
  </r>
  <r>
    <n v="323"/>
    <d v="2024-11-02T00:00:00"/>
    <s v="11/2024"/>
    <x v="73"/>
    <x v="902"/>
    <x v="0"/>
    <x v="0"/>
    <x v="229"/>
    <n v="1"/>
    <n v="859"/>
    <n v="859"/>
    <n v="921"/>
    <n v="921"/>
    <m/>
    <n v="92"/>
    <n v="1013"/>
    <n v="1013"/>
    <n v="0"/>
    <x v="15"/>
    <s v="true"/>
    <s v="true"/>
    <x v="0"/>
  </r>
  <r>
    <n v="316"/>
    <d v="2024-10-30T00:00:00"/>
    <s v="10/2024"/>
    <x v="35"/>
    <x v="903"/>
    <x v="0"/>
    <x v="0"/>
    <x v="228"/>
    <n v="1"/>
    <n v="357"/>
    <n v="357"/>
    <n v="368"/>
    <n v="368"/>
    <m/>
    <n v="55"/>
    <n v="423"/>
    <n v="423"/>
    <n v="0"/>
    <x v="15"/>
    <s v="true"/>
    <s v="true"/>
    <x v="0"/>
  </r>
  <r>
    <n v="325"/>
    <d v="2024-11-04T00:00:00"/>
    <s v="11/2024"/>
    <x v="84"/>
    <x v="904"/>
    <x v="0"/>
    <x v="0"/>
    <x v="230"/>
    <n v="1"/>
    <n v="959"/>
    <n v="959"/>
    <n v="1046"/>
    <n v="1046"/>
    <m/>
    <n v="200"/>
    <n v="1246"/>
    <n v="1246"/>
    <n v="0"/>
    <x v="15"/>
    <s v="true"/>
    <s v="true"/>
    <x v="0"/>
  </r>
  <r>
    <n v="324"/>
    <d v="2024-11-03T00:00:00"/>
    <s v="11/2024"/>
    <x v="85"/>
    <x v="905"/>
    <x v="0"/>
    <x v="0"/>
    <x v="230"/>
    <n v="9"/>
    <n v="203"/>
    <n v="1827"/>
    <n v="214"/>
    <n v="1926"/>
    <m/>
    <n v="193"/>
    <n v="2119"/>
    <n v="2119"/>
    <n v="0"/>
    <x v="16"/>
    <s v="true"/>
    <s v="true"/>
    <x v="0"/>
  </r>
  <r>
    <n v="324"/>
    <d v="2024-11-03T00:00:00"/>
    <s v="11/2024"/>
    <x v="85"/>
    <x v="906"/>
    <x v="0"/>
    <x v="0"/>
    <x v="226"/>
    <n v="8"/>
    <n v="261"/>
    <n v="2088"/>
    <n v="275"/>
    <n v="2200"/>
    <m/>
    <n v="220"/>
    <n v="2420"/>
    <n v="2420"/>
    <n v="0"/>
    <x v="16"/>
    <s v="true"/>
    <s v="true"/>
    <x v="0"/>
  </r>
  <r>
    <n v="324"/>
    <d v="2024-11-03T00:00:00"/>
    <s v="11/2024"/>
    <x v="85"/>
    <x v="907"/>
    <x v="0"/>
    <x v="0"/>
    <x v="227"/>
    <n v="3"/>
    <n v="339"/>
    <n v="1017"/>
    <n v="357"/>
    <n v="1071"/>
    <m/>
    <n v="107"/>
    <n v="1178"/>
    <n v="1178"/>
    <n v="0"/>
    <x v="16"/>
    <s v="true"/>
    <s v="true"/>
    <x v="0"/>
  </r>
  <r>
    <n v="324"/>
    <d v="2024-11-03T00:00:00"/>
    <s v="11/2024"/>
    <x v="85"/>
    <x v="908"/>
    <x v="0"/>
    <x v="0"/>
    <x v="227"/>
    <n v="1"/>
    <n v="145"/>
    <n v="145"/>
    <n v="153"/>
    <n v="153"/>
    <m/>
    <n v="15"/>
    <n v="168"/>
    <n v="168"/>
    <n v="0"/>
    <x v="16"/>
    <s v="true"/>
    <s v="true"/>
    <x v="0"/>
  </r>
  <r>
    <n v="324"/>
    <d v="2024-11-03T00:00:00"/>
    <s v="11/2024"/>
    <x v="85"/>
    <x v="909"/>
    <x v="0"/>
    <x v="0"/>
    <x v="225"/>
    <n v="1"/>
    <n v="147"/>
    <n v="147"/>
    <n v="155"/>
    <n v="155"/>
    <m/>
    <n v="16"/>
    <n v="171"/>
    <n v="171"/>
    <n v="0"/>
    <x v="16"/>
    <s v="true"/>
    <s v="true"/>
    <x v="0"/>
  </r>
  <r>
    <n v="324"/>
    <d v="2024-11-03T00:00:00"/>
    <s v="11/2024"/>
    <x v="85"/>
    <x v="910"/>
    <x v="0"/>
    <x v="0"/>
    <x v="226"/>
    <n v="1"/>
    <n v="69"/>
    <n v="69"/>
    <n v="73"/>
    <n v="73"/>
    <m/>
    <n v="7"/>
    <n v="80"/>
    <n v="80"/>
    <n v="0"/>
    <x v="16"/>
    <s v="true"/>
    <s v="true"/>
    <x v="0"/>
  </r>
  <r>
    <n v="324"/>
    <d v="2024-11-03T00:00:00"/>
    <s v="11/2024"/>
    <x v="85"/>
    <x v="911"/>
    <x v="0"/>
    <x v="0"/>
    <x v="225"/>
    <n v="1"/>
    <n v="267"/>
    <n v="267"/>
    <n v="282"/>
    <n v="282"/>
    <m/>
    <n v="28"/>
    <n v="310"/>
    <n v="310"/>
    <n v="0"/>
    <x v="16"/>
    <s v="true"/>
    <s v="true"/>
    <x v="0"/>
  </r>
  <r>
    <n v="324"/>
    <d v="2024-11-03T00:00:00"/>
    <s v="11/2024"/>
    <x v="85"/>
    <x v="912"/>
    <x v="0"/>
    <x v="0"/>
    <x v="225"/>
    <n v="1"/>
    <n v="267"/>
    <n v="267"/>
    <n v="282"/>
    <n v="282"/>
    <m/>
    <n v="28"/>
    <n v="310"/>
    <n v="310"/>
    <n v="0"/>
    <x v="16"/>
    <s v="true"/>
    <s v="true"/>
    <x v="0"/>
  </r>
  <r>
    <n v="324"/>
    <d v="2024-11-03T00:00:00"/>
    <s v="11/2024"/>
    <x v="85"/>
    <x v="913"/>
    <x v="0"/>
    <x v="0"/>
    <x v="226"/>
    <n v="1"/>
    <n v="222"/>
    <n v="222"/>
    <n v="234"/>
    <n v="234"/>
    <m/>
    <n v="23"/>
    <n v="257"/>
    <n v="257"/>
    <n v="0"/>
    <x v="16"/>
    <s v="true"/>
    <s v="true"/>
    <x v="0"/>
  </r>
  <r>
    <n v="323"/>
    <d v="2024-11-02T00:00:00"/>
    <s v="11/2024"/>
    <x v="73"/>
    <x v="914"/>
    <x v="0"/>
    <x v="103"/>
    <x v="230"/>
    <n v="1"/>
    <n v="1894"/>
    <n v="1894"/>
    <n v="2038"/>
    <n v="2038"/>
    <m/>
    <n v="204"/>
    <n v="2242"/>
    <n v="2242"/>
    <n v="0"/>
    <x v="20"/>
    <s v="true"/>
    <s v="true"/>
    <x v="0"/>
  </r>
  <r>
    <n v="323"/>
    <d v="2024-11-02T00:00:00"/>
    <s v="11/2024"/>
    <x v="73"/>
    <x v="597"/>
    <x v="0"/>
    <x v="0"/>
    <x v="227"/>
    <n v="1"/>
    <n v="383"/>
    <n v="383"/>
    <n v="418"/>
    <n v="418"/>
    <m/>
    <n v="42"/>
    <n v="460"/>
    <n v="460"/>
    <n v="0"/>
    <x v="15"/>
    <s v="true"/>
    <s v="true"/>
    <x v="0"/>
  </r>
  <r>
    <n v="323"/>
    <d v="2024-11-02T00:00:00"/>
    <s v="11/2024"/>
    <x v="73"/>
    <x v="915"/>
    <x v="0"/>
    <x v="0"/>
    <x v="228"/>
    <n v="1"/>
    <n v="1943"/>
    <n v="1943"/>
    <n v="2111"/>
    <n v="2111"/>
    <m/>
    <n v="211"/>
    <n v="2322"/>
    <n v="2322"/>
    <n v="0"/>
    <x v="15"/>
    <s v="true"/>
    <s v="true"/>
    <x v="0"/>
  </r>
  <r>
    <n v="323"/>
    <d v="2024-11-02T00:00:00"/>
    <s v="11/2024"/>
    <x v="73"/>
    <x v="916"/>
    <x v="0"/>
    <x v="0"/>
    <x v="228"/>
    <n v="1"/>
    <n v="385"/>
    <n v="385"/>
    <n v="416"/>
    <n v="416"/>
    <m/>
    <n v="42"/>
    <n v="458"/>
    <n v="458"/>
    <n v="0"/>
    <x v="15"/>
    <s v="true"/>
    <s v="true"/>
    <x v="0"/>
  </r>
  <r>
    <n v="323"/>
    <d v="2024-11-02T00:00:00"/>
    <s v="11/2024"/>
    <x v="73"/>
    <x v="917"/>
    <x v="0"/>
    <x v="0"/>
    <x v="230"/>
    <n v="1"/>
    <n v="595"/>
    <n v="595"/>
    <n v="638"/>
    <n v="638"/>
    <m/>
    <n v="64"/>
    <n v="702"/>
    <n v="702"/>
    <n v="0"/>
    <x v="15"/>
    <s v="true"/>
    <s v="true"/>
    <x v="0"/>
  </r>
  <r>
    <n v="323"/>
    <d v="2024-11-02T00:00:00"/>
    <s v="11/2024"/>
    <x v="73"/>
    <x v="918"/>
    <x v="0"/>
    <x v="0"/>
    <x v="227"/>
    <n v="1"/>
    <n v="532"/>
    <n v="532"/>
    <n v="571"/>
    <n v="571"/>
    <m/>
    <n v="57"/>
    <n v="628"/>
    <n v="628"/>
    <n v="0"/>
    <x v="15"/>
    <s v="true"/>
    <s v="true"/>
    <x v="0"/>
  </r>
  <r>
    <n v="323"/>
    <d v="2024-11-02T00:00:00"/>
    <s v="11/2024"/>
    <x v="73"/>
    <x v="919"/>
    <x v="0"/>
    <x v="0"/>
    <x v="227"/>
    <n v="1"/>
    <n v="924"/>
    <n v="924"/>
    <n v="991"/>
    <n v="991"/>
    <m/>
    <n v="99"/>
    <n v="1090"/>
    <n v="1090"/>
    <n v="0"/>
    <x v="15"/>
    <s v="true"/>
    <s v="true"/>
    <x v="0"/>
  </r>
  <r>
    <n v="327"/>
    <d v="2024-11-08T00:00:00"/>
    <s v="11/2024"/>
    <x v="86"/>
    <x v="257"/>
    <x v="0"/>
    <x v="104"/>
    <x v="227"/>
    <n v="1"/>
    <n v="25600"/>
    <n v="25600"/>
    <n v="25600"/>
    <n v="25600"/>
    <m/>
    <n v="2560"/>
    <n v="2560"/>
    <n v="2560"/>
    <n v="0"/>
    <x v="20"/>
    <s v="true"/>
    <s v="true"/>
    <x v="0"/>
  </r>
  <r>
    <n v="328"/>
    <d v="2024-11-08T00:00:00"/>
    <s v="11/2024"/>
    <x v="39"/>
    <x v="257"/>
    <x v="0"/>
    <x v="105"/>
    <x v="227"/>
    <n v="1"/>
    <n v="15000"/>
    <n v="15000"/>
    <n v="15000"/>
    <n v="15000"/>
    <m/>
    <n v="1500"/>
    <n v="1500"/>
    <n v="1500"/>
    <n v="0"/>
    <x v="20"/>
    <s v="true"/>
    <s v="true"/>
    <x v="0"/>
  </r>
  <r>
    <n v="320"/>
    <d v="2024-11-01T00:00:00"/>
    <s v="11/2024"/>
    <x v="26"/>
    <x v="257"/>
    <x v="0"/>
    <x v="106"/>
    <x v="231"/>
    <n v="1"/>
    <n v="35000"/>
    <n v="35000"/>
    <n v="35000"/>
    <n v="35000"/>
    <m/>
    <n v="3500"/>
    <n v="3500"/>
    <n v="3500"/>
    <n v="0"/>
    <x v="20"/>
    <s v="true"/>
    <s v="true"/>
    <x v="0"/>
  </r>
  <r>
    <n v="320"/>
    <d v="2024-11-01T00:00:00"/>
    <s v="11/2024"/>
    <x v="26"/>
    <x v="257"/>
    <x v="0"/>
    <x v="107"/>
    <x v="227"/>
    <n v="1"/>
    <n v="8770"/>
    <n v="8770"/>
    <n v="8770"/>
    <n v="8770"/>
    <m/>
    <n v="877"/>
    <n v="877"/>
    <n v="877"/>
    <n v="0"/>
    <x v="20"/>
    <s v="true"/>
    <s v="true"/>
    <x v="0"/>
  </r>
  <r>
    <n v="320"/>
    <d v="2024-11-01T00:00:00"/>
    <s v="11/2024"/>
    <x v="26"/>
    <x v="257"/>
    <x v="0"/>
    <x v="108"/>
    <x v="227"/>
    <n v="1"/>
    <n v="9000"/>
    <n v="9000"/>
    <n v="9000"/>
    <n v="9000"/>
    <m/>
    <n v="900"/>
    <n v="900"/>
    <n v="900"/>
    <n v="0"/>
    <x v="20"/>
    <s v="true"/>
    <s v="true"/>
    <x v="0"/>
  </r>
  <r>
    <n v="333"/>
    <d v="2024-11-08T00:00:00"/>
    <s v="11/2024"/>
    <x v="1"/>
    <x v="920"/>
    <x v="0"/>
    <x v="0"/>
    <x v="227"/>
    <n v="1"/>
    <n v="3698"/>
    <n v="3698"/>
    <n v="3893"/>
    <n v="3893"/>
    <m/>
    <n v="389"/>
    <n v="4282"/>
    <n v="4282"/>
    <n v="0"/>
    <x v="16"/>
    <s v="true"/>
    <s v="true"/>
    <x v="0"/>
  </r>
  <r>
    <n v="333"/>
    <d v="2024-11-08T00:00:00"/>
    <s v="11/2024"/>
    <x v="1"/>
    <x v="921"/>
    <x v="0"/>
    <x v="0"/>
    <x v="227"/>
    <n v="1"/>
    <n v="1594"/>
    <n v="1594"/>
    <n v="1678"/>
    <n v="1678"/>
    <m/>
    <n v="168"/>
    <n v="1846"/>
    <n v="1846"/>
    <n v="0"/>
    <x v="16"/>
    <s v="true"/>
    <s v="true"/>
    <x v="0"/>
  </r>
  <r>
    <n v="329"/>
    <d v="2024-11-08T00:00:00"/>
    <s v="11/2024"/>
    <x v="64"/>
    <x v="73"/>
    <x v="0"/>
    <x v="0"/>
    <x v="227"/>
    <n v="1"/>
    <n v="5288"/>
    <n v="5288"/>
    <n v="5288"/>
    <n v="5288"/>
    <m/>
    <n v="793"/>
    <n v="793"/>
    <n v="793"/>
    <n v="0"/>
    <x v="15"/>
    <s v="true"/>
    <s v="true"/>
    <x v="0"/>
  </r>
  <r>
    <n v="330"/>
    <d v="2024-11-08T00:00:00"/>
    <s v="11/2024"/>
    <x v="79"/>
    <x v="73"/>
    <x v="0"/>
    <x v="0"/>
    <x v="227"/>
    <n v="1"/>
    <n v="1638"/>
    <n v="1638"/>
    <n v="1638"/>
    <n v="1638"/>
    <m/>
    <n v="246"/>
    <n v="246"/>
    <n v="246"/>
    <n v="0"/>
    <x v="15"/>
    <s v="true"/>
    <s v="true"/>
    <x v="0"/>
  </r>
  <r>
    <n v="331"/>
    <d v="2024-11-08T00:00:00"/>
    <s v="11/2024"/>
    <x v="23"/>
    <x v="922"/>
    <x v="0"/>
    <x v="0"/>
    <x v="232"/>
    <n v="1"/>
    <n v="304"/>
    <n v="304"/>
    <n v="310"/>
    <n v="310"/>
    <m/>
    <n v="47"/>
    <n v="357"/>
    <n v="357"/>
    <n v="0"/>
    <x v="15"/>
    <s v="true"/>
    <s v="true"/>
    <x v="0"/>
  </r>
  <r>
    <n v="331"/>
    <d v="2024-11-08T00:00:00"/>
    <s v="11/2024"/>
    <x v="23"/>
    <x v="923"/>
    <x v="0"/>
    <x v="0"/>
    <x v="232"/>
    <n v="1"/>
    <n v="377"/>
    <n v="377"/>
    <n v="385"/>
    <n v="385"/>
    <m/>
    <n v="58"/>
    <n v="443"/>
    <n v="443"/>
    <n v="0"/>
    <x v="15"/>
    <s v="true"/>
    <s v="true"/>
    <x v="0"/>
  </r>
  <r>
    <n v="331"/>
    <d v="2024-11-08T00:00:00"/>
    <s v="11/2024"/>
    <x v="23"/>
    <x v="924"/>
    <x v="0"/>
    <x v="0"/>
    <x v="233"/>
    <n v="1"/>
    <n v="473"/>
    <n v="473"/>
    <n v="498"/>
    <n v="498"/>
    <m/>
    <n v="75"/>
    <n v="573"/>
    <n v="573"/>
    <n v="0"/>
    <x v="16"/>
    <s v="true"/>
    <s v="true"/>
    <x v="0"/>
  </r>
  <r>
    <n v="331"/>
    <d v="2024-11-08T00:00:00"/>
    <s v="11/2024"/>
    <x v="23"/>
    <x v="888"/>
    <x v="0"/>
    <x v="0"/>
    <x v="233"/>
    <n v="1"/>
    <n v="489"/>
    <n v="489"/>
    <n v="515"/>
    <n v="515"/>
    <m/>
    <n v="77"/>
    <n v="592"/>
    <n v="592"/>
    <n v="0"/>
    <x v="16"/>
    <s v="true"/>
    <s v="true"/>
    <x v="0"/>
  </r>
  <r>
    <n v="332"/>
    <d v="2024-11-08T00:00:00"/>
    <s v="11/2024"/>
    <x v="47"/>
    <x v="214"/>
    <x v="0"/>
    <x v="0"/>
    <x v="234"/>
    <n v="1"/>
    <n v="151"/>
    <n v="151"/>
    <n v="159"/>
    <n v="159"/>
    <m/>
    <n v="24"/>
    <n v="183"/>
    <n v="183"/>
    <n v="0"/>
    <x v="16"/>
    <s v="true"/>
    <s v="true"/>
    <x v="0"/>
  </r>
  <r>
    <n v="332"/>
    <d v="2024-11-08T00:00:00"/>
    <s v="11/2024"/>
    <x v="47"/>
    <x v="925"/>
    <x v="0"/>
    <x v="0"/>
    <x v="231"/>
    <n v="1"/>
    <n v="1052"/>
    <n v="1052"/>
    <n v="1084"/>
    <n v="1084"/>
    <m/>
    <n v="163"/>
    <n v="1247"/>
    <n v="1247"/>
    <n v="0"/>
    <x v="15"/>
    <s v="true"/>
    <s v="true"/>
    <x v="0"/>
  </r>
  <r>
    <n v="332"/>
    <d v="2024-11-08T00:00:00"/>
    <s v="11/2024"/>
    <x v="47"/>
    <x v="926"/>
    <x v="0"/>
    <x v="0"/>
    <x v="235"/>
    <n v="1"/>
    <n v="1033"/>
    <n v="1033"/>
    <n v="1134"/>
    <n v="1134"/>
    <m/>
    <n v="170"/>
    <n v="1304"/>
    <n v="1304"/>
    <n v="0"/>
    <x v="15"/>
    <s v="true"/>
    <s v="true"/>
    <x v="0"/>
  </r>
  <r>
    <n v="332"/>
    <d v="2024-11-08T00:00:00"/>
    <s v="11/2024"/>
    <x v="47"/>
    <x v="927"/>
    <x v="0"/>
    <x v="109"/>
    <x v="236"/>
    <n v="1"/>
    <n v="1113"/>
    <n v="1113"/>
    <n v="1221"/>
    <n v="1221"/>
    <m/>
    <n v="183"/>
    <n v="1404"/>
    <n v="1404"/>
    <n v="0"/>
    <x v="15"/>
    <s v="true"/>
    <s v="true"/>
    <x v="0"/>
  </r>
  <r>
    <n v="332"/>
    <d v="2024-11-08T00:00:00"/>
    <s v="11/2024"/>
    <x v="47"/>
    <x v="928"/>
    <x v="0"/>
    <x v="0"/>
    <x v="232"/>
    <n v="1"/>
    <n v="171"/>
    <n v="171"/>
    <n v="180"/>
    <n v="180"/>
    <m/>
    <n v="27"/>
    <n v="207"/>
    <n v="207"/>
    <n v="0"/>
    <x v="16"/>
    <s v="true"/>
    <s v="true"/>
    <x v="0"/>
  </r>
  <r>
    <n v="332"/>
    <d v="2024-11-08T00:00:00"/>
    <s v="11/2024"/>
    <x v="47"/>
    <x v="929"/>
    <x v="0"/>
    <x v="0"/>
    <x v="232"/>
    <n v="1"/>
    <n v="323"/>
    <n v="323"/>
    <n v="341"/>
    <n v="341"/>
    <m/>
    <n v="51"/>
    <n v="392"/>
    <n v="392"/>
    <n v="0"/>
    <x v="16"/>
    <s v="true"/>
    <s v="true"/>
    <x v="0"/>
  </r>
  <r>
    <n v="332"/>
    <d v="2024-11-08T00:00:00"/>
    <s v="11/2024"/>
    <x v="47"/>
    <x v="930"/>
    <x v="0"/>
    <x v="0"/>
    <x v="234"/>
    <n v="1"/>
    <n v="305"/>
    <n v="305"/>
    <n v="322"/>
    <n v="322"/>
    <m/>
    <n v="48"/>
    <n v="370"/>
    <n v="370"/>
    <n v="0"/>
    <x v="16"/>
    <s v="true"/>
    <s v="true"/>
    <x v="0"/>
  </r>
  <r>
    <n v="332"/>
    <d v="2024-11-08T00:00:00"/>
    <s v="11/2024"/>
    <x v="47"/>
    <x v="931"/>
    <x v="0"/>
    <x v="0"/>
    <x v="234"/>
    <n v="1"/>
    <n v="326"/>
    <n v="326"/>
    <n v="344"/>
    <n v="344"/>
    <m/>
    <n v="52"/>
    <n v="396"/>
    <n v="396"/>
    <n v="0"/>
    <x v="16"/>
    <s v="true"/>
    <s v="true"/>
    <x v="0"/>
  </r>
  <r>
    <n v="332"/>
    <d v="2024-11-08T00:00:00"/>
    <s v="11/2024"/>
    <x v="47"/>
    <x v="627"/>
    <x v="0"/>
    <x v="0"/>
    <x v="234"/>
    <n v="1"/>
    <n v="414"/>
    <n v="414"/>
    <n v="436"/>
    <n v="436"/>
    <m/>
    <n v="65"/>
    <n v="501"/>
    <n v="501"/>
    <n v="0"/>
    <x v="16"/>
    <s v="true"/>
    <s v="true"/>
    <x v="0"/>
  </r>
  <r>
    <n v="334"/>
    <d v="2024-11-08T00:00:00"/>
    <s v="11/2024"/>
    <x v="1"/>
    <x v="813"/>
    <x v="0"/>
    <x v="0"/>
    <x v="234"/>
    <n v="1"/>
    <n v="877"/>
    <n v="877"/>
    <n v="934"/>
    <n v="934"/>
    <m/>
    <n v="93"/>
    <n v="1027"/>
    <n v="1027"/>
    <n v="0"/>
    <x v="16"/>
    <s v="true"/>
    <s v="true"/>
    <x v="0"/>
  </r>
  <r>
    <n v="334"/>
    <d v="2024-11-08T00:00:00"/>
    <s v="11/2024"/>
    <x v="1"/>
    <x v="932"/>
    <x v="0"/>
    <x v="0"/>
    <x v="237"/>
    <n v="1"/>
    <n v="795"/>
    <n v="795"/>
    <n v="846"/>
    <n v="846"/>
    <m/>
    <n v="85"/>
    <n v="931"/>
    <n v="931"/>
    <n v="0"/>
    <x v="16"/>
    <s v="true"/>
    <s v="true"/>
    <x v="0"/>
  </r>
  <r>
    <n v="334"/>
    <d v="2024-11-08T00:00:00"/>
    <s v="11/2024"/>
    <x v="1"/>
    <x v="933"/>
    <x v="0"/>
    <x v="0"/>
    <x v="232"/>
    <n v="1"/>
    <n v="203"/>
    <n v="203"/>
    <n v="216"/>
    <n v="216"/>
    <m/>
    <n v="22"/>
    <n v="238"/>
    <n v="238"/>
    <n v="0"/>
    <x v="16"/>
    <s v="true"/>
    <s v="true"/>
    <x v="0"/>
  </r>
  <r>
    <n v="334"/>
    <d v="2024-11-08T00:00:00"/>
    <s v="11/2024"/>
    <x v="1"/>
    <x v="934"/>
    <x v="0"/>
    <x v="0"/>
    <x v="231"/>
    <n v="1"/>
    <n v="675"/>
    <n v="675"/>
    <n v="719"/>
    <n v="719"/>
    <m/>
    <n v="72"/>
    <n v="791"/>
    <n v="791"/>
    <n v="0"/>
    <x v="16"/>
    <s v="true"/>
    <s v="true"/>
    <x v="0"/>
  </r>
  <r>
    <n v="334"/>
    <d v="2024-11-08T00:00:00"/>
    <s v="11/2024"/>
    <x v="1"/>
    <x v="935"/>
    <x v="0"/>
    <x v="0"/>
    <x v="232"/>
    <n v="1"/>
    <n v="1298"/>
    <n v="1298"/>
    <n v="1381"/>
    <n v="1381"/>
    <m/>
    <n v="138"/>
    <n v="1519"/>
    <n v="1519"/>
    <n v="0"/>
    <x v="16"/>
    <s v="true"/>
    <s v="true"/>
    <x v="0"/>
  </r>
  <r>
    <n v="334"/>
    <d v="2024-11-08T00:00:00"/>
    <s v="11/2024"/>
    <x v="1"/>
    <x v="935"/>
    <x v="0"/>
    <x v="0"/>
    <x v="234"/>
    <n v="1"/>
    <n v="1095"/>
    <n v="1095"/>
    <n v="1165"/>
    <n v="1165"/>
    <m/>
    <n v="117"/>
    <n v="1282"/>
    <n v="1282"/>
    <n v="0"/>
    <x v="16"/>
    <s v="true"/>
    <s v="true"/>
    <x v="0"/>
  </r>
  <r>
    <n v="334"/>
    <d v="2024-11-08T00:00:00"/>
    <s v="11/2024"/>
    <x v="1"/>
    <x v="936"/>
    <x v="0"/>
    <x v="0"/>
    <x v="232"/>
    <n v="1"/>
    <n v="523"/>
    <n v="523"/>
    <n v="575"/>
    <n v="575"/>
    <m/>
    <n v="58"/>
    <n v="633"/>
    <n v="633"/>
    <n v="0"/>
    <x v="16"/>
    <s v="true"/>
    <s v="true"/>
    <x v="0"/>
  </r>
  <r>
    <n v="334"/>
    <d v="2024-11-08T00:00:00"/>
    <s v="11/2024"/>
    <x v="1"/>
    <x v="937"/>
    <x v="0"/>
    <x v="0"/>
    <x v="232"/>
    <n v="1"/>
    <n v="300"/>
    <n v="300"/>
    <n v="320"/>
    <n v="320"/>
    <m/>
    <n v="32"/>
    <n v="352"/>
    <n v="352"/>
    <n v="0"/>
    <x v="16"/>
    <s v="true"/>
    <s v="true"/>
    <x v="0"/>
  </r>
  <r>
    <n v="334"/>
    <d v="2024-11-08T00:00:00"/>
    <s v="11/2024"/>
    <x v="1"/>
    <x v="938"/>
    <x v="0"/>
    <x v="0"/>
    <x v="232"/>
    <n v="1"/>
    <n v="423"/>
    <n v="423"/>
    <n v="451"/>
    <n v="451"/>
    <m/>
    <n v="45"/>
    <n v="496"/>
    <n v="496"/>
    <n v="0"/>
    <x v="16"/>
    <s v="true"/>
    <s v="true"/>
    <x v="0"/>
  </r>
  <r>
    <n v="334"/>
    <d v="2024-11-08T00:00:00"/>
    <s v="11/2024"/>
    <x v="1"/>
    <x v="939"/>
    <x v="0"/>
    <x v="0"/>
    <x v="232"/>
    <n v="1"/>
    <n v="902"/>
    <n v="902"/>
    <n v="948"/>
    <n v="948"/>
    <m/>
    <n v="95"/>
    <n v="1043"/>
    <n v="1043"/>
    <n v="0"/>
    <x v="16"/>
    <s v="true"/>
    <s v="true"/>
    <x v="0"/>
  </r>
  <r>
    <n v="335"/>
    <d v="2024-11-11T00:00:00"/>
    <s v="11/2024"/>
    <x v="24"/>
    <x v="940"/>
    <x v="0"/>
    <x v="0"/>
    <x v="238"/>
    <n v="1"/>
    <n v="971"/>
    <n v="971"/>
    <n v="997"/>
    <n v="997"/>
    <m/>
    <n v="150"/>
    <n v="1147"/>
    <n v="1147"/>
    <n v="0"/>
    <x v="15"/>
    <s v="true"/>
    <s v="true"/>
    <x v="0"/>
  </r>
  <r>
    <n v="335"/>
    <d v="2024-11-11T00:00:00"/>
    <s v="11/2024"/>
    <x v="24"/>
    <x v="941"/>
    <x v="0"/>
    <x v="0"/>
    <x v="239"/>
    <n v="0"/>
    <n v="848"/>
    <n v="0"/>
    <n v="848"/>
    <n v="0"/>
    <m/>
    <n v="0"/>
    <n v="0"/>
    <m/>
    <n v="0"/>
    <x v="28"/>
    <s v="true"/>
    <s v="true"/>
    <x v="0"/>
  </r>
  <r>
    <n v="335"/>
    <d v="2024-11-11T00:00:00"/>
    <s v="11/2024"/>
    <x v="24"/>
    <x v="942"/>
    <x v="0"/>
    <x v="0"/>
    <x v="233"/>
    <n v="1"/>
    <n v="1345"/>
    <n v="1345"/>
    <n v="1453"/>
    <n v="1453"/>
    <m/>
    <n v="218"/>
    <n v="1671"/>
    <n v="1671"/>
    <n v="0"/>
    <x v="15"/>
    <s v="true"/>
    <s v="true"/>
    <x v="0"/>
  </r>
  <r>
    <n v="335"/>
    <d v="2024-11-11T00:00:00"/>
    <s v="11/2024"/>
    <x v="24"/>
    <x v="943"/>
    <x v="0"/>
    <x v="0"/>
    <x v="240"/>
    <n v="1"/>
    <n v="404"/>
    <n v="404"/>
    <n v="439"/>
    <n v="439"/>
    <m/>
    <n v="66"/>
    <n v="505"/>
    <n v="505"/>
    <n v="0"/>
    <x v="15"/>
    <s v="true"/>
    <s v="true"/>
    <x v="0"/>
  </r>
  <r>
    <n v="335"/>
    <d v="2024-11-11T00:00:00"/>
    <s v="11/2024"/>
    <x v="24"/>
    <x v="944"/>
    <x v="0"/>
    <x v="0"/>
    <x v="241"/>
    <n v="1"/>
    <n v="388"/>
    <n v="388"/>
    <n v="421"/>
    <n v="421"/>
    <m/>
    <n v="63"/>
    <n v="484"/>
    <n v="484"/>
    <n v="0"/>
    <x v="15"/>
    <s v="true"/>
    <s v="true"/>
    <x v="0"/>
  </r>
  <r>
    <n v="335"/>
    <d v="2024-11-11T00:00:00"/>
    <s v="11/2024"/>
    <x v="24"/>
    <x v="945"/>
    <x v="0"/>
    <x v="0"/>
    <x v="239"/>
    <n v="1"/>
    <n v="467"/>
    <n v="467"/>
    <n v="506"/>
    <n v="506"/>
    <m/>
    <n v="76"/>
    <n v="582"/>
    <n v="582"/>
    <n v="0"/>
    <x v="15"/>
    <s v="true"/>
    <s v="true"/>
    <x v="0"/>
  </r>
  <r>
    <n v="335"/>
    <d v="2024-11-11T00:00:00"/>
    <s v="11/2024"/>
    <x v="24"/>
    <x v="946"/>
    <x v="0"/>
    <x v="0"/>
    <x v="241"/>
    <n v="1"/>
    <n v="583"/>
    <n v="583"/>
    <n v="632"/>
    <n v="632"/>
    <m/>
    <n v="95"/>
    <n v="727"/>
    <n v="727"/>
    <n v="0"/>
    <x v="15"/>
    <s v="true"/>
    <s v="true"/>
    <x v="0"/>
  </r>
  <r>
    <n v="336"/>
    <d v="2024-11-11T00:00:00"/>
    <s v="11/2024"/>
    <x v="48"/>
    <x v="947"/>
    <x v="0"/>
    <x v="0"/>
    <x v="237"/>
    <n v="1"/>
    <n v="411"/>
    <n v="411"/>
    <n v="438"/>
    <n v="438"/>
    <m/>
    <n v="66"/>
    <n v="504"/>
    <n v="504"/>
    <n v="0"/>
    <x v="16"/>
    <s v="true"/>
    <s v="true"/>
    <x v="0"/>
  </r>
  <r>
    <n v="336"/>
    <d v="2024-11-11T00:00:00"/>
    <s v="11/2024"/>
    <x v="48"/>
    <x v="948"/>
    <x v="0"/>
    <x v="0"/>
    <x v="231"/>
    <n v="1"/>
    <n v="676"/>
    <n v="676"/>
    <n v="720"/>
    <n v="720"/>
    <m/>
    <n v="108"/>
    <n v="828"/>
    <n v="828"/>
    <n v="0"/>
    <x v="16"/>
    <s v="true"/>
    <s v="true"/>
    <x v="0"/>
  </r>
  <r>
    <n v="336"/>
    <d v="2024-11-11T00:00:00"/>
    <s v="11/2024"/>
    <x v="48"/>
    <x v="949"/>
    <x v="0"/>
    <x v="0"/>
    <x v="237"/>
    <n v="1"/>
    <n v="288"/>
    <n v="288"/>
    <n v="307"/>
    <n v="307"/>
    <m/>
    <n v="46"/>
    <n v="353"/>
    <n v="353"/>
    <n v="0"/>
    <x v="16"/>
    <s v="true"/>
    <s v="true"/>
    <x v="0"/>
  </r>
  <r>
    <n v="336"/>
    <d v="2024-11-11T00:00:00"/>
    <s v="11/2024"/>
    <x v="48"/>
    <x v="950"/>
    <x v="0"/>
    <x v="0"/>
    <x v="239"/>
    <n v="1"/>
    <n v="168"/>
    <n v="168"/>
    <n v="179"/>
    <n v="179"/>
    <m/>
    <n v="27"/>
    <n v="206"/>
    <n v="206"/>
    <n v="0"/>
    <x v="16"/>
    <s v="true"/>
    <s v="true"/>
    <x v="0"/>
  </r>
  <r>
    <n v="336"/>
    <d v="2024-11-11T00:00:00"/>
    <s v="11/2024"/>
    <x v="48"/>
    <x v="951"/>
    <x v="0"/>
    <x v="0"/>
    <x v="231"/>
    <n v="1"/>
    <n v="1246"/>
    <n v="1246"/>
    <n v="1326"/>
    <n v="1326"/>
    <m/>
    <n v="199"/>
    <n v="1525"/>
    <n v="1525"/>
    <n v="0"/>
    <x v="16"/>
    <s v="true"/>
    <s v="true"/>
    <x v="0"/>
  </r>
  <r>
    <n v="336"/>
    <d v="2024-11-11T00:00:00"/>
    <s v="11/2024"/>
    <x v="48"/>
    <x v="952"/>
    <x v="0"/>
    <x v="0"/>
    <x v="237"/>
    <n v="1"/>
    <n v="192"/>
    <n v="192"/>
    <n v="205"/>
    <n v="205"/>
    <m/>
    <n v="31"/>
    <n v="236"/>
    <n v="236"/>
    <n v="0"/>
    <x v="16"/>
    <s v="true"/>
    <s v="true"/>
    <x v="0"/>
  </r>
  <r>
    <n v="336"/>
    <d v="2024-11-11T00:00:00"/>
    <s v="11/2024"/>
    <x v="48"/>
    <x v="953"/>
    <x v="0"/>
    <x v="0"/>
    <x v="237"/>
    <n v="1"/>
    <n v="142"/>
    <n v="142"/>
    <n v="152"/>
    <n v="152"/>
    <m/>
    <n v="23"/>
    <n v="175"/>
    <n v="175"/>
    <n v="0"/>
    <x v="16"/>
    <s v="true"/>
    <s v="true"/>
    <x v="0"/>
  </r>
  <r>
    <n v="336"/>
    <d v="2024-11-11T00:00:00"/>
    <s v="11/2024"/>
    <x v="48"/>
    <x v="954"/>
    <x v="0"/>
    <x v="0"/>
    <x v="231"/>
    <n v="1"/>
    <n v="324"/>
    <n v="324"/>
    <n v="345"/>
    <n v="345"/>
    <m/>
    <n v="52"/>
    <n v="397"/>
    <n v="397"/>
    <n v="0"/>
    <x v="16"/>
    <s v="true"/>
    <s v="true"/>
    <x v="0"/>
  </r>
  <r>
    <n v="336"/>
    <d v="2024-11-11T00:00:00"/>
    <s v="11/2024"/>
    <x v="48"/>
    <x v="955"/>
    <x v="0"/>
    <x v="0"/>
    <x v="231"/>
    <n v="1"/>
    <n v="419"/>
    <n v="419"/>
    <n v="446"/>
    <n v="446"/>
    <m/>
    <n v="67"/>
    <n v="513"/>
    <n v="513"/>
    <n v="0"/>
    <x v="16"/>
    <s v="true"/>
    <s v="true"/>
    <x v="0"/>
  </r>
  <r>
    <n v="336"/>
    <d v="2024-11-11T00:00:00"/>
    <s v="11/2024"/>
    <x v="48"/>
    <x v="956"/>
    <x v="0"/>
    <x v="0"/>
    <x v="231"/>
    <n v="1"/>
    <n v="135"/>
    <n v="135"/>
    <n v="144"/>
    <n v="144"/>
    <m/>
    <n v="22"/>
    <n v="166"/>
    <n v="166"/>
    <n v="0"/>
    <x v="16"/>
    <s v="true"/>
    <s v="true"/>
    <x v="0"/>
  </r>
  <r>
    <n v="336"/>
    <d v="2024-11-11T00:00:00"/>
    <s v="11/2024"/>
    <x v="48"/>
    <x v="957"/>
    <x v="0"/>
    <x v="0"/>
    <x v="242"/>
    <n v="1"/>
    <n v="128"/>
    <n v="128"/>
    <n v="135"/>
    <n v="135"/>
    <m/>
    <n v="20"/>
    <n v="155"/>
    <n v="155"/>
    <n v="0"/>
    <x v="16"/>
    <s v="true"/>
    <s v="true"/>
    <x v="0"/>
  </r>
  <r>
    <n v="336"/>
    <d v="2024-11-11T00:00:00"/>
    <s v="11/2024"/>
    <x v="48"/>
    <x v="958"/>
    <x v="0"/>
    <x v="0"/>
    <x v="231"/>
    <n v="1"/>
    <n v="232"/>
    <n v="232"/>
    <n v="247"/>
    <n v="247"/>
    <m/>
    <n v="37"/>
    <n v="284"/>
    <n v="284"/>
    <n v="0"/>
    <x v="16"/>
    <s v="true"/>
    <s v="true"/>
    <x v="0"/>
  </r>
  <r>
    <n v="336"/>
    <d v="2024-11-11T00:00:00"/>
    <s v="11/2024"/>
    <x v="48"/>
    <x v="959"/>
    <x v="0"/>
    <x v="0"/>
    <x v="237"/>
    <n v="1"/>
    <n v="366"/>
    <n v="366"/>
    <n v="390"/>
    <n v="390"/>
    <m/>
    <n v="59"/>
    <n v="449"/>
    <n v="449"/>
    <n v="0"/>
    <x v="16"/>
    <s v="true"/>
    <s v="true"/>
    <x v="0"/>
  </r>
  <r>
    <n v="337"/>
    <d v="2024-11-14T00:00:00"/>
    <s v="11/2024"/>
    <x v="73"/>
    <x v="960"/>
    <x v="0"/>
    <x v="0"/>
    <x v="240"/>
    <n v="1"/>
    <n v="375"/>
    <n v="375"/>
    <n v="402"/>
    <n v="402"/>
    <m/>
    <n v="60"/>
    <n v="462"/>
    <n v="462"/>
    <n v="0"/>
    <x v="15"/>
    <s v="true"/>
    <s v="true"/>
    <x v="0"/>
  </r>
  <r>
    <n v="337"/>
    <d v="2024-11-14T00:00:00"/>
    <s v="11/2024"/>
    <x v="73"/>
    <x v="961"/>
    <x v="0"/>
    <x v="0"/>
    <x v="239"/>
    <n v="1"/>
    <n v="1060"/>
    <n v="1060"/>
    <n v="1172"/>
    <n v="1172"/>
    <m/>
    <n v="176"/>
    <n v="1348"/>
    <n v="1348"/>
    <n v="0"/>
    <x v="15"/>
    <s v="true"/>
    <s v="true"/>
    <x v="0"/>
  </r>
  <r>
    <n v="338"/>
    <d v="2024-11-14T00:00:00"/>
    <s v="11/2024"/>
    <x v="35"/>
    <x v="962"/>
    <x v="0"/>
    <x v="0"/>
    <x v="240"/>
    <n v="1"/>
    <n v="1544"/>
    <n v="1544"/>
    <n v="1658"/>
    <n v="1658"/>
    <m/>
    <n v="249"/>
    <n v="1907"/>
    <n v="1907"/>
    <n v="0"/>
    <x v="15"/>
    <s v="true"/>
    <s v="true"/>
    <x v="0"/>
  </r>
  <r>
    <n v="338"/>
    <d v="2024-11-14T00:00:00"/>
    <s v="11/2024"/>
    <x v="35"/>
    <x v="963"/>
    <x v="0"/>
    <x v="0"/>
    <x v="243"/>
    <n v="1"/>
    <n v="1113"/>
    <n v="1113"/>
    <n v="1113"/>
    <n v="1113"/>
    <m/>
    <n v="167"/>
    <n v="1280"/>
    <n v="1280"/>
    <n v="0"/>
    <x v="15"/>
    <s v="true"/>
    <s v="true"/>
    <x v="0"/>
  </r>
  <r>
    <n v="340"/>
    <d v="2024-11-14T00:00:00"/>
    <s v="11/2024"/>
    <x v="87"/>
    <x v="257"/>
    <x v="0"/>
    <x v="110"/>
    <x v="244"/>
    <n v="1"/>
    <n v="5200"/>
    <n v="5200"/>
    <n v="5200"/>
    <n v="5200"/>
    <n v="655"/>
    <n v="780"/>
    <n v="1435"/>
    <n v="1435"/>
    <n v="0"/>
    <x v="20"/>
    <s v="true"/>
    <s v="true"/>
    <x v="0"/>
  </r>
  <r>
    <n v="320"/>
    <d v="2024-11-01T00:00:00"/>
    <s v="11/2024"/>
    <x v="26"/>
    <x v="257"/>
    <x v="0"/>
    <x v="111"/>
    <x v="237"/>
    <n v="1"/>
    <n v="6900"/>
    <n v="6900"/>
    <n v="6900"/>
    <n v="6900"/>
    <n v="640"/>
    <n v="690"/>
    <n v="1330"/>
    <n v="1330"/>
    <n v="0"/>
    <x v="20"/>
    <s v="true"/>
    <s v="true"/>
    <x v="0"/>
  </r>
  <r>
    <n v="320"/>
    <d v="2024-11-01T00:00:00"/>
    <s v="11/2024"/>
    <x v="26"/>
    <x v="257"/>
    <x v="0"/>
    <x v="112"/>
    <x v="245"/>
    <n v="1"/>
    <n v="15210"/>
    <n v="15210"/>
    <n v="15210"/>
    <n v="15210"/>
    <m/>
    <n v="1521"/>
    <n v="1521"/>
    <n v="1521"/>
    <n v="0"/>
    <x v="20"/>
    <s v="true"/>
    <s v="true"/>
    <x v="0"/>
  </r>
  <r>
    <n v="339"/>
    <d v="2024-11-14T00:00:00"/>
    <s v="11/2024"/>
    <x v="39"/>
    <x v="257"/>
    <x v="0"/>
    <x v="113"/>
    <x v="236"/>
    <n v="1"/>
    <n v="30160"/>
    <n v="30160"/>
    <n v="30160"/>
    <n v="30160"/>
    <m/>
    <n v="3016"/>
    <n v="3016"/>
    <n v="3016"/>
    <n v="0"/>
    <x v="20"/>
    <s v="true"/>
    <s v="true"/>
    <x v="0"/>
  </r>
  <r>
    <n v="338"/>
    <d v="2024-11-14T00:00:00"/>
    <s v="11/2024"/>
    <x v="35"/>
    <x v="964"/>
    <x v="0"/>
    <x v="0"/>
    <x v="241"/>
    <n v="1"/>
    <n v="1497"/>
    <n v="1497"/>
    <n v="1605"/>
    <n v="1605"/>
    <m/>
    <n v="241"/>
    <n v="1846"/>
    <n v="1846"/>
    <n v="0"/>
    <x v="15"/>
    <s v="true"/>
    <s v="true"/>
    <x v="0"/>
  </r>
  <r>
    <n v="341"/>
    <d v="2024-11-15T00:00:00"/>
    <s v="11/2024"/>
    <x v="66"/>
    <x v="73"/>
    <x v="0"/>
    <x v="0"/>
    <x v="239"/>
    <n v="1"/>
    <n v="1243"/>
    <n v="1243"/>
    <n v="1243"/>
    <n v="1243"/>
    <m/>
    <n v="200"/>
    <n v="200"/>
    <n v="200"/>
    <n v="0"/>
    <x v="15"/>
    <s v="true"/>
    <s v="true"/>
    <x v="0"/>
  </r>
  <r>
    <n v="342"/>
    <d v="2024-11-15T00:00:00"/>
    <s v="11/2024"/>
    <x v="64"/>
    <x v="73"/>
    <x v="0"/>
    <x v="0"/>
    <x v="239"/>
    <n v="1"/>
    <n v="1035"/>
    <n v="1035"/>
    <n v="1035"/>
    <n v="1035"/>
    <m/>
    <n v="200"/>
    <n v="200"/>
    <n v="200"/>
    <n v="0"/>
    <x v="15"/>
    <s v="true"/>
    <s v="true"/>
    <x v="0"/>
  </r>
  <r>
    <n v="343"/>
    <d v="2024-11-15T00:00:00"/>
    <s v="11/2024"/>
    <x v="79"/>
    <x v="73"/>
    <x v="0"/>
    <x v="0"/>
    <x v="239"/>
    <n v="1"/>
    <n v="714"/>
    <n v="714"/>
    <n v="714"/>
    <n v="714"/>
    <m/>
    <n v="200"/>
    <n v="200"/>
    <n v="200"/>
    <n v="0"/>
    <x v="15"/>
    <s v="true"/>
    <s v="true"/>
    <x v="0"/>
  </r>
  <r>
    <n v="337"/>
    <d v="2024-11-14T00:00:00"/>
    <s v="11/2024"/>
    <x v="73"/>
    <x v="965"/>
    <x v="0"/>
    <x v="0"/>
    <x v="241"/>
    <n v="1"/>
    <n v="1432"/>
    <n v="1432"/>
    <n v="1535"/>
    <n v="1535"/>
    <m/>
    <n v="230"/>
    <n v="1765"/>
    <n v="1765"/>
    <n v="0"/>
    <x v="15"/>
    <s v="true"/>
    <s v="true"/>
    <x v="0"/>
  </r>
  <r>
    <n v="337"/>
    <d v="2024-11-14T00:00:00"/>
    <s v="11/2024"/>
    <x v="73"/>
    <x v="965"/>
    <x v="0"/>
    <x v="0"/>
    <x v="245"/>
    <n v="1"/>
    <n v="863"/>
    <n v="863"/>
    <n v="926"/>
    <n v="926"/>
    <m/>
    <n v="139"/>
    <n v="1065"/>
    <n v="1065"/>
    <n v="0"/>
    <x v="15"/>
    <s v="true"/>
    <s v="true"/>
    <x v="0"/>
  </r>
  <r>
    <n v="337"/>
    <d v="2024-11-14T00:00:00"/>
    <s v="11/2024"/>
    <x v="73"/>
    <x v="966"/>
    <x v="0"/>
    <x v="0"/>
    <x v="241"/>
    <n v="1"/>
    <n v="966"/>
    <n v="966"/>
    <n v="1035"/>
    <n v="1035"/>
    <m/>
    <n v="155"/>
    <n v="1190"/>
    <n v="1190"/>
    <n v="0"/>
    <x v="15"/>
    <s v="true"/>
    <s v="true"/>
    <x v="0"/>
  </r>
  <r>
    <n v="337"/>
    <d v="2024-11-14T00:00:00"/>
    <s v="11/2024"/>
    <x v="73"/>
    <x v="967"/>
    <x v="0"/>
    <x v="0"/>
    <x v="245"/>
    <n v="1"/>
    <n v="997"/>
    <n v="997"/>
    <n v="1056"/>
    <n v="1056"/>
    <m/>
    <n v="158"/>
    <n v="1214"/>
    <n v="1214"/>
    <n v="0"/>
    <x v="15"/>
    <s v="true"/>
    <s v="true"/>
    <x v="0"/>
  </r>
  <r>
    <n v="337"/>
    <d v="2024-11-14T00:00:00"/>
    <s v="11/2024"/>
    <x v="73"/>
    <x v="349"/>
    <x v="0"/>
    <x v="0"/>
    <x v="241"/>
    <n v="1"/>
    <n v="766"/>
    <n v="766"/>
    <n v="821"/>
    <n v="821"/>
    <m/>
    <n v="123"/>
    <n v="944"/>
    <n v="944"/>
    <n v="0"/>
    <x v="15"/>
    <s v="true"/>
    <s v="true"/>
    <x v="0"/>
  </r>
  <r>
    <n v="338"/>
    <d v="2024-11-14T00:00:00"/>
    <s v="11/2024"/>
    <x v="35"/>
    <x v="968"/>
    <x v="0"/>
    <x v="0"/>
    <x v="235"/>
    <n v="3"/>
    <n v="549"/>
    <n v="1647"/>
    <n v="589"/>
    <n v="1767"/>
    <m/>
    <n v="265"/>
    <n v="2032"/>
    <n v="2032"/>
    <n v="0"/>
    <x v="15"/>
    <s v="true"/>
    <s v="true"/>
    <x v="0"/>
  </r>
  <r>
    <n v="338"/>
    <d v="2024-11-14T00:00:00"/>
    <s v="11/2024"/>
    <x v="35"/>
    <x v="969"/>
    <x v="0"/>
    <x v="0"/>
    <x v="235"/>
    <n v="2"/>
    <n v="416"/>
    <n v="832"/>
    <n v="425"/>
    <n v="850"/>
    <m/>
    <n v="128"/>
    <n v="978"/>
    <n v="978"/>
    <n v="0"/>
    <x v="15"/>
    <s v="true"/>
    <s v="true"/>
    <x v="0"/>
  </r>
  <r>
    <n v="338"/>
    <d v="2024-11-14T00:00:00"/>
    <s v="11/2024"/>
    <x v="35"/>
    <x v="968"/>
    <x v="0"/>
    <x v="0"/>
    <x v="235"/>
    <n v="1"/>
    <n v="464"/>
    <n v="464"/>
    <n v="497"/>
    <n v="497"/>
    <m/>
    <n v="75"/>
    <n v="572"/>
    <n v="572"/>
    <n v="0"/>
    <x v="15"/>
    <s v="true"/>
    <s v="true"/>
    <x v="0"/>
  </r>
  <r>
    <n v="344"/>
    <d v="2024-11-16T00:00:00"/>
    <s v="11/2024"/>
    <x v="88"/>
    <x v="970"/>
    <x v="0"/>
    <x v="0"/>
    <x v="246"/>
    <n v="1"/>
    <n v="1560"/>
    <n v="1560"/>
    <n v="1638"/>
    <n v="1638"/>
    <m/>
    <n v="246"/>
    <n v="1884"/>
    <n v="1884"/>
    <n v="0"/>
    <x v="15"/>
    <s v="true"/>
    <s v="true"/>
    <x v="0"/>
  </r>
  <r>
    <n v="345"/>
    <d v="2024-11-18T00:00:00"/>
    <s v="11/2024"/>
    <x v="61"/>
    <x v="971"/>
    <x v="0"/>
    <x v="0"/>
    <x v="247"/>
    <n v="1"/>
    <n v="438"/>
    <n v="438"/>
    <n v="467"/>
    <n v="467"/>
    <m/>
    <n v="70"/>
    <n v="537"/>
    <n v="537"/>
    <n v="0"/>
    <x v="16"/>
    <s v="true"/>
    <s v="true"/>
    <x v="0"/>
  </r>
  <r>
    <n v="345"/>
    <d v="2024-11-18T00:00:00"/>
    <s v="11/2024"/>
    <x v="61"/>
    <x v="972"/>
    <x v="0"/>
    <x v="0"/>
    <x v="247"/>
    <n v="1"/>
    <n v="268"/>
    <n v="268"/>
    <n v="286"/>
    <n v="286"/>
    <m/>
    <n v="43"/>
    <n v="329"/>
    <n v="329"/>
    <n v="0"/>
    <x v="16"/>
    <s v="true"/>
    <s v="true"/>
    <x v="0"/>
  </r>
  <r>
    <n v="345"/>
    <d v="2024-11-18T00:00:00"/>
    <s v="11/2024"/>
    <x v="61"/>
    <x v="973"/>
    <x v="0"/>
    <x v="0"/>
    <x v="247"/>
    <n v="1"/>
    <n v="260"/>
    <n v="260"/>
    <n v="277"/>
    <n v="277"/>
    <m/>
    <n v="42"/>
    <n v="319"/>
    <n v="319"/>
    <n v="0"/>
    <x v="16"/>
    <s v="true"/>
    <s v="true"/>
    <x v="0"/>
  </r>
  <r>
    <n v="345"/>
    <d v="2024-11-18T00:00:00"/>
    <s v="11/2024"/>
    <x v="61"/>
    <x v="974"/>
    <x v="0"/>
    <x v="0"/>
    <x v="247"/>
    <n v="1"/>
    <n v="1022"/>
    <n v="1022"/>
    <n v="1088"/>
    <n v="1088"/>
    <m/>
    <n v="163"/>
    <n v="1251"/>
    <n v="1251"/>
    <n v="0"/>
    <x v="16"/>
    <s v="true"/>
    <s v="true"/>
    <x v="0"/>
  </r>
  <r>
    <n v="345"/>
    <d v="2024-11-18T00:00:00"/>
    <s v="11/2024"/>
    <x v="61"/>
    <x v="788"/>
    <x v="0"/>
    <x v="0"/>
    <x v="247"/>
    <n v="1"/>
    <n v="211"/>
    <n v="211"/>
    <n v="225"/>
    <n v="225"/>
    <m/>
    <n v="34"/>
    <n v="259"/>
    <n v="259"/>
    <n v="0"/>
    <x v="16"/>
    <s v="true"/>
    <s v="true"/>
    <x v="0"/>
  </r>
  <r>
    <n v="346"/>
    <d v="2024-11-18T00:00:00"/>
    <s v="11/2024"/>
    <x v="1"/>
    <x v="935"/>
    <x v="0"/>
    <x v="0"/>
    <x v="244"/>
    <n v="1"/>
    <n v="2184"/>
    <n v="2184"/>
    <n v="2324"/>
    <n v="2324"/>
    <m/>
    <n v="232"/>
    <n v="2556"/>
    <n v="2556"/>
    <n v="0"/>
    <x v="16"/>
    <s v="true"/>
    <s v="true"/>
    <x v="0"/>
  </r>
  <r>
    <n v="346"/>
    <d v="2024-11-18T00:00:00"/>
    <s v="11/2024"/>
    <x v="1"/>
    <x v="42"/>
    <x v="0"/>
    <x v="0"/>
    <x v="247"/>
    <n v="1"/>
    <n v="966"/>
    <n v="966"/>
    <n v="1028"/>
    <n v="1028"/>
    <m/>
    <n v="103"/>
    <n v="1131"/>
    <n v="1131"/>
    <n v="0"/>
    <x v="16"/>
    <s v="true"/>
    <s v="true"/>
    <x v="0"/>
  </r>
  <r>
    <n v="346"/>
    <d v="2024-11-18T00:00:00"/>
    <s v="11/2024"/>
    <x v="1"/>
    <x v="975"/>
    <x v="0"/>
    <x v="0"/>
    <x v="247"/>
    <n v="1"/>
    <n v="927"/>
    <n v="927"/>
    <n v="987"/>
    <n v="987"/>
    <m/>
    <n v="99"/>
    <n v="1086"/>
    <n v="1086"/>
    <n v="0"/>
    <x v="16"/>
    <s v="true"/>
    <s v="true"/>
    <x v="0"/>
  </r>
  <r>
    <n v="347"/>
    <d v="2024-11-18T00:00:00"/>
    <s v="11/2024"/>
    <x v="89"/>
    <x v="976"/>
    <x v="0"/>
    <x v="0"/>
    <x v="248"/>
    <n v="1"/>
    <n v="800"/>
    <n v="800"/>
    <n v="800"/>
    <n v="800"/>
    <n v="94"/>
    <n v="200"/>
    <n v="1094"/>
    <n v="1094"/>
    <n v="0"/>
    <x v="19"/>
    <s v="true"/>
    <s v="true"/>
    <x v="0"/>
  </r>
  <r>
    <n v="348"/>
    <d v="2024-11-19T00:00:00"/>
    <s v="11/2024"/>
    <x v="76"/>
    <x v="977"/>
    <x v="0"/>
    <x v="0"/>
    <x v="244"/>
    <n v="1"/>
    <n v="1522"/>
    <n v="1522"/>
    <n v="1620"/>
    <n v="1620"/>
    <m/>
    <n v="243"/>
    <n v="1863"/>
    <n v="1863"/>
    <n v="0"/>
    <x v="16"/>
    <s v="true"/>
    <s v="true"/>
    <x v="0"/>
  </r>
  <r>
    <n v="348"/>
    <d v="2024-11-19T00:00:00"/>
    <s v="11/2024"/>
    <x v="76"/>
    <x v="978"/>
    <x v="0"/>
    <x v="0"/>
    <x v="248"/>
    <n v="1"/>
    <n v="443"/>
    <n v="443"/>
    <n v="472"/>
    <n v="472"/>
    <m/>
    <n v="71"/>
    <n v="543"/>
    <n v="543"/>
    <n v="0"/>
    <x v="16"/>
    <s v="true"/>
    <s v="true"/>
    <x v="0"/>
  </r>
  <r>
    <n v="348"/>
    <d v="2024-11-19T00:00:00"/>
    <s v="11/2024"/>
    <x v="76"/>
    <x v="979"/>
    <x v="0"/>
    <x v="0"/>
    <x v="248"/>
    <n v="1"/>
    <n v="3519"/>
    <n v="3519"/>
    <n v="3744"/>
    <n v="3744"/>
    <m/>
    <n v="562"/>
    <n v="4306"/>
    <n v="4306"/>
    <n v="0"/>
    <x v="16"/>
    <s v="true"/>
    <s v="true"/>
    <x v="0"/>
  </r>
  <r>
    <n v="349"/>
    <d v="2024-11-20T00:00:00"/>
    <s v="11/2024"/>
    <x v="61"/>
    <x v="980"/>
    <x v="0"/>
    <x v="0"/>
    <x v="246"/>
    <n v="1"/>
    <n v="131"/>
    <n v="131"/>
    <n v="140"/>
    <n v="140"/>
    <m/>
    <n v="21"/>
    <n v="161"/>
    <n v="161"/>
    <n v="0"/>
    <x v="16"/>
    <s v="true"/>
    <s v="true"/>
    <x v="0"/>
  </r>
  <r>
    <n v="349"/>
    <d v="2024-11-20T00:00:00"/>
    <s v="11/2024"/>
    <x v="61"/>
    <x v="981"/>
    <x v="0"/>
    <x v="0"/>
    <x v="246"/>
    <n v="1"/>
    <n v="188"/>
    <n v="188"/>
    <n v="200"/>
    <n v="200"/>
    <m/>
    <n v="30"/>
    <n v="230"/>
    <n v="230"/>
    <n v="0"/>
    <x v="16"/>
    <s v="true"/>
    <s v="true"/>
    <x v="0"/>
  </r>
  <r>
    <n v="349"/>
    <d v="2024-11-20T00:00:00"/>
    <s v="11/2024"/>
    <x v="61"/>
    <x v="982"/>
    <x v="0"/>
    <x v="0"/>
    <x v="249"/>
    <n v="1"/>
    <n v="559"/>
    <n v="559"/>
    <n v="595"/>
    <n v="595"/>
    <m/>
    <n v="89"/>
    <n v="684"/>
    <n v="684"/>
    <n v="0"/>
    <x v="16"/>
    <s v="true"/>
    <s v="true"/>
    <x v="0"/>
  </r>
  <r>
    <n v="349"/>
    <d v="2024-11-20T00:00:00"/>
    <s v="11/2024"/>
    <x v="61"/>
    <x v="983"/>
    <x v="0"/>
    <x v="0"/>
    <x v="249"/>
    <n v="0"/>
    <n v="263"/>
    <n v="0"/>
    <n v="280"/>
    <n v="0"/>
    <m/>
    <n v="0"/>
    <n v="0"/>
    <m/>
    <n v="0"/>
    <x v="16"/>
    <s v="true"/>
    <s v="true"/>
    <x v="0"/>
  </r>
  <r>
    <n v="349"/>
    <d v="2024-11-20T00:00:00"/>
    <s v="11/2024"/>
    <x v="61"/>
    <x v="984"/>
    <x v="0"/>
    <x v="0"/>
    <x v="249"/>
    <n v="1"/>
    <n v="344"/>
    <n v="344"/>
    <n v="367"/>
    <n v="367"/>
    <m/>
    <n v="55"/>
    <n v="422"/>
    <n v="422"/>
    <n v="0"/>
    <x v="16"/>
    <s v="true"/>
    <s v="true"/>
    <x v="0"/>
  </r>
  <r>
    <n v="349"/>
    <d v="2024-11-20T00:00:00"/>
    <s v="11/2024"/>
    <x v="61"/>
    <x v="444"/>
    <x v="0"/>
    <x v="0"/>
    <x v="246"/>
    <n v="1"/>
    <n v="932"/>
    <n v="932"/>
    <n v="992"/>
    <n v="992"/>
    <m/>
    <n v="149"/>
    <n v="1141"/>
    <n v="1141"/>
    <n v="0"/>
    <x v="16"/>
    <s v="true"/>
    <s v="true"/>
    <x v="0"/>
  </r>
  <r>
    <n v="350"/>
    <d v="2024-11-21T00:00:00"/>
    <s v="11/2024"/>
    <x v="90"/>
    <x v="985"/>
    <x v="0"/>
    <x v="0"/>
    <x v="250"/>
    <n v="1"/>
    <n v="4000"/>
    <n v="4000"/>
    <n v="4000"/>
    <n v="4000"/>
    <n v="234"/>
    <n v="600"/>
    <n v="4834"/>
    <n v="4834"/>
    <n v="0"/>
    <x v="19"/>
    <s v="true"/>
    <s v="true"/>
    <x v="0"/>
  </r>
  <r>
    <n v="320"/>
    <d v="2024-11-01T00:00:00"/>
    <s v="11/2024"/>
    <x v="26"/>
    <x v="257"/>
    <x v="0"/>
    <x v="114"/>
    <x v="244"/>
    <n v="1"/>
    <n v="9500"/>
    <n v="9500"/>
    <n v="9500"/>
    <n v="9500"/>
    <m/>
    <n v="950"/>
    <n v="950"/>
    <n v="950"/>
    <n v="0"/>
    <x v="20"/>
    <s v="true"/>
    <s v="true"/>
    <x v="0"/>
  </r>
  <r>
    <n v="351"/>
    <d v="2024-11-22T00:00:00"/>
    <s v="11/2024"/>
    <x v="19"/>
    <x v="257"/>
    <x v="0"/>
    <x v="115"/>
    <x v="248"/>
    <n v="1"/>
    <n v="4000"/>
    <n v="4000"/>
    <n v="4000"/>
    <n v="4000"/>
    <m/>
    <n v="600"/>
    <n v="600"/>
    <n v="600"/>
    <n v="0"/>
    <x v="20"/>
    <s v="true"/>
    <s v="true"/>
    <x v="0"/>
  </r>
  <r>
    <n v="338"/>
    <d v="2024-11-14T00:00:00"/>
    <s v="11/2024"/>
    <x v="35"/>
    <x v="986"/>
    <x v="0"/>
    <x v="0"/>
    <x v="251"/>
    <n v="1"/>
    <n v="414"/>
    <n v="414"/>
    <n v="443"/>
    <n v="443"/>
    <m/>
    <n v="66"/>
    <n v="509"/>
    <n v="509"/>
    <n v="0"/>
    <x v="15"/>
    <s v="true"/>
    <s v="true"/>
    <x v="0"/>
  </r>
  <r>
    <n v="335"/>
    <d v="2024-11-11T00:00:00"/>
    <s v="11/2024"/>
    <x v="24"/>
    <x v="987"/>
    <x v="0"/>
    <x v="0"/>
    <x v="248"/>
    <n v="1"/>
    <n v="322"/>
    <n v="322"/>
    <n v="322"/>
    <n v="322"/>
    <n v="69"/>
    <n v="48"/>
    <n v="439"/>
    <n v="439"/>
    <n v="0"/>
    <x v="22"/>
    <s v="true"/>
    <s v="true"/>
    <x v="0"/>
  </r>
  <r>
    <n v="352"/>
    <d v="2024-11-22T00:00:00"/>
    <s v="11/2024"/>
    <x v="79"/>
    <x v="73"/>
    <x v="0"/>
    <x v="0"/>
    <x v="248"/>
    <n v="1"/>
    <n v="1099"/>
    <n v="1099"/>
    <n v="1099"/>
    <n v="1099"/>
    <m/>
    <n v="200"/>
    <n v="200"/>
    <n v="200"/>
    <n v="0"/>
    <x v="15"/>
    <s v="true"/>
    <s v="true"/>
    <x v="0"/>
  </r>
  <r>
    <n v="353"/>
    <d v="2024-11-22T00:00:00"/>
    <s v="11/2024"/>
    <x v="74"/>
    <x v="73"/>
    <x v="0"/>
    <x v="0"/>
    <x v="248"/>
    <n v="1"/>
    <n v="9219"/>
    <n v="9219"/>
    <n v="9219"/>
    <n v="9219"/>
    <m/>
    <n v="1383"/>
    <n v="1383"/>
    <n v="1383"/>
    <n v="0"/>
    <x v="15"/>
    <s v="true"/>
    <s v="true"/>
    <x v="0"/>
  </r>
  <r>
    <n v="354"/>
    <d v="2024-11-22T00:00:00"/>
    <s v="11/2024"/>
    <x v="91"/>
    <x v="73"/>
    <x v="0"/>
    <x v="0"/>
    <x v="248"/>
    <n v="1"/>
    <n v="4808"/>
    <n v="4808"/>
    <n v="4808"/>
    <n v="4808"/>
    <m/>
    <n v="721"/>
    <n v="721"/>
    <n v="721"/>
    <n v="0"/>
    <x v="15"/>
    <s v="true"/>
    <s v="true"/>
    <x v="0"/>
  </r>
  <r>
    <n v="355"/>
    <d v="2024-11-24T00:00:00"/>
    <s v="11/2024"/>
    <x v="47"/>
    <x v="988"/>
    <x v="0"/>
    <x v="0"/>
    <x v="252"/>
    <n v="1"/>
    <n v="127"/>
    <n v="127"/>
    <n v="136"/>
    <n v="136"/>
    <m/>
    <n v="20"/>
    <n v="156"/>
    <n v="156"/>
    <n v="0"/>
    <x v="16"/>
    <s v="true"/>
    <s v="true"/>
    <x v="0"/>
  </r>
  <r>
    <n v="355"/>
    <d v="2024-11-24T00:00:00"/>
    <s v="11/2024"/>
    <x v="47"/>
    <x v="989"/>
    <x v="0"/>
    <x v="0"/>
    <x v="253"/>
    <n v="1"/>
    <n v="120"/>
    <n v="120"/>
    <n v="128"/>
    <n v="128"/>
    <m/>
    <n v="19"/>
    <n v="147"/>
    <n v="147"/>
    <n v="0"/>
    <x v="16"/>
    <s v="true"/>
    <s v="true"/>
    <x v="0"/>
  </r>
  <r>
    <n v="355"/>
    <d v="2024-11-24T00:00:00"/>
    <s v="11/2024"/>
    <x v="47"/>
    <x v="990"/>
    <x v="0"/>
    <x v="0"/>
    <x v="254"/>
    <n v="1"/>
    <n v="95"/>
    <n v="95"/>
    <n v="102"/>
    <n v="102"/>
    <m/>
    <n v="15"/>
    <n v="117"/>
    <n v="117"/>
    <n v="0"/>
    <x v="16"/>
    <s v="true"/>
    <s v="true"/>
    <x v="0"/>
  </r>
  <r>
    <n v="355"/>
    <d v="2024-11-24T00:00:00"/>
    <s v="11/2024"/>
    <x v="47"/>
    <x v="991"/>
    <x v="0"/>
    <x v="0"/>
    <x v="254"/>
    <n v="1"/>
    <n v="417"/>
    <n v="417"/>
    <n v="438"/>
    <n v="438"/>
    <m/>
    <n v="66"/>
    <n v="504"/>
    <n v="504"/>
    <n v="0"/>
    <x v="15"/>
    <s v="true"/>
    <s v="true"/>
    <x v="0"/>
  </r>
  <r>
    <n v="355"/>
    <d v="2024-11-24T00:00:00"/>
    <s v="11/2024"/>
    <x v="47"/>
    <x v="992"/>
    <x v="0"/>
    <x v="0"/>
    <x v="254"/>
    <n v="1"/>
    <n v="483"/>
    <n v="483"/>
    <n v="514"/>
    <n v="514"/>
    <m/>
    <n v="77"/>
    <n v="591"/>
    <n v="591"/>
    <n v="0"/>
    <x v="16"/>
    <s v="true"/>
    <s v="true"/>
    <x v="0"/>
  </r>
  <r>
    <n v="355"/>
    <d v="2024-11-24T00:00:00"/>
    <s v="11/2024"/>
    <x v="47"/>
    <x v="993"/>
    <x v="0"/>
    <x v="0"/>
    <x v="254"/>
    <n v="1"/>
    <n v="126"/>
    <n v="126"/>
    <n v="135"/>
    <n v="135"/>
    <m/>
    <n v="20"/>
    <n v="155"/>
    <n v="155"/>
    <n v="0"/>
    <x v="16"/>
    <s v="true"/>
    <s v="true"/>
    <x v="0"/>
  </r>
  <r>
    <n v="355"/>
    <d v="2024-11-24T00:00:00"/>
    <s v="11/2024"/>
    <x v="47"/>
    <x v="994"/>
    <x v="0"/>
    <x v="0"/>
    <x v="255"/>
    <n v="1"/>
    <n v="141"/>
    <n v="141"/>
    <n v="151"/>
    <n v="151"/>
    <m/>
    <n v="23"/>
    <n v="174"/>
    <n v="174"/>
    <n v="0"/>
    <x v="16"/>
    <s v="true"/>
    <s v="true"/>
    <x v="0"/>
  </r>
  <r>
    <n v="355"/>
    <d v="2024-11-24T00:00:00"/>
    <s v="11/2024"/>
    <x v="47"/>
    <x v="995"/>
    <x v="0"/>
    <x v="0"/>
    <x v="253"/>
    <n v="1"/>
    <n v="639"/>
    <n v="639"/>
    <n v="680"/>
    <n v="680"/>
    <m/>
    <n v="102"/>
    <n v="782"/>
    <n v="782"/>
    <n v="0"/>
    <x v="16"/>
    <s v="true"/>
    <s v="true"/>
    <x v="0"/>
  </r>
  <r>
    <n v="355"/>
    <d v="2024-11-24T00:00:00"/>
    <s v="11/2024"/>
    <x v="47"/>
    <x v="996"/>
    <x v="0"/>
    <x v="0"/>
    <x v="254"/>
    <n v="1"/>
    <n v="295"/>
    <n v="295"/>
    <n v="314"/>
    <n v="314"/>
    <m/>
    <n v="47"/>
    <n v="361"/>
    <n v="361"/>
    <n v="0"/>
    <x v="16"/>
    <s v="true"/>
    <s v="true"/>
    <x v="0"/>
  </r>
  <r>
    <n v="355"/>
    <d v="2024-11-24T00:00:00"/>
    <s v="11/2024"/>
    <x v="47"/>
    <x v="757"/>
    <x v="0"/>
    <x v="0"/>
    <x v="255"/>
    <n v="1"/>
    <n v="517"/>
    <n v="517"/>
    <n v="551"/>
    <n v="551"/>
    <m/>
    <n v="83"/>
    <n v="634"/>
    <n v="634"/>
    <n v="0"/>
    <x v="16"/>
    <s v="true"/>
    <s v="true"/>
    <x v="0"/>
  </r>
  <r>
    <n v="355"/>
    <d v="2024-11-24T00:00:00"/>
    <s v="11/2024"/>
    <x v="47"/>
    <x v="997"/>
    <x v="0"/>
    <x v="0"/>
    <x v="252"/>
    <n v="1"/>
    <n v="1264"/>
    <n v="1264"/>
    <n v="1345"/>
    <n v="1345"/>
    <m/>
    <n v="202"/>
    <n v="1547"/>
    <n v="1547"/>
    <n v="0"/>
    <x v="16"/>
    <s v="true"/>
    <s v="true"/>
    <x v="0"/>
  </r>
  <r>
    <n v="355"/>
    <d v="2024-11-24T00:00:00"/>
    <s v="11/2024"/>
    <x v="47"/>
    <x v="998"/>
    <x v="0"/>
    <x v="0"/>
    <x v="254"/>
    <n v="1"/>
    <n v="343"/>
    <n v="343"/>
    <n v="365"/>
    <n v="365"/>
    <m/>
    <n v="55"/>
    <n v="420"/>
    <n v="420"/>
    <n v="0"/>
    <x v="16"/>
    <s v="true"/>
    <s v="true"/>
    <x v="0"/>
  </r>
  <r>
    <n v="344"/>
    <d v="2024-11-16T00:00:00"/>
    <s v="11/2024"/>
    <x v="88"/>
    <x v="203"/>
    <x v="0"/>
    <x v="0"/>
    <x v="254"/>
    <n v="1"/>
    <n v="507"/>
    <n v="507"/>
    <n v="554"/>
    <n v="554"/>
    <m/>
    <n v="83"/>
    <n v="637"/>
    <n v="637"/>
    <n v="0"/>
    <x v="15"/>
    <s v="true"/>
    <s v="true"/>
    <x v="0"/>
  </r>
  <r>
    <n v="356"/>
    <d v="2024-11-26T00:00:00"/>
    <s v="11/2024"/>
    <x v="73"/>
    <x v="999"/>
    <x v="0"/>
    <x v="0"/>
    <x v="253"/>
    <n v="1"/>
    <n v="692"/>
    <n v="692"/>
    <n v="742"/>
    <n v="742"/>
    <m/>
    <n v="111"/>
    <n v="853"/>
    <n v="853"/>
    <n v="0"/>
    <x v="15"/>
    <s v="true"/>
    <s v="true"/>
    <x v="0"/>
  </r>
  <r>
    <n v="356"/>
    <d v="2024-11-26T00:00:00"/>
    <s v="11/2024"/>
    <x v="73"/>
    <x v="914"/>
    <x v="0"/>
    <x v="0"/>
    <x v="242"/>
    <n v="1"/>
    <n v="1310"/>
    <n v="1310"/>
    <n v="1407"/>
    <n v="1407"/>
    <m/>
    <n v="211"/>
    <n v="1618"/>
    <n v="1618"/>
    <n v="0"/>
    <x v="15"/>
    <s v="true"/>
    <s v="true"/>
    <x v="0"/>
  </r>
  <r>
    <n v="356"/>
    <d v="2024-11-26T00:00:00"/>
    <s v="11/2024"/>
    <x v="73"/>
    <x v="1000"/>
    <x v="0"/>
    <x v="0"/>
    <x v="253"/>
    <n v="1"/>
    <n v="631"/>
    <n v="631"/>
    <n v="676"/>
    <n v="676"/>
    <m/>
    <n v="101"/>
    <n v="777"/>
    <n v="777"/>
    <n v="0"/>
    <x v="15"/>
    <s v="true"/>
    <s v="true"/>
    <x v="0"/>
  </r>
  <r>
    <n v="357"/>
    <d v="2024-11-26T00:00:00"/>
    <s v="11/2024"/>
    <x v="92"/>
    <x v="1001"/>
    <x v="0"/>
    <x v="0"/>
    <x v="253"/>
    <n v="1"/>
    <n v="25227"/>
    <n v="25227"/>
    <n v="26472"/>
    <n v="26472"/>
    <m/>
    <n v="2647"/>
    <n v="29119"/>
    <n v="29119"/>
    <n v="0"/>
    <x v="15"/>
    <s v="true"/>
    <s v="true"/>
    <x v="0"/>
  </r>
  <r>
    <n v="358"/>
    <d v="2024-11-26T00:00:00"/>
    <s v="11/2024"/>
    <x v="83"/>
    <x v="1002"/>
    <x v="0"/>
    <x v="0"/>
    <x v="253"/>
    <n v="1"/>
    <n v="538"/>
    <n v="538"/>
    <n v="538"/>
    <n v="538"/>
    <m/>
    <n v="81"/>
    <n v="619"/>
    <n v="619"/>
    <n v="0"/>
    <x v="16"/>
    <s v="true"/>
    <s v="true"/>
    <x v="0"/>
  </r>
  <r>
    <n v="358"/>
    <d v="2024-11-26T00:00:00"/>
    <s v="11/2024"/>
    <x v="83"/>
    <x v="1003"/>
    <x v="0"/>
    <x v="0"/>
    <x v="253"/>
    <n v="1"/>
    <n v="789"/>
    <n v="789"/>
    <n v="789"/>
    <n v="789"/>
    <m/>
    <n v="118"/>
    <n v="907"/>
    <n v="907"/>
    <n v="0"/>
    <x v="16"/>
    <s v="true"/>
    <s v="true"/>
    <x v="0"/>
  </r>
  <r>
    <n v="358"/>
    <d v="2024-11-26T00:00:00"/>
    <s v="11/2024"/>
    <x v="83"/>
    <x v="1004"/>
    <x v="0"/>
    <x v="0"/>
    <x v="236"/>
    <n v="1"/>
    <n v="305"/>
    <n v="305"/>
    <n v="305"/>
    <n v="305"/>
    <m/>
    <n v="46"/>
    <n v="351"/>
    <n v="351"/>
    <n v="0"/>
    <x v="16"/>
    <s v="true"/>
    <s v="true"/>
    <x v="0"/>
  </r>
  <r>
    <n v="358"/>
    <d v="2024-11-26T00:00:00"/>
    <s v="11/2024"/>
    <x v="83"/>
    <x v="1005"/>
    <x v="0"/>
    <x v="0"/>
    <x v="250"/>
    <n v="1"/>
    <n v="193"/>
    <n v="193"/>
    <n v="193"/>
    <n v="193"/>
    <m/>
    <n v="29"/>
    <n v="222"/>
    <n v="222"/>
    <n v="0"/>
    <x v="16"/>
    <s v="true"/>
    <s v="true"/>
    <x v="0"/>
  </r>
  <r>
    <n v="358"/>
    <d v="2024-11-26T00:00:00"/>
    <s v="11/2024"/>
    <x v="83"/>
    <x v="996"/>
    <x v="0"/>
    <x v="0"/>
    <x v="253"/>
    <n v="1"/>
    <n v="463"/>
    <n v="463"/>
    <n v="463"/>
    <n v="463"/>
    <m/>
    <n v="69"/>
    <n v="532"/>
    <n v="532"/>
    <n v="0"/>
    <x v="16"/>
    <s v="true"/>
    <s v="true"/>
    <x v="0"/>
  </r>
  <r>
    <n v="358"/>
    <d v="2024-11-26T00:00:00"/>
    <s v="11/2024"/>
    <x v="83"/>
    <x v="1006"/>
    <x v="0"/>
    <x v="0"/>
    <x v="253"/>
    <n v="1"/>
    <n v="247"/>
    <n v="247"/>
    <n v="247"/>
    <n v="247"/>
    <m/>
    <n v="37"/>
    <n v="284"/>
    <n v="284"/>
    <n v="0"/>
    <x v="16"/>
    <s v="true"/>
    <s v="true"/>
    <x v="0"/>
  </r>
  <r>
    <n v="358"/>
    <d v="2024-11-26T00:00:00"/>
    <s v="11/2024"/>
    <x v="83"/>
    <x v="243"/>
    <x v="0"/>
    <x v="0"/>
    <x v="253"/>
    <n v="1"/>
    <n v="104"/>
    <n v="104"/>
    <n v="104"/>
    <n v="104"/>
    <m/>
    <n v="16"/>
    <n v="120"/>
    <n v="120"/>
    <n v="0"/>
    <x v="16"/>
    <s v="true"/>
    <s v="true"/>
    <x v="0"/>
  </r>
  <r>
    <n v="359"/>
    <d v="2024-11-28T00:00:00"/>
    <s v="11/2024"/>
    <x v="93"/>
    <x v="252"/>
    <x v="0"/>
    <x v="0"/>
    <x v="236"/>
    <n v="1"/>
    <n v="12620"/>
    <n v="12620"/>
    <n v="13285"/>
    <n v="13285"/>
    <m/>
    <n v="1329"/>
    <n v="14614"/>
    <n v="14614"/>
    <n v="0"/>
    <x v="16"/>
    <s v="true"/>
    <s v="true"/>
    <x v="0"/>
  </r>
  <r>
    <n v="360"/>
    <d v="2024-11-28T00:00:00"/>
    <s v="11/2024"/>
    <x v="34"/>
    <x v="551"/>
    <x v="0"/>
    <x v="0"/>
    <x v="242"/>
    <n v="1"/>
    <n v="1691"/>
    <n v="1691"/>
    <n v="1785"/>
    <n v="1785"/>
    <m/>
    <n v="179"/>
    <n v="1964"/>
    <n v="1964"/>
    <n v="0"/>
    <x v="15"/>
    <s v="true"/>
    <s v="true"/>
    <x v="0"/>
  </r>
  <r>
    <n v="360"/>
    <d v="2024-11-28T00:00:00"/>
    <s v="11/2024"/>
    <x v="34"/>
    <x v="1007"/>
    <x v="0"/>
    <x v="0"/>
    <x v="236"/>
    <n v="2"/>
    <n v="224"/>
    <n v="448"/>
    <n v="229"/>
    <n v="458"/>
    <m/>
    <n v="46"/>
    <n v="504"/>
    <n v="504"/>
    <n v="0"/>
    <x v="15"/>
    <s v="true"/>
    <s v="true"/>
    <x v="0"/>
  </r>
  <r>
    <n v="360"/>
    <d v="2024-11-28T00:00:00"/>
    <s v="11/2024"/>
    <x v="34"/>
    <x v="1008"/>
    <x v="0"/>
    <x v="0"/>
    <x v="236"/>
    <n v="1"/>
    <n v="399"/>
    <n v="399"/>
    <n v="423"/>
    <n v="423"/>
    <m/>
    <n v="42"/>
    <n v="465"/>
    <n v="465"/>
    <n v="0"/>
    <x v="15"/>
    <s v="true"/>
    <s v="true"/>
    <x v="0"/>
  </r>
  <r>
    <n v="360"/>
    <d v="2024-11-28T00:00:00"/>
    <s v="11/2024"/>
    <x v="34"/>
    <x v="75"/>
    <x v="0"/>
    <x v="0"/>
    <x v="242"/>
    <n v="1"/>
    <n v="815"/>
    <n v="815"/>
    <n v="861"/>
    <n v="861"/>
    <m/>
    <n v="86"/>
    <n v="947"/>
    <n v="947"/>
    <n v="0"/>
    <x v="15"/>
    <s v="true"/>
    <s v="true"/>
    <x v="0"/>
  </r>
  <r>
    <n v="360"/>
    <d v="2024-11-28T00:00:00"/>
    <s v="11/2024"/>
    <x v="34"/>
    <x v="1009"/>
    <x v="0"/>
    <x v="0"/>
    <x v="242"/>
    <n v="1"/>
    <n v="1066"/>
    <n v="1066"/>
    <n v="1099"/>
    <n v="1099"/>
    <m/>
    <n v="110"/>
    <n v="1209"/>
    <n v="1209"/>
    <n v="0"/>
    <x v="15"/>
    <s v="true"/>
    <s v="true"/>
    <x v="0"/>
  </r>
  <r>
    <n v="360"/>
    <d v="2024-11-28T00:00:00"/>
    <s v="11/2024"/>
    <x v="34"/>
    <x v="1010"/>
    <x v="0"/>
    <x v="0"/>
    <x v="242"/>
    <n v="1"/>
    <n v="341"/>
    <n v="341"/>
    <n v="348"/>
    <n v="348"/>
    <m/>
    <n v="35"/>
    <n v="383"/>
    <n v="383"/>
    <n v="0"/>
    <x v="15"/>
    <s v="true"/>
    <s v="true"/>
    <x v="0"/>
  </r>
  <r>
    <n v="360"/>
    <d v="2024-11-28T00:00:00"/>
    <s v="11/2024"/>
    <x v="34"/>
    <x v="1011"/>
    <x v="0"/>
    <x v="0"/>
    <x v="256"/>
    <n v="1"/>
    <n v="2408"/>
    <n v="2408"/>
    <n v="2581"/>
    <n v="2581"/>
    <m/>
    <n v="258"/>
    <n v="2839"/>
    <n v="2839"/>
    <n v="0"/>
    <x v="15"/>
    <s v="true"/>
    <s v="true"/>
    <x v="0"/>
  </r>
  <r>
    <n v="360"/>
    <d v="2024-11-28T00:00:00"/>
    <s v="11/2024"/>
    <x v="34"/>
    <x v="1012"/>
    <x v="0"/>
    <x v="0"/>
    <x v="236"/>
    <n v="1"/>
    <n v="244"/>
    <n v="244"/>
    <n v="249"/>
    <n v="249"/>
    <m/>
    <n v="25"/>
    <n v="274"/>
    <n v="274"/>
    <n v="0"/>
    <x v="15"/>
    <s v="true"/>
    <s v="true"/>
    <x v="0"/>
  </r>
  <r>
    <n v="360"/>
    <d v="2024-11-28T00:00:00"/>
    <s v="11/2024"/>
    <x v="34"/>
    <x v="1013"/>
    <x v="0"/>
    <x v="0"/>
    <x v="257"/>
    <n v="1"/>
    <n v="706"/>
    <n v="706"/>
    <n v="748"/>
    <n v="748"/>
    <m/>
    <n v="75"/>
    <n v="823"/>
    <n v="823"/>
    <n v="0"/>
    <x v="15"/>
    <s v="true"/>
    <s v="true"/>
    <x v="0"/>
  </r>
  <r>
    <n v="360"/>
    <d v="2024-11-28T00:00:00"/>
    <s v="11/2024"/>
    <x v="34"/>
    <x v="1014"/>
    <x v="0"/>
    <x v="0"/>
    <x v="258"/>
    <n v="1"/>
    <n v="372"/>
    <n v="372"/>
    <n v="403"/>
    <n v="403"/>
    <m/>
    <n v="40"/>
    <n v="443"/>
    <n v="443"/>
    <n v="0"/>
    <x v="15"/>
    <s v="true"/>
    <s v="true"/>
    <x v="0"/>
  </r>
  <r>
    <n v="360"/>
    <d v="2024-11-28T00:00:00"/>
    <s v="11/2024"/>
    <x v="34"/>
    <x v="1015"/>
    <x v="0"/>
    <x v="0"/>
    <x v="259"/>
    <n v="1"/>
    <n v="422"/>
    <n v="422"/>
    <n v="453"/>
    <n v="453"/>
    <m/>
    <n v="45"/>
    <n v="498"/>
    <n v="498"/>
    <n v="0"/>
    <x v="15"/>
    <s v="true"/>
    <s v="true"/>
    <x v="0"/>
  </r>
  <r>
    <n v="360"/>
    <d v="2024-11-28T00:00:00"/>
    <s v="11/2024"/>
    <x v="34"/>
    <x v="1016"/>
    <x v="0"/>
    <x v="0"/>
    <x v="236"/>
    <n v="1"/>
    <n v="624"/>
    <n v="624"/>
    <n v="644"/>
    <n v="644"/>
    <m/>
    <n v="64"/>
    <n v="708"/>
    <n v="708"/>
    <n v="0"/>
    <x v="15"/>
    <s v="true"/>
    <s v="true"/>
    <x v="0"/>
  </r>
  <r>
    <n v="361"/>
    <d v="2024-11-29T00:00:00"/>
    <s v="11/2024"/>
    <x v="91"/>
    <x v="73"/>
    <x v="0"/>
    <x v="0"/>
    <x v="250"/>
    <n v="1"/>
    <n v="23000"/>
    <n v="23000"/>
    <n v="23000"/>
    <n v="23000"/>
    <m/>
    <n v="2300"/>
    <n v="2300"/>
    <n v="2300"/>
    <n v="0"/>
    <x v="15"/>
    <s v="true"/>
    <s v="true"/>
    <x v="0"/>
  </r>
  <r>
    <n v="362"/>
    <d v="2024-11-29T00:00:00"/>
    <s v="11/2024"/>
    <x v="80"/>
    <x v="73"/>
    <x v="0"/>
    <x v="0"/>
    <x v="250"/>
    <n v="1"/>
    <n v="256"/>
    <n v="256"/>
    <n v="256"/>
    <n v="256"/>
    <m/>
    <n v="200"/>
    <n v="200"/>
    <n v="200"/>
    <n v="0"/>
    <x v="15"/>
    <s v="true"/>
    <s v="true"/>
    <x v="0"/>
  </r>
  <r>
    <n v="363"/>
    <d v="2024-11-29T00:00:00"/>
    <s v="11/2024"/>
    <x v="94"/>
    <x v="73"/>
    <x v="0"/>
    <x v="0"/>
    <x v="250"/>
    <n v="1"/>
    <n v="20470"/>
    <n v="20470"/>
    <n v="20470"/>
    <n v="20470"/>
    <m/>
    <n v="2047"/>
    <n v="2047"/>
    <n v="2047"/>
    <n v="0"/>
    <x v="15"/>
    <s v="true"/>
    <s v="true"/>
    <x v="0"/>
  </r>
  <r>
    <n v="364"/>
    <d v="2024-11-29T00:00:00"/>
    <s v="11/2024"/>
    <x v="95"/>
    <x v="73"/>
    <x v="0"/>
    <x v="0"/>
    <x v="250"/>
    <n v="1"/>
    <n v="4158"/>
    <n v="4158"/>
    <n v="4158"/>
    <n v="4158"/>
    <m/>
    <n v="624"/>
    <n v="624"/>
    <n v="624"/>
    <n v="0"/>
    <x v="15"/>
    <s v="true"/>
    <s v="true"/>
    <x v="0"/>
  </r>
  <r>
    <n v="365"/>
    <d v="2024-11-29T00:00:00"/>
    <s v="11/2024"/>
    <x v="73"/>
    <x v="1017"/>
    <x v="0"/>
    <x v="0"/>
    <x v="259"/>
    <n v="1"/>
    <n v="281"/>
    <n v="281"/>
    <n v="287"/>
    <n v="287"/>
    <m/>
    <n v="43"/>
    <n v="330"/>
    <n v="330"/>
    <n v="0"/>
    <x v="15"/>
    <s v="true"/>
    <s v="true"/>
    <x v="0"/>
  </r>
  <r>
    <n v="365"/>
    <d v="2024-11-29T00:00:00"/>
    <s v="11/2024"/>
    <x v="73"/>
    <x v="1018"/>
    <x v="0"/>
    <x v="0"/>
    <x v="259"/>
    <n v="1"/>
    <n v="350"/>
    <n v="350"/>
    <n v="357"/>
    <n v="357"/>
    <m/>
    <n v="54"/>
    <n v="411"/>
    <n v="411"/>
    <n v="0"/>
    <x v="15"/>
    <s v="true"/>
    <s v="true"/>
    <x v="0"/>
  </r>
  <r>
    <n v="365"/>
    <d v="2024-11-29T00:00:00"/>
    <s v="11/2024"/>
    <x v="73"/>
    <x v="1019"/>
    <x v="0"/>
    <x v="0"/>
    <x v="259"/>
    <n v="1"/>
    <n v="303"/>
    <n v="303"/>
    <n v="309"/>
    <n v="309"/>
    <m/>
    <n v="46"/>
    <n v="355"/>
    <n v="355"/>
    <n v="0"/>
    <x v="15"/>
    <s v="true"/>
    <s v="true"/>
    <x v="0"/>
  </r>
  <r>
    <n v="365"/>
    <d v="2024-11-29T00:00:00"/>
    <s v="11/2024"/>
    <x v="73"/>
    <x v="1020"/>
    <x v="0"/>
    <x v="0"/>
    <x v="257"/>
    <n v="1"/>
    <n v="1244"/>
    <n v="1244"/>
    <n v="1335"/>
    <n v="1335"/>
    <m/>
    <n v="200"/>
    <n v="1535"/>
    <n v="1535"/>
    <n v="0"/>
    <x v="15"/>
    <s v="true"/>
    <s v="true"/>
    <x v="0"/>
  </r>
  <r>
    <n v="365"/>
    <d v="2024-11-29T00:00:00"/>
    <s v="11/2024"/>
    <x v="73"/>
    <x v="1021"/>
    <x v="0"/>
    <x v="0"/>
    <x v="259"/>
    <n v="1"/>
    <n v="800"/>
    <n v="800"/>
    <n v="858"/>
    <n v="858"/>
    <m/>
    <n v="129"/>
    <n v="987"/>
    <n v="987"/>
    <n v="0"/>
    <x v="15"/>
    <s v="true"/>
    <s v="true"/>
    <x v="0"/>
  </r>
  <r>
    <n v="365"/>
    <d v="2024-11-29T00:00:00"/>
    <s v="11/2024"/>
    <x v="73"/>
    <x v="919"/>
    <x v="0"/>
    <x v="0"/>
    <x v="242"/>
    <n v="1"/>
    <n v="2852"/>
    <n v="2852"/>
    <n v="3059"/>
    <n v="3059"/>
    <m/>
    <n v="459"/>
    <n v="3518"/>
    <n v="3518"/>
    <n v="0"/>
    <x v="15"/>
    <s v="true"/>
    <s v="true"/>
    <x v="0"/>
  </r>
  <r>
    <n v="366"/>
    <d v="2024-11-29T00:00:00"/>
    <s v="11/2024"/>
    <x v="61"/>
    <x v="1022"/>
    <x v="0"/>
    <x v="0"/>
    <x v="259"/>
    <n v="1"/>
    <n v="1381"/>
    <n v="1381"/>
    <n v="1454"/>
    <n v="1454"/>
    <m/>
    <n v="145"/>
    <n v="1599"/>
    <n v="1599"/>
    <n v="0"/>
    <x v="16"/>
    <s v="true"/>
    <s v="true"/>
    <x v="0"/>
  </r>
  <r>
    <n v="366"/>
    <d v="2024-11-29T00:00:00"/>
    <s v="11/2024"/>
    <x v="61"/>
    <x v="213"/>
    <x v="0"/>
    <x v="0"/>
    <x v="251"/>
    <n v="1"/>
    <n v="598"/>
    <n v="598"/>
    <n v="630"/>
    <n v="630"/>
    <m/>
    <n v="63"/>
    <n v="693"/>
    <n v="693"/>
    <n v="0"/>
    <x v="16"/>
    <s v="true"/>
    <s v="true"/>
    <x v="0"/>
  </r>
  <r>
    <n v="366"/>
    <d v="2024-11-29T00:00:00"/>
    <s v="11/2024"/>
    <x v="61"/>
    <x v="1023"/>
    <x v="0"/>
    <x v="0"/>
    <x v="260"/>
    <n v="1"/>
    <n v="907"/>
    <n v="907"/>
    <n v="955"/>
    <n v="955"/>
    <m/>
    <n v="96"/>
    <n v="1051"/>
    <n v="1051"/>
    <n v="0"/>
    <x v="16"/>
    <s v="true"/>
    <s v="true"/>
    <x v="0"/>
  </r>
  <r>
    <n v="366"/>
    <d v="2024-11-29T00:00:00"/>
    <s v="11/2024"/>
    <x v="61"/>
    <x v="1024"/>
    <x v="0"/>
    <x v="0"/>
    <x v="251"/>
    <n v="1"/>
    <n v="508"/>
    <n v="508"/>
    <n v="535"/>
    <n v="535"/>
    <m/>
    <n v="54"/>
    <n v="589"/>
    <n v="589"/>
    <n v="0"/>
    <x v="16"/>
    <s v="true"/>
    <s v="true"/>
    <x v="0"/>
  </r>
  <r>
    <n v="366"/>
    <d v="2024-11-29T00:00:00"/>
    <s v="11/2024"/>
    <x v="61"/>
    <x v="1025"/>
    <x v="0"/>
    <x v="0"/>
    <x v="257"/>
    <n v="1"/>
    <n v="230"/>
    <n v="230"/>
    <n v="243"/>
    <n v="243"/>
    <m/>
    <n v="24"/>
    <n v="267"/>
    <n v="267"/>
    <n v="0"/>
    <x v="16"/>
    <s v="true"/>
    <s v="true"/>
    <x v="0"/>
  </r>
  <r>
    <n v="366"/>
    <d v="2024-11-29T00:00:00"/>
    <s v="11/2024"/>
    <x v="61"/>
    <x v="1026"/>
    <x v="0"/>
    <x v="0"/>
    <x v="242"/>
    <n v="1"/>
    <n v="835"/>
    <n v="835"/>
    <n v="879"/>
    <n v="879"/>
    <m/>
    <n v="88"/>
    <n v="967"/>
    <n v="967"/>
    <n v="0"/>
    <x v="16"/>
    <s v="true"/>
    <s v="true"/>
    <x v="0"/>
  </r>
  <r>
    <n v="366"/>
    <d v="2024-11-29T00:00:00"/>
    <s v="11/2024"/>
    <x v="61"/>
    <x v="1027"/>
    <x v="0"/>
    <x v="0"/>
    <x v="251"/>
    <n v="1"/>
    <n v="284"/>
    <n v="284"/>
    <n v="299"/>
    <n v="299"/>
    <m/>
    <n v="30"/>
    <n v="329"/>
    <n v="329"/>
    <n v="0"/>
    <x v="16"/>
    <s v="true"/>
    <s v="true"/>
    <x v="0"/>
  </r>
  <r>
    <n v="366"/>
    <d v="2024-11-29T00:00:00"/>
    <s v="11/2024"/>
    <x v="61"/>
    <x v="1028"/>
    <x v="0"/>
    <x v="0"/>
    <x v="251"/>
    <n v="1"/>
    <n v="133"/>
    <n v="133"/>
    <n v="140"/>
    <n v="140"/>
    <m/>
    <n v="14"/>
    <n v="154"/>
    <n v="154"/>
    <n v="0"/>
    <x v="16"/>
    <s v="true"/>
    <s v="true"/>
    <x v="0"/>
  </r>
  <r>
    <n v="366"/>
    <d v="2024-11-29T00:00:00"/>
    <s v="11/2024"/>
    <x v="61"/>
    <x v="1028"/>
    <x v="0"/>
    <x v="0"/>
    <x v="251"/>
    <n v="1"/>
    <n v="149"/>
    <n v="149"/>
    <n v="157"/>
    <n v="157"/>
    <m/>
    <n v="16"/>
    <n v="173"/>
    <n v="173"/>
    <n v="0"/>
    <x v="16"/>
    <s v="true"/>
    <s v="true"/>
    <x v="0"/>
  </r>
  <r>
    <n v="366"/>
    <d v="2024-11-29T00:00:00"/>
    <s v="11/2024"/>
    <x v="61"/>
    <x v="1029"/>
    <x v="0"/>
    <x v="0"/>
    <x v="257"/>
    <n v="1"/>
    <n v="475"/>
    <n v="475"/>
    <n v="501"/>
    <n v="501"/>
    <m/>
    <n v="50"/>
    <n v="551"/>
    <n v="551"/>
    <n v="0"/>
    <x v="16"/>
    <s v="true"/>
    <s v="true"/>
    <x v="0"/>
  </r>
  <r>
    <n v="366"/>
    <d v="2024-11-29T00:00:00"/>
    <s v="11/2024"/>
    <x v="61"/>
    <x v="1030"/>
    <x v="0"/>
    <x v="0"/>
    <x v="251"/>
    <n v="1"/>
    <n v="1522"/>
    <n v="1522"/>
    <n v="1603"/>
    <n v="1603"/>
    <m/>
    <n v="160"/>
    <n v="1763"/>
    <n v="1763"/>
    <n v="0"/>
    <x v="16"/>
    <s v="true"/>
    <s v="true"/>
    <x v="0"/>
  </r>
  <r>
    <n v="366"/>
    <d v="2024-11-29T00:00:00"/>
    <s v="11/2024"/>
    <x v="61"/>
    <x v="1031"/>
    <x v="0"/>
    <x v="0"/>
    <x v="251"/>
    <n v="1"/>
    <n v="849"/>
    <n v="849"/>
    <n v="894"/>
    <n v="894"/>
    <m/>
    <n v="89"/>
    <n v="983"/>
    <n v="983"/>
    <n v="0"/>
    <x v="16"/>
    <s v="true"/>
    <s v="true"/>
    <x v="0"/>
  </r>
  <r>
    <n v="366"/>
    <d v="2024-11-29T00:00:00"/>
    <s v="11/2024"/>
    <x v="61"/>
    <x v="1032"/>
    <x v="0"/>
    <x v="0"/>
    <x v="251"/>
    <n v="1"/>
    <n v="1799"/>
    <n v="1799"/>
    <n v="1894"/>
    <n v="1894"/>
    <m/>
    <n v="189"/>
    <n v="2083"/>
    <n v="2083"/>
    <n v="0"/>
    <x v="16"/>
    <s v="true"/>
    <s v="true"/>
    <x v="0"/>
  </r>
  <r>
    <n v="366"/>
    <d v="2024-11-29T00:00:00"/>
    <s v="11/2024"/>
    <x v="61"/>
    <x v="1033"/>
    <x v="0"/>
    <x v="0"/>
    <x v="261"/>
    <n v="1"/>
    <n v="203"/>
    <n v="203"/>
    <n v="214"/>
    <n v="214"/>
    <m/>
    <n v="21"/>
    <n v="235"/>
    <n v="235"/>
    <n v="0"/>
    <x v="16"/>
    <s v="true"/>
    <s v="true"/>
    <x v="0"/>
  </r>
  <r>
    <n v="366"/>
    <d v="2024-11-29T00:00:00"/>
    <s v="11/2024"/>
    <x v="61"/>
    <x v="1034"/>
    <x v="0"/>
    <x v="0"/>
    <x v="256"/>
    <n v="1"/>
    <n v="73"/>
    <n v="73"/>
    <n v="77"/>
    <n v="77"/>
    <m/>
    <n v="8"/>
    <n v="85"/>
    <n v="85"/>
    <n v="0"/>
    <x v="16"/>
    <s v="true"/>
    <s v="true"/>
    <x v="0"/>
  </r>
  <r>
    <n v="366"/>
    <d v="2024-11-29T00:00:00"/>
    <s v="11/2024"/>
    <x v="61"/>
    <x v="1035"/>
    <x v="0"/>
    <x v="0"/>
    <x v="256"/>
    <n v="1"/>
    <n v="185"/>
    <n v="185"/>
    <n v="195"/>
    <n v="195"/>
    <m/>
    <n v="20"/>
    <n v="215"/>
    <n v="215"/>
    <n v="0"/>
    <x v="16"/>
    <s v="true"/>
    <s v="true"/>
    <x v="0"/>
  </r>
  <r>
    <n v="366"/>
    <d v="2024-11-29T00:00:00"/>
    <s v="11/2024"/>
    <x v="61"/>
    <x v="1036"/>
    <x v="0"/>
    <x v="0"/>
    <x v="262"/>
    <n v="2"/>
    <n v="551"/>
    <n v="1102"/>
    <n v="581"/>
    <n v="1162"/>
    <m/>
    <n v="116"/>
    <n v="1278"/>
    <n v="1278"/>
    <n v="0"/>
    <x v="16"/>
    <s v="true"/>
    <s v="true"/>
    <x v="0"/>
  </r>
  <r>
    <n v="367"/>
    <d v="2024-12-03T00:00:00"/>
    <s v="12/2024"/>
    <x v="83"/>
    <x v="1037"/>
    <x v="0"/>
    <x v="0"/>
    <x v="256"/>
    <n v="1"/>
    <n v="1424"/>
    <n v="1424"/>
    <n v="1499"/>
    <n v="1499"/>
    <m/>
    <n v="225"/>
    <n v="1724"/>
    <n v="1724"/>
    <n v="0"/>
    <x v="16"/>
    <s v="true"/>
    <s v="true"/>
    <x v="0"/>
  </r>
  <r>
    <n v="367"/>
    <d v="2024-12-03T00:00:00"/>
    <s v="12/2024"/>
    <x v="83"/>
    <x v="1008"/>
    <x v="0"/>
    <x v="0"/>
    <x v="256"/>
    <n v="1"/>
    <n v="382"/>
    <n v="382"/>
    <n v="403"/>
    <n v="403"/>
    <m/>
    <n v="60"/>
    <n v="463"/>
    <n v="463"/>
    <n v="0"/>
    <x v="16"/>
    <s v="true"/>
    <s v="true"/>
    <x v="0"/>
  </r>
  <r>
    <n v="367"/>
    <d v="2024-12-03T00:00:00"/>
    <s v="12/2024"/>
    <x v="83"/>
    <x v="891"/>
    <x v="0"/>
    <x v="0"/>
    <x v="256"/>
    <n v="1"/>
    <n v="464"/>
    <n v="464"/>
    <n v="489"/>
    <n v="489"/>
    <m/>
    <n v="73"/>
    <n v="562"/>
    <n v="562"/>
    <n v="0"/>
    <x v="16"/>
    <s v="true"/>
    <s v="true"/>
    <x v="0"/>
  </r>
  <r>
    <n v="367"/>
    <d v="2024-12-03T00:00:00"/>
    <s v="12/2024"/>
    <x v="83"/>
    <x v="1038"/>
    <x v="0"/>
    <x v="0"/>
    <x v="256"/>
    <n v="1"/>
    <n v="178"/>
    <n v="178"/>
    <n v="182"/>
    <n v="182"/>
    <m/>
    <n v="27"/>
    <n v="209"/>
    <n v="209"/>
    <n v="0"/>
    <x v="15"/>
    <s v="true"/>
    <s v="true"/>
    <x v="0"/>
  </r>
  <r>
    <n v="367"/>
    <d v="2024-12-03T00:00:00"/>
    <s v="12/2024"/>
    <x v="83"/>
    <x v="1039"/>
    <x v="0"/>
    <x v="0"/>
    <x v="256"/>
    <n v="1"/>
    <n v="151"/>
    <n v="151"/>
    <n v="159"/>
    <n v="159"/>
    <m/>
    <n v="24"/>
    <n v="183"/>
    <n v="183"/>
    <n v="0"/>
    <x v="16"/>
    <s v="true"/>
    <s v="true"/>
    <x v="0"/>
  </r>
  <r>
    <n v="367"/>
    <d v="2024-12-03T00:00:00"/>
    <s v="12/2024"/>
    <x v="83"/>
    <x v="1040"/>
    <x v="0"/>
    <x v="0"/>
    <x v="229"/>
    <n v="1"/>
    <n v="183"/>
    <n v="183"/>
    <n v="187"/>
    <n v="187"/>
    <m/>
    <n v="28"/>
    <n v="215"/>
    <n v="215"/>
    <n v="0"/>
    <x v="15"/>
    <s v="true"/>
    <s v="true"/>
    <x v="0"/>
  </r>
  <r>
    <n v="367"/>
    <d v="2024-12-03T00:00:00"/>
    <s v="12/2024"/>
    <x v="83"/>
    <x v="1041"/>
    <x v="0"/>
    <x v="0"/>
    <x v="229"/>
    <n v="1"/>
    <n v="282"/>
    <n v="282"/>
    <n v="297"/>
    <n v="297"/>
    <m/>
    <n v="45"/>
    <n v="342"/>
    <n v="342"/>
    <n v="0"/>
    <x v="16"/>
    <s v="true"/>
    <s v="true"/>
    <x v="0"/>
  </r>
  <r>
    <n v="367"/>
    <d v="2024-12-03T00:00:00"/>
    <s v="12/2024"/>
    <x v="83"/>
    <x v="1042"/>
    <x v="0"/>
    <x v="0"/>
    <x v="256"/>
    <n v="1"/>
    <n v="330"/>
    <n v="330"/>
    <n v="348"/>
    <n v="348"/>
    <m/>
    <n v="52"/>
    <n v="400"/>
    <n v="400"/>
    <n v="0"/>
    <x v="16"/>
    <s v="true"/>
    <s v="true"/>
    <x v="0"/>
  </r>
  <r>
    <n v="368"/>
    <d v="2024-12-03T00:00:00"/>
    <s v="12/2024"/>
    <x v="88"/>
    <x v="1043"/>
    <x v="0"/>
    <x v="0"/>
    <x v="256"/>
    <n v="1"/>
    <n v="1210"/>
    <n v="1210"/>
    <n v="1261"/>
    <n v="1261"/>
    <m/>
    <n v="189"/>
    <n v="1450"/>
    <n v="1450"/>
    <n v="0"/>
    <x v="15"/>
    <s v="true"/>
    <s v="true"/>
    <x v="0"/>
  </r>
  <r>
    <n v="368"/>
    <d v="2024-12-03T00:00:00"/>
    <s v="12/2024"/>
    <x v="88"/>
    <x v="1044"/>
    <x v="0"/>
    <x v="0"/>
    <x v="229"/>
    <n v="1"/>
    <n v="1418"/>
    <n v="1418"/>
    <n v="1477"/>
    <n v="1477"/>
    <m/>
    <n v="222"/>
    <n v="1699"/>
    <n v="1699"/>
    <n v="0"/>
    <x v="15"/>
    <s v="true"/>
    <s v="true"/>
    <x v="0"/>
  </r>
  <r>
    <n v="368"/>
    <d v="2024-12-03T00:00:00"/>
    <s v="12/2024"/>
    <x v="88"/>
    <x v="1045"/>
    <x v="0"/>
    <x v="0"/>
    <x v="256"/>
    <n v="1"/>
    <n v="1342"/>
    <n v="1342"/>
    <n v="1398"/>
    <n v="1398"/>
    <m/>
    <n v="210"/>
    <n v="1608"/>
    <n v="1608"/>
    <n v="0"/>
    <x v="15"/>
    <s v="true"/>
    <s v="true"/>
    <x v="0"/>
  </r>
  <r>
    <n v="366"/>
    <d v="2024-11-29T00:00:00"/>
    <s v="11/2024"/>
    <x v="61"/>
    <x v="615"/>
    <x v="0"/>
    <x v="0"/>
    <x v="256"/>
    <n v="1"/>
    <n v="676"/>
    <n v="676"/>
    <n v="712"/>
    <n v="712"/>
    <m/>
    <n v="71"/>
    <n v="783"/>
    <n v="783"/>
    <n v="0"/>
    <x v="16"/>
    <s v="true"/>
    <s v="true"/>
    <x v="0"/>
  </r>
  <r>
    <n v="366"/>
    <d v="2024-11-29T00:00:00"/>
    <s v="11/2024"/>
    <x v="61"/>
    <x v="1046"/>
    <x v="0"/>
    <x v="0"/>
    <x v="261"/>
    <n v="1"/>
    <n v="173"/>
    <n v="173"/>
    <n v="183"/>
    <n v="183"/>
    <m/>
    <n v="18"/>
    <n v="201"/>
    <n v="201"/>
    <n v="0"/>
    <x v="16"/>
    <s v="true"/>
    <s v="true"/>
    <x v="0"/>
  </r>
  <r>
    <n v="366"/>
    <d v="2024-11-29T00:00:00"/>
    <s v="11/2024"/>
    <x v="61"/>
    <x v="1047"/>
    <x v="0"/>
    <x v="0"/>
    <x v="256"/>
    <n v="1"/>
    <n v="670"/>
    <n v="670"/>
    <n v="706"/>
    <n v="706"/>
    <m/>
    <n v="71"/>
    <n v="777"/>
    <n v="777"/>
    <n v="0"/>
    <x v="16"/>
    <s v="true"/>
    <s v="true"/>
    <x v="0"/>
  </r>
  <r>
    <n v="366"/>
    <d v="2024-11-29T00:00:00"/>
    <s v="11/2024"/>
    <x v="61"/>
    <x v="1048"/>
    <x v="0"/>
    <x v="0"/>
    <x v="261"/>
    <n v="1"/>
    <n v="1466"/>
    <n v="1466"/>
    <n v="1544"/>
    <n v="1544"/>
    <m/>
    <n v="154"/>
    <n v="1698"/>
    <n v="1698"/>
    <n v="0"/>
    <x v="16"/>
    <s v="true"/>
    <s v="true"/>
    <x v="0"/>
  </r>
  <r>
    <n v="366"/>
    <d v="2024-11-29T00:00:00"/>
    <s v="11/2024"/>
    <x v="61"/>
    <x v="1049"/>
    <x v="0"/>
    <x v="0"/>
    <x v="261"/>
    <n v="1"/>
    <n v="434"/>
    <n v="434"/>
    <n v="457"/>
    <n v="457"/>
    <m/>
    <n v="46"/>
    <n v="503"/>
    <n v="503"/>
    <n v="0"/>
    <x v="16"/>
    <s v="true"/>
    <s v="true"/>
    <x v="0"/>
  </r>
  <r>
    <n v="366"/>
    <d v="2024-11-29T00:00:00"/>
    <s v="11/2024"/>
    <x v="61"/>
    <x v="1050"/>
    <x v="0"/>
    <x v="0"/>
    <x v="229"/>
    <n v="1"/>
    <n v="142"/>
    <n v="142"/>
    <n v="150"/>
    <n v="150"/>
    <m/>
    <n v="15"/>
    <n v="165"/>
    <n v="165"/>
    <n v="0"/>
    <x v="16"/>
    <s v="true"/>
    <s v="true"/>
    <x v="0"/>
  </r>
  <r>
    <n v="366"/>
    <d v="2024-11-29T00:00:00"/>
    <s v="11/2024"/>
    <x v="61"/>
    <x v="1051"/>
    <x v="0"/>
    <x v="0"/>
    <x v="256"/>
    <n v="1"/>
    <n v="769"/>
    <n v="769"/>
    <n v="810"/>
    <n v="810"/>
    <m/>
    <n v="81"/>
    <n v="891"/>
    <n v="891"/>
    <n v="0"/>
    <x v="16"/>
    <s v="true"/>
    <s v="true"/>
    <x v="0"/>
  </r>
  <r>
    <n v="369"/>
    <d v="2024-12-04T00:00:00"/>
    <s v="12/2024"/>
    <x v="1"/>
    <x v="551"/>
    <x v="0"/>
    <x v="0"/>
    <x v="261"/>
    <n v="1"/>
    <n v="1852"/>
    <n v="1852"/>
    <n v="1950"/>
    <n v="1950"/>
    <m/>
    <n v="195"/>
    <n v="2145"/>
    <n v="2145"/>
    <n v="0"/>
    <x v="16"/>
    <s v="true"/>
    <s v="true"/>
    <x v="0"/>
  </r>
  <r>
    <n v="369"/>
    <d v="2024-12-04T00:00:00"/>
    <s v="12/2024"/>
    <x v="1"/>
    <x v="817"/>
    <x v="0"/>
    <x v="0"/>
    <x v="261"/>
    <n v="1"/>
    <n v="744"/>
    <n v="744"/>
    <n v="784"/>
    <n v="784"/>
    <m/>
    <n v="78"/>
    <n v="862"/>
    <n v="862"/>
    <n v="0"/>
    <x v="16"/>
    <s v="true"/>
    <s v="true"/>
    <x v="0"/>
  </r>
  <r>
    <n v="369"/>
    <d v="2024-12-04T00:00:00"/>
    <s v="12/2024"/>
    <x v="1"/>
    <x v="1016"/>
    <x v="0"/>
    <x v="0"/>
    <x v="261"/>
    <n v="1"/>
    <n v="940"/>
    <n v="940"/>
    <n v="990"/>
    <n v="990"/>
    <m/>
    <n v="99"/>
    <n v="1089"/>
    <n v="1089"/>
    <n v="0"/>
    <x v="16"/>
    <s v="true"/>
    <s v="true"/>
    <x v="0"/>
  </r>
  <r>
    <n v="369"/>
    <d v="2024-12-04T00:00:00"/>
    <s v="12/2024"/>
    <x v="1"/>
    <x v="1052"/>
    <x v="0"/>
    <x v="0"/>
    <x v="261"/>
    <n v="1"/>
    <n v="342"/>
    <n v="342"/>
    <n v="360"/>
    <n v="360"/>
    <m/>
    <n v="36"/>
    <n v="396"/>
    <n v="396"/>
    <n v="0"/>
    <x v="16"/>
    <s v="true"/>
    <s v="true"/>
    <x v="0"/>
  </r>
  <r>
    <n v="369"/>
    <d v="2024-12-04T00:00:00"/>
    <s v="12/2024"/>
    <x v="1"/>
    <x v="1053"/>
    <x v="0"/>
    <x v="0"/>
    <x v="261"/>
    <n v="1"/>
    <n v="768"/>
    <n v="768"/>
    <n v="809"/>
    <n v="809"/>
    <m/>
    <n v="81"/>
    <n v="890"/>
    <n v="890"/>
    <n v="0"/>
    <x v="16"/>
    <s v="true"/>
    <s v="true"/>
    <x v="0"/>
  </r>
  <r>
    <n v="369"/>
    <d v="2024-12-04T00:00:00"/>
    <s v="12/2024"/>
    <x v="1"/>
    <x v="1054"/>
    <x v="0"/>
    <x v="0"/>
    <x v="261"/>
    <n v="1"/>
    <n v="2881"/>
    <n v="2881"/>
    <n v="3033"/>
    <n v="3033"/>
    <m/>
    <n v="303"/>
    <n v="3336"/>
    <n v="3336"/>
    <n v="0"/>
    <x v="16"/>
    <s v="true"/>
    <s v="true"/>
    <x v="0"/>
  </r>
  <r>
    <n v="370"/>
    <d v="2024-12-04T00:00:00"/>
    <s v="12/2024"/>
    <x v="35"/>
    <x v="1055"/>
    <x v="0"/>
    <x v="0"/>
    <x v="261"/>
    <n v="2"/>
    <n v="1553"/>
    <n v="3106"/>
    <n v="1665"/>
    <n v="3330"/>
    <m/>
    <n v="500"/>
    <n v="3830"/>
    <n v="3830"/>
    <n v="0"/>
    <x v="15"/>
    <s v="true"/>
    <s v="true"/>
    <x v="0"/>
  </r>
  <r>
    <n v="370"/>
    <d v="2024-12-04T00:00:00"/>
    <s v="12/2024"/>
    <x v="35"/>
    <x v="1056"/>
    <x v="0"/>
    <x v="0"/>
    <x v="262"/>
    <n v="2"/>
    <n v="262"/>
    <n v="524"/>
    <n v="267"/>
    <n v="534"/>
    <m/>
    <n v="80"/>
    <n v="614"/>
    <n v="614"/>
    <n v="0"/>
    <x v="15"/>
    <s v="true"/>
    <s v="true"/>
    <x v="0"/>
  </r>
  <r>
    <n v="370"/>
    <d v="2024-12-04T00:00:00"/>
    <s v="12/2024"/>
    <x v="35"/>
    <x v="1057"/>
    <x v="0"/>
    <x v="0"/>
    <x v="229"/>
    <n v="1"/>
    <n v="839"/>
    <n v="839"/>
    <n v="882"/>
    <n v="882"/>
    <m/>
    <n v="132"/>
    <n v="1014"/>
    <n v="1014"/>
    <n v="0"/>
    <x v="15"/>
    <s v="true"/>
    <s v="true"/>
    <x v="0"/>
  </r>
  <r>
    <n v="371"/>
    <d v="2024-12-06T00:00:00"/>
    <s v="12/2024"/>
    <x v="92"/>
    <x v="1058"/>
    <x v="0"/>
    <x v="0"/>
    <x v="262"/>
    <n v="1"/>
    <n v="21321"/>
    <n v="21321"/>
    <n v="22789"/>
    <n v="22789"/>
    <m/>
    <n v="2279"/>
    <n v="25068"/>
    <n v="25068"/>
    <n v="0"/>
    <x v="15"/>
    <s v="true"/>
    <s v="true"/>
    <x v="0"/>
  </r>
  <r>
    <n v="372"/>
    <d v="2024-12-06T00:00:00"/>
    <s v="12/2024"/>
    <x v="66"/>
    <x v="73"/>
    <x v="0"/>
    <x v="0"/>
    <x v="261"/>
    <n v="1"/>
    <n v="54592"/>
    <n v="54592"/>
    <n v="54592"/>
    <n v="54592"/>
    <m/>
    <n v="5459"/>
    <n v="5459"/>
    <n v="5459"/>
    <n v="0"/>
    <x v="15"/>
    <s v="true"/>
    <s v="true"/>
    <x v="0"/>
  </r>
  <r>
    <n v="373"/>
    <d v="2024-12-06T00:00:00"/>
    <s v="12/2024"/>
    <x v="64"/>
    <x v="73"/>
    <x v="0"/>
    <x v="0"/>
    <x v="261"/>
    <n v="1"/>
    <n v="2752"/>
    <n v="2752"/>
    <n v="2752"/>
    <n v="2752"/>
    <m/>
    <n v="413"/>
    <n v="413"/>
    <n v="413"/>
    <n v="0"/>
    <x v="15"/>
    <s v="true"/>
    <s v="true"/>
    <x v="0"/>
  </r>
  <r>
    <n v="374"/>
    <d v="2024-12-06T00:00:00"/>
    <s v="12/2024"/>
    <x v="91"/>
    <x v="73"/>
    <x v="0"/>
    <x v="0"/>
    <x v="261"/>
    <n v="1"/>
    <n v="6614"/>
    <n v="6614"/>
    <n v="6614"/>
    <n v="6614"/>
    <n v="200"/>
    <n v="992"/>
    <n v="1192"/>
    <n v="1192"/>
    <n v="0"/>
    <x v="15"/>
    <s v="true"/>
    <s v="true"/>
    <x v="0"/>
  </r>
  <r>
    <n v="375"/>
    <d v="2024-12-06T00:00:00"/>
    <s v="12/2024"/>
    <x v="95"/>
    <x v="73"/>
    <x v="0"/>
    <x v="0"/>
    <x v="261"/>
    <n v="1"/>
    <n v="3084"/>
    <n v="3084"/>
    <n v="3084"/>
    <n v="3084"/>
    <m/>
    <n v="463"/>
    <n v="463"/>
    <n v="463"/>
    <n v="0"/>
    <x v="15"/>
    <s v="true"/>
    <s v="true"/>
    <x v="0"/>
  </r>
  <r>
    <n v="376"/>
    <d v="2024-12-06T00:00:00"/>
    <s v="12/2024"/>
    <x v="35"/>
    <x v="1059"/>
    <x v="0"/>
    <x v="0"/>
    <x v="263"/>
    <n v="1"/>
    <n v="1810"/>
    <n v="1810"/>
    <n v="1945"/>
    <n v="1945"/>
    <m/>
    <n v="292"/>
    <n v="2237"/>
    <n v="2237"/>
    <n v="0"/>
    <x v="15"/>
    <s v="true"/>
    <s v="true"/>
    <x v="0"/>
  </r>
  <r>
    <n v="377"/>
    <d v="2024-12-06T00:00:00"/>
    <s v="12/2024"/>
    <x v="15"/>
    <x v="1060"/>
    <x v="0"/>
    <x v="116"/>
    <x v="264"/>
    <n v="1"/>
    <n v="1500"/>
    <n v="1500"/>
    <n v="1500"/>
    <n v="1500"/>
    <n v="1494"/>
    <n v="200"/>
    <n v="3194"/>
    <n v="3194"/>
    <n v="0"/>
    <x v="20"/>
    <s v="true"/>
    <s v="true"/>
    <x v="0"/>
  </r>
  <r>
    <n v="378"/>
    <d v="2024-12-06T00:00:00"/>
    <s v="12/2024"/>
    <x v="96"/>
    <x v="1034"/>
    <x v="0"/>
    <x v="0"/>
    <x v="265"/>
    <n v="1"/>
    <n v="409"/>
    <n v="409"/>
    <n v="439"/>
    <n v="439"/>
    <m/>
    <n v="66"/>
    <n v="505"/>
    <n v="505"/>
    <n v="0"/>
    <x v="15"/>
    <s v="true"/>
    <s v="true"/>
    <x v="0"/>
  </r>
  <r>
    <n v="378"/>
    <d v="2024-12-06T00:00:00"/>
    <s v="12/2024"/>
    <x v="96"/>
    <x v="919"/>
    <x v="0"/>
    <x v="0"/>
    <x v="229"/>
    <n v="1"/>
    <n v="998"/>
    <n v="998"/>
    <n v="1039"/>
    <n v="1039"/>
    <m/>
    <n v="156"/>
    <n v="1195"/>
    <n v="1195"/>
    <n v="0"/>
    <x v="15"/>
    <s v="true"/>
    <s v="true"/>
    <x v="0"/>
  </r>
  <r>
    <n v="378"/>
    <d v="2024-12-06T00:00:00"/>
    <s v="12/2024"/>
    <x v="96"/>
    <x v="1061"/>
    <x v="0"/>
    <x v="0"/>
    <x v="229"/>
    <n v="1"/>
    <n v="379"/>
    <n v="379"/>
    <n v="406"/>
    <n v="406"/>
    <m/>
    <n v="61"/>
    <n v="467"/>
    <n v="467"/>
    <n v="0"/>
    <x v="15"/>
    <s v="true"/>
    <s v="true"/>
    <x v="0"/>
  </r>
  <r>
    <n v="378"/>
    <d v="2024-12-06T00:00:00"/>
    <s v="12/2024"/>
    <x v="96"/>
    <x v="1062"/>
    <x v="0"/>
    <x v="0"/>
    <x v="265"/>
    <n v="1"/>
    <n v="290"/>
    <n v="290"/>
    <n v="296"/>
    <n v="296"/>
    <m/>
    <n v="44"/>
    <n v="340"/>
    <n v="340"/>
    <n v="0"/>
    <x v="15"/>
    <s v="true"/>
    <s v="true"/>
    <x v="0"/>
  </r>
  <r>
    <n v="378"/>
    <d v="2024-12-06T00:00:00"/>
    <s v="12/2024"/>
    <x v="96"/>
    <x v="1063"/>
    <x v="0"/>
    <x v="0"/>
    <x v="229"/>
    <n v="1"/>
    <n v="792"/>
    <n v="792"/>
    <n v="835"/>
    <n v="835"/>
    <m/>
    <n v="125"/>
    <n v="960"/>
    <n v="960"/>
    <n v="0"/>
    <x v="15"/>
    <s v="true"/>
    <s v="true"/>
    <x v="0"/>
  </r>
  <r>
    <n v="379"/>
    <d v="2024-12-06T00:00:00"/>
    <s v="12/2024"/>
    <x v="61"/>
    <x v="1047"/>
    <x v="0"/>
    <x v="0"/>
    <x v="262"/>
    <n v="1"/>
    <n v="710"/>
    <n v="710"/>
    <n v="748"/>
    <n v="748"/>
    <m/>
    <n v="112"/>
    <n v="860"/>
    <n v="860"/>
    <n v="0"/>
    <x v="16"/>
    <s v="true"/>
    <s v="true"/>
    <x v="0"/>
  </r>
  <r>
    <n v="379"/>
    <d v="2024-12-06T00:00:00"/>
    <s v="12/2024"/>
    <x v="61"/>
    <x v="1064"/>
    <x v="0"/>
    <x v="0"/>
    <x v="266"/>
    <n v="1"/>
    <n v="441"/>
    <n v="441"/>
    <n v="465"/>
    <n v="465"/>
    <m/>
    <n v="70"/>
    <n v="535"/>
    <n v="535"/>
    <n v="0"/>
    <x v="16"/>
    <s v="true"/>
    <s v="true"/>
    <x v="0"/>
  </r>
  <r>
    <n v="379"/>
    <d v="2024-12-06T00:00:00"/>
    <s v="12/2024"/>
    <x v="61"/>
    <x v="1065"/>
    <x v="0"/>
    <x v="0"/>
    <x v="238"/>
    <n v="1"/>
    <n v="335"/>
    <n v="335"/>
    <n v="353"/>
    <n v="353"/>
    <m/>
    <n v="53"/>
    <n v="406"/>
    <n v="406"/>
    <n v="0"/>
    <x v="16"/>
    <s v="true"/>
    <s v="true"/>
    <x v="0"/>
  </r>
  <r>
    <n v="379"/>
    <d v="2024-12-06T00:00:00"/>
    <s v="12/2024"/>
    <x v="61"/>
    <x v="1066"/>
    <x v="0"/>
    <x v="0"/>
    <x v="262"/>
    <n v="1"/>
    <n v="418"/>
    <n v="418"/>
    <n v="441"/>
    <n v="441"/>
    <m/>
    <n v="66"/>
    <n v="507"/>
    <n v="507"/>
    <n v="0"/>
    <x v="16"/>
    <s v="true"/>
    <s v="true"/>
    <x v="0"/>
  </r>
  <r>
    <n v="379"/>
    <d v="2024-12-06T00:00:00"/>
    <s v="12/2024"/>
    <x v="61"/>
    <x v="1067"/>
    <x v="0"/>
    <x v="0"/>
    <x v="260"/>
    <n v="1"/>
    <n v="353"/>
    <n v="353"/>
    <n v="372"/>
    <n v="372"/>
    <m/>
    <n v="56"/>
    <n v="428"/>
    <n v="428"/>
    <n v="0"/>
    <x v="16"/>
    <s v="true"/>
    <s v="true"/>
    <x v="0"/>
  </r>
  <r>
    <n v="380"/>
    <d v="2024-12-08T00:00:00"/>
    <s v="12/2024"/>
    <x v="47"/>
    <x v="1068"/>
    <x v="0"/>
    <x v="0"/>
    <x v="260"/>
    <n v="1"/>
    <n v="234"/>
    <n v="234"/>
    <n v="247"/>
    <n v="247"/>
    <m/>
    <n v="37"/>
    <n v="284"/>
    <n v="284"/>
    <n v="0"/>
    <x v="16"/>
    <s v="true"/>
    <s v="true"/>
    <x v="0"/>
  </r>
  <r>
    <n v="380"/>
    <d v="2024-12-08T00:00:00"/>
    <s v="12/2024"/>
    <x v="47"/>
    <x v="1069"/>
    <x v="0"/>
    <x v="0"/>
    <x v="238"/>
    <n v="1"/>
    <n v="305"/>
    <n v="305"/>
    <n v="322"/>
    <n v="322"/>
    <m/>
    <n v="48"/>
    <n v="370"/>
    <n v="370"/>
    <n v="0"/>
    <x v="16"/>
    <s v="true"/>
    <s v="true"/>
    <x v="0"/>
  </r>
  <r>
    <n v="380"/>
    <d v="2024-12-08T00:00:00"/>
    <s v="12/2024"/>
    <x v="47"/>
    <x v="1070"/>
    <x v="0"/>
    <x v="0"/>
    <x v="266"/>
    <n v="1"/>
    <n v="169"/>
    <n v="169"/>
    <n v="172"/>
    <n v="172"/>
    <m/>
    <n v="26"/>
    <n v="198"/>
    <n v="198"/>
    <n v="0"/>
    <x v="15"/>
    <s v="true"/>
    <s v="true"/>
    <x v="0"/>
  </r>
  <r>
    <n v="380"/>
    <d v="2024-12-08T00:00:00"/>
    <s v="12/2024"/>
    <x v="47"/>
    <x v="1071"/>
    <x v="0"/>
    <x v="0"/>
    <x v="238"/>
    <n v="1"/>
    <n v="145"/>
    <n v="145"/>
    <n v="148"/>
    <n v="148"/>
    <m/>
    <n v="22"/>
    <n v="170"/>
    <n v="170"/>
    <n v="0"/>
    <x v="15"/>
    <s v="true"/>
    <s v="true"/>
    <x v="0"/>
  </r>
  <r>
    <n v="380"/>
    <d v="2024-12-08T00:00:00"/>
    <s v="12/2024"/>
    <x v="47"/>
    <x v="66"/>
    <x v="0"/>
    <x v="0"/>
    <x v="260"/>
    <n v="1"/>
    <n v="159"/>
    <n v="159"/>
    <n v="162"/>
    <n v="162"/>
    <m/>
    <n v="24"/>
    <n v="186"/>
    <n v="186"/>
    <n v="0"/>
    <x v="15"/>
    <s v="true"/>
    <s v="true"/>
    <x v="0"/>
  </r>
  <r>
    <n v="380"/>
    <d v="2024-12-08T00:00:00"/>
    <s v="12/2024"/>
    <x v="47"/>
    <x v="1072"/>
    <x v="0"/>
    <x v="0"/>
    <x v="267"/>
    <n v="1"/>
    <n v="97"/>
    <n v="97"/>
    <n v="100"/>
    <n v="100"/>
    <m/>
    <n v="15"/>
    <n v="115"/>
    <n v="115"/>
    <n v="0"/>
    <x v="15"/>
    <s v="true"/>
    <s v="true"/>
    <x v="0"/>
  </r>
  <r>
    <n v="380"/>
    <d v="2024-12-08T00:00:00"/>
    <s v="12/2024"/>
    <x v="47"/>
    <x v="1073"/>
    <x v="0"/>
    <x v="0"/>
    <x v="260"/>
    <n v="1"/>
    <n v="259"/>
    <n v="259"/>
    <n v="273"/>
    <n v="273"/>
    <m/>
    <n v="41"/>
    <n v="314"/>
    <n v="314"/>
    <n v="0"/>
    <x v="16"/>
    <s v="true"/>
    <s v="true"/>
    <x v="0"/>
  </r>
  <r>
    <n v="380"/>
    <d v="2024-12-08T00:00:00"/>
    <s v="12/2024"/>
    <x v="47"/>
    <x v="1074"/>
    <x v="0"/>
    <x v="0"/>
    <x v="266"/>
    <n v="1"/>
    <n v="162"/>
    <n v="162"/>
    <n v="171"/>
    <n v="171"/>
    <m/>
    <n v="26"/>
    <n v="197"/>
    <n v="197"/>
    <n v="0"/>
    <x v="16"/>
    <s v="true"/>
    <s v="true"/>
    <x v="0"/>
  </r>
  <r>
    <n v="380"/>
    <d v="2024-12-08T00:00:00"/>
    <s v="12/2024"/>
    <x v="47"/>
    <x v="1075"/>
    <x v="0"/>
    <x v="0"/>
    <x v="238"/>
    <n v="1"/>
    <n v="693"/>
    <n v="693"/>
    <n v="730"/>
    <n v="730"/>
    <m/>
    <n v="110"/>
    <n v="840"/>
    <n v="840"/>
    <n v="0"/>
    <x v="16"/>
    <s v="true"/>
    <s v="true"/>
    <x v="0"/>
  </r>
  <r>
    <n v="380"/>
    <d v="2024-12-08T00:00:00"/>
    <s v="12/2024"/>
    <x v="47"/>
    <x v="698"/>
    <x v="0"/>
    <x v="0"/>
    <x v="266"/>
    <n v="1"/>
    <n v="331"/>
    <n v="331"/>
    <n v="349"/>
    <n v="349"/>
    <m/>
    <n v="52"/>
    <n v="401"/>
    <n v="401"/>
    <n v="0"/>
    <x v="16"/>
    <s v="true"/>
    <s v="true"/>
    <x v="0"/>
  </r>
  <r>
    <n v="380"/>
    <d v="2024-12-08T00:00:00"/>
    <s v="12/2024"/>
    <x v="47"/>
    <x v="1076"/>
    <x v="0"/>
    <x v="0"/>
    <x v="238"/>
    <n v="1"/>
    <n v="128"/>
    <n v="128"/>
    <n v="135"/>
    <n v="135"/>
    <m/>
    <n v="20"/>
    <n v="155"/>
    <n v="155"/>
    <n v="0"/>
    <x v="16"/>
    <s v="true"/>
    <s v="true"/>
    <x v="0"/>
  </r>
  <r>
    <n v="380"/>
    <d v="2024-12-08T00:00:00"/>
    <s v="12/2024"/>
    <x v="47"/>
    <x v="81"/>
    <x v="0"/>
    <x v="0"/>
    <x v="266"/>
    <n v="1"/>
    <n v="435"/>
    <n v="435"/>
    <n v="458"/>
    <n v="458"/>
    <m/>
    <n v="69"/>
    <n v="527"/>
    <n v="527"/>
    <n v="0"/>
    <x v="16"/>
    <s v="true"/>
    <s v="true"/>
    <x v="0"/>
  </r>
  <r>
    <n v="380"/>
    <d v="2024-12-08T00:00:00"/>
    <s v="12/2024"/>
    <x v="47"/>
    <x v="1077"/>
    <x v="0"/>
    <x v="0"/>
    <x v="260"/>
    <n v="1"/>
    <n v="191"/>
    <n v="191"/>
    <n v="202"/>
    <n v="202"/>
    <m/>
    <n v="30"/>
    <n v="232"/>
    <n v="232"/>
    <n v="0"/>
    <x v="16"/>
    <s v="true"/>
    <s v="true"/>
    <x v="0"/>
  </r>
  <r>
    <n v="380"/>
    <d v="2024-12-08T00:00:00"/>
    <s v="12/2024"/>
    <x v="47"/>
    <x v="1078"/>
    <x v="0"/>
    <x v="0"/>
    <x v="268"/>
    <n v="1"/>
    <n v="342"/>
    <n v="342"/>
    <n v="360"/>
    <n v="360"/>
    <m/>
    <n v="54"/>
    <n v="414"/>
    <n v="414"/>
    <n v="0"/>
    <x v="16"/>
    <s v="true"/>
    <s v="true"/>
    <x v="0"/>
  </r>
  <r>
    <n v="380"/>
    <d v="2024-12-08T00:00:00"/>
    <s v="12/2024"/>
    <x v="47"/>
    <x v="1079"/>
    <x v="0"/>
    <x v="0"/>
    <x v="264"/>
    <n v="1"/>
    <n v="288"/>
    <n v="288"/>
    <n v="304"/>
    <n v="304"/>
    <m/>
    <n v="46"/>
    <n v="350"/>
    <n v="350"/>
    <n v="0"/>
    <x v="16"/>
    <s v="true"/>
    <s v="true"/>
    <x v="0"/>
  </r>
  <r>
    <n v="380"/>
    <d v="2024-12-08T00:00:00"/>
    <s v="12/2024"/>
    <x v="47"/>
    <x v="1080"/>
    <x v="0"/>
    <x v="0"/>
    <x v="238"/>
    <n v="1"/>
    <n v="634"/>
    <n v="634"/>
    <n v="668"/>
    <n v="668"/>
    <m/>
    <n v="100"/>
    <n v="768"/>
    <n v="768"/>
    <n v="0"/>
    <x v="16"/>
    <s v="true"/>
    <s v="true"/>
    <x v="0"/>
  </r>
  <r>
    <n v="379"/>
    <d v="2024-12-06T00:00:00"/>
    <s v="12/2024"/>
    <x v="61"/>
    <x v="1081"/>
    <x v="0"/>
    <x v="0"/>
    <x v="238"/>
    <n v="1"/>
    <n v="243"/>
    <n v="243"/>
    <n v="256"/>
    <n v="256"/>
    <m/>
    <n v="38"/>
    <n v="294"/>
    <n v="294"/>
    <n v="0"/>
    <x v="16"/>
    <s v="true"/>
    <s v="true"/>
    <x v="0"/>
  </r>
  <r>
    <n v="379"/>
    <d v="2024-12-06T00:00:00"/>
    <s v="12/2024"/>
    <x v="61"/>
    <x v="1082"/>
    <x v="0"/>
    <x v="0"/>
    <x v="264"/>
    <n v="1"/>
    <n v="188"/>
    <n v="188"/>
    <n v="198"/>
    <n v="198"/>
    <m/>
    <n v="30"/>
    <n v="228"/>
    <n v="228"/>
    <n v="0"/>
    <x v="16"/>
    <s v="true"/>
    <s v="true"/>
    <x v="0"/>
  </r>
  <r>
    <n v="381"/>
    <d v="2024-12-08T00:00:00"/>
    <s v="12/2024"/>
    <x v="1"/>
    <x v="813"/>
    <x v="0"/>
    <x v="0"/>
    <x v="238"/>
    <n v="1"/>
    <n v="433"/>
    <n v="433"/>
    <n v="456"/>
    <n v="456"/>
    <m/>
    <n v="46"/>
    <n v="502"/>
    <n v="502"/>
    <n v="0"/>
    <x v="16"/>
    <s v="true"/>
    <s v="true"/>
    <x v="0"/>
  </r>
  <r>
    <n v="381"/>
    <d v="2024-12-08T00:00:00"/>
    <s v="12/2024"/>
    <x v="1"/>
    <x v="813"/>
    <x v="0"/>
    <x v="0"/>
    <x v="266"/>
    <n v="1"/>
    <n v="413"/>
    <n v="413"/>
    <n v="435"/>
    <n v="435"/>
    <m/>
    <n v="44"/>
    <n v="479"/>
    <n v="479"/>
    <n v="0"/>
    <x v="16"/>
    <s v="true"/>
    <s v="true"/>
    <x v="0"/>
  </r>
  <r>
    <n v="381"/>
    <d v="2024-12-08T00:00:00"/>
    <s v="12/2024"/>
    <x v="1"/>
    <x v="813"/>
    <x v="0"/>
    <x v="0"/>
    <x v="266"/>
    <n v="1"/>
    <n v="413"/>
    <n v="413"/>
    <n v="435"/>
    <n v="435"/>
    <m/>
    <n v="44"/>
    <n v="479"/>
    <n v="479"/>
    <n v="0"/>
    <x v="16"/>
    <s v="true"/>
    <s v="true"/>
    <x v="0"/>
  </r>
  <r>
    <n v="381"/>
    <d v="2024-12-08T00:00:00"/>
    <s v="12/2024"/>
    <x v="1"/>
    <x v="933"/>
    <x v="0"/>
    <x v="0"/>
    <x v="266"/>
    <n v="1"/>
    <n v="247"/>
    <n v="247"/>
    <n v="261"/>
    <n v="261"/>
    <m/>
    <n v="26"/>
    <n v="287"/>
    <n v="287"/>
    <n v="0"/>
    <x v="16"/>
    <s v="true"/>
    <s v="true"/>
    <x v="0"/>
  </r>
  <r>
    <n v="381"/>
    <d v="2024-12-08T00:00:00"/>
    <s v="12/2024"/>
    <x v="1"/>
    <x v="1083"/>
    <x v="0"/>
    <x v="0"/>
    <x v="238"/>
    <n v="1"/>
    <n v="458"/>
    <n v="458"/>
    <n v="483"/>
    <n v="483"/>
    <m/>
    <n v="48"/>
    <n v="531"/>
    <n v="531"/>
    <n v="0"/>
    <x v="16"/>
    <s v="true"/>
    <s v="true"/>
    <x v="0"/>
  </r>
  <r>
    <n v="381"/>
    <d v="2024-12-08T00:00:00"/>
    <s v="12/2024"/>
    <x v="1"/>
    <x v="817"/>
    <x v="0"/>
    <x v="0"/>
    <x v="266"/>
    <n v="1"/>
    <n v="661"/>
    <n v="661"/>
    <n v="696"/>
    <n v="696"/>
    <m/>
    <n v="70"/>
    <n v="766"/>
    <n v="766"/>
    <n v="0"/>
    <x v="16"/>
    <s v="true"/>
    <s v="true"/>
    <x v="0"/>
  </r>
  <r>
    <n v="382"/>
    <d v="2024-12-09T00:00:00"/>
    <s v="12/2024"/>
    <x v="24"/>
    <x v="1084"/>
    <x v="0"/>
    <x v="0"/>
    <x v="260"/>
    <n v="1"/>
    <n v="767"/>
    <n v="767"/>
    <n v="828"/>
    <n v="828"/>
    <m/>
    <n v="83"/>
    <n v="911"/>
    <n v="911"/>
    <n v="0"/>
    <x v="15"/>
    <s v="true"/>
    <s v="true"/>
    <x v="0"/>
  </r>
  <r>
    <n v="382"/>
    <d v="2024-12-09T00:00:00"/>
    <s v="12/2024"/>
    <x v="24"/>
    <x v="940"/>
    <x v="0"/>
    <x v="117"/>
    <x v="269"/>
    <n v="4"/>
    <n v="726"/>
    <n v="2904"/>
    <n v="738"/>
    <n v="2952"/>
    <m/>
    <n v="295"/>
    <n v="3247"/>
    <n v="3247"/>
    <n v="0"/>
    <x v="15"/>
    <s v="true"/>
    <s v="true"/>
    <x v="0"/>
  </r>
  <r>
    <n v="382"/>
    <d v="2024-12-09T00:00:00"/>
    <s v="12/2024"/>
    <x v="24"/>
    <x v="1085"/>
    <x v="0"/>
    <x v="0"/>
    <x v="238"/>
    <n v="1"/>
    <n v="558"/>
    <n v="558"/>
    <n v="616"/>
    <n v="616"/>
    <m/>
    <n v="62"/>
    <n v="678"/>
    <n v="678"/>
    <n v="0"/>
    <x v="15"/>
    <s v="true"/>
    <s v="true"/>
    <x v="0"/>
  </r>
  <r>
    <n v="382"/>
    <d v="2024-12-09T00:00:00"/>
    <s v="12/2024"/>
    <x v="24"/>
    <x v="1086"/>
    <x v="0"/>
    <x v="0"/>
    <x v="243"/>
    <n v="1"/>
    <n v="1366"/>
    <n v="1366"/>
    <n v="1510"/>
    <n v="1510"/>
    <m/>
    <n v="151"/>
    <n v="1661"/>
    <n v="1661"/>
    <n v="0"/>
    <x v="15"/>
    <s v="true"/>
    <s v="true"/>
    <x v="0"/>
  </r>
  <r>
    <n v="382"/>
    <d v="2024-12-09T00:00:00"/>
    <s v="12/2024"/>
    <x v="24"/>
    <x v="1087"/>
    <x v="0"/>
    <x v="0"/>
    <x v="270"/>
    <n v="2"/>
    <n v="993"/>
    <n v="1986"/>
    <n v="1055"/>
    <n v="2110"/>
    <m/>
    <n v="211"/>
    <n v="2321"/>
    <n v="2321"/>
    <n v="0"/>
    <x v="15"/>
    <s v="true"/>
    <s v="true"/>
    <x v="0"/>
  </r>
  <r>
    <n v="382"/>
    <d v="2024-12-09T00:00:00"/>
    <s v="12/2024"/>
    <x v="24"/>
    <x v="1088"/>
    <x v="0"/>
    <x v="0"/>
    <x v="263"/>
    <n v="1"/>
    <n v="1003"/>
    <n v="1003"/>
    <n v="1130"/>
    <n v="1130"/>
    <m/>
    <n v="113"/>
    <n v="1243"/>
    <n v="1243"/>
    <n v="0"/>
    <x v="15"/>
    <s v="true"/>
    <s v="true"/>
    <x v="0"/>
  </r>
  <r>
    <n v="382"/>
    <d v="2024-12-09T00:00:00"/>
    <s v="12/2024"/>
    <x v="24"/>
    <x v="1089"/>
    <x v="0"/>
    <x v="0"/>
    <x v="264"/>
    <n v="1"/>
    <n v="421"/>
    <n v="421"/>
    <n v="445"/>
    <n v="445"/>
    <m/>
    <n v="45"/>
    <n v="490"/>
    <n v="490"/>
    <n v="0"/>
    <x v="15"/>
    <s v="true"/>
    <s v="true"/>
    <x v="0"/>
  </r>
  <r>
    <n v="382"/>
    <d v="2024-12-09T00:00:00"/>
    <s v="12/2024"/>
    <x v="24"/>
    <x v="1090"/>
    <x v="0"/>
    <x v="0"/>
    <x v="260"/>
    <n v="2"/>
    <n v="225"/>
    <n v="450"/>
    <n v="237"/>
    <n v="474"/>
    <m/>
    <n v="47"/>
    <n v="521"/>
    <n v="521"/>
    <n v="0"/>
    <x v="16"/>
    <s v="true"/>
    <s v="true"/>
    <x v="0"/>
  </r>
  <r>
    <n v="382"/>
    <d v="2024-12-09T00:00:00"/>
    <s v="12/2024"/>
    <x v="24"/>
    <x v="1091"/>
    <x v="0"/>
    <x v="0"/>
    <x v="266"/>
    <n v="1"/>
    <n v="282"/>
    <n v="282"/>
    <n v="288"/>
    <n v="288"/>
    <m/>
    <n v="29"/>
    <n v="317"/>
    <n v="317"/>
    <n v="0"/>
    <x v="15"/>
    <s v="true"/>
    <s v="true"/>
    <x v="0"/>
  </r>
  <r>
    <n v="382"/>
    <d v="2024-12-09T00:00:00"/>
    <s v="12/2024"/>
    <x v="24"/>
    <x v="1092"/>
    <x v="0"/>
    <x v="0"/>
    <x v="264"/>
    <n v="1"/>
    <n v="2009"/>
    <n v="2009"/>
    <n v="2164"/>
    <n v="2164"/>
    <m/>
    <n v="216"/>
    <n v="2380"/>
    <n v="2380"/>
    <n v="0"/>
    <x v="15"/>
    <s v="true"/>
    <s v="true"/>
    <x v="0"/>
  </r>
  <r>
    <n v="376"/>
    <d v="2024-12-06T00:00:00"/>
    <s v="12/2024"/>
    <x v="35"/>
    <x v="1093"/>
    <x v="0"/>
    <x v="0"/>
    <x v="238"/>
    <n v="1"/>
    <n v="531"/>
    <n v="531"/>
    <n v="564"/>
    <n v="564"/>
    <m/>
    <n v="85"/>
    <n v="649"/>
    <n v="649"/>
    <n v="0"/>
    <x v="15"/>
    <s v="true"/>
    <s v="true"/>
    <x v="0"/>
  </r>
  <r>
    <n v="376"/>
    <d v="2024-12-06T00:00:00"/>
    <s v="12/2024"/>
    <x v="35"/>
    <x v="1094"/>
    <x v="0"/>
    <x v="0"/>
    <x v="238"/>
    <n v="1"/>
    <n v="202"/>
    <n v="202"/>
    <n v="208"/>
    <n v="208"/>
    <m/>
    <n v="31"/>
    <n v="239"/>
    <n v="239"/>
    <n v="0"/>
    <x v="15"/>
    <s v="true"/>
    <s v="true"/>
    <x v="0"/>
  </r>
  <r>
    <n v="383"/>
    <d v="2024-12-09T00:00:00"/>
    <s v="12/2024"/>
    <x v="73"/>
    <x v="1095"/>
    <x v="0"/>
    <x v="0"/>
    <x v="238"/>
    <n v="1"/>
    <n v="2271"/>
    <n v="2271"/>
    <n v="2410"/>
    <n v="2410"/>
    <m/>
    <n v="362"/>
    <n v="2772"/>
    <n v="2772"/>
    <n v="0"/>
    <x v="15"/>
    <s v="true"/>
    <s v="true"/>
    <x v="0"/>
  </r>
  <r>
    <n v="384"/>
    <d v="2024-12-09T00:00:00"/>
    <s v="12/2024"/>
    <x v="76"/>
    <x v="1096"/>
    <x v="0"/>
    <x v="0"/>
    <x v="266"/>
    <n v="1"/>
    <n v="621"/>
    <n v="621"/>
    <n v="654"/>
    <n v="654"/>
    <m/>
    <n v="65"/>
    <n v="719"/>
    <n v="719"/>
    <n v="0"/>
    <x v="16"/>
    <s v="true"/>
    <s v="true"/>
    <x v="0"/>
  </r>
  <r>
    <n v="384"/>
    <d v="2024-12-09T00:00:00"/>
    <s v="12/2024"/>
    <x v="76"/>
    <x v="1097"/>
    <x v="0"/>
    <x v="0"/>
    <x v="266"/>
    <n v="1"/>
    <n v="1033"/>
    <n v="1033"/>
    <n v="1088"/>
    <n v="1088"/>
    <m/>
    <n v="109"/>
    <n v="1197"/>
    <n v="1197"/>
    <n v="0"/>
    <x v="16"/>
    <s v="true"/>
    <s v="true"/>
    <x v="0"/>
  </r>
  <r>
    <n v="384"/>
    <d v="2024-12-09T00:00:00"/>
    <s v="12/2024"/>
    <x v="76"/>
    <x v="1098"/>
    <x v="0"/>
    <x v="0"/>
    <x v="266"/>
    <n v="1"/>
    <n v="3192"/>
    <n v="3192"/>
    <n v="3360"/>
    <n v="3360"/>
    <m/>
    <n v="336"/>
    <n v="3696"/>
    <n v="3696"/>
    <n v="0"/>
    <x v="16"/>
    <s v="true"/>
    <s v="true"/>
    <x v="0"/>
  </r>
  <r>
    <n v="384"/>
    <d v="2024-12-09T00:00:00"/>
    <s v="12/2024"/>
    <x v="76"/>
    <x v="1099"/>
    <x v="0"/>
    <x v="0"/>
    <x v="266"/>
    <n v="1"/>
    <n v="403"/>
    <n v="403"/>
    <n v="425"/>
    <n v="425"/>
    <m/>
    <n v="43"/>
    <n v="468"/>
    <n v="468"/>
    <n v="0"/>
    <x v="16"/>
    <s v="true"/>
    <s v="true"/>
    <x v="0"/>
  </r>
  <r>
    <n v="384"/>
    <d v="2024-12-09T00:00:00"/>
    <s v="12/2024"/>
    <x v="76"/>
    <x v="1100"/>
    <x v="0"/>
    <x v="0"/>
    <x v="266"/>
    <n v="1"/>
    <n v="1436"/>
    <n v="1436"/>
    <n v="1512"/>
    <n v="1512"/>
    <m/>
    <n v="151"/>
    <n v="1663"/>
    <n v="1663"/>
    <n v="0"/>
    <x v="16"/>
    <s v="true"/>
    <s v="true"/>
    <x v="0"/>
  </r>
  <r>
    <n v="384"/>
    <d v="2024-12-09T00:00:00"/>
    <s v="12/2024"/>
    <x v="76"/>
    <x v="1101"/>
    <x v="0"/>
    <x v="0"/>
    <x v="264"/>
    <n v="1"/>
    <n v="189"/>
    <n v="189"/>
    <n v="199"/>
    <n v="199"/>
    <m/>
    <n v="20"/>
    <n v="219"/>
    <n v="219"/>
    <n v="0"/>
    <x v="16"/>
    <s v="true"/>
    <s v="true"/>
    <x v="0"/>
  </r>
  <r>
    <n v="384"/>
    <d v="2024-12-09T00:00:00"/>
    <s v="12/2024"/>
    <x v="76"/>
    <x v="1102"/>
    <x v="0"/>
    <x v="0"/>
    <x v="264"/>
    <n v="1"/>
    <n v="1041"/>
    <n v="1041"/>
    <n v="1096"/>
    <n v="1096"/>
    <m/>
    <n v="110"/>
    <n v="1206"/>
    <n v="1206"/>
    <n v="0"/>
    <x v="16"/>
    <s v="true"/>
    <s v="true"/>
    <x v="0"/>
  </r>
  <r>
    <n v="384"/>
    <d v="2024-12-09T00:00:00"/>
    <s v="12/2024"/>
    <x v="76"/>
    <x v="1103"/>
    <x v="0"/>
    <x v="0"/>
    <x v="266"/>
    <n v="1"/>
    <n v="418"/>
    <n v="418"/>
    <n v="441"/>
    <n v="441"/>
    <m/>
    <n v="44"/>
    <n v="485"/>
    <n v="485"/>
    <n v="0"/>
    <x v="16"/>
    <s v="true"/>
    <s v="true"/>
    <x v="0"/>
  </r>
  <r>
    <n v="384"/>
    <d v="2024-12-09T00:00:00"/>
    <s v="12/2024"/>
    <x v="76"/>
    <x v="1104"/>
    <x v="0"/>
    <x v="0"/>
    <x v="266"/>
    <n v="1"/>
    <n v="1447"/>
    <n v="1447"/>
    <n v="1524"/>
    <n v="1524"/>
    <m/>
    <n v="152"/>
    <n v="1676"/>
    <n v="1676"/>
    <n v="0"/>
    <x v="16"/>
    <s v="true"/>
    <s v="true"/>
    <x v="0"/>
  </r>
  <r>
    <n v="384"/>
    <d v="2024-12-09T00:00:00"/>
    <s v="12/2024"/>
    <x v="76"/>
    <x v="712"/>
    <x v="0"/>
    <x v="0"/>
    <x v="266"/>
    <n v="1"/>
    <n v="959"/>
    <n v="959"/>
    <n v="1010"/>
    <n v="1010"/>
    <m/>
    <n v="101"/>
    <n v="1111"/>
    <n v="1111"/>
    <n v="0"/>
    <x v="16"/>
    <s v="true"/>
    <s v="true"/>
    <x v="0"/>
  </r>
  <r>
    <n v="385"/>
    <d v="2024-12-10T00:00:00"/>
    <s v="12/2024"/>
    <x v="34"/>
    <x v="1105"/>
    <x v="0"/>
    <x v="0"/>
    <x v="263"/>
    <n v="1"/>
    <n v="1506"/>
    <n v="1506"/>
    <n v="1590"/>
    <n v="1590"/>
    <m/>
    <n v="239"/>
    <n v="1829"/>
    <n v="1829"/>
    <n v="0"/>
    <x v="15"/>
    <s v="true"/>
    <s v="true"/>
    <x v="0"/>
  </r>
  <r>
    <n v="385"/>
    <d v="2024-12-10T00:00:00"/>
    <s v="12/2024"/>
    <x v="34"/>
    <x v="1106"/>
    <x v="0"/>
    <x v="0"/>
    <x v="271"/>
    <n v="1"/>
    <n v="273"/>
    <n v="273"/>
    <n v="279"/>
    <n v="279"/>
    <m/>
    <n v="42"/>
    <n v="321"/>
    <n v="321"/>
    <n v="0"/>
    <x v="15"/>
    <s v="true"/>
    <s v="true"/>
    <x v="0"/>
  </r>
  <r>
    <n v="385"/>
    <d v="2024-12-10T00:00:00"/>
    <s v="12/2024"/>
    <x v="34"/>
    <x v="1107"/>
    <x v="0"/>
    <x v="0"/>
    <x v="266"/>
    <n v="1"/>
    <n v="493"/>
    <n v="493"/>
    <n v="530"/>
    <n v="530"/>
    <m/>
    <n v="80"/>
    <n v="610"/>
    <n v="610"/>
    <n v="0"/>
    <x v="15"/>
    <s v="true"/>
    <s v="true"/>
    <x v="0"/>
  </r>
  <r>
    <n v="385"/>
    <d v="2024-12-10T00:00:00"/>
    <s v="12/2024"/>
    <x v="34"/>
    <x v="1108"/>
    <x v="0"/>
    <x v="0"/>
    <x v="260"/>
    <n v="1"/>
    <n v="251"/>
    <n v="251"/>
    <n v="256"/>
    <n v="256"/>
    <m/>
    <n v="38"/>
    <n v="294"/>
    <n v="294"/>
    <n v="0"/>
    <x v="15"/>
    <s v="true"/>
    <s v="true"/>
    <x v="0"/>
  </r>
  <r>
    <n v="385"/>
    <d v="2024-12-10T00:00:00"/>
    <s v="12/2024"/>
    <x v="34"/>
    <x v="1109"/>
    <x v="0"/>
    <x v="0"/>
    <x v="260"/>
    <n v="1"/>
    <n v="278"/>
    <n v="278"/>
    <n v="284"/>
    <n v="284"/>
    <m/>
    <n v="43"/>
    <n v="327"/>
    <n v="327"/>
    <n v="0"/>
    <x v="15"/>
    <s v="true"/>
    <s v="true"/>
    <x v="0"/>
  </r>
  <r>
    <n v="385"/>
    <d v="2024-12-10T00:00:00"/>
    <s v="12/2024"/>
    <x v="34"/>
    <x v="1110"/>
    <x v="0"/>
    <x v="0"/>
    <x v="260"/>
    <n v="1"/>
    <n v="117"/>
    <n v="117"/>
    <n v="119"/>
    <n v="119"/>
    <m/>
    <n v="18"/>
    <n v="137"/>
    <n v="137"/>
    <n v="0"/>
    <x v="15"/>
    <s v="true"/>
    <s v="true"/>
    <x v="0"/>
  </r>
  <r>
    <n v="385"/>
    <d v="2024-12-10T00:00:00"/>
    <s v="12/2024"/>
    <x v="34"/>
    <x v="1111"/>
    <x v="0"/>
    <x v="0"/>
    <x v="266"/>
    <n v="1"/>
    <n v="115"/>
    <n v="115"/>
    <n v="117"/>
    <n v="117"/>
    <m/>
    <n v="18"/>
    <n v="135"/>
    <n v="135"/>
    <n v="0"/>
    <x v="15"/>
    <s v="true"/>
    <s v="true"/>
    <x v="0"/>
  </r>
  <r>
    <n v="385"/>
    <d v="2024-12-10T00:00:00"/>
    <s v="12/2024"/>
    <x v="34"/>
    <x v="1071"/>
    <x v="0"/>
    <x v="0"/>
    <x v="266"/>
    <n v="1"/>
    <n v="144"/>
    <n v="144"/>
    <n v="147"/>
    <n v="147"/>
    <m/>
    <n v="22"/>
    <n v="169"/>
    <n v="169"/>
    <n v="0"/>
    <x v="15"/>
    <s v="true"/>
    <s v="true"/>
    <x v="0"/>
  </r>
  <r>
    <n v="385"/>
    <d v="2024-12-10T00:00:00"/>
    <s v="12/2024"/>
    <x v="34"/>
    <x v="1112"/>
    <x v="0"/>
    <x v="118"/>
    <x v="272"/>
    <n v="1"/>
    <n v="117"/>
    <n v="117"/>
    <n v="122"/>
    <n v="122"/>
    <m/>
    <n v="18"/>
    <n v="140"/>
    <n v="140"/>
    <n v="0"/>
    <x v="15"/>
    <s v="true"/>
    <s v="true"/>
    <x v="0"/>
  </r>
  <r>
    <n v="385"/>
    <d v="2024-12-10T00:00:00"/>
    <s v="12/2024"/>
    <x v="34"/>
    <x v="1112"/>
    <x v="0"/>
    <x v="0"/>
    <x v="270"/>
    <n v="1"/>
    <n v="184"/>
    <n v="184"/>
    <n v="194"/>
    <n v="194"/>
    <m/>
    <n v="29"/>
    <n v="223"/>
    <n v="223"/>
    <n v="0"/>
    <x v="16"/>
    <s v="true"/>
    <s v="true"/>
    <x v="0"/>
  </r>
  <r>
    <n v="385"/>
    <d v="2024-12-10T00:00:00"/>
    <s v="12/2024"/>
    <x v="34"/>
    <x v="1112"/>
    <x v="0"/>
    <x v="0"/>
    <x v="264"/>
    <n v="1"/>
    <n v="157"/>
    <n v="157"/>
    <n v="166"/>
    <n v="166"/>
    <m/>
    <n v="25"/>
    <n v="191"/>
    <n v="191"/>
    <n v="0"/>
    <x v="16"/>
    <s v="true"/>
    <s v="true"/>
    <x v="0"/>
  </r>
  <r>
    <n v="385"/>
    <d v="2024-12-10T00:00:00"/>
    <s v="12/2024"/>
    <x v="34"/>
    <x v="1113"/>
    <x v="0"/>
    <x v="0"/>
    <x v="270"/>
    <n v="1"/>
    <n v="184"/>
    <n v="184"/>
    <n v="194"/>
    <n v="194"/>
    <m/>
    <n v="29"/>
    <n v="223"/>
    <n v="223"/>
    <n v="0"/>
    <x v="16"/>
    <s v="true"/>
    <s v="true"/>
    <x v="0"/>
  </r>
  <r>
    <n v="385"/>
    <d v="2024-12-10T00:00:00"/>
    <s v="12/2024"/>
    <x v="34"/>
    <x v="1114"/>
    <x v="0"/>
    <x v="0"/>
    <x v="260"/>
    <n v="1"/>
    <n v="3939"/>
    <n v="3939"/>
    <n v="4147"/>
    <n v="4147"/>
    <m/>
    <n v="622"/>
    <n v="4769"/>
    <n v="4769"/>
    <n v="0"/>
    <x v="16"/>
    <s v="true"/>
    <s v="true"/>
    <x v="0"/>
  </r>
  <r>
    <n v="386"/>
    <d v="2024-12-10T00:00:00"/>
    <s v="12/2024"/>
    <x v="90"/>
    <x v="1115"/>
    <x v="0"/>
    <x v="0"/>
    <x v="263"/>
    <n v="1"/>
    <n v="457"/>
    <n v="457"/>
    <n v="466"/>
    <n v="466"/>
    <m/>
    <n v="200"/>
    <n v="666"/>
    <n v="666"/>
    <n v="0"/>
    <x v="16"/>
    <s v="true"/>
    <s v="true"/>
    <x v="0"/>
  </r>
  <r>
    <n v="387"/>
    <d v="2024-12-12T00:00:00"/>
    <s v="12/2024"/>
    <x v="39"/>
    <x v="257"/>
    <x v="0"/>
    <x v="119"/>
    <x v="267"/>
    <n v="1"/>
    <n v="21650"/>
    <n v="21650"/>
    <n v="21650"/>
    <n v="21650"/>
    <m/>
    <n v="2165"/>
    <n v="2165"/>
    <n v="2165"/>
    <n v="0"/>
    <x v="20"/>
    <s v="true"/>
    <s v="true"/>
    <x v="0"/>
  </r>
  <r>
    <n v="388"/>
    <d v="2024-12-12T00:00:00"/>
    <s v="12/2024"/>
    <x v="26"/>
    <x v="257"/>
    <x v="0"/>
    <x v="120"/>
    <x v="260"/>
    <n v="1"/>
    <n v="6400"/>
    <n v="6400"/>
    <n v="6400"/>
    <n v="6400"/>
    <m/>
    <n v="640"/>
    <n v="640"/>
    <n v="640"/>
    <n v="0"/>
    <x v="20"/>
    <s v="true"/>
    <s v="true"/>
    <x v="0"/>
  </r>
  <r>
    <n v="388"/>
    <d v="2024-12-12T00:00:00"/>
    <s v="12/2024"/>
    <x v="26"/>
    <x v="257"/>
    <x v="0"/>
    <x v="121"/>
    <x v="260"/>
    <n v="1"/>
    <n v="7500"/>
    <n v="7500"/>
    <n v="7500"/>
    <n v="7500"/>
    <n v="1190"/>
    <n v="750"/>
    <n v="1940"/>
    <n v="1940"/>
    <n v="0"/>
    <x v="20"/>
    <s v="true"/>
    <s v="true"/>
    <x v="0"/>
  </r>
  <r>
    <n v="389"/>
    <d v="2024-12-13T00:00:00"/>
    <s v="12/2024"/>
    <x v="74"/>
    <x v="73"/>
    <x v="0"/>
    <x v="0"/>
    <x v="264"/>
    <n v="1"/>
    <n v="6703"/>
    <n v="6703"/>
    <n v="6703"/>
    <n v="6703"/>
    <m/>
    <n v="1005"/>
    <n v="1005"/>
    <n v="1005"/>
    <n v="0"/>
    <x v="16"/>
    <s v="true"/>
    <s v="true"/>
    <x v="0"/>
  </r>
  <r>
    <n v="390"/>
    <d v="2024-12-13T00:00:00"/>
    <s v="12/2024"/>
    <x v="64"/>
    <x v="73"/>
    <x v="0"/>
    <x v="0"/>
    <x v="264"/>
    <n v="1"/>
    <n v="1232"/>
    <n v="1232"/>
    <n v="1232"/>
    <n v="1232"/>
    <m/>
    <n v="200"/>
    <n v="200"/>
    <n v="200"/>
    <n v="0"/>
    <x v="16"/>
    <s v="true"/>
    <s v="true"/>
    <x v="0"/>
  </r>
  <r>
    <n v="391"/>
    <d v="2024-12-13T00:00:00"/>
    <s v="12/2024"/>
    <x v="79"/>
    <x v="73"/>
    <x v="0"/>
    <x v="0"/>
    <x v="264"/>
    <n v="1"/>
    <n v="1123"/>
    <n v="1123"/>
    <n v="1123"/>
    <n v="1123"/>
    <m/>
    <n v="200"/>
    <n v="200"/>
    <n v="200"/>
    <n v="0"/>
    <x v="16"/>
    <s v="true"/>
    <s v="true"/>
    <x v="0"/>
  </r>
  <r>
    <n v="392"/>
    <d v="2024-12-13T00:00:00"/>
    <s v="12/2024"/>
    <x v="61"/>
    <x v="1116"/>
    <x v="0"/>
    <x v="0"/>
    <x v="243"/>
    <n v="1"/>
    <n v="853"/>
    <n v="853"/>
    <n v="898"/>
    <n v="898"/>
    <m/>
    <n v="135"/>
    <n v="1033"/>
    <n v="1033"/>
    <n v="0"/>
    <x v="16"/>
    <s v="true"/>
    <s v="true"/>
    <x v="0"/>
  </r>
  <r>
    <n v="392"/>
    <d v="2024-12-13T00:00:00"/>
    <s v="12/2024"/>
    <x v="61"/>
    <x v="683"/>
    <x v="0"/>
    <x v="0"/>
    <x v="263"/>
    <n v="1"/>
    <n v="1132"/>
    <n v="1132"/>
    <n v="1192"/>
    <n v="1192"/>
    <m/>
    <n v="179"/>
    <n v="1371"/>
    <n v="1371"/>
    <n v="0"/>
    <x v="16"/>
    <s v="true"/>
    <s v="true"/>
    <x v="0"/>
  </r>
  <r>
    <n v="392"/>
    <d v="2024-12-13T00:00:00"/>
    <s v="12/2024"/>
    <x v="61"/>
    <x v="440"/>
    <x v="0"/>
    <x v="0"/>
    <x v="263"/>
    <n v="1"/>
    <n v="1125"/>
    <n v="1125"/>
    <n v="1185"/>
    <n v="1185"/>
    <m/>
    <n v="178"/>
    <n v="1363"/>
    <n v="1363"/>
    <n v="0"/>
    <x v="16"/>
    <s v="true"/>
    <s v="true"/>
    <x v="0"/>
  </r>
  <r>
    <n v="392"/>
    <d v="2024-12-13T00:00:00"/>
    <s v="12/2024"/>
    <x v="61"/>
    <x v="1117"/>
    <x v="0"/>
    <x v="0"/>
    <x v="273"/>
    <n v="1"/>
    <n v="210"/>
    <n v="210"/>
    <n v="222"/>
    <n v="222"/>
    <m/>
    <n v="33"/>
    <n v="255"/>
    <n v="255"/>
    <n v="0"/>
    <x v="16"/>
    <s v="true"/>
    <s v="true"/>
    <x v="0"/>
  </r>
  <r>
    <n v="393"/>
    <d v="2024-12-15T00:00:00"/>
    <s v="12/2024"/>
    <x v="50"/>
    <x v="974"/>
    <x v="0"/>
    <x v="0"/>
    <x v="274"/>
    <n v="1"/>
    <n v="1204"/>
    <n v="1204"/>
    <n v="1268"/>
    <n v="1268"/>
    <m/>
    <n v="190"/>
    <n v="1458"/>
    <n v="1458"/>
    <n v="0"/>
    <x v="16"/>
    <s v="true"/>
    <s v="true"/>
    <x v="0"/>
  </r>
  <r>
    <n v="393"/>
    <d v="2024-12-15T00:00:00"/>
    <s v="12/2024"/>
    <x v="50"/>
    <x v="1118"/>
    <x v="0"/>
    <x v="0"/>
    <x v="271"/>
    <n v="1"/>
    <n v="434"/>
    <n v="434"/>
    <n v="457"/>
    <n v="457"/>
    <m/>
    <n v="69"/>
    <n v="526"/>
    <n v="526"/>
    <n v="0"/>
    <x v="16"/>
    <s v="true"/>
    <s v="true"/>
    <x v="0"/>
  </r>
  <r>
    <n v="393"/>
    <d v="2024-12-15T00:00:00"/>
    <s v="12/2024"/>
    <x v="50"/>
    <x v="1119"/>
    <x v="0"/>
    <x v="0"/>
    <x v="275"/>
    <n v="1"/>
    <n v="381"/>
    <n v="381"/>
    <n v="402"/>
    <n v="402"/>
    <m/>
    <n v="60"/>
    <n v="462"/>
    <n v="462"/>
    <n v="0"/>
    <x v="16"/>
    <s v="true"/>
    <s v="true"/>
    <x v="0"/>
  </r>
  <r>
    <n v="393"/>
    <d v="2024-12-15T00:00:00"/>
    <s v="12/2024"/>
    <x v="50"/>
    <x v="705"/>
    <x v="0"/>
    <x v="0"/>
    <x v="276"/>
    <n v="2"/>
    <n v="238"/>
    <n v="476"/>
    <n v="251"/>
    <n v="502"/>
    <m/>
    <n v="75"/>
    <n v="577"/>
    <n v="577"/>
    <n v="0"/>
    <x v="16"/>
    <s v="true"/>
    <s v="true"/>
    <x v="0"/>
  </r>
  <r>
    <n v="393"/>
    <d v="2024-12-15T00:00:00"/>
    <s v="12/2024"/>
    <x v="50"/>
    <x v="576"/>
    <x v="0"/>
    <x v="0"/>
    <x v="276"/>
    <n v="1"/>
    <n v="795"/>
    <n v="795"/>
    <n v="837"/>
    <n v="837"/>
    <m/>
    <n v="126"/>
    <n v="963"/>
    <n v="963"/>
    <n v="0"/>
    <x v="16"/>
    <s v="true"/>
    <s v="true"/>
    <x v="0"/>
  </r>
  <r>
    <n v="393"/>
    <d v="2024-12-15T00:00:00"/>
    <s v="12/2024"/>
    <x v="50"/>
    <x v="1120"/>
    <x v="0"/>
    <x v="0"/>
    <x v="271"/>
    <n v="1"/>
    <n v="213"/>
    <n v="213"/>
    <n v="225"/>
    <n v="225"/>
    <m/>
    <n v="34"/>
    <n v="259"/>
    <n v="259"/>
    <n v="0"/>
    <x v="16"/>
    <s v="true"/>
    <s v="true"/>
    <x v="0"/>
  </r>
  <r>
    <n v="393"/>
    <d v="2024-12-15T00:00:00"/>
    <s v="12/2024"/>
    <x v="50"/>
    <x v="855"/>
    <x v="0"/>
    <x v="0"/>
    <x v="273"/>
    <n v="1"/>
    <n v="447"/>
    <n v="447"/>
    <n v="471"/>
    <n v="471"/>
    <m/>
    <n v="71"/>
    <n v="542"/>
    <n v="542"/>
    <n v="0"/>
    <x v="16"/>
    <s v="true"/>
    <s v="true"/>
    <x v="0"/>
  </r>
  <r>
    <n v="393"/>
    <d v="2024-12-15T00:00:00"/>
    <s v="12/2024"/>
    <x v="50"/>
    <x v="1121"/>
    <x v="0"/>
    <x v="0"/>
    <x v="268"/>
    <n v="1"/>
    <n v="1209"/>
    <n v="1209"/>
    <n v="1273"/>
    <n v="1273"/>
    <m/>
    <n v="191"/>
    <n v="1464"/>
    <n v="1464"/>
    <n v="0"/>
    <x v="16"/>
    <s v="true"/>
    <s v="true"/>
    <x v="0"/>
  </r>
  <r>
    <n v="394"/>
    <d v="2024-12-15T00:00:00"/>
    <s v="12/2024"/>
    <x v="35"/>
    <x v="1122"/>
    <x v="0"/>
    <x v="0"/>
    <x v="275"/>
    <n v="2"/>
    <n v="1735"/>
    <n v="3470"/>
    <n v="1863"/>
    <n v="3726"/>
    <m/>
    <n v="559"/>
    <n v="4285"/>
    <n v="4285"/>
    <n v="0"/>
    <x v="15"/>
    <s v="true"/>
    <s v="true"/>
    <x v="0"/>
  </r>
  <r>
    <n v="395"/>
    <d v="2024-12-16T00:00:00"/>
    <s v="12/2024"/>
    <x v="1"/>
    <x v="1123"/>
    <x v="0"/>
    <x v="0"/>
    <x v="271"/>
    <n v="1"/>
    <n v="481"/>
    <n v="481"/>
    <n v="507"/>
    <n v="507"/>
    <m/>
    <n v="51"/>
    <n v="558"/>
    <n v="558"/>
    <n v="0"/>
    <x v="16"/>
    <s v="true"/>
    <s v="true"/>
    <x v="0"/>
  </r>
  <r>
    <n v="395"/>
    <d v="2024-12-16T00:00:00"/>
    <s v="12/2024"/>
    <x v="1"/>
    <x v="1124"/>
    <x v="0"/>
    <x v="0"/>
    <x v="274"/>
    <n v="1"/>
    <n v="1282"/>
    <n v="1282"/>
    <n v="1350"/>
    <n v="1350"/>
    <m/>
    <n v="135"/>
    <n v="1485"/>
    <n v="1485"/>
    <n v="0"/>
    <x v="16"/>
    <s v="true"/>
    <s v="true"/>
    <x v="0"/>
  </r>
  <r>
    <n v="395"/>
    <d v="2024-12-16T00:00:00"/>
    <s v="12/2024"/>
    <x v="1"/>
    <x v="1125"/>
    <x v="0"/>
    <x v="0"/>
    <x v="276"/>
    <n v="1"/>
    <n v="732"/>
    <n v="732"/>
    <n v="771"/>
    <n v="771"/>
    <m/>
    <n v="77"/>
    <n v="848"/>
    <n v="848"/>
    <n v="0"/>
    <x v="16"/>
    <s v="true"/>
    <s v="true"/>
    <x v="0"/>
  </r>
  <r>
    <n v="395"/>
    <d v="2024-12-16T00:00:00"/>
    <s v="12/2024"/>
    <x v="1"/>
    <x v="1125"/>
    <x v="0"/>
    <x v="0"/>
    <x v="276"/>
    <n v="1"/>
    <n v="802"/>
    <n v="802"/>
    <n v="845"/>
    <n v="845"/>
    <m/>
    <n v="85"/>
    <n v="930"/>
    <n v="930"/>
    <n v="0"/>
    <x v="16"/>
    <s v="true"/>
    <s v="true"/>
    <x v="0"/>
  </r>
  <r>
    <n v="396"/>
    <d v="2024-12-16T00:00:00"/>
    <s v="12/2024"/>
    <x v="83"/>
    <x v="1126"/>
    <x v="0"/>
    <x v="0"/>
    <x v="271"/>
    <n v="1"/>
    <n v="779"/>
    <n v="779"/>
    <n v="820"/>
    <n v="820"/>
    <m/>
    <n v="123"/>
    <n v="943"/>
    <n v="943"/>
    <n v="0"/>
    <x v="16"/>
    <s v="true"/>
    <s v="true"/>
    <x v="0"/>
  </r>
  <r>
    <n v="396"/>
    <d v="2024-12-16T00:00:00"/>
    <s v="12/2024"/>
    <x v="83"/>
    <x v="1127"/>
    <x v="0"/>
    <x v="0"/>
    <x v="268"/>
    <n v="1"/>
    <n v="355"/>
    <n v="355"/>
    <n v="374"/>
    <n v="374"/>
    <m/>
    <n v="56"/>
    <n v="430"/>
    <n v="430"/>
    <n v="0"/>
    <x v="16"/>
    <s v="true"/>
    <s v="true"/>
    <x v="0"/>
  </r>
  <r>
    <n v="396"/>
    <d v="2024-12-16T00:00:00"/>
    <s v="12/2024"/>
    <x v="83"/>
    <x v="1128"/>
    <x v="0"/>
    <x v="0"/>
    <x v="275"/>
    <n v="1"/>
    <n v="381"/>
    <n v="381"/>
    <n v="402"/>
    <n v="402"/>
    <m/>
    <n v="60"/>
    <n v="462"/>
    <n v="462"/>
    <n v="0"/>
    <x v="16"/>
    <s v="true"/>
    <s v="true"/>
    <x v="0"/>
  </r>
  <r>
    <n v="396"/>
    <d v="2024-12-16T00:00:00"/>
    <s v="12/2024"/>
    <x v="83"/>
    <x v="1129"/>
    <x v="0"/>
    <x v="0"/>
    <x v="275"/>
    <n v="1"/>
    <n v="381"/>
    <n v="381"/>
    <n v="402"/>
    <n v="402"/>
    <m/>
    <n v="60"/>
    <n v="462"/>
    <n v="462"/>
    <n v="0"/>
    <x v="16"/>
    <s v="true"/>
    <s v="true"/>
    <x v="0"/>
  </r>
  <r>
    <n v="396"/>
    <d v="2024-12-16T00:00:00"/>
    <s v="12/2024"/>
    <x v="83"/>
    <x v="1130"/>
    <x v="0"/>
    <x v="0"/>
    <x v="276"/>
    <n v="1"/>
    <n v="210"/>
    <n v="210"/>
    <n v="214"/>
    <n v="214"/>
    <m/>
    <n v="32"/>
    <n v="246"/>
    <n v="246"/>
    <n v="0"/>
    <x v="15"/>
    <s v="true"/>
    <s v="true"/>
    <x v="0"/>
  </r>
  <r>
    <n v="396"/>
    <d v="2024-12-16T00:00:00"/>
    <s v="12/2024"/>
    <x v="83"/>
    <x v="1131"/>
    <x v="0"/>
    <x v="0"/>
    <x v="276"/>
    <n v="1"/>
    <n v="333"/>
    <n v="333"/>
    <n v="351"/>
    <n v="351"/>
    <m/>
    <n v="53"/>
    <n v="404"/>
    <n v="404"/>
    <n v="0"/>
    <x v="16"/>
    <s v="true"/>
    <s v="true"/>
    <x v="0"/>
  </r>
  <r>
    <n v="397"/>
    <d v="2024-12-18T00:00:00"/>
    <s v="12/2024"/>
    <x v="73"/>
    <x v="1132"/>
    <x v="0"/>
    <x v="0"/>
    <x v="258"/>
    <n v="1"/>
    <n v="230"/>
    <n v="230"/>
    <n v="235"/>
    <n v="235"/>
    <m/>
    <n v="35"/>
    <n v="270"/>
    <n v="270"/>
    <n v="0"/>
    <x v="15"/>
    <s v="true"/>
    <s v="true"/>
    <x v="0"/>
  </r>
  <r>
    <n v="397"/>
    <d v="2024-12-18T00:00:00"/>
    <s v="12/2024"/>
    <x v="73"/>
    <x v="1133"/>
    <x v="0"/>
    <x v="0"/>
    <x v="275"/>
    <n v="1"/>
    <n v="1339"/>
    <n v="1339"/>
    <n v="1437"/>
    <n v="1437"/>
    <m/>
    <n v="216"/>
    <n v="1653"/>
    <n v="1653"/>
    <n v="0"/>
    <x v="15"/>
    <s v="true"/>
    <s v="true"/>
    <x v="0"/>
  </r>
  <r>
    <n v="397"/>
    <d v="2024-12-18T00:00:00"/>
    <s v="12/2024"/>
    <x v="73"/>
    <x v="1134"/>
    <x v="0"/>
    <x v="0"/>
    <x v="268"/>
    <n v="1"/>
    <n v="541"/>
    <n v="541"/>
    <n v="581"/>
    <n v="581"/>
    <m/>
    <n v="87"/>
    <n v="668"/>
    <n v="668"/>
    <n v="0"/>
    <x v="15"/>
    <s v="true"/>
    <s v="true"/>
    <x v="0"/>
  </r>
  <r>
    <n v="397"/>
    <d v="2024-12-18T00:00:00"/>
    <s v="12/2024"/>
    <x v="73"/>
    <x v="1135"/>
    <x v="0"/>
    <x v="0"/>
    <x v="268"/>
    <n v="1"/>
    <n v="323"/>
    <n v="323"/>
    <n v="330"/>
    <n v="330"/>
    <m/>
    <n v="50"/>
    <n v="380"/>
    <n v="380"/>
    <n v="0"/>
    <x v="15"/>
    <s v="true"/>
    <s v="true"/>
    <x v="0"/>
  </r>
  <r>
    <n v="397"/>
    <d v="2024-12-18T00:00:00"/>
    <s v="12/2024"/>
    <x v="73"/>
    <x v="1136"/>
    <x v="0"/>
    <x v="0"/>
    <x v="268"/>
    <n v="1"/>
    <n v="722"/>
    <n v="722"/>
    <n v="775"/>
    <n v="775"/>
    <m/>
    <n v="116"/>
    <n v="891"/>
    <n v="891"/>
    <n v="0"/>
    <x v="15"/>
    <s v="true"/>
    <s v="true"/>
    <x v="0"/>
  </r>
  <r>
    <n v="397"/>
    <d v="2024-12-18T00:00:00"/>
    <s v="12/2024"/>
    <x v="73"/>
    <x v="1137"/>
    <x v="0"/>
    <x v="0"/>
    <x v="271"/>
    <n v="1"/>
    <n v="186"/>
    <n v="186"/>
    <n v="190"/>
    <n v="190"/>
    <m/>
    <n v="29"/>
    <n v="219"/>
    <n v="219"/>
    <n v="0"/>
    <x v="15"/>
    <s v="true"/>
    <s v="true"/>
    <x v="0"/>
  </r>
  <r>
    <n v="397"/>
    <d v="2024-12-18T00:00:00"/>
    <s v="12/2024"/>
    <x v="73"/>
    <x v="1138"/>
    <x v="0"/>
    <x v="0"/>
    <x v="268"/>
    <n v="1"/>
    <n v="423"/>
    <n v="423"/>
    <n v="454"/>
    <n v="454"/>
    <m/>
    <n v="68"/>
    <n v="522"/>
    <n v="522"/>
    <n v="0"/>
    <x v="15"/>
    <s v="true"/>
    <s v="true"/>
    <x v="0"/>
  </r>
  <r>
    <n v="398"/>
    <d v="2024-12-19T00:00:00"/>
    <s v="12/2024"/>
    <x v="95"/>
    <x v="73"/>
    <x v="0"/>
    <x v="0"/>
    <x v="268"/>
    <n v="1"/>
    <n v="8236"/>
    <n v="8236"/>
    <n v="8236"/>
    <n v="8236"/>
    <m/>
    <n v="824"/>
    <n v="824"/>
    <n v="824"/>
    <n v="0"/>
    <x v="15"/>
    <s v="true"/>
    <s v="true"/>
    <x v="0"/>
  </r>
  <r>
    <n v="399"/>
    <d v="2024-12-20T00:00:00"/>
    <s v="12/2024"/>
    <x v="64"/>
    <x v="73"/>
    <x v="0"/>
    <x v="0"/>
    <x v="268"/>
    <n v="1"/>
    <n v="1939"/>
    <n v="1939"/>
    <n v="1939"/>
    <n v="1939"/>
    <m/>
    <n v="291"/>
    <n v="291"/>
    <n v="291"/>
    <n v="0"/>
    <x v="15"/>
    <s v="true"/>
    <s v="true"/>
    <x v="0"/>
  </r>
  <r>
    <n v="400"/>
    <d v="2024-12-20T00:00:00"/>
    <s v="12/2024"/>
    <x v="79"/>
    <x v="73"/>
    <x v="0"/>
    <x v="0"/>
    <x v="268"/>
    <n v="1"/>
    <n v="2898"/>
    <n v="2898"/>
    <n v="2898"/>
    <n v="2898"/>
    <m/>
    <n v="435"/>
    <n v="435"/>
    <n v="435"/>
    <n v="0"/>
    <x v="15"/>
    <s v="true"/>
    <s v="true"/>
    <x v="0"/>
  </r>
  <r>
    <n v="401"/>
    <d v="2024-12-20T00:00:00"/>
    <s v="12/2024"/>
    <x v="97"/>
    <x v="73"/>
    <x v="0"/>
    <x v="0"/>
    <x v="268"/>
    <n v="1"/>
    <n v="18039"/>
    <n v="18039"/>
    <n v="18039"/>
    <n v="18039"/>
    <m/>
    <n v="1804"/>
    <n v="1804"/>
    <n v="1804"/>
    <n v="0"/>
    <x v="15"/>
    <s v="true"/>
    <s v="true"/>
    <x v="0"/>
  </r>
  <r>
    <n v="402"/>
    <d v="2024-12-20T00:00:00"/>
    <s v="12/2024"/>
    <x v="1"/>
    <x v="1139"/>
    <x v="0"/>
    <x v="0"/>
    <x v="277"/>
    <n v="1"/>
    <n v="3661"/>
    <n v="3661"/>
    <n v="3854"/>
    <n v="3854"/>
    <m/>
    <n v="385"/>
    <n v="4239"/>
    <n v="4239"/>
    <n v="0"/>
    <x v="16"/>
    <s v="true"/>
    <s v="true"/>
    <x v="0"/>
  </r>
  <r>
    <n v="402"/>
    <d v="2024-12-20T00:00:00"/>
    <s v="12/2024"/>
    <x v="1"/>
    <x v="1124"/>
    <x v="0"/>
    <x v="0"/>
    <x v="278"/>
    <n v="1"/>
    <n v="1282"/>
    <n v="1282"/>
    <n v="1350"/>
    <n v="1350"/>
    <m/>
    <n v="135"/>
    <n v="1485"/>
    <n v="1485"/>
    <n v="0"/>
    <x v="16"/>
    <s v="true"/>
    <s v="true"/>
    <x v="0"/>
  </r>
  <r>
    <n v="403"/>
    <d v="2024-12-23T00:00:00"/>
    <s v="12/2024"/>
    <x v="24"/>
    <x v="1140"/>
    <x v="0"/>
    <x v="0"/>
    <x v="279"/>
    <n v="1"/>
    <n v="871"/>
    <n v="871"/>
    <n v="936"/>
    <n v="936"/>
    <m/>
    <n v="140"/>
    <n v="1076"/>
    <n v="1076"/>
    <n v="0"/>
    <x v="15"/>
    <s v="true"/>
    <s v="true"/>
    <x v="0"/>
  </r>
  <r>
    <n v="403"/>
    <d v="2024-12-23T00:00:00"/>
    <s v="12/2024"/>
    <x v="24"/>
    <x v="1141"/>
    <x v="0"/>
    <x v="0"/>
    <x v="280"/>
    <n v="1"/>
    <n v="1026"/>
    <n v="1026"/>
    <n v="1101"/>
    <n v="1101"/>
    <m/>
    <n v="165"/>
    <n v="1266"/>
    <n v="1266"/>
    <n v="0"/>
    <x v="15"/>
    <s v="true"/>
    <s v="true"/>
    <x v="0"/>
  </r>
  <r>
    <n v="403"/>
    <d v="2024-12-23T00:00:00"/>
    <s v="12/2024"/>
    <x v="24"/>
    <x v="1091"/>
    <x v="0"/>
    <x v="0"/>
    <x v="278"/>
    <n v="1"/>
    <n v="280"/>
    <n v="280"/>
    <n v="286"/>
    <n v="286"/>
    <m/>
    <n v="43"/>
    <n v="329"/>
    <n v="329"/>
    <n v="0"/>
    <x v="15"/>
    <s v="true"/>
    <s v="true"/>
    <x v="0"/>
  </r>
  <r>
    <n v="403"/>
    <d v="2024-12-23T00:00:00"/>
    <s v="12/2024"/>
    <x v="24"/>
    <x v="941"/>
    <x v="0"/>
    <x v="122"/>
    <x v="278"/>
    <n v="1"/>
    <n v="503"/>
    <n v="503"/>
    <n v="503"/>
    <n v="503"/>
    <m/>
    <n v="75"/>
    <n v="578"/>
    <n v="578"/>
    <n v="0"/>
    <x v="29"/>
    <s v="true"/>
    <s v="true"/>
    <x v="0"/>
  </r>
  <r>
    <n v="403"/>
    <d v="2024-12-23T00:00:00"/>
    <s v="12/2024"/>
    <x v="24"/>
    <x v="718"/>
    <x v="0"/>
    <x v="123"/>
    <x v="281"/>
    <n v="1"/>
    <n v="600"/>
    <n v="600"/>
    <n v="600"/>
    <n v="600"/>
    <n v="136"/>
    <n v="90"/>
    <n v="826"/>
    <n v="826"/>
    <n v="0"/>
    <x v="18"/>
    <s v="true"/>
    <s v="true"/>
    <x v="0"/>
  </r>
  <r>
    <n v="404"/>
    <d v="2024-12-23T00:00:00"/>
    <s v="12/2024"/>
    <x v="98"/>
    <x v="1142"/>
    <x v="0"/>
    <x v="0"/>
    <x v="267"/>
    <n v="1"/>
    <n v="587"/>
    <n v="587"/>
    <n v="638"/>
    <n v="638"/>
    <m/>
    <n v="64"/>
    <n v="702"/>
    <n v="702"/>
    <n v="0"/>
    <x v="15"/>
    <s v="true"/>
    <s v="true"/>
    <x v="0"/>
  </r>
  <r>
    <n v="404"/>
    <d v="2024-12-23T00:00:00"/>
    <s v="12/2024"/>
    <x v="98"/>
    <x v="1143"/>
    <x v="0"/>
    <x v="0"/>
    <x v="267"/>
    <n v="1"/>
    <n v="551"/>
    <n v="551"/>
    <n v="599"/>
    <n v="599"/>
    <m/>
    <n v="60"/>
    <n v="659"/>
    <n v="659"/>
    <n v="0"/>
    <x v="15"/>
    <s v="true"/>
    <s v="true"/>
    <x v="0"/>
  </r>
  <r>
    <n v="404"/>
    <d v="2024-12-23T00:00:00"/>
    <s v="12/2024"/>
    <x v="98"/>
    <x v="1144"/>
    <x v="0"/>
    <x v="0"/>
    <x v="267"/>
    <n v="1"/>
    <n v="642"/>
    <n v="642"/>
    <n v="698"/>
    <n v="698"/>
    <m/>
    <n v="70"/>
    <n v="768"/>
    <n v="768"/>
    <n v="0"/>
    <x v="15"/>
    <s v="true"/>
    <s v="true"/>
    <x v="0"/>
  </r>
  <r>
    <n v="405"/>
    <d v="2024-12-23T00:00:00"/>
    <s v="12/2024"/>
    <x v="99"/>
    <x v="1145"/>
    <x v="0"/>
    <x v="0"/>
    <x v="277"/>
    <n v="1"/>
    <n v="2803"/>
    <n v="2803"/>
    <n v="2951"/>
    <n v="2951"/>
    <m/>
    <n v="443"/>
    <n v="3394"/>
    <n v="3394"/>
    <n v="0"/>
    <x v="16"/>
    <s v="true"/>
    <s v="true"/>
    <x v="0"/>
  </r>
  <r>
    <n v="406"/>
    <d v="2024-12-23T00:00:00"/>
    <s v="12/2024"/>
    <x v="100"/>
    <x v="1146"/>
    <x v="0"/>
    <x v="0"/>
    <x v="278"/>
    <n v="1"/>
    <n v="417"/>
    <n v="417"/>
    <n v="439"/>
    <n v="439"/>
    <m/>
    <n v="66"/>
    <n v="505"/>
    <n v="505"/>
    <n v="0"/>
    <x v="16"/>
    <s v="true"/>
    <s v="true"/>
    <x v="0"/>
  </r>
  <r>
    <n v="406"/>
    <d v="2024-12-23T00:00:00"/>
    <s v="12/2024"/>
    <x v="100"/>
    <x v="1147"/>
    <x v="0"/>
    <x v="0"/>
    <x v="267"/>
    <n v="1"/>
    <n v="412"/>
    <n v="412"/>
    <n v="434"/>
    <n v="434"/>
    <m/>
    <n v="65"/>
    <n v="499"/>
    <n v="499"/>
    <n v="0"/>
    <x v="16"/>
    <s v="true"/>
    <s v="true"/>
    <x v="0"/>
  </r>
  <r>
    <n v="406"/>
    <d v="2024-12-23T00:00:00"/>
    <s v="12/2024"/>
    <x v="100"/>
    <x v="1148"/>
    <x v="0"/>
    <x v="0"/>
    <x v="278"/>
    <n v="1"/>
    <n v="984"/>
    <n v="984"/>
    <n v="1036"/>
    <n v="1036"/>
    <m/>
    <n v="155"/>
    <n v="1191"/>
    <n v="1191"/>
    <n v="0"/>
    <x v="16"/>
    <s v="true"/>
    <s v="true"/>
    <x v="0"/>
  </r>
  <r>
    <n v="406"/>
    <d v="2024-12-23T00:00:00"/>
    <s v="12/2024"/>
    <x v="100"/>
    <x v="1149"/>
    <x v="0"/>
    <x v="0"/>
    <x v="278"/>
    <n v="1"/>
    <n v="1444"/>
    <n v="1444"/>
    <n v="1521"/>
    <n v="1521"/>
    <m/>
    <n v="228"/>
    <n v="1749"/>
    <n v="1749"/>
    <n v="0"/>
    <x v="16"/>
    <s v="true"/>
    <s v="true"/>
    <x v="0"/>
  </r>
  <r>
    <n v="406"/>
    <d v="2024-12-23T00:00:00"/>
    <s v="12/2024"/>
    <x v="100"/>
    <x v="1150"/>
    <x v="0"/>
    <x v="0"/>
    <x v="278"/>
    <n v="1"/>
    <n v="420"/>
    <n v="420"/>
    <n v="429"/>
    <n v="429"/>
    <m/>
    <n v="64"/>
    <n v="493"/>
    <n v="493"/>
    <n v="0"/>
    <x v="15"/>
    <s v="true"/>
    <s v="true"/>
    <x v="0"/>
  </r>
  <r>
    <n v="406"/>
    <d v="2024-12-23T00:00:00"/>
    <s v="12/2024"/>
    <x v="100"/>
    <x v="1151"/>
    <x v="0"/>
    <x v="0"/>
    <x v="278"/>
    <n v="1"/>
    <n v="495"/>
    <n v="495"/>
    <n v="522"/>
    <n v="522"/>
    <m/>
    <n v="78"/>
    <n v="600"/>
    <n v="600"/>
    <n v="0"/>
    <x v="16"/>
    <s v="true"/>
    <s v="true"/>
    <x v="0"/>
  </r>
  <r>
    <n v="406"/>
    <d v="2024-12-23T00:00:00"/>
    <s v="12/2024"/>
    <x v="100"/>
    <x v="1152"/>
    <x v="0"/>
    <x v="0"/>
    <x v="267"/>
    <n v="1"/>
    <n v="143"/>
    <n v="143"/>
    <n v="151"/>
    <n v="151"/>
    <m/>
    <n v="23"/>
    <n v="174"/>
    <n v="174"/>
    <n v="0"/>
    <x v="16"/>
    <s v="true"/>
    <s v="true"/>
    <x v="0"/>
  </r>
  <r>
    <n v="406"/>
    <d v="2024-12-23T00:00:00"/>
    <s v="12/2024"/>
    <x v="100"/>
    <x v="1126"/>
    <x v="0"/>
    <x v="0"/>
    <x v="278"/>
    <n v="1"/>
    <n v="746"/>
    <n v="746"/>
    <n v="786"/>
    <n v="786"/>
    <m/>
    <n v="118"/>
    <n v="904"/>
    <n v="904"/>
    <n v="0"/>
    <x v="16"/>
    <s v="true"/>
    <s v="true"/>
    <x v="0"/>
  </r>
  <r>
    <n v="406"/>
    <d v="2024-12-23T00:00:00"/>
    <s v="12/2024"/>
    <x v="100"/>
    <x v="1153"/>
    <x v="0"/>
    <x v="0"/>
    <x v="278"/>
    <n v="1"/>
    <n v="636"/>
    <n v="636"/>
    <n v="670"/>
    <n v="670"/>
    <m/>
    <n v="101"/>
    <n v="771"/>
    <n v="771"/>
    <n v="0"/>
    <x v="16"/>
    <s v="true"/>
    <s v="true"/>
    <x v="0"/>
  </r>
  <r>
    <n v="407"/>
    <d v="2024-12-24T00:00:00"/>
    <s v="12/2024"/>
    <x v="73"/>
    <x v="670"/>
    <x v="0"/>
    <x v="0"/>
    <x v="282"/>
    <n v="1"/>
    <n v="5743"/>
    <n v="5743"/>
    <n v="6148"/>
    <n v="6148"/>
    <m/>
    <n v="922"/>
    <n v="7070"/>
    <n v="7070"/>
    <n v="0"/>
    <x v="20"/>
    <s v="true"/>
    <s v="true"/>
    <x v="0"/>
  </r>
  <r>
    <n v="408"/>
    <d v="2024-12-24T00:00:00"/>
    <s v="12/2024"/>
    <x v="47"/>
    <x v="1154"/>
    <x v="0"/>
    <x v="0"/>
    <x v="282"/>
    <n v="1"/>
    <n v="204"/>
    <n v="204"/>
    <n v="215"/>
    <n v="215"/>
    <m/>
    <n v="40"/>
    <n v="255"/>
    <n v="255"/>
    <n v="0"/>
    <x v="16"/>
    <s v="true"/>
    <s v="true"/>
    <x v="0"/>
  </r>
  <r>
    <n v="408"/>
    <d v="2024-12-24T00:00:00"/>
    <s v="12/2024"/>
    <x v="47"/>
    <x v="1155"/>
    <x v="0"/>
    <x v="0"/>
    <x v="282"/>
    <n v="1"/>
    <n v="117"/>
    <n v="117"/>
    <n v="124"/>
    <n v="124"/>
    <m/>
    <n v="40"/>
    <n v="164"/>
    <n v="164"/>
    <n v="0"/>
    <x v="16"/>
    <s v="true"/>
    <s v="true"/>
    <x v="0"/>
  </r>
  <r>
    <n v="408"/>
    <d v="2024-12-24T00:00:00"/>
    <s v="12/2024"/>
    <x v="47"/>
    <x v="1156"/>
    <x v="0"/>
    <x v="0"/>
    <x v="282"/>
    <n v="1"/>
    <n v="141"/>
    <n v="141"/>
    <n v="149"/>
    <n v="149"/>
    <m/>
    <n v="40"/>
    <n v="189"/>
    <n v="189"/>
    <n v="0"/>
    <x v="16"/>
    <s v="true"/>
    <s v="true"/>
    <x v="0"/>
  </r>
  <r>
    <n v="408"/>
    <d v="2024-12-24T00:00:00"/>
    <s v="12/2024"/>
    <x v="47"/>
    <x v="539"/>
    <x v="0"/>
    <x v="0"/>
    <x v="282"/>
    <n v="1"/>
    <n v="691"/>
    <n v="691"/>
    <n v="728"/>
    <n v="728"/>
    <m/>
    <n v="40"/>
    <n v="768"/>
    <n v="768"/>
    <n v="0"/>
    <x v="16"/>
    <s v="true"/>
    <s v="true"/>
    <x v="0"/>
  </r>
  <r>
    <n v="408"/>
    <d v="2024-12-24T00:00:00"/>
    <s v="12/2024"/>
    <x v="47"/>
    <x v="1157"/>
    <x v="0"/>
    <x v="0"/>
    <x v="280"/>
    <n v="1"/>
    <n v="166"/>
    <n v="166"/>
    <n v="175"/>
    <n v="175"/>
    <m/>
    <n v="40"/>
    <n v="215"/>
    <n v="215"/>
    <n v="0"/>
    <x v="16"/>
    <s v="true"/>
    <s v="true"/>
    <x v="0"/>
  </r>
  <r>
    <n v="409"/>
    <d v="2024-12-24T00:00:00"/>
    <s v="12/2024"/>
    <x v="3"/>
    <x v="462"/>
    <x v="0"/>
    <x v="124"/>
    <x v="283"/>
    <n v="1"/>
    <n v="1299"/>
    <n v="1299"/>
    <n v="1299"/>
    <n v="1299"/>
    <m/>
    <n v="195"/>
    <n v="1494"/>
    <n v="1494"/>
    <n v="0"/>
    <x v="5"/>
    <s v="true"/>
    <s v="true"/>
    <x v="0"/>
  </r>
  <r>
    <n v="409"/>
    <d v="2024-12-24T00:00:00"/>
    <s v="12/2024"/>
    <x v="3"/>
    <x v="1158"/>
    <x v="0"/>
    <x v="125"/>
    <x v="283"/>
    <n v="1"/>
    <n v="514"/>
    <n v="514"/>
    <n v="638"/>
    <n v="638"/>
    <m/>
    <n v="96"/>
    <n v="734"/>
    <n v="734"/>
    <n v="0"/>
    <x v="5"/>
    <s v="true"/>
    <s v="true"/>
    <x v="0"/>
  </r>
  <r>
    <n v="403"/>
    <d v="2024-12-23T00:00:00"/>
    <s v="12/2024"/>
    <x v="24"/>
    <x v="1159"/>
    <x v="0"/>
    <x v="0"/>
    <x v="24"/>
    <n v="1"/>
    <n v="50"/>
    <n v="50"/>
    <n v="50"/>
    <n v="50"/>
    <m/>
    <n v="8"/>
    <n v="58"/>
    <n v="58"/>
    <n v="0"/>
    <x v="18"/>
    <s v="true"/>
    <s v="true"/>
    <x v="0"/>
  </r>
  <r>
    <n v="403"/>
    <d v="2024-12-23T00:00:00"/>
    <s v="12/2024"/>
    <x v="24"/>
    <x v="1160"/>
    <x v="0"/>
    <x v="0"/>
    <x v="24"/>
    <n v="1"/>
    <n v="50"/>
    <n v="50"/>
    <n v="50"/>
    <n v="50"/>
    <m/>
    <n v="8"/>
    <n v="58"/>
    <n v="58"/>
    <n v="0"/>
    <x v="18"/>
    <s v="true"/>
    <s v="true"/>
    <x v="0"/>
  </r>
  <r>
    <n v="403"/>
    <d v="2024-12-23T00:00:00"/>
    <s v="12/2024"/>
    <x v="24"/>
    <x v="1161"/>
    <x v="0"/>
    <x v="0"/>
    <x v="24"/>
    <n v="1"/>
    <n v="525"/>
    <n v="525"/>
    <n v="525"/>
    <n v="525"/>
    <n v="197"/>
    <n v="79"/>
    <n v="801"/>
    <n v="801"/>
    <n v="0"/>
    <x v="18"/>
    <s v="true"/>
    <s v="true"/>
    <x v="0"/>
  </r>
  <r>
    <n v="403"/>
    <d v="2024-12-23T00:00:00"/>
    <s v="12/2024"/>
    <x v="24"/>
    <x v="1162"/>
    <x v="0"/>
    <x v="0"/>
    <x v="24"/>
    <n v="1"/>
    <n v="11"/>
    <n v="11"/>
    <n v="11"/>
    <n v="11"/>
    <m/>
    <n v="2"/>
    <n v="13"/>
    <n v="13"/>
    <n v="0"/>
    <x v="18"/>
    <s v="true"/>
    <s v="true"/>
    <x v="0"/>
  </r>
  <r>
    <n v="403"/>
    <d v="2024-12-23T00:00:00"/>
    <s v="12/2024"/>
    <x v="24"/>
    <x v="1163"/>
    <x v="0"/>
    <x v="0"/>
    <x v="24"/>
    <n v="1"/>
    <n v="90"/>
    <n v="90"/>
    <n v="90"/>
    <n v="90"/>
    <m/>
    <n v="14"/>
    <n v="104"/>
    <n v="104"/>
    <n v="0"/>
    <x v="18"/>
    <s v="true"/>
    <s v="true"/>
    <x v="0"/>
  </r>
  <r>
    <n v="403"/>
    <d v="2024-12-23T00:00:00"/>
    <s v="12/2024"/>
    <x v="24"/>
    <x v="1164"/>
    <x v="0"/>
    <x v="0"/>
    <x v="24"/>
    <n v="1"/>
    <n v="64"/>
    <n v="64"/>
    <n v="86"/>
    <n v="86"/>
    <m/>
    <n v="13"/>
    <n v="99"/>
    <n v="99"/>
    <n v="0"/>
    <x v="19"/>
    <s v="true"/>
    <s v="true"/>
    <x v="0"/>
  </r>
  <r>
    <n v="403"/>
    <d v="2024-12-23T00:00:00"/>
    <s v="12/2024"/>
    <x v="24"/>
    <x v="1165"/>
    <x v="0"/>
    <x v="0"/>
    <x v="24"/>
    <n v="1"/>
    <n v="104"/>
    <n v="104"/>
    <n v="140"/>
    <n v="140"/>
    <m/>
    <n v="21"/>
    <n v="161"/>
    <n v="161"/>
    <n v="0"/>
    <x v="19"/>
    <s v="true"/>
    <s v="true"/>
    <x v="0"/>
  </r>
  <r>
    <n v="403"/>
    <d v="2024-12-23T00:00:00"/>
    <s v="12/2024"/>
    <x v="24"/>
    <x v="1166"/>
    <x v="0"/>
    <x v="0"/>
    <x v="24"/>
    <n v="1"/>
    <n v="113"/>
    <n v="113"/>
    <n v="154"/>
    <n v="154"/>
    <m/>
    <n v="23"/>
    <n v="177"/>
    <n v="177"/>
    <n v="0"/>
    <x v="19"/>
    <s v="true"/>
    <s v="true"/>
    <x v="0"/>
  </r>
  <r>
    <n v="403"/>
    <d v="2024-12-23T00:00:00"/>
    <s v="12/2024"/>
    <x v="24"/>
    <x v="1167"/>
    <x v="0"/>
    <x v="0"/>
    <x v="24"/>
    <n v="1"/>
    <n v="113"/>
    <n v="113"/>
    <n v="154"/>
    <n v="154"/>
    <m/>
    <n v="23"/>
    <n v="177"/>
    <n v="177"/>
    <n v="0"/>
    <x v="19"/>
    <s v="true"/>
    <s v="true"/>
    <x v="0"/>
  </r>
  <r>
    <n v="403"/>
    <d v="2024-12-23T00:00:00"/>
    <s v="12/2024"/>
    <x v="24"/>
    <x v="1168"/>
    <x v="0"/>
    <x v="0"/>
    <x v="24"/>
    <n v="1"/>
    <n v="48"/>
    <n v="48"/>
    <n v="64"/>
    <n v="64"/>
    <n v="258"/>
    <n v="10"/>
    <n v="332"/>
    <n v="332"/>
    <n v="0"/>
    <x v="19"/>
    <s v="true"/>
    <s v="true"/>
    <x v="0"/>
  </r>
  <r>
    <n v="410"/>
    <d v="2024-12-26T00:00:00"/>
    <s v="12/2024"/>
    <x v="91"/>
    <x v="257"/>
    <x v="0"/>
    <x v="126"/>
    <x v="275"/>
    <n v="1"/>
    <m/>
    <n v="0"/>
    <m/>
    <n v="0"/>
    <m/>
    <n v="0"/>
    <n v="0"/>
    <m/>
    <n v="0"/>
    <x v="20"/>
    <s v="true"/>
    <s v="true"/>
    <x v="0"/>
  </r>
  <r>
    <n v="410"/>
    <d v="2024-12-26T00:00:00"/>
    <s v="12/2024"/>
    <x v="91"/>
    <x v="257"/>
    <x v="0"/>
    <x v="127"/>
    <x v="274"/>
    <n v="1"/>
    <n v="6368"/>
    <n v="6368"/>
    <n v="6368"/>
    <n v="6368"/>
    <m/>
    <n v="955"/>
    <n v="955"/>
    <n v="955"/>
    <n v="0"/>
    <x v="20"/>
    <s v="true"/>
    <s v="true"/>
    <x v="0"/>
  </r>
  <r>
    <n v="410"/>
    <d v="2024-12-26T00:00:00"/>
    <s v="12/2024"/>
    <x v="91"/>
    <x v="73"/>
    <x v="0"/>
    <x v="0"/>
    <x v="282"/>
    <n v="1"/>
    <n v="1437"/>
    <n v="1437"/>
    <n v="1437"/>
    <n v="1437"/>
    <m/>
    <n v="216"/>
    <n v="216"/>
    <n v="216"/>
    <n v="0"/>
    <x v="15"/>
    <s v="true"/>
    <s v="true"/>
    <x v="0"/>
  </r>
  <r>
    <n v="411"/>
    <d v="2024-12-27T00:00:00"/>
    <s v="12/2024"/>
    <x v="27"/>
    <x v="73"/>
    <x v="0"/>
    <x v="0"/>
    <x v="282"/>
    <n v="1"/>
    <n v="8028"/>
    <n v="8028"/>
    <n v="8028"/>
    <n v="8028"/>
    <n v="200"/>
    <n v="803"/>
    <n v="1003"/>
    <n v="1003"/>
    <n v="0"/>
    <x v="15"/>
    <s v="true"/>
    <s v="true"/>
    <x v="0"/>
  </r>
  <r>
    <n v="412"/>
    <d v="2024-12-27T00:00:00"/>
    <s v="12/2024"/>
    <x v="79"/>
    <x v="73"/>
    <x v="0"/>
    <x v="0"/>
    <x v="282"/>
    <n v="1"/>
    <n v="1229"/>
    <n v="1229"/>
    <n v="1229"/>
    <n v="1229"/>
    <m/>
    <n v="200"/>
    <n v="200"/>
    <n v="200"/>
    <n v="0"/>
    <x v="15"/>
    <s v="true"/>
    <s v="true"/>
    <x v="0"/>
  </r>
  <r>
    <n v="413"/>
    <d v="2024-12-27T00:00:00"/>
    <s v="12/2024"/>
    <x v="67"/>
    <x v="73"/>
    <x v="0"/>
    <x v="0"/>
    <x v="282"/>
    <n v="1"/>
    <n v="8468"/>
    <n v="8468"/>
    <n v="8468"/>
    <n v="8468"/>
    <m/>
    <n v="1270"/>
    <n v="1270"/>
    <n v="1270"/>
    <n v="0"/>
    <x v="15"/>
    <s v="true"/>
    <s v="true"/>
    <x v="0"/>
  </r>
  <r>
    <n v="414"/>
    <d v="2025-12-28T00:00:00"/>
    <s v="12/2025"/>
    <x v="10"/>
    <x v="642"/>
    <x v="0"/>
    <x v="0"/>
    <x v="279"/>
    <n v="1"/>
    <n v="200"/>
    <n v="200"/>
    <n v="207"/>
    <n v="207"/>
    <m/>
    <n v="100"/>
    <n v="307"/>
    <n v="307"/>
    <n v="0"/>
    <x v="15"/>
    <s v="true"/>
    <s v="true"/>
    <x v="0"/>
  </r>
  <r>
    <n v="414"/>
    <d v="2025-12-28T00:00:00"/>
    <s v="12/2025"/>
    <x v="10"/>
    <x v="1169"/>
    <x v="0"/>
    <x v="128"/>
    <x v="284"/>
    <n v="1"/>
    <n v="641"/>
    <n v="641"/>
    <n v="683"/>
    <n v="683"/>
    <m/>
    <n v="100"/>
    <n v="783"/>
    <n v="783"/>
    <n v="0"/>
    <x v="15"/>
    <s v="true"/>
    <s v="true"/>
    <x v="0"/>
  </r>
  <r>
    <n v="415"/>
    <d v="2024-12-30T00:00:00"/>
    <s v="12/2024"/>
    <x v="101"/>
    <x v="1170"/>
    <x v="0"/>
    <x v="0"/>
    <x v="285"/>
    <n v="1"/>
    <n v="470"/>
    <n v="470"/>
    <n v="501"/>
    <n v="501"/>
    <m/>
    <n v="200"/>
    <n v="701"/>
    <n v="701"/>
    <n v="0"/>
    <x v="15"/>
    <s v="true"/>
    <s v="true"/>
    <x v="0"/>
  </r>
  <r>
    <n v="416"/>
    <d v="2024-12-30T00:00:00"/>
    <s v="12/2024"/>
    <x v="11"/>
    <x v="914"/>
    <x v="0"/>
    <x v="129"/>
    <x v="286"/>
    <n v="1"/>
    <n v="842"/>
    <n v="842"/>
    <n v="906"/>
    <n v="906"/>
    <m/>
    <n v="200"/>
    <n v="1106"/>
    <n v="1106"/>
    <n v="0"/>
    <x v="15"/>
    <s v="true"/>
    <s v="true"/>
    <x v="0"/>
  </r>
  <r>
    <n v="417"/>
    <d v="2024-12-30T00:00:00"/>
    <s v="12/2024"/>
    <x v="98"/>
    <x v="1171"/>
    <x v="0"/>
    <x v="0"/>
    <x v="269"/>
    <n v="1"/>
    <n v="1188"/>
    <n v="1188"/>
    <n v="1188"/>
    <n v="1188"/>
    <m/>
    <n v="178"/>
    <n v="1366"/>
    <n v="1366"/>
    <n v="0"/>
    <x v="16"/>
    <s v="true"/>
    <s v="true"/>
    <x v="0"/>
  </r>
  <r>
    <n v="417"/>
    <d v="2024-12-30T00:00:00"/>
    <s v="12/2024"/>
    <x v="98"/>
    <x v="1172"/>
    <x v="0"/>
    <x v="0"/>
    <x v="287"/>
    <n v="1"/>
    <n v="826"/>
    <n v="826"/>
    <n v="826"/>
    <n v="826"/>
    <m/>
    <n v="124"/>
    <n v="950"/>
    <n v="950"/>
    <n v="0"/>
    <x v="16"/>
    <s v="true"/>
    <s v="true"/>
    <x v="0"/>
  </r>
  <r>
    <n v="417"/>
    <d v="2024-12-30T00:00:00"/>
    <s v="12/2024"/>
    <x v="98"/>
    <x v="1173"/>
    <x v="0"/>
    <x v="0"/>
    <x v="288"/>
    <n v="1"/>
    <n v="836"/>
    <n v="836"/>
    <n v="836"/>
    <n v="836"/>
    <m/>
    <n v="125"/>
    <n v="961"/>
    <n v="961"/>
    <n v="0"/>
    <x v="30"/>
    <s v="true"/>
    <s v="true"/>
    <x v="0"/>
  </r>
  <r>
    <n v="417"/>
    <d v="2024-12-30T00:00:00"/>
    <s v="12/2024"/>
    <x v="98"/>
    <x v="1174"/>
    <x v="0"/>
    <x v="0"/>
    <x v="288"/>
    <n v="1"/>
    <n v="1188"/>
    <n v="1188"/>
    <n v="1188"/>
    <n v="1188"/>
    <m/>
    <n v="178"/>
    <n v="1366"/>
    <n v="1366"/>
    <n v="0"/>
    <x v="30"/>
    <s v="true"/>
    <s v="true"/>
    <x v="0"/>
  </r>
  <r>
    <n v="417"/>
    <d v="2024-12-30T00:00:00"/>
    <s v="12/2024"/>
    <x v="98"/>
    <x v="1175"/>
    <x v="0"/>
    <x v="0"/>
    <x v="288"/>
    <n v="1"/>
    <n v="792"/>
    <n v="792"/>
    <n v="792"/>
    <n v="792"/>
    <n v="389"/>
    <n v="119"/>
    <n v="1300"/>
    <n v="1300"/>
    <n v="0"/>
    <x v="30"/>
    <s v="true"/>
    <s v="true"/>
    <x v="0"/>
  </r>
  <r>
    <n v="326"/>
    <d v="2025-12-29T00:00:00"/>
    <s v="12/2025"/>
    <x v="73"/>
    <x v="1176"/>
    <x v="0"/>
    <x v="0"/>
    <x v="289"/>
    <n v="1"/>
    <n v="1133"/>
    <n v="1133"/>
    <n v="1177"/>
    <n v="1177"/>
    <m/>
    <n v="177"/>
    <n v="1354"/>
    <n v="1354"/>
    <n v="0"/>
    <x v="15"/>
    <s v="true"/>
    <s v="true"/>
    <x v="0"/>
  </r>
  <r>
    <n v="326"/>
    <d v="2025-12-29T00:00:00"/>
    <s v="12/2025"/>
    <x v="73"/>
    <x v="1177"/>
    <x v="0"/>
    <x v="0"/>
    <x v="289"/>
    <n v="1"/>
    <n v="546"/>
    <n v="546"/>
    <n v="572"/>
    <n v="572"/>
    <m/>
    <n v="86"/>
    <n v="658"/>
    <n v="658"/>
    <n v="0"/>
    <x v="15"/>
    <s v="true"/>
    <s v="true"/>
    <x v="0"/>
  </r>
  <r>
    <n v="326"/>
    <d v="2025-12-29T00:00:00"/>
    <s v="12/2025"/>
    <x v="73"/>
    <x v="1178"/>
    <x v="0"/>
    <x v="0"/>
    <x v="289"/>
    <n v="1"/>
    <n v="535"/>
    <n v="535"/>
    <n v="609"/>
    <n v="609"/>
    <m/>
    <n v="91"/>
    <n v="700"/>
    <n v="700"/>
    <n v="0"/>
    <x v="15"/>
    <s v="true"/>
    <s v="true"/>
    <x v="0"/>
  </r>
  <r>
    <n v="418"/>
    <d v="2025-01-04T00:00:00"/>
    <s v="1/2025"/>
    <x v="35"/>
    <x v="969"/>
    <x v="0"/>
    <x v="0"/>
    <x v="290"/>
    <n v="1"/>
    <n v="860"/>
    <n v="860"/>
    <n v="923"/>
    <n v="923"/>
    <m/>
    <n v="138"/>
    <n v="1061"/>
    <n v="1061"/>
    <n v="0"/>
    <x v="15"/>
    <s v="true"/>
    <s v="true"/>
    <x v="0"/>
  </r>
  <r>
    <n v="418"/>
    <d v="2025-01-04T00:00:00"/>
    <s v="1/2025"/>
    <x v="35"/>
    <x v="1179"/>
    <x v="0"/>
    <x v="0"/>
    <x v="291"/>
    <n v="1"/>
    <n v="1627"/>
    <n v="1627"/>
    <n v="1730"/>
    <n v="1730"/>
    <m/>
    <n v="260"/>
    <n v="1990"/>
    <n v="1990"/>
    <n v="0"/>
    <x v="15"/>
    <s v="true"/>
    <s v="true"/>
    <x v="0"/>
  </r>
  <r>
    <n v="418"/>
    <d v="2025-01-04T00:00:00"/>
    <s v="1/2025"/>
    <x v="35"/>
    <x v="1180"/>
    <x v="0"/>
    <x v="0"/>
    <x v="292"/>
    <n v="1"/>
    <n v="1943"/>
    <n v="1943"/>
    <n v="2089"/>
    <n v="2089"/>
    <m/>
    <n v="313"/>
    <n v="2402"/>
    <n v="2402"/>
    <n v="0"/>
    <x v="15"/>
    <s v="true"/>
    <s v="true"/>
    <x v="0"/>
  </r>
  <r>
    <n v="418"/>
    <d v="2025-01-04T00:00:00"/>
    <s v="1/2025"/>
    <x v="35"/>
    <x v="1181"/>
    <x v="0"/>
    <x v="0"/>
    <x v="293"/>
    <n v="0"/>
    <n v="2000"/>
    <n v="0"/>
    <n v="2000"/>
    <n v="0"/>
    <m/>
    <n v="0"/>
    <n v="0"/>
    <n v="0"/>
    <n v="0"/>
    <x v="19"/>
    <s v="true"/>
    <s v="true"/>
    <x v="0"/>
  </r>
  <r>
    <n v="419"/>
    <d v="2025-01-04T00:00:00"/>
    <s v="1/2025"/>
    <x v="1"/>
    <x v="1182"/>
    <x v="0"/>
    <x v="0"/>
    <x v="291"/>
    <n v="1"/>
    <n v="195"/>
    <n v="195"/>
    <n v="206"/>
    <n v="206"/>
    <m/>
    <n v="21"/>
    <n v="227"/>
    <n v="227"/>
    <n v="0"/>
    <x v="16"/>
    <s v="true"/>
    <s v="true"/>
    <x v="0"/>
  </r>
  <r>
    <n v="419"/>
    <d v="2025-01-04T00:00:00"/>
    <s v="1/2025"/>
    <x v="1"/>
    <x v="1183"/>
    <x v="0"/>
    <x v="0"/>
    <x v="291"/>
    <n v="1"/>
    <n v="2695"/>
    <n v="2695"/>
    <n v="2837"/>
    <n v="2837"/>
    <m/>
    <n v="284"/>
    <n v="3121"/>
    <n v="3121"/>
    <n v="0"/>
    <x v="16"/>
    <s v="true"/>
    <s v="true"/>
    <x v="0"/>
  </r>
  <r>
    <n v="419"/>
    <d v="2025-01-04T00:00:00"/>
    <s v="1/2025"/>
    <x v="1"/>
    <x v="863"/>
    <x v="0"/>
    <x v="0"/>
    <x v="292"/>
    <n v="1"/>
    <n v="677"/>
    <n v="677"/>
    <n v="713"/>
    <n v="713"/>
    <m/>
    <n v="71"/>
    <n v="784"/>
    <n v="784"/>
    <n v="0"/>
    <x v="16"/>
    <s v="true"/>
    <s v="true"/>
    <x v="0"/>
  </r>
  <r>
    <n v="419"/>
    <d v="2025-01-04T00:00:00"/>
    <s v="1/2025"/>
    <x v="1"/>
    <x v="1184"/>
    <x v="0"/>
    <x v="0"/>
    <x v="291"/>
    <n v="1"/>
    <n v="1406"/>
    <n v="1406"/>
    <n v="1481"/>
    <n v="1481"/>
    <m/>
    <n v="148"/>
    <n v="1629"/>
    <n v="1629"/>
    <n v="0"/>
    <x v="16"/>
    <s v="true"/>
    <s v="true"/>
    <x v="0"/>
  </r>
  <r>
    <n v="419"/>
    <d v="2025-01-04T00:00:00"/>
    <s v="1/2025"/>
    <x v="1"/>
    <x v="1185"/>
    <x v="0"/>
    <x v="0"/>
    <x v="292"/>
    <n v="1"/>
    <n v="285"/>
    <n v="285"/>
    <n v="301"/>
    <n v="301"/>
    <m/>
    <n v="30"/>
    <n v="331"/>
    <n v="331"/>
    <n v="0"/>
    <x v="16"/>
    <s v="true"/>
    <s v="true"/>
    <x v="0"/>
  </r>
  <r>
    <n v="419"/>
    <d v="2025-01-04T00:00:00"/>
    <s v="1/2025"/>
    <x v="1"/>
    <x v="120"/>
    <x v="0"/>
    <x v="0"/>
    <x v="292"/>
    <n v="1"/>
    <n v="298"/>
    <n v="298"/>
    <n v="314"/>
    <n v="314"/>
    <m/>
    <n v="31"/>
    <n v="345"/>
    <n v="345"/>
    <n v="0"/>
    <x v="16"/>
    <s v="true"/>
    <s v="true"/>
    <x v="0"/>
  </r>
  <r>
    <n v="262"/>
    <d v="2025-01-06T00:00:00"/>
    <s v="1/2025"/>
    <x v="61"/>
    <x v="1186"/>
    <x v="0"/>
    <x v="0"/>
    <x v="294"/>
    <n v="1"/>
    <n v="320"/>
    <n v="320"/>
    <n v="337"/>
    <n v="337"/>
    <m/>
    <n v="51"/>
    <n v="388"/>
    <n v="388"/>
    <n v="0"/>
    <x v="16"/>
    <s v="true"/>
    <s v="true"/>
    <x v="0"/>
  </r>
  <r>
    <n v="262"/>
    <d v="2025-01-06T00:00:00"/>
    <s v="1/2025"/>
    <x v="61"/>
    <x v="1187"/>
    <x v="0"/>
    <x v="0"/>
    <x v="295"/>
    <n v="1"/>
    <n v="2713"/>
    <n v="2713"/>
    <n v="2856"/>
    <n v="2856"/>
    <m/>
    <n v="428"/>
    <n v="3284"/>
    <n v="3284"/>
    <n v="0"/>
    <x v="16"/>
    <s v="true"/>
    <s v="true"/>
    <x v="0"/>
  </r>
  <r>
    <n v="262"/>
    <d v="2025-01-06T00:00:00"/>
    <s v="1/2025"/>
    <x v="61"/>
    <x v="1188"/>
    <x v="0"/>
    <x v="0"/>
    <x v="295"/>
    <n v="1"/>
    <n v="362"/>
    <n v="362"/>
    <n v="382"/>
    <n v="382"/>
    <m/>
    <n v="57"/>
    <n v="439"/>
    <n v="439"/>
    <n v="0"/>
    <x v="16"/>
    <s v="true"/>
    <s v="true"/>
    <x v="0"/>
  </r>
  <r>
    <n v="262"/>
    <d v="2025-01-06T00:00:00"/>
    <s v="1/2025"/>
    <x v="61"/>
    <x v="1049"/>
    <x v="0"/>
    <x v="0"/>
    <x v="296"/>
    <n v="1"/>
    <n v="447"/>
    <n v="447"/>
    <n v="471"/>
    <n v="471"/>
    <m/>
    <n v="71"/>
    <n v="542"/>
    <n v="542"/>
    <n v="0"/>
    <x v="16"/>
    <s v="true"/>
    <s v="true"/>
    <x v="0"/>
  </r>
  <r>
    <n v="262"/>
    <d v="2025-01-06T00:00:00"/>
    <s v="1/2025"/>
    <x v="61"/>
    <x v="905"/>
    <x v="0"/>
    <x v="0"/>
    <x v="297"/>
    <n v="1"/>
    <n v="502"/>
    <n v="502"/>
    <n v="529"/>
    <n v="529"/>
    <m/>
    <n v="79"/>
    <n v="608"/>
    <n v="608"/>
    <n v="0"/>
    <x v="16"/>
    <s v="true"/>
    <s v="true"/>
    <x v="0"/>
  </r>
  <r>
    <n v="262"/>
    <d v="2025-01-06T00:00:00"/>
    <s v="1/2025"/>
    <x v="61"/>
    <x v="1189"/>
    <x v="0"/>
    <x v="0"/>
    <x v="297"/>
    <n v="1"/>
    <n v="397"/>
    <n v="397"/>
    <n v="418"/>
    <n v="418"/>
    <m/>
    <n v="63"/>
    <n v="481"/>
    <n v="481"/>
    <n v="0"/>
    <x v="16"/>
    <s v="true"/>
    <s v="true"/>
    <x v="0"/>
  </r>
  <r>
    <n v="262"/>
    <d v="2025-01-06T00:00:00"/>
    <s v="1/2025"/>
    <x v="61"/>
    <x v="1190"/>
    <x v="0"/>
    <x v="0"/>
    <x v="295"/>
    <n v="1"/>
    <n v="156"/>
    <n v="156"/>
    <n v="165"/>
    <n v="165"/>
    <m/>
    <n v="25"/>
    <n v="190"/>
    <n v="190"/>
    <n v="0"/>
    <x v="16"/>
    <s v="true"/>
    <s v="true"/>
    <x v="0"/>
  </r>
  <r>
    <n v="262"/>
    <d v="2025-01-06T00:00:00"/>
    <s v="1/2025"/>
    <x v="61"/>
    <x v="1191"/>
    <x v="0"/>
    <x v="0"/>
    <x v="295"/>
    <n v="1"/>
    <n v="1423"/>
    <n v="1423"/>
    <n v="1498"/>
    <n v="1498"/>
    <m/>
    <n v="225"/>
    <n v="1723"/>
    <n v="1723"/>
    <n v="0"/>
    <x v="16"/>
    <s v="true"/>
    <s v="true"/>
    <x v="0"/>
  </r>
  <r>
    <n v="420"/>
    <d v="2025-01-08T00:00:00"/>
    <s v="1/2025"/>
    <x v="47"/>
    <x v="1192"/>
    <x v="0"/>
    <x v="0"/>
    <x v="297"/>
    <n v="1"/>
    <n v="1228"/>
    <n v="1228"/>
    <n v="1293"/>
    <n v="1293"/>
    <m/>
    <n v="194"/>
    <n v="1487"/>
    <n v="1487"/>
    <n v="0"/>
    <x v="16"/>
    <s v="true"/>
    <s v="true"/>
    <x v="0"/>
  </r>
  <r>
    <n v="420"/>
    <d v="2025-01-08T00:00:00"/>
    <s v="1/2025"/>
    <x v="47"/>
    <x v="1044"/>
    <x v="0"/>
    <x v="0"/>
    <x v="296"/>
    <n v="1"/>
    <n v="320"/>
    <n v="320"/>
    <n v="337"/>
    <n v="337"/>
    <m/>
    <n v="51"/>
    <n v="388"/>
    <n v="388"/>
    <n v="0"/>
    <x v="16"/>
    <s v="true"/>
    <s v="true"/>
    <x v="0"/>
  </r>
  <r>
    <n v="420"/>
    <d v="2025-01-08T00:00:00"/>
    <s v="1/2025"/>
    <x v="47"/>
    <x v="1193"/>
    <x v="0"/>
    <x v="0"/>
    <x v="295"/>
    <n v="1"/>
    <n v="247"/>
    <n v="247"/>
    <n v="261"/>
    <n v="261"/>
    <m/>
    <n v="39"/>
    <n v="300"/>
    <n v="300"/>
    <n v="0"/>
    <x v="16"/>
    <s v="true"/>
    <s v="true"/>
    <x v="0"/>
  </r>
  <r>
    <n v="420"/>
    <d v="2025-01-08T00:00:00"/>
    <s v="1/2025"/>
    <x v="47"/>
    <x v="1194"/>
    <x v="0"/>
    <x v="0"/>
    <x v="296"/>
    <n v="1"/>
    <n v="323"/>
    <n v="323"/>
    <n v="340"/>
    <n v="340"/>
    <m/>
    <n v="51"/>
    <n v="391"/>
    <n v="391"/>
    <n v="0"/>
    <x v="16"/>
    <s v="true"/>
    <s v="true"/>
    <x v="0"/>
  </r>
  <r>
    <n v="420"/>
    <d v="2025-01-08T00:00:00"/>
    <s v="1/2025"/>
    <x v="47"/>
    <x v="1195"/>
    <x v="0"/>
    <x v="0"/>
    <x v="297"/>
    <n v="1"/>
    <n v="717"/>
    <n v="717"/>
    <n v="755"/>
    <n v="755"/>
    <m/>
    <n v="113"/>
    <n v="868"/>
    <n v="868"/>
    <n v="0"/>
    <x v="16"/>
    <s v="true"/>
    <s v="true"/>
    <x v="0"/>
  </r>
  <r>
    <n v="262"/>
    <d v="2025-01-06T00:00:00"/>
    <s v="1/2025"/>
    <x v="61"/>
    <x v="1097"/>
    <x v="0"/>
    <x v="0"/>
    <x v="297"/>
    <n v="1"/>
    <n v="612"/>
    <n v="612"/>
    <n v="645"/>
    <n v="645"/>
    <m/>
    <n v="97"/>
    <n v="742"/>
    <n v="742"/>
    <n v="0"/>
    <x v="16"/>
    <s v="true"/>
    <s v="true"/>
    <x v="0"/>
  </r>
  <r>
    <n v="262"/>
    <d v="2025-01-06T00:00:00"/>
    <s v="1/2025"/>
    <x v="61"/>
    <x v="1108"/>
    <x v="0"/>
    <x v="0"/>
    <x v="298"/>
    <n v="1"/>
    <n v="211"/>
    <n v="211"/>
    <n v="223"/>
    <n v="223"/>
    <m/>
    <n v="33"/>
    <n v="256"/>
    <n v="256"/>
    <n v="0"/>
    <x v="16"/>
    <s v="true"/>
    <s v="true"/>
    <x v="0"/>
  </r>
  <r>
    <n v="421"/>
    <d v="2025-01-09T00:00:00"/>
    <s v="1/2025"/>
    <x v="87"/>
    <x v="257"/>
    <x v="0"/>
    <x v="130"/>
    <x v="295"/>
    <n v="1"/>
    <n v="5200"/>
    <n v="5200"/>
    <n v="5200"/>
    <n v="5200"/>
    <n v="740"/>
    <n v="780"/>
    <n v="1520"/>
    <n v="1520"/>
    <n v="0"/>
    <x v="20"/>
    <s v="true"/>
    <s v="true"/>
    <x v="0"/>
  </r>
  <r>
    <n v="423"/>
    <d v="2025-01-10T00:00:00"/>
    <s v="1/2025"/>
    <x v="102"/>
    <x v="1196"/>
    <x v="0"/>
    <x v="0"/>
    <x v="296"/>
    <n v="1"/>
    <n v="647"/>
    <n v="647"/>
    <n v="682"/>
    <n v="682"/>
    <m/>
    <n v="200"/>
    <n v="882"/>
    <n v="882"/>
    <n v="0"/>
    <x v="16"/>
    <s v="true"/>
    <s v="true"/>
    <x v="0"/>
  </r>
  <r>
    <n v="426"/>
    <d v="2025-01-10T00:00:00"/>
    <s v="1/2025"/>
    <x v="11"/>
    <x v="257"/>
    <x v="0"/>
    <x v="0"/>
    <x v="295"/>
    <n v="1"/>
    <n v="4666"/>
    <n v="4666"/>
    <n v="4666"/>
    <n v="4666"/>
    <m/>
    <n v="700"/>
    <n v="700"/>
    <n v="700"/>
    <n v="0"/>
    <x v="31"/>
    <s v="true"/>
    <s v="true"/>
    <x v="0"/>
  </r>
  <r>
    <n v="424"/>
    <d v="2025-01-10T00:00:00"/>
    <s v="1/2025"/>
    <x v="66"/>
    <x v="257"/>
    <x v="0"/>
    <x v="0"/>
    <x v="295"/>
    <n v="1"/>
    <n v="8543"/>
    <n v="8543"/>
    <n v="8543"/>
    <n v="8543"/>
    <m/>
    <n v="1281"/>
    <n v="1281"/>
    <n v="1281"/>
    <n v="0"/>
    <x v="15"/>
    <s v="true"/>
    <s v="true"/>
    <x v="0"/>
  </r>
  <r>
    <n v="425"/>
    <d v="2025-01-10T00:00:00"/>
    <s v="1/2025"/>
    <x v="64"/>
    <x v="257"/>
    <x v="0"/>
    <x v="0"/>
    <x v="295"/>
    <n v="1"/>
    <n v="2450"/>
    <n v="2450"/>
    <n v="2450"/>
    <n v="2450"/>
    <m/>
    <n v="368"/>
    <n v="368"/>
    <n v="368"/>
    <n v="0"/>
    <x v="15"/>
    <s v="true"/>
    <s v="true"/>
    <x v="0"/>
  </r>
  <r>
    <n v="427"/>
    <d v="2025-01-10T00:00:00"/>
    <s v="1/2025"/>
    <x v="103"/>
    <x v="257"/>
    <x v="0"/>
    <x v="0"/>
    <x v="295"/>
    <n v="1"/>
    <n v="31000"/>
    <n v="31000"/>
    <n v="31000"/>
    <n v="31000"/>
    <n v="1353"/>
    <n v="3100"/>
    <n v="4453"/>
    <n v="4453"/>
    <n v="0"/>
    <x v="32"/>
    <s v="true"/>
    <s v="true"/>
    <x v="0"/>
  </r>
  <r>
    <n v="428"/>
    <d v="2025-01-10T00:00:00"/>
    <s v="1/2025"/>
    <x v="61"/>
    <x v="1197"/>
    <x v="0"/>
    <x v="0"/>
    <x v="296"/>
    <n v="1"/>
    <n v="444"/>
    <n v="444"/>
    <n v="468"/>
    <n v="468"/>
    <m/>
    <n v="70"/>
    <n v="538"/>
    <n v="538"/>
    <n v="0"/>
    <x v="16"/>
    <s v="true"/>
    <s v="true"/>
    <x v="0"/>
  </r>
  <r>
    <n v="428"/>
    <d v="2025-01-10T00:00:00"/>
    <s v="1/2025"/>
    <x v="61"/>
    <x v="1198"/>
    <x v="0"/>
    <x v="0"/>
    <x v="299"/>
    <n v="1"/>
    <n v="402"/>
    <n v="402"/>
    <n v="424"/>
    <n v="424"/>
    <m/>
    <n v="64"/>
    <n v="488"/>
    <n v="488"/>
    <n v="0"/>
    <x v="16"/>
    <s v="true"/>
    <s v="true"/>
    <x v="0"/>
  </r>
  <r>
    <n v="428"/>
    <d v="2025-01-10T00:00:00"/>
    <s v="1/2025"/>
    <x v="61"/>
    <x v="1199"/>
    <x v="0"/>
    <x v="0"/>
    <x v="299"/>
    <n v="2"/>
    <n v="415"/>
    <n v="830"/>
    <n v="437"/>
    <n v="874"/>
    <m/>
    <n v="131"/>
    <n v="1005"/>
    <n v="1005"/>
    <n v="0"/>
    <x v="16"/>
    <s v="true"/>
    <s v="true"/>
    <x v="0"/>
  </r>
  <r>
    <n v="428"/>
    <d v="2025-01-10T00:00:00"/>
    <s v="1/2025"/>
    <x v="61"/>
    <x v="1200"/>
    <x v="0"/>
    <x v="0"/>
    <x v="300"/>
    <n v="1"/>
    <n v="584"/>
    <n v="584"/>
    <n v="615"/>
    <n v="615"/>
    <m/>
    <n v="92"/>
    <n v="707"/>
    <n v="707"/>
    <n v="0"/>
    <x v="16"/>
    <s v="true"/>
    <s v="true"/>
    <x v="0"/>
  </r>
  <r>
    <n v="428"/>
    <d v="2025-01-10T00:00:00"/>
    <s v="1/2025"/>
    <x v="61"/>
    <x v="1201"/>
    <x v="0"/>
    <x v="0"/>
    <x v="298"/>
    <n v="2"/>
    <n v="252"/>
    <n v="504"/>
    <n v="266"/>
    <n v="532"/>
    <m/>
    <n v="80"/>
    <n v="612"/>
    <n v="612"/>
    <n v="0"/>
    <x v="16"/>
    <s v="true"/>
    <s v="true"/>
    <x v="0"/>
  </r>
  <r>
    <n v="428"/>
    <d v="2025-01-10T00:00:00"/>
    <s v="1/2025"/>
    <x v="61"/>
    <x v="1202"/>
    <x v="0"/>
    <x v="0"/>
    <x v="299"/>
    <n v="1"/>
    <n v="550"/>
    <n v="550"/>
    <n v="579"/>
    <n v="579"/>
    <m/>
    <n v="87"/>
    <n v="666"/>
    <n v="666"/>
    <n v="0"/>
    <x v="16"/>
    <s v="true"/>
    <s v="true"/>
    <x v="0"/>
  </r>
  <r>
    <n v="429"/>
    <d v="2025-01-11T00:00:00"/>
    <s v="1/2025"/>
    <x v="1"/>
    <x v="127"/>
    <x v="0"/>
    <x v="0"/>
    <x v="283"/>
    <n v="1"/>
    <n v="3038"/>
    <n v="3038"/>
    <n v="3198"/>
    <n v="3198"/>
    <m/>
    <n v="320"/>
    <n v="3518"/>
    <n v="3518"/>
    <n v="0"/>
    <x v="16"/>
    <s v="true"/>
    <s v="true"/>
    <x v="0"/>
  </r>
  <r>
    <n v="429"/>
    <d v="2025-01-11T00:00:00"/>
    <s v="1/2025"/>
    <x v="1"/>
    <x v="1203"/>
    <x v="0"/>
    <x v="0"/>
    <x v="301"/>
    <n v="1"/>
    <n v="638"/>
    <n v="638"/>
    <n v="672"/>
    <n v="672"/>
    <m/>
    <n v="67"/>
    <n v="739"/>
    <n v="739"/>
    <n v="0"/>
    <x v="16"/>
    <s v="true"/>
    <s v="true"/>
    <x v="0"/>
  </r>
  <r>
    <n v="429"/>
    <d v="2025-01-11T00:00:00"/>
    <s v="1/2025"/>
    <x v="1"/>
    <x v="1204"/>
    <x v="0"/>
    <x v="0"/>
    <x v="283"/>
    <n v="0"/>
    <n v="1353"/>
    <n v="0"/>
    <n v="1425"/>
    <n v="0"/>
    <m/>
    <n v="0"/>
    <n v="0"/>
    <m/>
    <n v="0"/>
    <x v="16"/>
    <s v="true"/>
    <s v="true"/>
    <x v="0"/>
  </r>
  <r>
    <n v="429"/>
    <d v="2025-01-11T00:00:00"/>
    <s v="1/2025"/>
    <x v="1"/>
    <x v="1205"/>
    <x v="0"/>
    <x v="0"/>
    <x v="299"/>
    <n v="1"/>
    <n v="189"/>
    <n v="189"/>
    <n v="199"/>
    <n v="199"/>
    <m/>
    <n v="20"/>
    <n v="219"/>
    <n v="219"/>
    <n v="0"/>
    <x v="16"/>
    <s v="true"/>
    <s v="true"/>
    <x v="0"/>
  </r>
  <r>
    <n v="429"/>
    <d v="2025-01-11T00:00:00"/>
    <s v="1/2025"/>
    <x v="1"/>
    <x v="1206"/>
    <x v="0"/>
    <x v="0"/>
    <x v="298"/>
    <n v="1"/>
    <n v="504"/>
    <n v="504"/>
    <n v="531"/>
    <n v="531"/>
    <m/>
    <n v="53"/>
    <n v="584"/>
    <n v="584"/>
    <n v="0"/>
    <x v="16"/>
    <s v="true"/>
    <s v="true"/>
    <x v="0"/>
  </r>
  <r>
    <n v="429"/>
    <d v="2025-01-11T00:00:00"/>
    <s v="1/2025"/>
    <x v="1"/>
    <x v="1203"/>
    <x v="0"/>
    <x v="0"/>
    <x v="283"/>
    <n v="1"/>
    <n v="646"/>
    <n v="646"/>
    <n v="680"/>
    <n v="680"/>
    <m/>
    <n v="68"/>
    <n v="748"/>
    <n v="748"/>
    <n v="0"/>
    <x v="16"/>
    <s v="true"/>
    <s v="true"/>
    <x v="0"/>
  </r>
  <r>
    <n v="428"/>
    <d v="2025-01-10T00:00:00"/>
    <s v="1/2025"/>
    <x v="61"/>
    <x v="905"/>
    <x v="0"/>
    <x v="0"/>
    <x v="298"/>
    <n v="1"/>
    <n v="433"/>
    <n v="433"/>
    <n v="456"/>
    <n v="456"/>
    <m/>
    <n v="68"/>
    <n v="524"/>
    <n v="524"/>
    <n v="0"/>
    <x v="16"/>
    <s v="true"/>
    <s v="true"/>
    <x v="0"/>
  </r>
  <r>
    <n v="428"/>
    <d v="2025-01-10T00:00:00"/>
    <s v="1/2025"/>
    <x v="61"/>
    <x v="905"/>
    <x v="0"/>
    <x v="0"/>
    <x v="300"/>
    <n v="1"/>
    <n v="295"/>
    <n v="295"/>
    <n v="311"/>
    <n v="311"/>
    <m/>
    <n v="47"/>
    <n v="358"/>
    <n v="358"/>
    <n v="0"/>
    <x v="16"/>
    <s v="true"/>
    <s v="true"/>
    <x v="0"/>
  </r>
  <r>
    <n v="428"/>
    <d v="2025-01-10T00:00:00"/>
    <s v="1/2025"/>
    <x v="61"/>
    <x v="1169"/>
    <x v="0"/>
    <x v="0"/>
    <x v="299"/>
    <n v="1"/>
    <n v="1237"/>
    <n v="1237"/>
    <n v="1303"/>
    <n v="1303"/>
    <m/>
    <n v="195"/>
    <n v="1498"/>
    <n v="1498"/>
    <n v="0"/>
    <x v="16"/>
    <s v="true"/>
    <s v="true"/>
    <x v="0"/>
  </r>
  <r>
    <n v="430"/>
    <d v="2025-01-12T00:00:00"/>
    <s v="1/2025"/>
    <x v="104"/>
    <x v="1207"/>
    <x v="0"/>
    <x v="0"/>
    <x v="298"/>
    <n v="1"/>
    <n v="720"/>
    <n v="720"/>
    <n v="758"/>
    <n v="758"/>
    <m/>
    <n v="114"/>
    <n v="872"/>
    <n v="872"/>
    <n v="0"/>
    <x v="16"/>
    <s v="true"/>
    <s v="true"/>
    <x v="0"/>
  </r>
  <r>
    <n v="430"/>
    <d v="2025-01-12T00:00:00"/>
    <s v="1/2025"/>
    <x v="104"/>
    <x v="1208"/>
    <x v="0"/>
    <x v="0"/>
    <x v="283"/>
    <n v="1"/>
    <n v="2156"/>
    <n v="2156"/>
    <n v="2270"/>
    <n v="2270"/>
    <m/>
    <n v="341"/>
    <n v="2611"/>
    <n v="2611"/>
    <n v="0"/>
    <x v="16"/>
    <s v="true"/>
    <s v="true"/>
    <x v="0"/>
  </r>
  <r>
    <n v="430"/>
    <d v="2025-01-12T00:00:00"/>
    <s v="1/2025"/>
    <x v="104"/>
    <x v="1209"/>
    <x v="0"/>
    <x v="0"/>
    <x v="298"/>
    <n v="1"/>
    <n v="562"/>
    <n v="562"/>
    <n v="592"/>
    <n v="592"/>
    <m/>
    <n v="89"/>
    <n v="681"/>
    <n v="681"/>
    <n v="0"/>
    <x v="16"/>
    <s v="true"/>
    <s v="true"/>
    <x v="0"/>
  </r>
  <r>
    <n v="430"/>
    <d v="2025-01-12T00:00:00"/>
    <s v="1/2025"/>
    <x v="104"/>
    <x v="1210"/>
    <x v="0"/>
    <x v="0"/>
    <x v="300"/>
    <n v="1"/>
    <n v="548"/>
    <n v="548"/>
    <n v="577"/>
    <n v="577"/>
    <m/>
    <n v="87"/>
    <n v="664"/>
    <n v="664"/>
    <n v="0"/>
    <x v="16"/>
    <s v="true"/>
    <s v="true"/>
    <x v="0"/>
  </r>
  <r>
    <n v="429"/>
    <d v="2025-01-11T00:00:00"/>
    <s v="1/2025"/>
    <x v="1"/>
    <x v="1211"/>
    <x v="0"/>
    <x v="0"/>
    <x v="298"/>
    <n v="1"/>
    <n v="435"/>
    <n v="435"/>
    <n v="458"/>
    <n v="458"/>
    <m/>
    <n v="46"/>
    <n v="504"/>
    <n v="504"/>
    <n v="0"/>
    <x v="16"/>
    <s v="true"/>
    <s v="true"/>
    <x v="0"/>
  </r>
  <r>
    <n v="429"/>
    <d v="2025-01-11T00:00:00"/>
    <s v="1/2025"/>
    <x v="1"/>
    <x v="1212"/>
    <x v="0"/>
    <x v="0"/>
    <x v="298"/>
    <n v="1"/>
    <n v="988"/>
    <n v="988"/>
    <n v="1041"/>
    <n v="1041"/>
    <m/>
    <n v="104"/>
    <n v="1145"/>
    <n v="1145"/>
    <n v="0"/>
    <x v="16"/>
    <s v="true"/>
    <s v="true"/>
    <x v="0"/>
  </r>
  <r>
    <n v="418"/>
    <d v="2025-01-04T00:00:00"/>
    <s v="1/2025"/>
    <x v="35"/>
    <x v="1181"/>
    <x v="0"/>
    <x v="0"/>
    <x v="24"/>
    <n v="1"/>
    <n v="3500"/>
    <n v="3500"/>
    <n v="3500"/>
    <n v="3500"/>
    <n v="2600"/>
    <n v="525"/>
    <n v="6625"/>
    <n v="6625"/>
    <n v="0"/>
    <x v="33"/>
    <s v="true"/>
    <s v="true"/>
    <x v="0"/>
  </r>
  <r>
    <n v="431"/>
    <d v="2025-01-14T00:00:00"/>
    <s v="1/2025"/>
    <x v="35"/>
    <x v="1213"/>
    <x v="0"/>
    <x v="0"/>
    <x v="300"/>
    <n v="1"/>
    <n v="865"/>
    <n v="865"/>
    <n v="930"/>
    <n v="930"/>
    <m/>
    <n v="140"/>
    <n v="1070"/>
    <n v="1070"/>
    <n v="0"/>
    <x v="15"/>
    <s v="true"/>
    <s v="true"/>
    <x v="0"/>
  </r>
  <r>
    <n v="431"/>
    <d v="2025-01-14T00:00:00"/>
    <s v="1/2025"/>
    <x v="35"/>
    <x v="1214"/>
    <x v="0"/>
    <x v="0"/>
    <x v="283"/>
    <n v="1"/>
    <n v="569"/>
    <n v="569"/>
    <n v="611"/>
    <n v="611"/>
    <m/>
    <n v="92"/>
    <n v="703"/>
    <n v="703"/>
    <n v="0"/>
    <x v="15"/>
    <s v="true"/>
    <s v="true"/>
    <x v="0"/>
  </r>
  <r>
    <n v="431"/>
    <d v="2025-01-14T00:00:00"/>
    <s v="1/2025"/>
    <x v="35"/>
    <x v="1214"/>
    <x v="0"/>
    <x v="0"/>
    <x v="300"/>
    <n v="1"/>
    <n v="580"/>
    <n v="580"/>
    <n v="623"/>
    <n v="623"/>
    <m/>
    <n v="93"/>
    <n v="716"/>
    <n v="716"/>
    <n v="0"/>
    <x v="15"/>
    <s v="true"/>
    <s v="true"/>
    <x v="0"/>
  </r>
  <r>
    <n v="432"/>
    <d v="2025-01-14T00:00:00"/>
    <s v="1/2025"/>
    <x v="76"/>
    <x v="1215"/>
    <x v="0"/>
    <x v="0"/>
    <x v="300"/>
    <n v="1"/>
    <n v="2476"/>
    <n v="2476"/>
    <n v="2607"/>
    <n v="2607"/>
    <m/>
    <n v="391"/>
    <n v="2998"/>
    <n v="2998"/>
    <n v="0"/>
    <x v="16"/>
    <s v="true"/>
    <s v="true"/>
    <x v="0"/>
  </r>
  <r>
    <n v="432"/>
    <d v="2025-01-14T00:00:00"/>
    <s v="1/2025"/>
    <x v="76"/>
    <x v="712"/>
    <x v="0"/>
    <x v="0"/>
    <x v="300"/>
    <n v="1"/>
    <n v="1083"/>
    <n v="1083"/>
    <n v="1140"/>
    <n v="1140"/>
    <m/>
    <n v="171"/>
    <n v="1311"/>
    <n v="1311"/>
    <n v="0"/>
    <x v="16"/>
    <s v="true"/>
    <s v="true"/>
    <x v="0"/>
  </r>
  <r>
    <n v="432"/>
    <d v="2025-01-14T00:00:00"/>
    <s v="1/2025"/>
    <x v="76"/>
    <x v="1216"/>
    <x v="0"/>
    <x v="0"/>
    <x v="300"/>
    <n v="1"/>
    <n v="487"/>
    <n v="487"/>
    <n v="513"/>
    <n v="513"/>
    <m/>
    <n v="77"/>
    <n v="590"/>
    <n v="590"/>
    <n v="0"/>
    <x v="16"/>
    <s v="true"/>
    <s v="true"/>
    <x v="0"/>
  </r>
  <r>
    <n v="432"/>
    <d v="2025-01-14T00:00:00"/>
    <s v="1/2025"/>
    <x v="76"/>
    <x v="689"/>
    <x v="0"/>
    <x v="0"/>
    <x v="300"/>
    <n v="1"/>
    <n v="1323"/>
    <n v="1323"/>
    <n v="1393"/>
    <n v="1393"/>
    <m/>
    <n v="209"/>
    <n v="1602"/>
    <n v="1602"/>
    <n v="0"/>
    <x v="16"/>
    <s v="true"/>
    <s v="true"/>
    <x v="0"/>
  </r>
  <r>
    <n v="432"/>
    <d v="2025-01-14T00:00:00"/>
    <s v="1/2025"/>
    <x v="76"/>
    <x v="769"/>
    <x v="0"/>
    <x v="0"/>
    <x v="300"/>
    <n v="1"/>
    <n v="338"/>
    <n v="338"/>
    <n v="356"/>
    <n v="356"/>
    <m/>
    <n v="53"/>
    <n v="409"/>
    <n v="409"/>
    <n v="0"/>
    <x v="16"/>
    <s v="true"/>
    <s v="true"/>
    <x v="0"/>
  </r>
  <r>
    <n v="428"/>
    <d v="2025-01-10T00:00:00"/>
    <s v="1/2025"/>
    <x v="61"/>
    <x v="75"/>
    <x v="0"/>
    <x v="0"/>
    <x v="301"/>
    <n v="1"/>
    <n v="1548"/>
    <n v="1548"/>
    <n v="1630"/>
    <n v="1630"/>
    <m/>
    <n v="245"/>
    <n v="1875"/>
    <n v="1875"/>
    <n v="0"/>
    <x v="16"/>
    <s v="true"/>
    <s v="true"/>
    <x v="0"/>
  </r>
  <r>
    <n v="428"/>
    <d v="2025-01-10T00:00:00"/>
    <s v="1/2025"/>
    <x v="61"/>
    <x v="1217"/>
    <x v="0"/>
    <x v="0"/>
    <x v="301"/>
    <n v="1"/>
    <n v="340"/>
    <n v="340"/>
    <n v="358"/>
    <n v="358"/>
    <m/>
    <n v="54"/>
    <n v="412"/>
    <n v="412"/>
    <n v="0"/>
    <x v="16"/>
    <s v="true"/>
    <s v="true"/>
    <x v="0"/>
  </r>
  <r>
    <n v="428"/>
    <d v="2025-01-10T00:00:00"/>
    <s v="1/2025"/>
    <x v="61"/>
    <x v="1218"/>
    <x v="0"/>
    <x v="0"/>
    <x v="301"/>
    <n v="1"/>
    <n v="166"/>
    <n v="166"/>
    <n v="175"/>
    <n v="175"/>
    <m/>
    <n v="26"/>
    <n v="201"/>
    <n v="201"/>
    <n v="0"/>
    <x v="16"/>
    <s v="true"/>
    <s v="true"/>
    <x v="0"/>
  </r>
  <r>
    <n v="433"/>
    <d v="2025-01-16T00:00:00"/>
    <s v="1/2025"/>
    <x v="105"/>
    <x v="257"/>
    <x v="0"/>
    <x v="131"/>
    <x v="302"/>
    <n v="1"/>
    <n v="2000"/>
    <n v="2000"/>
    <n v="2000"/>
    <n v="2000"/>
    <n v="550"/>
    <n v="300"/>
    <n v="850"/>
    <n v="850"/>
    <n v="0"/>
    <x v="20"/>
    <s v="true"/>
    <s v="true"/>
    <x v="0"/>
  </r>
  <r>
    <n v="433"/>
    <d v="2025-01-16T00:00:00"/>
    <s v="1/2025"/>
    <x v="105"/>
    <x v="257"/>
    <x v="0"/>
    <x v="132"/>
    <x v="303"/>
    <n v="1"/>
    <n v="1900"/>
    <n v="1900"/>
    <n v="1900"/>
    <n v="1900"/>
    <n v="750"/>
    <n v="285"/>
    <n v="1035"/>
    <n v="1035"/>
    <n v="0"/>
    <x v="20"/>
    <s v="true"/>
    <s v="true"/>
    <x v="0"/>
  </r>
  <r>
    <n v="422"/>
    <d v="2025-01-17T00:00:00"/>
    <s v="1/2025"/>
    <x v="27"/>
    <x v="257"/>
    <x v="0"/>
    <x v="133"/>
    <x v="301"/>
    <n v="1"/>
    <n v="17200"/>
    <n v="17200"/>
    <n v="17200"/>
    <n v="17200"/>
    <m/>
    <n v="1720"/>
    <n v="1720"/>
    <n v="1720"/>
    <n v="0"/>
    <x v="19"/>
    <s v="true"/>
    <s v="true"/>
    <x v="0"/>
  </r>
  <r>
    <n v="422"/>
    <d v="2025-01-17T00:00:00"/>
    <s v="1/2025"/>
    <x v="27"/>
    <x v="73"/>
    <x v="0"/>
    <x v="0"/>
    <x v="301"/>
    <n v="1"/>
    <n v="6359"/>
    <n v="6359"/>
    <n v="6359"/>
    <n v="6359"/>
    <m/>
    <n v="636"/>
    <n v="636"/>
    <n v="636"/>
    <n v="0"/>
    <x v="16"/>
    <s v="true"/>
    <s v="true"/>
    <x v="0"/>
  </r>
  <r>
    <n v="434"/>
    <d v="2025-01-17T00:00:00"/>
    <s v="1/2025"/>
    <x v="74"/>
    <x v="73"/>
    <x v="0"/>
    <x v="0"/>
    <x v="301"/>
    <n v="1"/>
    <n v="16692"/>
    <n v="16692"/>
    <n v="16692"/>
    <n v="16692"/>
    <m/>
    <n v="1669"/>
    <n v="1669"/>
    <n v="1669"/>
    <n v="0"/>
    <x v="16"/>
    <s v="true"/>
    <s v="true"/>
    <x v="0"/>
  </r>
  <r>
    <n v="435"/>
    <d v="2025-01-17T00:00:00"/>
    <s v="1/2025"/>
    <x v="64"/>
    <x v="73"/>
    <x v="0"/>
    <x v="0"/>
    <x v="301"/>
    <n v="1"/>
    <n v="2870"/>
    <n v="2870"/>
    <n v="2870"/>
    <n v="2870"/>
    <m/>
    <n v="431"/>
    <n v="431"/>
    <n v="431"/>
    <n v="0"/>
    <x v="15"/>
    <s v="true"/>
    <s v="true"/>
    <x v="0"/>
  </r>
  <r>
    <n v="436"/>
    <d v="2025-01-17T00:00:00"/>
    <s v="1/2025"/>
    <x v="67"/>
    <x v="73"/>
    <x v="0"/>
    <x v="0"/>
    <x v="301"/>
    <n v="1"/>
    <n v="5914"/>
    <n v="5914"/>
    <n v="5914"/>
    <n v="5914"/>
    <m/>
    <n v="887"/>
    <n v="887"/>
    <n v="887"/>
    <n v="0"/>
    <x v="15"/>
    <s v="true"/>
    <s v="true"/>
    <x v="0"/>
  </r>
  <r>
    <n v="437"/>
    <d v="2025-01-17T00:00:00"/>
    <s v="1/2025"/>
    <x v="79"/>
    <x v="73"/>
    <x v="0"/>
    <x v="0"/>
    <x v="301"/>
    <n v="1"/>
    <n v="1601"/>
    <n v="1601"/>
    <n v="1601"/>
    <n v="1601"/>
    <m/>
    <n v="240"/>
    <n v="240"/>
    <n v="240"/>
    <n v="0"/>
    <x v="16"/>
    <s v="true"/>
    <s v="true"/>
    <x v="0"/>
  </r>
  <r>
    <n v="438"/>
    <d v="2025-01-20T00:00:00"/>
    <s v="1/2025"/>
    <x v="35"/>
    <x v="1213"/>
    <x v="0"/>
    <x v="0"/>
    <x v="302"/>
    <n v="2"/>
    <n v="860"/>
    <n v="1720"/>
    <n v="922"/>
    <n v="1844"/>
    <m/>
    <n v="277"/>
    <n v="2121"/>
    <n v="2121"/>
    <n v="0"/>
    <x v="15"/>
    <s v="true"/>
    <s v="true"/>
    <x v="0"/>
  </r>
  <r>
    <n v="439"/>
    <d v="2025-01-20T00:00:00"/>
    <s v="1/2025"/>
    <x v="1"/>
    <x v="1204"/>
    <x v="0"/>
    <x v="0"/>
    <x v="288"/>
    <n v="1"/>
    <n v="1743"/>
    <n v="1743"/>
    <n v="1835"/>
    <n v="1835"/>
    <m/>
    <n v="184"/>
    <n v="2019"/>
    <n v="2019"/>
    <n v="0"/>
    <x v="16"/>
    <s v="true"/>
    <s v="true"/>
    <x v="0"/>
  </r>
  <r>
    <n v="439"/>
    <d v="2025-01-20T00:00:00"/>
    <s v="1/2025"/>
    <x v="1"/>
    <x v="1219"/>
    <x v="0"/>
    <x v="0"/>
    <x v="304"/>
    <n v="1"/>
    <n v="324"/>
    <n v="324"/>
    <n v="342"/>
    <n v="342"/>
    <m/>
    <n v="34"/>
    <n v="376"/>
    <n v="376"/>
    <n v="0"/>
    <x v="16"/>
    <s v="true"/>
    <s v="true"/>
    <x v="0"/>
  </r>
  <r>
    <n v="439"/>
    <d v="2025-01-20T00:00:00"/>
    <s v="1/2025"/>
    <x v="1"/>
    <x v="929"/>
    <x v="0"/>
    <x v="0"/>
    <x v="304"/>
    <n v="1"/>
    <n v="518"/>
    <n v="518"/>
    <n v="546"/>
    <n v="546"/>
    <m/>
    <n v="55"/>
    <n v="601"/>
    <n v="601"/>
    <n v="0"/>
    <x v="16"/>
    <s v="true"/>
    <s v="true"/>
    <x v="0"/>
  </r>
  <r>
    <n v="440"/>
    <d v="2025-01-20T00:00:00"/>
    <s v="1/2025"/>
    <x v="106"/>
    <x v="1220"/>
    <x v="0"/>
    <x v="0"/>
    <x v="305"/>
    <n v="1"/>
    <n v="1171"/>
    <n v="1171"/>
    <n v="1233"/>
    <n v="1233"/>
    <m/>
    <n v="185"/>
    <n v="1418"/>
    <n v="1418"/>
    <n v="0"/>
    <x v="16"/>
    <s v="true"/>
    <s v="true"/>
    <x v="0"/>
  </r>
  <r>
    <n v="440"/>
    <d v="2025-01-20T00:00:00"/>
    <s v="1/2025"/>
    <x v="106"/>
    <x v="75"/>
    <x v="0"/>
    <x v="0"/>
    <x v="304"/>
    <n v="1"/>
    <n v="632"/>
    <n v="632"/>
    <n v="666"/>
    <n v="666"/>
    <m/>
    <n v="100"/>
    <n v="766"/>
    <n v="766"/>
    <n v="0"/>
    <x v="16"/>
    <s v="true"/>
    <s v="true"/>
    <x v="0"/>
  </r>
  <r>
    <n v="441"/>
    <d v="2025-01-22T00:00:00"/>
    <s v="1/2025"/>
    <x v="107"/>
    <x v="1221"/>
    <x v="0"/>
    <x v="0"/>
    <x v="288"/>
    <n v="1"/>
    <n v="2793"/>
    <n v="2793"/>
    <n v="2941"/>
    <n v="2941"/>
    <m/>
    <n v="294"/>
    <n v="3235"/>
    <n v="3235"/>
    <n v="0"/>
    <x v="16"/>
    <s v="true"/>
    <s v="true"/>
    <x v="0"/>
  </r>
  <r>
    <n v="441"/>
    <d v="2025-01-22T00:00:00"/>
    <s v="1/2025"/>
    <x v="107"/>
    <x v="1016"/>
    <x v="0"/>
    <x v="0"/>
    <x v="288"/>
    <n v="1"/>
    <n v="1766"/>
    <n v="1766"/>
    <n v="1859"/>
    <n v="1859"/>
    <m/>
    <n v="186"/>
    <n v="2045"/>
    <n v="2045"/>
    <n v="0"/>
    <x v="16"/>
    <s v="true"/>
    <s v="true"/>
    <x v="0"/>
  </r>
  <r>
    <n v="441"/>
    <d v="2025-01-22T00:00:00"/>
    <s v="1/2025"/>
    <x v="107"/>
    <x v="1222"/>
    <x v="0"/>
    <x v="0"/>
    <x v="288"/>
    <n v="1"/>
    <n v="4575"/>
    <n v="4575"/>
    <n v="4816"/>
    <n v="4816"/>
    <m/>
    <n v="482"/>
    <n v="5298"/>
    <n v="5298"/>
    <n v="0"/>
    <x v="16"/>
    <s v="true"/>
    <s v="true"/>
    <x v="0"/>
  </r>
  <r>
    <n v="441"/>
    <d v="2025-01-22T00:00:00"/>
    <s v="1/2025"/>
    <x v="107"/>
    <x v="1223"/>
    <x v="0"/>
    <x v="0"/>
    <x v="306"/>
    <n v="1"/>
    <n v="580"/>
    <n v="580"/>
    <n v="611"/>
    <n v="611"/>
    <m/>
    <n v="61"/>
    <n v="672"/>
    <n v="672"/>
    <n v="0"/>
    <x v="16"/>
    <s v="true"/>
    <s v="true"/>
    <x v="0"/>
  </r>
  <r>
    <n v="441"/>
    <d v="2025-01-22T00:00:00"/>
    <s v="1/2025"/>
    <x v="107"/>
    <x v="1223"/>
    <x v="0"/>
    <x v="0"/>
    <x v="306"/>
    <n v="1"/>
    <n v="580"/>
    <n v="580"/>
    <n v="611"/>
    <n v="611"/>
    <m/>
    <n v="61"/>
    <n v="672"/>
    <n v="672"/>
    <n v="0"/>
    <x v="16"/>
    <s v="true"/>
    <s v="true"/>
    <x v="0"/>
  </r>
  <r>
    <n v="441"/>
    <d v="2025-01-22T00:00:00"/>
    <s v="1/2025"/>
    <x v="107"/>
    <x v="1224"/>
    <x v="0"/>
    <x v="0"/>
    <x v="288"/>
    <n v="1"/>
    <n v="1094"/>
    <n v="1094"/>
    <n v="1152"/>
    <n v="1152"/>
    <m/>
    <n v="115"/>
    <n v="1267"/>
    <n v="1267"/>
    <n v="0"/>
    <x v="16"/>
    <s v="true"/>
    <s v="true"/>
    <x v="0"/>
  </r>
  <r>
    <n v="441"/>
    <d v="2025-01-22T00:00:00"/>
    <s v="1/2025"/>
    <x v="107"/>
    <x v="1225"/>
    <x v="0"/>
    <x v="0"/>
    <x v="288"/>
    <n v="1"/>
    <n v="4770"/>
    <n v="4770"/>
    <n v="5022"/>
    <n v="5022"/>
    <m/>
    <n v="502"/>
    <n v="5524"/>
    <n v="5524"/>
    <n v="0"/>
    <x v="16"/>
    <s v="true"/>
    <s v="true"/>
    <x v="0"/>
  </r>
  <r>
    <n v="441"/>
    <d v="2025-01-22T00:00:00"/>
    <s v="1/2025"/>
    <x v="107"/>
    <x v="1226"/>
    <x v="0"/>
    <x v="0"/>
    <x v="288"/>
    <n v="1"/>
    <n v="2474"/>
    <n v="2474"/>
    <n v="2605"/>
    <n v="2605"/>
    <m/>
    <n v="261"/>
    <n v="2866"/>
    <n v="2866"/>
    <n v="0"/>
    <x v="16"/>
    <s v="true"/>
    <s v="true"/>
    <x v="0"/>
  </r>
  <r>
    <n v="441"/>
    <d v="2025-01-22T00:00:00"/>
    <s v="1/2025"/>
    <x v="107"/>
    <x v="1223"/>
    <x v="0"/>
    <x v="0"/>
    <x v="306"/>
    <n v="1"/>
    <n v="580"/>
    <n v="580"/>
    <n v="611"/>
    <n v="611"/>
    <m/>
    <n v="61"/>
    <n v="672"/>
    <n v="672"/>
    <n v="0"/>
    <x v="16"/>
    <s v="true"/>
    <s v="true"/>
    <x v="0"/>
  </r>
  <r>
    <n v="441"/>
    <d v="2025-01-22T00:00:00"/>
    <s v="1/2025"/>
    <x v="107"/>
    <x v="1227"/>
    <x v="0"/>
    <x v="0"/>
    <x v="288"/>
    <n v="1"/>
    <n v="2149"/>
    <n v="2149"/>
    <n v="2263"/>
    <n v="2263"/>
    <m/>
    <n v="226"/>
    <n v="2489"/>
    <n v="2489"/>
    <n v="0"/>
    <x v="16"/>
    <s v="true"/>
    <s v="true"/>
    <x v="0"/>
  </r>
  <r>
    <n v="441"/>
    <d v="2025-01-22T00:00:00"/>
    <s v="1/2025"/>
    <x v="107"/>
    <x v="1228"/>
    <x v="0"/>
    <x v="0"/>
    <x v="288"/>
    <n v="1"/>
    <n v="2968"/>
    <n v="2968"/>
    <n v="3125"/>
    <n v="3125"/>
    <m/>
    <n v="313"/>
    <n v="3438"/>
    <n v="3438"/>
    <n v="0"/>
    <x v="16"/>
    <s v="true"/>
    <s v="true"/>
    <x v="0"/>
  </r>
  <r>
    <n v="441"/>
    <d v="2025-01-22T00:00:00"/>
    <s v="1/2025"/>
    <x v="107"/>
    <x v="1229"/>
    <x v="0"/>
    <x v="0"/>
    <x v="288"/>
    <n v="1"/>
    <n v="754"/>
    <n v="754"/>
    <n v="794"/>
    <n v="794"/>
    <m/>
    <n v="79"/>
    <n v="873"/>
    <n v="873"/>
    <n v="0"/>
    <x v="16"/>
    <s v="true"/>
    <s v="true"/>
    <x v="0"/>
  </r>
  <r>
    <n v="442"/>
    <d v="2025-01-21T00:00:00"/>
    <s v="1/2025"/>
    <x v="24"/>
    <x v="1230"/>
    <x v="0"/>
    <x v="0"/>
    <x v="302"/>
    <n v="1"/>
    <n v="2229"/>
    <n v="2229"/>
    <n v="2350"/>
    <n v="2350"/>
    <m/>
    <n v="353"/>
    <n v="2703"/>
    <n v="2703"/>
    <n v="0"/>
    <x v="15"/>
    <s v="true"/>
    <s v="true"/>
    <x v="0"/>
  </r>
  <r>
    <n v="442"/>
    <d v="2025-01-21T00:00:00"/>
    <s v="1/2025"/>
    <x v="24"/>
    <x v="1231"/>
    <x v="0"/>
    <x v="0"/>
    <x v="306"/>
    <n v="1"/>
    <n v="4316"/>
    <n v="4316"/>
    <n v="4553"/>
    <n v="4553"/>
    <m/>
    <n v="683"/>
    <n v="5236"/>
    <n v="5236"/>
    <n v="0"/>
    <x v="15"/>
    <s v="true"/>
    <s v="true"/>
    <x v="0"/>
  </r>
  <r>
    <n v="443"/>
    <d v="2025-01-23T00:00:00"/>
    <s v="1/2025"/>
    <x v="108"/>
    <x v="257"/>
    <x v="0"/>
    <x v="134"/>
    <x v="307"/>
    <n v="1"/>
    <n v="1700"/>
    <n v="1700"/>
    <n v="1700"/>
    <n v="1700"/>
    <n v="415"/>
    <n v="255"/>
    <n v="670"/>
    <n v="670"/>
    <n v="0"/>
    <x v="20"/>
    <s v="true"/>
    <s v="true"/>
    <x v="0"/>
  </r>
  <r>
    <n v="433"/>
    <d v="2025-01-16T00:00:00"/>
    <s v="1/2025"/>
    <x v="105"/>
    <x v="257"/>
    <x v="0"/>
    <x v="135"/>
    <x v="302"/>
    <n v="1"/>
    <n v="1000"/>
    <n v="1000"/>
    <n v="1000"/>
    <n v="1000"/>
    <n v="450"/>
    <n v="150"/>
    <n v="600"/>
    <n v="600"/>
    <n v="0"/>
    <x v="20"/>
    <s v="true"/>
    <s v="true"/>
    <x v="0"/>
  </r>
  <r>
    <n v="444"/>
    <d v="2025-01-24T00:00:00"/>
    <s v="1/2025"/>
    <x v="87"/>
    <x v="1232"/>
    <x v="0"/>
    <x v="136"/>
    <x v="308"/>
    <n v="0"/>
    <n v="5200"/>
    <n v="0"/>
    <n v="5200"/>
    <n v="0"/>
    <m/>
    <n v="0"/>
    <n v="0"/>
    <m/>
    <n v="0"/>
    <x v="20"/>
    <s v="true"/>
    <s v="true"/>
    <x v="0"/>
  </r>
  <r>
    <n v="445"/>
    <d v="2025-01-24T00:00:00"/>
    <s v="1/2025"/>
    <x v="109"/>
    <x v="257"/>
    <x v="0"/>
    <x v="0"/>
    <x v="288"/>
    <n v="1"/>
    <n v="478"/>
    <n v="478"/>
    <n v="478"/>
    <n v="478"/>
    <m/>
    <n v="200"/>
    <n v="200"/>
    <n v="200"/>
    <n v="0"/>
    <x v="34"/>
    <s v="true"/>
    <s v="true"/>
    <x v="0"/>
  </r>
  <r>
    <n v="446"/>
    <d v="2025-01-24T00:00:00"/>
    <s v="1/2025"/>
    <x v="60"/>
    <x v="73"/>
    <x v="0"/>
    <x v="0"/>
    <x v="288"/>
    <n v="1"/>
    <n v="10915"/>
    <n v="10915"/>
    <n v="10915"/>
    <n v="10915"/>
    <n v="200"/>
    <n v="1092"/>
    <n v="1292"/>
    <n v="1292"/>
    <n v="0"/>
    <x v="15"/>
    <s v="true"/>
    <s v="true"/>
    <x v="0"/>
  </r>
  <r>
    <n v="447"/>
    <d v="2025-01-24T00:00:00"/>
    <s v="1/2025"/>
    <x v="64"/>
    <x v="73"/>
    <x v="0"/>
    <x v="0"/>
    <x v="288"/>
    <n v="1"/>
    <n v="612"/>
    <n v="612"/>
    <n v="612"/>
    <n v="612"/>
    <m/>
    <n v="200"/>
    <n v="200"/>
    <n v="200"/>
    <n v="0"/>
    <x v="15"/>
    <s v="true"/>
    <s v="true"/>
    <x v="0"/>
  </r>
  <r>
    <n v="448"/>
    <d v="2025-01-24T00:00:00"/>
    <s v="1/2025"/>
    <x v="79"/>
    <x v="73"/>
    <x v="0"/>
    <x v="0"/>
    <x v="288"/>
    <n v="1"/>
    <n v="2642"/>
    <n v="2642"/>
    <n v="2642"/>
    <n v="2642"/>
    <m/>
    <n v="396"/>
    <n v="396"/>
    <n v="396"/>
    <n v="0"/>
    <x v="16"/>
    <s v="true"/>
    <s v="true"/>
    <x v="0"/>
  </r>
  <r>
    <n v="450"/>
    <d v="2025-01-26T00:00:00"/>
    <s v="1/2025"/>
    <x v="98"/>
    <x v="1233"/>
    <x v="0"/>
    <x v="0"/>
    <x v="309"/>
    <n v="1"/>
    <n v="902"/>
    <n v="902"/>
    <n v="902"/>
    <n v="902"/>
    <n v="389"/>
    <n v="135"/>
    <n v="1426"/>
    <n v="1426"/>
    <n v="0"/>
    <x v="22"/>
    <s v="true"/>
    <s v="true"/>
    <x v="0"/>
  </r>
  <r>
    <n v="450"/>
    <d v="2025-01-26T00:00:00"/>
    <s v="1/2025"/>
    <x v="98"/>
    <x v="1234"/>
    <x v="0"/>
    <x v="0"/>
    <x v="309"/>
    <n v="1"/>
    <n v="1188"/>
    <n v="1188"/>
    <n v="1188"/>
    <n v="1188"/>
    <m/>
    <n v="178"/>
    <n v="1366"/>
    <n v="1366"/>
    <n v="0"/>
    <x v="22"/>
    <s v="true"/>
    <s v="true"/>
    <x v="0"/>
  </r>
  <r>
    <n v="450"/>
    <d v="2025-01-26T00:00:00"/>
    <s v="1/2025"/>
    <x v="98"/>
    <x v="1235"/>
    <x v="0"/>
    <x v="0"/>
    <x v="309"/>
    <n v="1"/>
    <n v="990"/>
    <n v="990"/>
    <n v="990"/>
    <n v="990"/>
    <m/>
    <n v="149"/>
    <n v="1139"/>
    <n v="1139"/>
    <n v="0"/>
    <x v="22"/>
    <s v="true"/>
    <s v="true"/>
    <x v="0"/>
  </r>
  <r>
    <n v="451"/>
    <d v="2025-01-26T00:00:00"/>
    <s v="1/2025"/>
    <x v="26"/>
    <x v="257"/>
    <x v="0"/>
    <x v="137"/>
    <x v="308"/>
    <n v="1"/>
    <n v="19990"/>
    <n v="19990"/>
    <n v="19990"/>
    <n v="19990"/>
    <m/>
    <n v="1999"/>
    <n v="1999"/>
    <n v="1999"/>
    <n v="0"/>
    <x v="20"/>
    <s v="true"/>
    <s v="true"/>
    <x v="0"/>
  </r>
  <r>
    <n v="452"/>
    <d v="2025-01-26T00:00:00"/>
    <s v="1/2025"/>
    <x v="1"/>
    <x v="1108"/>
    <x v="0"/>
    <x v="0"/>
    <x v="308"/>
    <n v="1"/>
    <n v="737"/>
    <n v="737"/>
    <n v="757"/>
    <n v="757"/>
    <m/>
    <n v="76"/>
    <n v="833"/>
    <n v="833"/>
    <n v="0"/>
    <x v="15"/>
    <s v="true"/>
    <s v="true"/>
    <x v="0"/>
  </r>
  <r>
    <n v="452"/>
    <d v="2025-01-26T00:00:00"/>
    <s v="1/2025"/>
    <x v="1"/>
    <x v="1236"/>
    <x v="0"/>
    <x v="0"/>
    <x v="310"/>
    <n v="1"/>
    <n v="1043"/>
    <n v="1043"/>
    <n v="1082"/>
    <n v="1082"/>
    <m/>
    <n v="108"/>
    <n v="1190"/>
    <n v="1190"/>
    <n v="0"/>
    <x v="15"/>
    <s v="true"/>
    <s v="true"/>
    <x v="0"/>
  </r>
  <r>
    <n v="452"/>
    <d v="2025-01-26T00:00:00"/>
    <s v="1/2025"/>
    <x v="1"/>
    <x v="1016"/>
    <x v="0"/>
    <x v="0"/>
    <x v="311"/>
    <n v="1"/>
    <n v="400"/>
    <n v="400"/>
    <n v="408"/>
    <n v="408"/>
    <m/>
    <n v="41"/>
    <n v="449"/>
    <n v="449"/>
    <n v="0"/>
    <x v="15"/>
    <s v="true"/>
    <s v="true"/>
    <x v="0"/>
  </r>
  <r>
    <n v="452"/>
    <d v="2025-01-26T00:00:00"/>
    <s v="1/2025"/>
    <x v="1"/>
    <x v="1237"/>
    <x v="0"/>
    <x v="0"/>
    <x v="312"/>
    <n v="1"/>
    <n v="186"/>
    <n v="186"/>
    <n v="192"/>
    <n v="192"/>
    <m/>
    <n v="19"/>
    <n v="211"/>
    <n v="211"/>
    <n v="0"/>
    <x v="15"/>
    <s v="true"/>
    <s v="true"/>
    <x v="0"/>
  </r>
  <r>
    <n v="452"/>
    <d v="2025-01-26T00:00:00"/>
    <s v="1/2025"/>
    <x v="1"/>
    <x v="1238"/>
    <x v="0"/>
    <x v="0"/>
    <x v="313"/>
    <n v="1"/>
    <n v="487"/>
    <n v="487"/>
    <n v="506"/>
    <n v="506"/>
    <m/>
    <n v="51"/>
    <n v="557"/>
    <n v="557"/>
    <n v="0"/>
    <x v="15"/>
    <s v="true"/>
    <s v="true"/>
    <x v="0"/>
  </r>
  <r>
    <n v="452"/>
    <d v="2025-01-26T00:00:00"/>
    <s v="1/2025"/>
    <x v="1"/>
    <x v="925"/>
    <x v="0"/>
    <x v="0"/>
    <x v="314"/>
    <n v="1"/>
    <n v="999"/>
    <n v="999"/>
    <n v="1042"/>
    <n v="1042"/>
    <m/>
    <n v="104"/>
    <n v="1146"/>
    <n v="1146"/>
    <n v="0"/>
    <x v="15"/>
    <s v="true"/>
    <s v="true"/>
    <x v="0"/>
  </r>
  <r>
    <n v="452"/>
    <d v="2025-01-26T00:00:00"/>
    <s v="1/2025"/>
    <x v="1"/>
    <x v="1016"/>
    <x v="0"/>
    <x v="0"/>
    <x v="315"/>
    <n v="0"/>
    <n v="535"/>
    <n v="0"/>
    <n v="555"/>
    <n v="0"/>
    <m/>
    <n v="0"/>
    <n v="0"/>
    <m/>
    <n v="0"/>
    <x v="15"/>
    <s v="true"/>
    <s v="true"/>
    <x v="0"/>
  </r>
  <r>
    <n v="452"/>
    <d v="2025-01-26T00:00:00"/>
    <s v="1/2025"/>
    <x v="1"/>
    <x v="1239"/>
    <x v="0"/>
    <x v="0"/>
    <x v="307"/>
    <n v="1"/>
    <n v="447"/>
    <n v="447"/>
    <n v="471"/>
    <n v="471"/>
    <m/>
    <n v="47"/>
    <n v="518"/>
    <n v="518"/>
    <n v="0"/>
    <x v="16"/>
    <s v="true"/>
    <s v="true"/>
    <x v="0"/>
  </r>
  <r>
    <n v="452"/>
    <d v="2025-01-26T00:00:00"/>
    <s v="1/2025"/>
    <x v="1"/>
    <x v="1240"/>
    <x v="0"/>
    <x v="0"/>
    <x v="316"/>
    <n v="1"/>
    <n v="136"/>
    <n v="136"/>
    <n v="144"/>
    <n v="144"/>
    <m/>
    <n v="14"/>
    <n v="158"/>
    <n v="158"/>
    <n v="0"/>
    <x v="16"/>
    <s v="true"/>
    <s v="true"/>
    <x v="0"/>
  </r>
  <r>
    <n v="452"/>
    <d v="2025-01-26T00:00:00"/>
    <s v="1/2025"/>
    <x v="1"/>
    <x v="1241"/>
    <x v="0"/>
    <x v="0"/>
    <x v="316"/>
    <n v="1"/>
    <n v="559"/>
    <n v="559"/>
    <n v="589"/>
    <n v="589"/>
    <m/>
    <n v="59"/>
    <n v="648"/>
    <n v="648"/>
    <n v="0"/>
    <x v="16"/>
    <s v="true"/>
    <s v="true"/>
    <x v="0"/>
  </r>
  <r>
    <n v="453"/>
    <d v="2025-01-26T00:00:00"/>
    <s v="1/2025"/>
    <x v="61"/>
    <x v="1242"/>
    <x v="0"/>
    <x v="0"/>
    <x v="317"/>
    <n v="1"/>
    <n v="3340"/>
    <n v="3340"/>
    <n v="3516"/>
    <n v="3516"/>
    <m/>
    <n v="352"/>
    <n v="3868"/>
    <n v="3868"/>
    <n v="0"/>
    <x v="16"/>
    <s v="true"/>
    <s v="true"/>
    <x v="0"/>
  </r>
  <r>
    <n v="453"/>
    <d v="2025-01-26T00:00:00"/>
    <s v="1/2025"/>
    <x v="61"/>
    <x v="1243"/>
    <x v="0"/>
    <x v="0"/>
    <x v="308"/>
    <n v="2"/>
    <n v="246"/>
    <n v="492"/>
    <n v="259"/>
    <n v="518"/>
    <m/>
    <n v="52"/>
    <n v="570"/>
    <n v="570"/>
    <n v="0"/>
    <x v="16"/>
    <s v="true"/>
    <s v="true"/>
    <x v="0"/>
  </r>
  <r>
    <n v="453"/>
    <d v="2025-01-26T00:00:00"/>
    <s v="1/2025"/>
    <x v="61"/>
    <x v="1244"/>
    <x v="0"/>
    <x v="0"/>
    <x v="307"/>
    <n v="1"/>
    <n v="328"/>
    <n v="328"/>
    <n v="346"/>
    <n v="346"/>
    <m/>
    <n v="35"/>
    <n v="381"/>
    <n v="381"/>
    <n v="0"/>
    <x v="16"/>
    <s v="true"/>
    <s v="true"/>
    <x v="0"/>
  </r>
  <r>
    <n v="453"/>
    <d v="2025-01-26T00:00:00"/>
    <s v="1/2025"/>
    <x v="61"/>
    <x v="1245"/>
    <x v="0"/>
    <x v="0"/>
    <x v="308"/>
    <n v="1"/>
    <n v="390"/>
    <n v="390"/>
    <n v="411"/>
    <n v="411"/>
    <m/>
    <n v="41"/>
    <n v="452"/>
    <n v="452"/>
    <n v="0"/>
    <x v="16"/>
    <s v="true"/>
    <s v="true"/>
    <x v="0"/>
  </r>
  <r>
    <n v="453"/>
    <d v="2025-01-26T00:00:00"/>
    <s v="1/2025"/>
    <x v="61"/>
    <x v="1182"/>
    <x v="0"/>
    <x v="0"/>
    <x v="308"/>
    <n v="1"/>
    <n v="234"/>
    <n v="234"/>
    <n v="247"/>
    <n v="247"/>
    <m/>
    <n v="25"/>
    <n v="272"/>
    <n v="272"/>
    <n v="0"/>
    <x v="16"/>
    <s v="true"/>
    <s v="true"/>
    <x v="0"/>
  </r>
  <r>
    <n v="453"/>
    <d v="2025-01-26T00:00:00"/>
    <s v="1/2025"/>
    <x v="61"/>
    <x v="1246"/>
    <x v="0"/>
    <x v="0"/>
    <x v="317"/>
    <n v="1"/>
    <n v="242"/>
    <n v="242"/>
    <n v="255"/>
    <n v="255"/>
    <m/>
    <n v="26"/>
    <n v="281"/>
    <n v="281"/>
    <n v="0"/>
    <x v="16"/>
    <s v="true"/>
    <s v="true"/>
    <x v="0"/>
  </r>
  <r>
    <n v="453"/>
    <d v="2025-01-26T00:00:00"/>
    <s v="1/2025"/>
    <x v="61"/>
    <x v="1247"/>
    <x v="0"/>
    <x v="0"/>
    <x v="307"/>
    <n v="1"/>
    <n v="6650"/>
    <n v="6650"/>
    <n v="7000"/>
    <n v="7000"/>
    <m/>
    <n v="700"/>
    <n v="7700"/>
    <n v="7700"/>
    <n v="0"/>
    <x v="16"/>
    <s v="true"/>
    <s v="true"/>
    <x v="0"/>
  </r>
  <r>
    <n v="453"/>
    <d v="2025-01-26T00:00:00"/>
    <s v="1/2025"/>
    <x v="61"/>
    <x v="1248"/>
    <x v="0"/>
    <x v="0"/>
    <x v="308"/>
    <n v="1"/>
    <n v="487"/>
    <n v="487"/>
    <n v="513"/>
    <n v="513"/>
    <m/>
    <n v="51"/>
    <n v="564"/>
    <n v="564"/>
    <n v="0"/>
    <x v="16"/>
    <s v="true"/>
    <s v="true"/>
    <x v="0"/>
  </r>
  <r>
    <n v="453"/>
    <d v="2025-01-26T00:00:00"/>
    <s v="1/2025"/>
    <x v="61"/>
    <x v="1249"/>
    <x v="0"/>
    <x v="0"/>
    <x v="317"/>
    <n v="1"/>
    <n v="798"/>
    <n v="798"/>
    <n v="840"/>
    <n v="840"/>
    <m/>
    <n v="84"/>
    <n v="924"/>
    <n v="924"/>
    <n v="0"/>
    <x v="16"/>
    <s v="true"/>
    <s v="true"/>
    <x v="0"/>
  </r>
  <r>
    <n v="454"/>
    <d v="2025-01-27T00:00:00"/>
    <s v="1/2025"/>
    <x v="105"/>
    <x v="257"/>
    <x v="0"/>
    <x v="138"/>
    <x v="318"/>
    <n v="1"/>
    <n v="10000"/>
    <n v="10000"/>
    <n v="10000"/>
    <n v="10000"/>
    <n v="650"/>
    <n v="1500"/>
    <n v="2150"/>
    <n v="2150"/>
    <n v="0"/>
    <x v="20"/>
    <s v="true"/>
    <s v="true"/>
    <x v="0"/>
  </r>
  <r>
    <n v="455"/>
    <d v="2025-01-27T00:00:00"/>
    <s v="1/2025"/>
    <x v="105"/>
    <x v="257"/>
    <x v="0"/>
    <x v="139"/>
    <x v="316"/>
    <n v="1"/>
    <n v="4000"/>
    <n v="4000"/>
    <n v="4000"/>
    <n v="4000"/>
    <n v="800"/>
    <n v="600"/>
    <n v="1400"/>
    <n v="1400"/>
    <n v="0"/>
    <x v="20"/>
    <s v="true"/>
    <s v="true"/>
    <x v="0"/>
  </r>
  <r>
    <n v="457"/>
    <d v="2025-01-28T00:00:00"/>
    <s v="1/2025"/>
    <x v="76"/>
    <x v="1250"/>
    <x v="0"/>
    <x v="0"/>
    <x v="317"/>
    <n v="1"/>
    <n v="258"/>
    <n v="258"/>
    <n v="272"/>
    <n v="272"/>
    <m/>
    <n v="41"/>
    <n v="313"/>
    <n v="313"/>
    <n v="0"/>
    <x v="16"/>
    <s v="true"/>
    <s v="true"/>
    <x v="0"/>
  </r>
  <r>
    <n v="457"/>
    <d v="2025-01-28T00:00:00"/>
    <s v="1/2025"/>
    <x v="76"/>
    <x v="1251"/>
    <x v="0"/>
    <x v="0"/>
    <x v="309"/>
    <n v="1"/>
    <n v="498"/>
    <n v="498"/>
    <n v="525"/>
    <n v="525"/>
    <m/>
    <n v="79"/>
    <n v="604"/>
    <n v="604"/>
    <n v="0"/>
    <x v="16"/>
    <s v="true"/>
    <s v="true"/>
    <x v="0"/>
  </r>
  <r>
    <n v="457"/>
    <d v="2025-01-28T00:00:00"/>
    <s v="1/2025"/>
    <x v="76"/>
    <x v="963"/>
    <x v="0"/>
    <x v="0"/>
    <x v="317"/>
    <n v="1"/>
    <n v="1482"/>
    <n v="1482"/>
    <n v="1561"/>
    <n v="1561"/>
    <m/>
    <n v="234"/>
    <n v="1795"/>
    <n v="1795"/>
    <n v="0"/>
    <x v="16"/>
    <s v="true"/>
    <s v="true"/>
    <x v="0"/>
  </r>
  <r>
    <n v="452"/>
    <d v="2025-01-26T00:00:00"/>
    <s v="1/2025"/>
    <x v="1"/>
    <x v="1252"/>
    <x v="0"/>
    <x v="0"/>
    <x v="318"/>
    <n v="1"/>
    <n v="2353"/>
    <n v="2353"/>
    <n v="2526"/>
    <n v="2526"/>
    <m/>
    <n v="253"/>
    <n v="2779"/>
    <n v="2779"/>
    <n v="0"/>
    <x v="15"/>
    <s v="true"/>
    <s v="true"/>
    <x v="0"/>
  </r>
  <r>
    <n v="452"/>
    <d v="2025-01-26T00:00:00"/>
    <s v="1/2025"/>
    <x v="1"/>
    <x v="1016"/>
    <x v="0"/>
    <x v="0"/>
    <x v="310"/>
    <n v="1"/>
    <n v="528"/>
    <n v="528"/>
    <n v="548"/>
    <n v="548"/>
    <m/>
    <n v="55"/>
    <n v="603"/>
    <n v="603"/>
    <n v="0"/>
    <x v="15"/>
    <s v="true"/>
    <s v="true"/>
    <x v="0"/>
  </r>
  <r>
    <n v="452"/>
    <d v="2025-01-26T00:00:00"/>
    <s v="1/2025"/>
    <x v="1"/>
    <x v="1016"/>
    <x v="0"/>
    <x v="0"/>
    <x v="310"/>
    <n v="1"/>
    <n v="528"/>
    <n v="528"/>
    <n v="548"/>
    <n v="548"/>
    <m/>
    <n v="55"/>
    <n v="603"/>
    <n v="603"/>
    <n v="0"/>
    <x v="15"/>
    <s v="true"/>
    <s v="true"/>
    <x v="0"/>
  </r>
  <r>
    <n v="452"/>
    <d v="2025-01-26T00:00:00"/>
    <s v="1/2025"/>
    <x v="1"/>
    <x v="1253"/>
    <x v="0"/>
    <x v="0"/>
    <x v="319"/>
    <n v="1"/>
    <n v="653"/>
    <n v="653"/>
    <n v="683"/>
    <n v="683"/>
    <m/>
    <n v="68"/>
    <n v="751"/>
    <n v="751"/>
    <n v="0"/>
    <x v="15"/>
    <s v="true"/>
    <s v="true"/>
    <x v="0"/>
  </r>
  <r>
    <n v="452"/>
    <d v="2025-01-26T00:00:00"/>
    <s v="1/2025"/>
    <x v="1"/>
    <x v="1016"/>
    <x v="0"/>
    <x v="0"/>
    <x v="320"/>
    <n v="1"/>
    <n v="865"/>
    <n v="865"/>
    <n v="881"/>
    <n v="881"/>
    <m/>
    <n v="88"/>
    <n v="969"/>
    <n v="969"/>
    <n v="0"/>
    <x v="15"/>
    <s v="true"/>
    <s v="true"/>
    <x v="0"/>
  </r>
  <r>
    <n v="452"/>
    <d v="2025-01-26T00:00:00"/>
    <s v="1/2025"/>
    <x v="1"/>
    <x v="752"/>
    <x v="0"/>
    <x v="0"/>
    <x v="321"/>
    <n v="1"/>
    <n v="2570"/>
    <n v="2570"/>
    <n v="2616"/>
    <n v="2616"/>
    <m/>
    <n v="262"/>
    <n v="2878"/>
    <n v="2878"/>
    <n v="0"/>
    <x v="15"/>
    <s v="true"/>
    <s v="true"/>
    <x v="0"/>
  </r>
  <r>
    <n v="452"/>
    <d v="2025-01-26T00:00:00"/>
    <s v="1/2025"/>
    <x v="1"/>
    <x v="1211"/>
    <x v="0"/>
    <x v="0"/>
    <x v="319"/>
    <n v="1"/>
    <n v="546"/>
    <n v="546"/>
    <n v="571"/>
    <n v="571"/>
    <m/>
    <n v="57"/>
    <n v="628"/>
    <n v="628"/>
    <n v="0"/>
    <x v="15"/>
    <s v="true"/>
    <s v="true"/>
    <x v="0"/>
  </r>
  <r>
    <n v="458"/>
    <d v="2025-01-31T00:00:00"/>
    <s v="1/2025"/>
    <x v="64"/>
    <x v="73"/>
    <x v="0"/>
    <x v="0"/>
    <x v="309"/>
    <n v="1"/>
    <n v="5213"/>
    <n v="5213"/>
    <n v="5213"/>
    <n v="5213"/>
    <m/>
    <n v="782"/>
    <n v="782"/>
    <n v="782"/>
    <n v="0"/>
    <x v="15"/>
    <s v="true"/>
    <s v="true"/>
    <x v="0"/>
  </r>
  <r>
    <n v="459"/>
    <d v="2025-02-01T00:00:00"/>
    <s v="2/2025"/>
    <x v="3"/>
    <x v="1158"/>
    <x v="0"/>
    <x v="0"/>
    <x v="24"/>
    <n v="1"/>
    <n v="516"/>
    <n v="516"/>
    <n v="547"/>
    <n v="547"/>
    <m/>
    <n v="200"/>
    <n v="747"/>
    <n v="747"/>
    <n v="0"/>
    <x v="22"/>
    <s v="true"/>
    <s v="true"/>
    <x v="0"/>
  </r>
  <r>
    <n v="460"/>
    <d v="2025-02-01T00:00:00"/>
    <s v="2/2025"/>
    <x v="61"/>
    <x v="1254"/>
    <x v="0"/>
    <x v="0"/>
    <x v="322"/>
    <n v="1"/>
    <n v="147"/>
    <n v="147"/>
    <n v="155"/>
    <n v="155"/>
    <m/>
    <n v="16"/>
    <n v="171"/>
    <n v="171"/>
    <n v="0"/>
    <x v="16"/>
    <s v="true"/>
    <s v="true"/>
    <x v="0"/>
  </r>
  <r>
    <n v="460"/>
    <d v="2025-02-01T00:00:00"/>
    <s v="2/2025"/>
    <x v="61"/>
    <x v="1255"/>
    <x v="0"/>
    <x v="0"/>
    <x v="322"/>
    <n v="2"/>
    <n v="161"/>
    <n v="322"/>
    <n v="170"/>
    <n v="340"/>
    <m/>
    <n v="34"/>
    <n v="374"/>
    <n v="374"/>
    <n v="0"/>
    <x v="16"/>
    <s v="true"/>
    <s v="true"/>
    <x v="0"/>
  </r>
  <r>
    <n v="460"/>
    <d v="2025-02-01T00:00:00"/>
    <s v="2/2025"/>
    <x v="61"/>
    <x v="1256"/>
    <x v="0"/>
    <x v="0"/>
    <x v="322"/>
    <n v="1"/>
    <n v="296"/>
    <n v="296"/>
    <n v="312"/>
    <n v="312"/>
    <m/>
    <n v="31"/>
    <n v="343"/>
    <n v="343"/>
    <n v="0"/>
    <x v="16"/>
    <s v="true"/>
    <s v="true"/>
    <x v="0"/>
  </r>
  <r>
    <n v="460"/>
    <d v="2025-02-01T00:00:00"/>
    <s v="2/2025"/>
    <x v="61"/>
    <x v="386"/>
    <x v="0"/>
    <x v="0"/>
    <x v="323"/>
    <n v="1"/>
    <n v="638"/>
    <n v="638"/>
    <n v="672"/>
    <n v="672"/>
    <m/>
    <n v="67"/>
    <n v="739"/>
    <n v="739"/>
    <n v="0"/>
    <x v="16"/>
    <s v="true"/>
    <s v="true"/>
    <x v="0"/>
  </r>
  <r>
    <n v="460"/>
    <d v="2025-02-01T00:00:00"/>
    <s v="2/2025"/>
    <x v="61"/>
    <x v="437"/>
    <x v="0"/>
    <x v="0"/>
    <x v="322"/>
    <n v="7"/>
    <n v="433"/>
    <n v="3031"/>
    <n v="456"/>
    <n v="3192"/>
    <m/>
    <n v="319"/>
    <n v="3511"/>
    <n v="3511"/>
    <n v="0"/>
    <x v="16"/>
    <s v="true"/>
    <s v="true"/>
    <x v="0"/>
  </r>
  <r>
    <n v="460"/>
    <d v="2025-02-01T00:00:00"/>
    <s v="2/2025"/>
    <x v="61"/>
    <x v="1257"/>
    <x v="0"/>
    <x v="0"/>
    <x v="324"/>
    <n v="1"/>
    <n v="762"/>
    <n v="762"/>
    <n v="803"/>
    <n v="803"/>
    <m/>
    <n v="80"/>
    <n v="883"/>
    <n v="883"/>
    <n v="0"/>
    <x v="16"/>
    <s v="true"/>
    <s v="true"/>
    <x v="0"/>
  </r>
  <r>
    <n v="460"/>
    <d v="2025-02-01T00:00:00"/>
    <s v="2/2025"/>
    <x v="61"/>
    <x v="597"/>
    <x v="0"/>
    <x v="0"/>
    <x v="323"/>
    <n v="1"/>
    <n v="282"/>
    <n v="282"/>
    <n v="292"/>
    <n v="292"/>
    <m/>
    <n v="29"/>
    <n v="321"/>
    <n v="321"/>
    <n v="0"/>
    <x v="16"/>
    <s v="true"/>
    <s v="true"/>
    <x v="0"/>
  </r>
  <r>
    <n v="460"/>
    <d v="2025-02-01T00:00:00"/>
    <s v="2/2025"/>
    <x v="61"/>
    <x v="1258"/>
    <x v="0"/>
    <x v="0"/>
    <x v="324"/>
    <n v="1"/>
    <n v="784"/>
    <n v="784"/>
    <n v="826"/>
    <n v="826"/>
    <m/>
    <n v="83"/>
    <n v="909"/>
    <n v="909"/>
    <n v="0"/>
    <x v="16"/>
    <s v="true"/>
    <s v="true"/>
    <x v="0"/>
  </r>
  <r>
    <n v="460"/>
    <d v="2025-02-01T00:00:00"/>
    <s v="2/2025"/>
    <x v="61"/>
    <x v="1259"/>
    <x v="0"/>
    <x v="0"/>
    <x v="324"/>
    <n v="1"/>
    <n v="754"/>
    <n v="754"/>
    <n v="794"/>
    <n v="794"/>
    <m/>
    <n v="79"/>
    <n v="873"/>
    <n v="873"/>
    <n v="0"/>
    <x v="16"/>
    <s v="true"/>
    <s v="true"/>
    <x v="0"/>
  </r>
  <r>
    <n v="460"/>
    <d v="2025-02-01T00:00:00"/>
    <s v="2/2025"/>
    <x v="61"/>
    <x v="1260"/>
    <x v="0"/>
    <x v="0"/>
    <x v="324"/>
    <n v="1"/>
    <n v="745"/>
    <n v="745"/>
    <n v="785"/>
    <n v="785"/>
    <m/>
    <n v="79"/>
    <n v="864"/>
    <n v="864"/>
    <n v="0"/>
    <x v="16"/>
    <s v="true"/>
    <s v="true"/>
    <x v="0"/>
  </r>
  <r>
    <n v="460"/>
    <d v="2025-02-01T00:00:00"/>
    <s v="2/2025"/>
    <x v="61"/>
    <x v="1261"/>
    <x v="0"/>
    <x v="0"/>
    <x v="325"/>
    <n v="1"/>
    <n v="705"/>
    <n v="705"/>
    <n v="743"/>
    <n v="743"/>
    <m/>
    <n v="74"/>
    <n v="817"/>
    <n v="817"/>
    <n v="0"/>
    <x v="16"/>
    <s v="true"/>
    <s v="true"/>
    <x v="0"/>
  </r>
  <r>
    <n v="460"/>
    <d v="2025-02-01T00:00:00"/>
    <s v="2/2025"/>
    <x v="61"/>
    <x v="1262"/>
    <x v="0"/>
    <x v="0"/>
    <x v="323"/>
    <n v="1"/>
    <n v="454"/>
    <n v="454"/>
    <n v="478"/>
    <n v="478"/>
    <m/>
    <n v="48"/>
    <n v="526"/>
    <n v="526"/>
    <n v="0"/>
    <x v="16"/>
    <s v="true"/>
    <s v="true"/>
    <x v="0"/>
  </r>
  <r>
    <n v="460"/>
    <d v="2025-02-01T00:00:00"/>
    <s v="2/2025"/>
    <x v="61"/>
    <x v="1263"/>
    <x v="0"/>
    <x v="0"/>
    <x v="323"/>
    <n v="1"/>
    <n v="745"/>
    <n v="745"/>
    <n v="785"/>
    <n v="785"/>
    <m/>
    <n v="79"/>
    <n v="864"/>
    <n v="864"/>
    <n v="0"/>
    <x v="16"/>
    <s v="true"/>
    <s v="true"/>
    <x v="0"/>
  </r>
  <r>
    <n v="449"/>
    <d v="2025-01-26T00:00:00"/>
    <s v="1/2025"/>
    <x v="110"/>
    <x v="1145"/>
    <x v="0"/>
    <x v="0"/>
    <x v="326"/>
    <n v="1"/>
    <n v="3380"/>
    <n v="3380"/>
    <n v="3558"/>
    <n v="3558"/>
    <m/>
    <n v="534"/>
    <n v="4092"/>
    <n v="4092"/>
    <n v="0"/>
    <x v="16"/>
    <s v="true"/>
    <s v="true"/>
    <x v="0"/>
  </r>
  <r>
    <n v="461"/>
    <d v="2025-02-03T00:00:00"/>
    <s v="2/2025"/>
    <x v="71"/>
    <x v="1264"/>
    <x v="0"/>
    <x v="0"/>
    <x v="311"/>
    <n v="1"/>
    <n v="12307"/>
    <n v="12307"/>
    <n v="12307"/>
    <n v="12307"/>
    <m/>
    <n v="1231"/>
    <n v="13538"/>
    <n v="13538"/>
    <n v="0"/>
    <x v="18"/>
    <s v="true"/>
    <s v="true"/>
    <x v="0"/>
  </r>
  <r>
    <n v="460"/>
    <d v="2025-02-01T00:00:00"/>
    <s v="2/2025"/>
    <x v="61"/>
    <x v="1265"/>
    <x v="0"/>
    <x v="0"/>
    <x v="325"/>
    <n v="1"/>
    <n v="745"/>
    <n v="745"/>
    <n v="785"/>
    <n v="785"/>
    <m/>
    <n v="79"/>
    <n v="864"/>
    <n v="864"/>
    <n v="0"/>
    <x v="16"/>
    <s v="true"/>
    <s v="true"/>
    <x v="0"/>
  </r>
  <r>
    <n v="460"/>
    <d v="2025-02-01T00:00:00"/>
    <s v="2/2025"/>
    <x v="61"/>
    <x v="1266"/>
    <x v="0"/>
    <x v="0"/>
    <x v="325"/>
    <n v="1"/>
    <n v="519"/>
    <n v="519"/>
    <n v="547"/>
    <n v="547"/>
    <m/>
    <n v="55"/>
    <n v="602"/>
    <n v="602"/>
    <n v="0"/>
    <x v="16"/>
    <s v="true"/>
    <s v="true"/>
    <x v="0"/>
  </r>
  <r>
    <n v="462"/>
    <d v="2025-02-05T00:00:00"/>
    <s v="2/2025"/>
    <x v="50"/>
    <x v="1267"/>
    <x v="0"/>
    <x v="0"/>
    <x v="311"/>
    <n v="1"/>
    <n v="358"/>
    <n v="358"/>
    <n v="377"/>
    <n v="377"/>
    <m/>
    <n v="57"/>
    <n v="434"/>
    <n v="434"/>
    <n v="0"/>
    <x v="16"/>
    <s v="true"/>
    <s v="true"/>
    <x v="0"/>
  </r>
  <r>
    <n v="462"/>
    <d v="2025-02-05T00:00:00"/>
    <s v="2/2025"/>
    <x v="50"/>
    <x v="1268"/>
    <x v="0"/>
    <x v="0"/>
    <x v="311"/>
    <n v="1"/>
    <n v="368"/>
    <n v="368"/>
    <n v="388"/>
    <n v="388"/>
    <m/>
    <n v="58"/>
    <n v="446"/>
    <n v="446"/>
    <n v="0"/>
    <x v="16"/>
    <s v="true"/>
    <s v="true"/>
    <x v="0"/>
  </r>
  <r>
    <n v="462"/>
    <d v="2025-02-05T00:00:00"/>
    <s v="2/2025"/>
    <x v="50"/>
    <x v="1182"/>
    <x v="0"/>
    <x v="0"/>
    <x v="325"/>
    <n v="1"/>
    <n v="203"/>
    <n v="203"/>
    <n v="214"/>
    <n v="214"/>
    <m/>
    <n v="32"/>
    <n v="246"/>
    <n v="246"/>
    <n v="0"/>
    <x v="16"/>
    <s v="true"/>
    <s v="true"/>
    <x v="0"/>
  </r>
  <r>
    <n v="462"/>
    <d v="2025-02-05T00:00:00"/>
    <s v="2/2025"/>
    <x v="50"/>
    <x v="1269"/>
    <x v="0"/>
    <x v="0"/>
    <x v="327"/>
    <n v="1"/>
    <n v="324"/>
    <n v="324"/>
    <n v="342"/>
    <n v="342"/>
    <m/>
    <n v="51"/>
    <n v="393"/>
    <n v="393"/>
    <n v="0"/>
    <x v="16"/>
    <s v="true"/>
    <s v="true"/>
    <x v="0"/>
  </r>
  <r>
    <n v="462"/>
    <d v="2025-02-05T00:00:00"/>
    <s v="2/2025"/>
    <x v="50"/>
    <x v="1270"/>
    <x v="0"/>
    <x v="0"/>
    <x v="325"/>
    <n v="1"/>
    <n v="491"/>
    <n v="491"/>
    <n v="517"/>
    <n v="517"/>
    <m/>
    <n v="78"/>
    <n v="595"/>
    <n v="595"/>
    <n v="0"/>
    <x v="16"/>
    <s v="true"/>
    <s v="true"/>
    <x v="0"/>
  </r>
  <r>
    <n v="462"/>
    <d v="2025-02-05T00:00:00"/>
    <s v="2/2025"/>
    <x v="50"/>
    <x v="1271"/>
    <x v="0"/>
    <x v="0"/>
    <x v="327"/>
    <n v="1"/>
    <n v="419"/>
    <n v="419"/>
    <n v="442"/>
    <n v="442"/>
    <m/>
    <n v="66"/>
    <n v="508"/>
    <n v="508"/>
    <n v="0"/>
    <x v="16"/>
    <s v="true"/>
    <s v="true"/>
    <x v="0"/>
  </r>
  <r>
    <n v="462"/>
    <d v="2025-02-05T00:00:00"/>
    <s v="2/2025"/>
    <x v="50"/>
    <x v="834"/>
    <x v="0"/>
    <x v="0"/>
    <x v="327"/>
    <n v="1"/>
    <n v="373"/>
    <n v="373"/>
    <n v="393"/>
    <n v="393"/>
    <m/>
    <n v="59"/>
    <n v="452"/>
    <n v="452"/>
    <n v="0"/>
    <x v="16"/>
    <s v="true"/>
    <s v="true"/>
    <x v="0"/>
  </r>
  <r>
    <n v="462"/>
    <d v="2025-02-05T00:00:00"/>
    <s v="2/2025"/>
    <x v="50"/>
    <x v="705"/>
    <x v="0"/>
    <x v="0"/>
    <x v="311"/>
    <n v="2"/>
    <n v="443"/>
    <n v="886"/>
    <n v="467"/>
    <n v="934"/>
    <m/>
    <n v="140"/>
    <n v="1074"/>
    <n v="1074"/>
    <n v="0"/>
    <x v="16"/>
    <s v="true"/>
    <s v="true"/>
    <x v="0"/>
  </r>
  <r>
    <n v="463"/>
    <d v="2025-02-05T00:00:00"/>
    <s v="2/2025"/>
    <x v="111"/>
    <x v="1272"/>
    <x v="0"/>
    <x v="140"/>
    <x v="327"/>
    <n v="2"/>
    <n v="1948"/>
    <n v="3896"/>
    <n v="1948"/>
    <n v="3896"/>
    <m/>
    <n v="584"/>
    <n v="4480"/>
    <n v="4480"/>
    <n v="0"/>
    <x v="35"/>
    <s v="true"/>
    <s v="true"/>
    <x v="0"/>
  </r>
  <r>
    <n v="464"/>
    <d v="2025-02-05T00:00:00"/>
    <s v="2/2025"/>
    <x v="1"/>
    <x v="1016"/>
    <x v="0"/>
    <x v="0"/>
    <x v="328"/>
    <n v="1"/>
    <n v="833"/>
    <n v="833"/>
    <n v="855"/>
    <n v="855"/>
    <m/>
    <n v="86"/>
    <n v="941"/>
    <n v="941"/>
    <n v="0"/>
    <x v="15"/>
    <s v="true"/>
    <s v="true"/>
    <x v="0"/>
  </r>
  <r>
    <n v="464"/>
    <d v="2025-02-05T00:00:00"/>
    <s v="2/2025"/>
    <x v="1"/>
    <x v="1273"/>
    <x v="0"/>
    <x v="0"/>
    <x v="329"/>
    <n v="1"/>
    <n v="1023"/>
    <n v="1023"/>
    <n v="1062"/>
    <n v="1062"/>
    <m/>
    <n v="106"/>
    <n v="1168"/>
    <n v="1168"/>
    <n v="0"/>
    <x v="15"/>
    <s v="true"/>
    <s v="true"/>
    <x v="0"/>
  </r>
  <r>
    <n v="464"/>
    <d v="2025-02-05T00:00:00"/>
    <s v="2/2025"/>
    <x v="1"/>
    <x v="1274"/>
    <x v="0"/>
    <x v="0"/>
    <x v="330"/>
    <n v="1"/>
    <n v="489"/>
    <n v="489"/>
    <n v="493"/>
    <n v="493"/>
    <m/>
    <n v="49"/>
    <n v="542"/>
    <n v="542"/>
    <n v="0"/>
    <x v="15"/>
    <s v="true"/>
    <s v="true"/>
    <x v="0"/>
  </r>
  <r>
    <n v="464"/>
    <d v="2025-02-05T00:00:00"/>
    <s v="2/2025"/>
    <x v="1"/>
    <x v="1275"/>
    <x v="0"/>
    <x v="0"/>
    <x v="330"/>
    <n v="1"/>
    <n v="489"/>
    <n v="489"/>
    <n v="493"/>
    <n v="493"/>
    <m/>
    <n v="49"/>
    <n v="542"/>
    <n v="542"/>
    <n v="0"/>
    <x v="15"/>
    <s v="true"/>
    <s v="true"/>
    <x v="0"/>
  </r>
  <r>
    <n v="465"/>
    <d v="2025-02-05T00:00:00"/>
    <s v="2/2025"/>
    <x v="47"/>
    <x v="1276"/>
    <x v="0"/>
    <x v="0"/>
    <x v="311"/>
    <n v="1"/>
    <n v="356"/>
    <n v="356"/>
    <n v="375"/>
    <n v="375"/>
    <m/>
    <n v="56"/>
    <n v="431"/>
    <n v="431"/>
    <n v="0"/>
    <x v="16"/>
    <s v="true"/>
    <s v="true"/>
    <x v="0"/>
  </r>
  <r>
    <n v="465"/>
    <d v="2025-02-05T00:00:00"/>
    <s v="2/2025"/>
    <x v="47"/>
    <x v="1277"/>
    <x v="0"/>
    <x v="0"/>
    <x v="327"/>
    <n v="1"/>
    <n v="92"/>
    <n v="92"/>
    <n v="97"/>
    <n v="97"/>
    <m/>
    <n v="15"/>
    <n v="112"/>
    <n v="112"/>
    <n v="0"/>
    <x v="16"/>
    <s v="true"/>
    <s v="true"/>
    <x v="0"/>
  </r>
  <r>
    <n v="465"/>
    <d v="2025-02-05T00:00:00"/>
    <s v="2/2025"/>
    <x v="47"/>
    <x v="1278"/>
    <x v="0"/>
    <x v="0"/>
    <x v="327"/>
    <n v="2"/>
    <n v="101"/>
    <n v="202"/>
    <n v="107"/>
    <n v="214"/>
    <m/>
    <n v="32"/>
    <n v="246"/>
    <n v="246"/>
    <n v="0"/>
    <x v="16"/>
    <s v="true"/>
    <s v="true"/>
    <x v="0"/>
  </r>
  <r>
    <n v="465"/>
    <d v="2025-02-05T00:00:00"/>
    <s v="2/2025"/>
    <x v="47"/>
    <x v="1279"/>
    <x v="0"/>
    <x v="0"/>
    <x v="325"/>
    <n v="1"/>
    <n v="196"/>
    <n v="196"/>
    <n v="207"/>
    <n v="207"/>
    <m/>
    <n v="31"/>
    <n v="238"/>
    <n v="238"/>
    <n v="0"/>
    <x v="16"/>
    <s v="true"/>
    <s v="true"/>
    <x v="0"/>
  </r>
  <r>
    <n v="465"/>
    <d v="2025-02-05T00:00:00"/>
    <s v="2/2025"/>
    <x v="47"/>
    <x v="1280"/>
    <x v="0"/>
    <x v="0"/>
    <x v="311"/>
    <n v="1"/>
    <n v="194"/>
    <n v="194"/>
    <n v="205"/>
    <n v="205"/>
    <m/>
    <n v="31"/>
    <n v="236"/>
    <n v="236"/>
    <n v="0"/>
    <x v="16"/>
    <s v="true"/>
    <s v="true"/>
    <x v="0"/>
  </r>
  <r>
    <n v="465"/>
    <d v="2025-02-05T00:00:00"/>
    <s v="2/2025"/>
    <x v="47"/>
    <x v="1281"/>
    <x v="0"/>
    <x v="0"/>
    <x v="311"/>
    <n v="1"/>
    <n v="150"/>
    <n v="150"/>
    <n v="158"/>
    <n v="158"/>
    <m/>
    <n v="24"/>
    <n v="182"/>
    <n v="182"/>
    <n v="0"/>
    <x v="16"/>
    <s v="true"/>
    <s v="true"/>
    <x v="0"/>
  </r>
  <r>
    <n v="465"/>
    <d v="2025-02-05T00:00:00"/>
    <s v="2/2025"/>
    <x v="47"/>
    <x v="401"/>
    <x v="0"/>
    <x v="0"/>
    <x v="325"/>
    <n v="1"/>
    <n v="1044"/>
    <n v="1044"/>
    <n v="1099"/>
    <n v="1099"/>
    <m/>
    <n v="165"/>
    <n v="1264"/>
    <n v="1264"/>
    <n v="0"/>
    <x v="16"/>
    <s v="true"/>
    <s v="true"/>
    <x v="0"/>
  </r>
  <r>
    <n v="465"/>
    <d v="2025-02-05T00:00:00"/>
    <s v="2/2025"/>
    <x v="47"/>
    <x v="1282"/>
    <x v="0"/>
    <x v="0"/>
    <x v="327"/>
    <n v="1"/>
    <n v="161"/>
    <n v="161"/>
    <n v="170"/>
    <n v="170"/>
    <m/>
    <n v="26"/>
    <n v="196"/>
    <n v="196"/>
    <n v="0"/>
    <x v="16"/>
    <s v="true"/>
    <s v="true"/>
    <x v="0"/>
  </r>
  <r>
    <n v="465"/>
    <d v="2025-02-05T00:00:00"/>
    <s v="2/2025"/>
    <x v="47"/>
    <x v="1169"/>
    <x v="0"/>
    <x v="0"/>
    <x v="331"/>
    <n v="1"/>
    <n v="286"/>
    <n v="286"/>
    <n v="302"/>
    <n v="302"/>
    <m/>
    <n v="45"/>
    <n v="347"/>
    <n v="347"/>
    <n v="0"/>
    <x v="16"/>
    <s v="true"/>
    <s v="true"/>
    <x v="0"/>
  </r>
  <r>
    <n v="465"/>
    <d v="2025-02-05T00:00:00"/>
    <s v="2/2025"/>
    <x v="47"/>
    <x v="1283"/>
    <x v="0"/>
    <x v="0"/>
    <x v="327"/>
    <n v="1"/>
    <n v="434"/>
    <n v="434"/>
    <n v="457"/>
    <n v="457"/>
    <m/>
    <n v="69"/>
    <n v="526"/>
    <n v="526"/>
    <n v="0"/>
    <x v="16"/>
    <s v="true"/>
    <s v="true"/>
    <x v="0"/>
  </r>
  <r>
    <n v="465"/>
    <d v="2025-02-05T00:00:00"/>
    <s v="2/2025"/>
    <x v="47"/>
    <x v="1251"/>
    <x v="0"/>
    <x v="0"/>
    <x v="311"/>
    <n v="1"/>
    <n v="183"/>
    <n v="183"/>
    <n v="193"/>
    <n v="193"/>
    <m/>
    <n v="29"/>
    <n v="222"/>
    <n v="222"/>
    <n v="0"/>
    <x v="16"/>
    <s v="true"/>
    <s v="true"/>
    <x v="0"/>
  </r>
  <r>
    <n v="465"/>
    <d v="2025-02-05T00:00:00"/>
    <s v="2/2025"/>
    <x v="47"/>
    <x v="770"/>
    <x v="0"/>
    <x v="0"/>
    <x v="327"/>
    <n v="1"/>
    <n v="288"/>
    <n v="288"/>
    <n v="304"/>
    <n v="304"/>
    <m/>
    <n v="46"/>
    <n v="350"/>
    <n v="350"/>
    <n v="0"/>
    <x v="16"/>
    <s v="true"/>
    <s v="true"/>
    <x v="0"/>
  </r>
  <r>
    <n v="465"/>
    <d v="2025-02-05T00:00:00"/>
    <s v="2/2025"/>
    <x v="47"/>
    <x v="705"/>
    <x v="0"/>
    <x v="0"/>
    <x v="327"/>
    <n v="1"/>
    <n v="298"/>
    <n v="298"/>
    <n v="321"/>
    <n v="321"/>
    <m/>
    <n v="48"/>
    <n v="369"/>
    <n v="369"/>
    <n v="0"/>
    <x v="16"/>
    <s v="true"/>
    <s v="true"/>
    <x v="0"/>
  </r>
  <r>
    <n v="465"/>
    <d v="2025-02-05T00:00:00"/>
    <s v="2/2025"/>
    <x v="47"/>
    <x v="280"/>
    <x v="0"/>
    <x v="0"/>
    <x v="325"/>
    <n v="1"/>
    <n v="356"/>
    <n v="356"/>
    <n v="375"/>
    <n v="375"/>
    <m/>
    <n v="56"/>
    <n v="431"/>
    <n v="431"/>
    <n v="0"/>
    <x v="16"/>
    <s v="true"/>
    <s v="true"/>
    <x v="0"/>
  </r>
  <r>
    <n v="465"/>
    <d v="2025-02-05T00:00:00"/>
    <s v="2/2025"/>
    <x v="47"/>
    <x v="1284"/>
    <x v="0"/>
    <x v="0"/>
    <x v="327"/>
    <n v="1"/>
    <n v="166"/>
    <n v="166"/>
    <n v="175"/>
    <n v="175"/>
    <m/>
    <n v="26"/>
    <n v="201"/>
    <n v="201"/>
    <n v="0"/>
    <x v="16"/>
    <s v="true"/>
    <s v="true"/>
    <x v="0"/>
  </r>
  <r>
    <n v="465"/>
    <d v="2025-02-05T00:00:00"/>
    <s v="2/2025"/>
    <x v="47"/>
    <x v="1285"/>
    <x v="0"/>
    <x v="0"/>
    <x v="311"/>
    <n v="1"/>
    <n v="229"/>
    <n v="229"/>
    <n v="242"/>
    <n v="242"/>
    <m/>
    <n v="36"/>
    <n v="278"/>
    <n v="278"/>
    <n v="0"/>
    <x v="16"/>
    <s v="true"/>
    <s v="true"/>
    <x v="0"/>
  </r>
  <r>
    <n v="465"/>
    <d v="2025-02-05T00:00:00"/>
    <s v="2/2025"/>
    <x v="47"/>
    <x v="1286"/>
    <x v="0"/>
    <x v="0"/>
    <x v="325"/>
    <n v="1"/>
    <n v="515"/>
    <n v="515"/>
    <n v="543"/>
    <n v="543"/>
    <m/>
    <n v="81"/>
    <n v="624"/>
    <n v="624"/>
    <n v="0"/>
    <x v="16"/>
    <s v="true"/>
    <s v="true"/>
    <x v="0"/>
  </r>
  <r>
    <n v="465"/>
    <d v="2025-02-05T00:00:00"/>
    <s v="2/2025"/>
    <x v="47"/>
    <x v="1287"/>
    <x v="0"/>
    <x v="0"/>
    <x v="325"/>
    <n v="1"/>
    <n v="194"/>
    <n v="194"/>
    <n v="205"/>
    <n v="205"/>
    <m/>
    <n v="31"/>
    <n v="236"/>
    <n v="236"/>
    <n v="0"/>
    <x v="16"/>
    <s v="true"/>
    <s v="true"/>
    <x v="0"/>
  </r>
  <r>
    <n v="465"/>
    <d v="2025-02-05T00:00:00"/>
    <s v="2/2025"/>
    <x v="47"/>
    <x v="1288"/>
    <x v="0"/>
    <x v="0"/>
    <x v="327"/>
    <n v="1"/>
    <n v="338"/>
    <n v="338"/>
    <n v="356"/>
    <n v="356"/>
    <m/>
    <n v="53"/>
    <n v="409"/>
    <n v="409"/>
    <n v="0"/>
    <x v="16"/>
    <s v="true"/>
    <s v="true"/>
    <x v="0"/>
  </r>
  <r>
    <n v="465"/>
    <d v="2025-02-05T00:00:00"/>
    <s v="2/2025"/>
    <x v="47"/>
    <x v="1195"/>
    <x v="0"/>
    <x v="0"/>
    <x v="327"/>
    <n v="1"/>
    <n v="760"/>
    <n v="760"/>
    <n v="800"/>
    <n v="800"/>
    <m/>
    <n v="120"/>
    <n v="920"/>
    <n v="920"/>
    <n v="0"/>
    <x v="16"/>
    <s v="true"/>
    <s v="true"/>
    <x v="0"/>
  </r>
  <r>
    <n v="465"/>
    <d v="2025-02-05T00:00:00"/>
    <s v="2/2025"/>
    <x v="47"/>
    <x v="1289"/>
    <x v="0"/>
    <x v="0"/>
    <x v="332"/>
    <n v="1"/>
    <n v="303"/>
    <n v="303"/>
    <n v="319"/>
    <n v="319"/>
    <m/>
    <n v="48"/>
    <n v="367"/>
    <n v="367"/>
    <n v="0"/>
    <x v="16"/>
    <s v="true"/>
    <s v="true"/>
    <x v="0"/>
  </r>
  <r>
    <n v="466"/>
    <d v="2025-02-07T00:00:00"/>
    <s v="2/2025"/>
    <x v="105"/>
    <x v="257"/>
    <x v="0"/>
    <x v="141"/>
    <x v="327"/>
    <n v="1"/>
    <n v="1000"/>
    <n v="1000"/>
    <n v="1000"/>
    <n v="1000"/>
    <n v="500"/>
    <n v="150"/>
    <n v="650"/>
    <n v="650"/>
    <n v="0"/>
    <x v="20"/>
    <s v="true"/>
    <s v="true"/>
    <x v="0"/>
  </r>
  <r>
    <n v="466"/>
    <d v="2025-02-07T00:00:00"/>
    <s v="2/2025"/>
    <x v="105"/>
    <x v="257"/>
    <x v="0"/>
    <x v="142"/>
    <x v="327"/>
    <n v="1"/>
    <n v="1000"/>
    <n v="1000"/>
    <n v="1000"/>
    <n v="1000"/>
    <n v="450"/>
    <n v="150"/>
    <n v="600"/>
    <n v="600"/>
    <n v="0"/>
    <x v="20"/>
    <s v="true"/>
    <s v="true"/>
    <x v="0"/>
  </r>
  <r>
    <n v="467"/>
    <d v="2025-02-07T00:00:00"/>
    <s v="2/2025"/>
    <x v="105"/>
    <x v="257"/>
    <x v="0"/>
    <x v="143"/>
    <x v="333"/>
    <n v="1"/>
    <n v="3000"/>
    <n v="3000"/>
    <n v="3000"/>
    <n v="3000"/>
    <n v="1130"/>
    <n v="450"/>
    <n v="1580"/>
    <n v="1580"/>
    <n v="0"/>
    <x v="20"/>
    <s v="true"/>
    <s v="true"/>
    <x v="0"/>
  </r>
  <r>
    <n v="468"/>
    <d v="2025-02-07T00:00:00"/>
    <s v="2/2025"/>
    <x v="64"/>
    <x v="73"/>
    <x v="0"/>
    <x v="0"/>
    <x v="327"/>
    <n v="1"/>
    <n v="2516"/>
    <n v="2516"/>
    <n v="2516"/>
    <n v="2516"/>
    <m/>
    <n v="377"/>
    <n v="377"/>
    <n v="377"/>
    <n v="0"/>
    <x v="15"/>
    <s v="true"/>
    <s v="true"/>
    <x v="0"/>
  </r>
  <r>
    <n v="469"/>
    <d v="2025-02-05T00:00:00"/>
    <s v="2/2025"/>
    <x v="112"/>
    <x v="1191"/>
    <x v="0"/>
    <x v="0"/>
    <x v="327"/>
    <n v="1"/>
    <n v="1280"/>
    <n v="1280"/>
    <n v="1348"/>
    <n v="1348"/>
    <m/>
    <n v="202"/>
    <n v="1550"/>
    <n v="1550"/>
    <n v="0"/>
    <x v="16"/>
    <s v="true"/>
    <s v="true"/>
    <x v="0"/>
  </r>
  <r>
    <n v="469"/>
    <d v="2025-02-05T00:00:00"/>
    <s v="2/2025"/>
    <x v="112"/>
    <x v="1290"/>
    <x v="0"/>
    <x v="0"/>
    <x v="327"/>
    <n v="1"/>
    <n v="636"/>
    <n v="636"/>
    <n v="670"/>
    <n v="670"/>
    <m/>
    <n v="101"/>
    <n v="771"/>
    <n v="771"/>
    <n v="0"/>
    <x v="16"/>
    <s v="true"/>
    <s v="true"/>
    <x v="0"/>
  </r>
  <r>
    <n v="469"/>
    <d v="2025-02-05T00:00:00"/>
    <s v="2/2025"/>
    <x v="112"/>
    <x v="1291"/>
    <x v="0"/>
    <x v="0"/>
    <x v="327"/>
    <n v="1"/>
    <n v="912"/>
    <n v="912"/>
    <n v="960"/>
    <n v="960"/>
    <m/>
    <n v="144"/>
    <n v="1104"/>
    <n v="1104"/>
    <n v="0"/>
    <x v="16"/>
    <s v="true"/>
    <s v="true"/>
    <x v="0"/>
  </r>
  <r>
    <n v="470"/>
    <d v="2025-02-11T00:00:00"/>
    <s v="2/2025"/>
    <x v="1"/>
    <x v="1292"/>
    <x v="0"/>
    <x v="0"/>
    <x v="320"/>
    <n v="1"/>
    <n v="1159"/>
    <n v="1159"/>
    <n v="1203"/>
    <n v="1203"/>
    <m/>
    <n v="120"/>
    <n v="1323"/>
    <n v="1323"/>
    <n v="0"/>
    <x v="15"/>
    <s v="true"/>
    <s v="true"/>
    <x v="0"/>
  </r>
  <r>
    <n v="470"/>
    <d v="2025-02-11T00:00:00"/>
    <s v="2/2025"/>
    <x v="1"/>
    <x v="1293"/>
    <x v="0"/>
    <x v="0"/>
    <x v="334"/>
    <m/>
    <n v="599"/>
    <n v="0"/>
    <n v="622"/>
    <n v="0"/>
    <m/>
    <n v="67"/>
    <m/>
    <m/>
    <n v="0"/>
    <x v="15"/>
    <s v="true"/>
    <s v="true"/>
    <x v="0"/>
  </r>
  <r>
    <n v="470"/>
    <d v="2025-02-11T00:00:00"/>
    <s v="2/2025"/>
    <x v="1"/>
    <x v="1293"/>
    <x v="0"/>
    <x v="0"/>
    <x v="335"/>
    <m/>
    <n v="618"/>
    <n v="0"/>
    <n v="641"/>
    <n v="0"/>
    <m/>
    <n v="67"/>
    <m/>
    <m/>
    <n v="0"/>
    <x v="15"/>
    <s v="true"/>
    <s v="true"/>
    <x v="0"/>
  </r>
  <r>
    <n v="472"/>
    <d v="2025-01-30T00:00:00"/>
    <s v="1/2025"/>
    <x v="39"/>
    <x v="257"/>
    <x v="0"/>
    <x v="144"/>
    <x v="336"/>
    <n v="1"/>
    <n v="22500"/>
    <n v="22500"/>
    <n v="22500"/>
    <n v="22500"/>
    <m/>
    <n v="2250"/>
    <n v="2250"/>
    <n v="2250"/>
    <n v="0"/>
    <x v="20"/>
    <s v="true"/>
    <s v="true"/>
    <x v="0"/>
  </r>
  <r>
    <n v="471"/>
    <d v="2025-02-11T00:00:00"/>
    <s v="2/2025"/>
    <x v="76"/>
    <x v="766"/>
    <x v="0"/>
    <x v="0"/>
    <x v="337"/>
    <n v="1"/>
    <n v="805"/>
    <n v="805"/>
    <n v="848"/>
    <n v="848"/>
    <m/>
    <n v="85"/>
    <n v="933"/>
    <n v="933"/>
    <n v="0"/>
    <x v="16"/>
    <s v="true"/>
    <s v="true"/>
    <x v="0"/>
  </r>
  <r>
    <n v="471"/>
    <d v="2025-02-11T00:00:00"/>
    <s v="2/2025"/>
    <x v="76"/>
    <x v="1294"/>
    <x v="0"/>
    <x v="0"/>
    <x v="331"/>
    <n v="1"/>
    <n v="506"/>
    <n v="506"/>
    <n v="533"/>
    <n v="533"/>
    <m/>
    <n v="53"/>
    <n v="586"/>
    <n v="586"/>
    <n v="0"/>
    <x v="16"/>
    <s v="true"/>
    <s v="true"/>
    <x v="0"/>
  </r>
  <r>
    <n v="471"/>
    <d v="2025-02-11T00:00:00"/>
    <s v="2/2025"/>
    <x v="76"/>
    <x v="1250"/>
    <x v="0"/>
    <x v="0"/>
    <x v="336"/>
    <n v="1"/>
    <n v="218"/>
    <n v="218"/>
    <n v="230"/>
    <n v="230"/>
    <m/>
    <n v="23"/>
    <n v="253"/>
    <n v="253"/>
    <n v="0"/>
    <x v="16"/>
    <s v="true"/>
    <s v="true"/>
    <x v="0"/>
  </r>
  <r>
    <n v="471"/>
    <d v="2025-02-11T00:00:00"/>
    <s v="2/2025"/>
    <x v="76"/>
    <x v="1295"/>
    <x v="0"/>
    <x v="0"/>
    <x v="336"/>
    <n v="1"/>
    <n v="1398"/>
    <n v="1398"/>
    <n v="1472"/>
    <n v="1472"/>
    <m/>
    <n v="147"/>
    <n v="1619"/>
    <n v="1619"/>
    <n v="0"/>
    <x v="16"/>
    <s v="true"/>
    <s v="true"/>
    <x v="0"/>
  </r>
  <r>
    <n v="471"/>
    <d v="2025-02-11T00:00:00"/>
    <s v="2/2025"/>
    <x v="76"/>
    <x v="1295"/>
    <x v="0"/>
    <x v="0"/>
    <x v="336"/>
    <n v="1"/>
    <n v="1366"/>
    <n v="1366"/>
    <n v="1438"/>
    <n v="1438"/>
    <m/>
    <n v="144"/>
    <n v="1582"/>
    <n v="1582"/>
    <n v="0"/>
    <x v="16"/>
    <s v="true"/>
    <s v="true"/>
    <x v="0"/>
  </r>
  <r>
    <n v="471"/>
    <d v="2025-02-11T00:00:00"/>
    <s v="2/2025"/>
    <x v="76"/>
    <x v="1296"/>
    <x v="0"/>
    <x v="0"/>
    <x v="336"/>
    <n v="1"/>
    <n v="371"/>
    <n v="371"/>
    <n v="391"/>
    <n v="391"/>
    <m/>
    <n v="39"/>
    <n v="430"/>
    <n v="430"/>
    <n v="0"/>
    <x v="16"/>
    <s v="true"/>
    <s v="true"/>
    <x v="0"/>
  </r>
  <r>
    <n v="473"/>
    <d v="2025-02-14T00:00:00"/>
    <s v="2/2025"/>
    <x v="113"/>
    <x v="73"/>
    <x v="0"/>
    <x v="0"/>
    <x v="336"/>
    <n v="1"/>
    <n v="7098"/>
    <n v="7098"/>
    <n v="7098"/>
    <n v="7098"/>
    <m/>
    <n v="1065"/>
    <n v="1065"/>
    <n v="1065"/>
    <n v="0"/>
    <x v="0"/>
    <s v="true"/>
    <s v="true"/>
    <x v="0"/>
  </r>
  <r>
    <n v="475"/>
    <d v="2025-02-15T00:00:00"/>
    <s v="2/2025"/>
    <x v="3"/>
    <x v="517"/>
    <x v="0"/>
    <x v="145"/>
    <x v="315"/>
    <n v="1"/>
    <n v="10000"/>
    <n v="10000"/>
    <n v="10001"/>
    <n v="10001"/>
    <n v="265"/>
    <n v="1000"/>
    <n v="11266"/>
    <n v="11266"/>
    <n v="0"/>
    <x v="18"/>
    <s v="true"/>
    <s v="true"/>
    <x v="0"/>
  </r>
  <r>
    <n v="475"/>
    <d v="2025-02-15T00:00:00"/>
    <s v="2/2025"/>
    <x v="3"/>
    <x v="1297"/>
    <x v="0"/>
    <x v="146"/>
    <x v="338"/>
    <n v="1"/>
    <n v="1690"/>
    <n v="1690"/>
    <n v="1690"/>
    <n v="1690"/>
    <n v="199"/>
    <n v="169"/>
    <n v="2058"/>
    <n v="2058"/>
    <n v="0"/>
    <x v="18"/>
    <s v="true"/>
    <s v="true"/>
    <x v="0"/>
  </r>
  <r>
    <n v="474"/>
    <d v="2025-02-14T00:00:00"/>
    <s v="2/2025"/>
    <x v="61"/>
    <x v="981"/>
    <x v="0"/>
    <x v="0"/>
    <x v="337"/>
    <n v="1"/>
    <n v="249"/>
    <n v="249"/>
    <n v="263"/>
    <n v="263"/>
    <m/>
    <n v="26"/>
    <n v="289"/>
    <n v="289"/>
    <n v="0"/>
    <x v="16"/>
    <s v="true"/>
    <s v="true"/>
    <x v="0"/>
  </r>
  <r>
    <n v="474"/>
    <d v="2025-02-14T00:00:00"/>
    <s v="2/2025"/>
    <x v="61"/>
    <x v="1298"/>
    <x v="0"/>
    <x v="0"/>
    <x v="337"/>
    <n v="1"/>
    <n v="196"/>
    <n v="196"/>
    <n v="207"/>
    <n v="207"/>
    <m/>
    <n v="21"/>
    <n v="228"/>
    <n v="228"/>
    <n v="0"/>
    <x v="16"/>
    <s v="true"/>
    <s v="true"/>
    <x v="0"/>
  </r>
  <r>
    <n v="474"/>
    <d v="2025-02-14T00:00:00"/>
    <s v="2/2025"/>
    <x v="61"/>
    <x v="386"/>
    <x v="0"/>
    <x v="0"/>
    <x v="331"/>
    <n v="1"/>
    <n v="328"/>
    <n v="328"/>
    <n v="346"/>
    <n v="346"/>
    <m/>
    <n v="35"/>
    <n v="381"/>
    <n v="381"/>
    <n v="0"/>
    <x v="16"/>
    <s v="true"/>
    <s v="true"/>
    <x v="0"/>
  </r>
  <r>
    <n v="474"/>
    <d v="2025-02-14T00:00:00"/>
    <s v="2/2025"/>
    <x v="61"/>
    <x v="654"/>
    <x v="0"/>
    <x v="0"/>
    <x v="331"/>
    <n v="1"/>
    <n v="420"/>
    <n v="420"/>
    <n v="443"/>
    <n v="443"/>
    <m/>
    <n v="44"/>
    <n v="487"/>
    <n v="487"/>
    <n v="0"/>
    <x v="16"/>
    <s v="true"/>
    <s v="true"/>
    <x v="0"/>
  </r>
  <r>
    <n v="474"/>
    <d v="2025-02-14T00:00:00"/>
    <s v="2/2025"/>
    <x v="61"/>
    <x v="1299"/>
    <x v="0"/>
    <x v="0"/>
    <x v="331"/>
    <n v="1"/>
    <n v="428"/>
    <n v="428"/>
    <n v="451"/>
    <n v="451"/>
    <m/>
    <n v="45"/>
    <n v="496"/>
    <n v="496"/>
    <n v="0"/>
    <x v="16"/>
    <s v="true"/>
    <s v="true"/>
    <x v="0"/>
  </r>
  <r>
    <n v="474"/>
    <d v="2025-02-14T00:00:00"/>
    <s v="2/2025"/>
    <x v="61"/>
    <x v="1300"/>
    <x v="0"/>
    <x v="0"/>
    <x v="313"/>
    <n v="1"/>
    <n v="403"/>
    <n v="403"/>
    <n v="425"/>
    <n v="425"/>
    <m/>
    <n v="43"/>
    <n v="468"/>
    <n v="468"/>
    <n v="0"/>
    <x v="16"/>
    <s v="true"/>
    <s v="true"/>
    <x v="0"/>
  </r>
  <r>
    <n v="474"/>
    <d v="2025-02-14T00:00:00"/>
    <s v="2/2025"/>
    <x v="61"/>
    <x v="1301"/>
    <x v="0"/>
    <x v="0"/>
    <x v="331"/>
    <n v="1"/>
    <n v="305"/>
    <n v="305"/>
    <n v="322"/>
    <n v="322"/>
    <m/>
    <n v="32"/>
    <n v="354"/>
    <n v="354"/>
    <n v="0"/>
    <x v="16"/>
    <s v="true"/>
    <s v="true"/>
    <x v="0"/>
  </r>
  <r>
    <n v="474"/>
    <d v="2025-02-14T00:00:00"/>
    <s v="2/2025"/>
    <x v="61"/>
    <x v="1300"/>
    <x v="0"/>
    <x v="0"/>
    <x v="331"/>
    <n v="1"/>
    <n v="326"/>
    <n v="326"/>
    <n v="344"/>
    <n v="344"/>
    <m/>
    <n v="34"/>
    <n v="378"/>
    <n v="378"/>
    <n v="0"/>
    <x v="16"/>
    <s v="true"/>
    <s v="true"/>
    <x v="0"/>
  </r>
  <r>
    <n v="474"/>
    <d v="2025-02-14T00:00:00"/>
    <s v="2/2025"/>
    <x v="61"/>
    <x v="1065"/>
    <x v="0"/>
    <x v="0"/>
    <x v="337"/>
    <n v="1"/>
    <n v="447"/>
    <n v="447"/>
    <n v="471"/>
    <n v="471"/>
    <m/>
    <n v="47"/>
    <n v="518"/>
    <n v="518"/>
    <n v="0"/>
    <x v="16"/>
    <s v="true"/>
    <s v="true"/>
    <x v="0"/>
  </r>
  <r>
    <n v="474"/>
    <d v="2025-02-14T00:00:00"/>
    <s v="2/2025"/>
    <x v="61"/>
    <x v="1302"/>
    <x v="0"/>
    <x v="0"/>
    <x v="337"/>
    <n v="1"/>
    <n v="582"/>
    <n v="582"/>
    <n v="613"/>
    <n v="613"/>
    <m/>
    <n v="61"/>
    <n v="674"/>
    <n v="674"/>
    <n v="0"/>
    <x v="16"/>
    <s v="true"/>
    <s v="true"/>
    <x v="0"/>
  </r>
  <r>
    <n v="474"/>
    <d v="2025-02-14T00:00:00"/>
    <s v="2/2025"/>
    <x v="61"/>
    <x v="1303"/>
    <x v="0"/>
    <x v="0"/>
    <x v="337"/>
    <n v="2"/>
    <n v="499"/>
    <n v="998"/>
    <n v="526"/>
    <n v="1052"/>
    <m/>
    <n v="105"/>
    <n v="1157"/>
    <n v="1157"/>
    <n v="0"/>
    <x v="16"/>
    <s v="true"/>
    <s v="true"/>
    <x v="0"/>
  </r>
  <r>
    <n v="474"/>
    <d v="2025-02-14T00:00:00"/>
    <s v="2/2025"/>
    <x v="61"/>
    <x v="1108"/>
    <x v="0"/>
    <x v="0"/>
    <x v="337"/>
    <n v="1"/>
    <n v="374"/>
    <n v="374"/>
    <n v="394"/>
    <n v="394"/>
    <m/>
    <n v="39"/>
    <n v="433"/>
    <n v="433"/>
    <n v="0"/>
    <x v="16"/>
    <s v="true"/>
    <s v="true"/>
    <x v="0"/>
  </r>
  <r>
    <n v="474"/>
    <d v="2025-02-14T00:00:00"/>
    <s v="2/2025"/>
    <x v="61"/>
    <x v="654"/>
    <x v="0"/>
    <x v="0"/>
    <x v="337"/>
    <n v="1"/>
    <n v="247"/>
    <n v="247"/>
    <n v="260"/>
    <n v="260"/>
    <m/>
    <n v="26"/>
    <n v="286"/>
    <n v="286"/>
    <n v="0"/>
    <x v="16"/>
    <s v="true"/>
    <s v="true"/>
    <x v="0"/>
  </r>
  <r>
    <n v="474"/>
    <d v="2025-02-14T00:00:00"/>
    <s v="2/2025"/>
    <x v="61"/>
    <x v="1304"/>
    <x v="0"/>
    <x v="0"/>
    <x v="331"/>
    <n v="1"/>
    <n v="1504"/>
    <n v="1504"/>
    <n v="1584"/>
    <n v="1584"/>
    <m/>
    <n v="158"/>
    <n v="1742"/>
    <n v="1742"/>
    <n v="0"/>
    <x v="16"/>
    <s v="true"/>
    <s v="true"/>
    <x v="0"/>
  </r>
  <r>
    <n v="474"/>
    <d v="2025-02-14T00:00:00"/>
    <s v="2/2025"/>
    <x v="61"/>
    <x v="1305"/>
    <x v="0"/>
    <x v="0"/>
    <x v="339"/>
    <n v="1"/>
    <n v="367"/>
    <n v="367"/>
    <n v="387"/>
    <n v="387"/>
    <m/>
    <n v="39"/>
    <n v="426"/>
    <n v="426"/>
    <n v="0"/>
    <x v="16"/>
    <s v="true"/>
    <s v="true"/>
    <x v="0"/>
  </r>
  <r>
    <n v="474"/>
    <d v="2025-02-14T00:00:00"/>
    <s v="2/2025"/>
    <x v="61"/>
    <x v="1306"/>
    <x v="0"/>
    <x v="0"/>
    <x v="337"/>
    <n v="1"/>
    <n v="174"/>
    <n v="174"/>
    <n v="184"/>
    <n v="184"/>
    <m/>
    <n v="18"/>
    <n v="202"/>
    <n v="202"/>
    <n v="0"/>
    <x v="16"/>
    <s v="true"/>
    <s v="true"/>
    <x v="0"/>
  </r>
  <r>
    <n v="474"/>
    <d v="2025-02-14T00:00:00"/>
    <s v="2/2025"/>
    <x v="61"/>
    <x v="1307"/>
    <x v="0"/>
    <x v="0"/>
    <x v="331"/>
    <n v="1"/>
    <n v="363"/>
    <n v="363"/>
    <n v="383"/>
    <n v="383"/>
    <m/>
    <n v="38"/>
    <n v="421"/>
    <n v="421"/>
    <n v="0"/>
    <x v="16"/>
    <s v="true"/>
    <s v="true"/>
    <x v="0"/>
  </r>
  <r>
    <n v="474"/>
    <d v="2025-02-14T00:00:00"/>
    <s v="2/2025"/>
    <x v="61"/>
    <x v="1308"/>
    <x v="0"/>
    <x v="0"/>
    <x v="331"/>
    <n v="1"/>
    <n v="258"/>
    <n v="258"/>
    <n v="272"/>
    <n v="272"/>
    <m/>
    <n v="27"/>
    <n v="299"/>
    <n v="299"/>
    <n v="0"/>
    <x v="16"/>
    <s v="true"/>
    <s v="true"/>
    <x v="0"/>
  </r>
  <r>
    <n v="474"/>
    <d v="2025-02-14T00:00:00"/>
    <s v="2/2025"/>
    <x v="61"/>
    <x v="1049"/>
    <x v="0"/>
    <x v="0"/>
    <x v="339"/>
    <n v="2"/>
    <n v="428"/>
    <n v="856"/>
    <n v="451"/>
    <n v="902"/>
    <m/>
    <n v="90"/>
    <n v="992"/>
    <n v="992"/>
    <n v="0"/>
    <x v="16"/>
    <s v="true"/>
    <s v="true"/>
    <x v="0"/>
  </r>
  <r>
    <n v="474"/>
    <d v="2025-02-14T00:00:00"/>
    <s v="2/2025"/>
    <x v="61"/>
    <x v="1309"/>
    <x v="0"/>
    <x v="0"/>
    <x v="337"/>
    <n v="1"/>
    <n v="179"/>
    <n v="179"/>
    <n v="189"/>
    <n v="189"/>
    <m/>
    <n v="19"/>
    <n v="208"/>
    <n v="208"/>
    <n v="0"/>
    <x v="16"/>
    <s v="true"/>
    <s v="true"/>
    <x v="0"/>
  </r>
  <r>
    <n v="474"/>
    <d v="2025-02-14T00:00:00"/>
    <s v="2/2025"/>
    <x v="61"/>
    <x v="1310"/>
    <x v="0"/>
    <x v="0"/>
    <x v="331"/>
    <n v="1"/>
    <n v="499"/>
    <n v="499"/>
    <n v="526"/>
    <n v="526"/>
    <m/>
    <n v="53"/>
    <n v="579"/>
    <n v="579"/>
    <n v="0"/>
    <x v="16"/>
    <s v="true"/>
    <s v="true"/>
    <x v="0"/>
  </r>
  <r>
    <n v="474"/>
    <d v="2025-02-14T00:00:00"/>
    <s v="2/2025"/>
    <x v="61"/>
    <x v="1311"/>
    <x v="0"/>
    <x v="0"/>
    <x v="337"/>
    <n v="1"/>
    <n v="927"/>
    <n v="927"/>
    <n v="976"/>
    <n v="976"/>
    <m/>
    <n v="98"/>
    <n v="1074"/>
    <n v="1074"/>
    <n v="0"/>
    <x v="16"/>
    <s v="true"/>
    <s v="true"/>
    <x v="0"/>
  </r>
  <r>
    <n v="474"/>
    <d v="2025-02-14T00:00:00"/>
    <s v="2/2025"/>
    <x v="61"/>
    <x v="996"/>
    <x v="0"/>
    <x v="0"/>
    <x v="337"/>
    <n v="1"/>
    <n v="344"/>
    <n v="344"/>
    <n v="363"/>
    <n v="363"/>
    <m/>
    <n v="36"/>
    <n v="399"/>
    <n v="399"/>
    <n v="0"/>
    <x v="16"/>
    <s v="true"/>
    <s v="true"/>
    <x v="0"/>
  </r>
  <r>
    <n v="474"/>
    <d v="2025-02-14T00:00:00"/>
    <s v="2/2025"/>
    <x v="61"/>
    <x v="1312"/>
    <x v="0"/>
    <x v="0"/>
    <x v="337"/>
    <n v="1"/>
    <n v="211"/>
    <n v="211"/>
    <n v="223"/>
    <n v="223"/>
    <m/>
    <n v="22"/>
    <n v="245"/>
    <n v="245"/>
    <n v="0"/>
    <x v="16"/>
    <s v="true"/>
    <s v="true"/>
    <x v="0"/>
  </r>
  <r>
    <n v="474"/>
    <d v="2025-02-14T00:00:00"/>
    <s v="2/2025"/>
    <x v="61"/>
    <x v="661"/>
    <x v="0"/>
    <x v="0"/>
    <x v="331"/>
    <n v="1"/>
    <n v="158"/>
    <n v="158"/>
    <n v="167"/>
    <n v="167"/>
    <m/>
    <n v="17"/>
    <n v="184"/>
    <n v="184"/>
    <n v="0"/>
    <x v="16"/>
    <s v="true"/>
    <s v="true"/>
    <x v="0"/>
  </r>
  <r>
    <n v="476"/>
    <d v="2025-02-17T00:00:00"/>
    <s v="2/2025"/>
    <x v="24"/>
    <x v="1313"/>
    <x v="0"/>
    <x v="0"/>
    <x v="319"/>
    <n v="2"/>
    <n v="626"/>
    <n v="1252"/>
    <n v="674"/>
    <n v="1348"/>
    <m/>
    <n v="202"/>
    <n v="1550"/>
    <n v="1550"/>
    <n v="0"/>
    <x v="15"/>
    <s v="true"/>
    <s v="true"/>
    <x v="0"/>
  </r>
  <r>
    <n v="476"/>
    <d v="2025-02-17T00:00:00"/>
    <s v="2/2025"/>
    <x v="24"/>
    <x v="1314"/>
    <x v="0"/>
    <x v="0"/>
    <x v="338"/>
    <n v="1"/>
    <n v="533"/>
    <n v="533"/>
    <n v="574"/>
    <n v="574"/>
    <m/>
    <n v="86"/>
    <n v="660"/>
    <n v="660"/>
    <n v="0"/>
    <x v="15"/>
    <s v="true"/>
    <s v="true"/>
    <x v="0"/>
  </r>
  <r>
    <n v="476"/>
    <d v="2025-02-17T00:00:00"/>
    <s v="2/2025"/>
    <x v="24"/>
    <x v="1315"/>
    <x v="0"/>
    <x v="0"/>
    <x v="315"/>
    <n v="1"/>
    <n v="580"/>
    <n v="580"/>
    <n v="625"/>
    <n v="625"/>
    <m/>
    <n v="94"/>
    <n v="719"/>
    <n v="719"/>
    <n v="0"/>
    <x v="15"/>
    <s v="true"/>
    <s v="true"/>
    <x v="0"/>
  </r>
  <r>
    <n v="477"/>
    <d v="2025-02-18T00:00:00"/>
    <s v="2/2025"/>
    <x v="114"/>
    <x v="1316"/>
    <x v="0"/>
    <x v="0"/>
    <x v="319"/>
    <n v="0"/>
    <n v="847"/>
    <n v="0"/>
    <n v="892"/>
    <n v="0"/>
    <m/>
    <n v="0"/>
    <n v="0"/>
    <m/>
    <n v="0"/>
    <x v="16"/>
    <s v="true"/>
    <s v="true"/>
    <x v="0"/>
  </r>
  <r>
    <n v="477"/>
    <d v="2025-02-18T00:00:00"/>
    <s v="2/2025"/>
    <x v="114"/>
    <x v="870"/>
    <x v="0"/>
    <x v="0"/>
    <x v="319"/>
    <n v="1"/>
    <n v="504"/>
    <n v="504"/>
    <n v="531"/>
    <n v="531"/>
    <m/>
    <n v="80"/>
    <n v="611"/>
    <n v="611"/>
    <n v="0"/>
    <x v="16"/>
    <s v="true"/>
    <s v="true"/>
    <x v="0"/>
  </r>
  <r>
    <n v="477"/>
    <d v="2025-02-18T00:00:00"/>
    <s v="2/2025"/>
    <x v="114"/>
    <x v="1317"/>
    <x v="0"/>
    <x v="0"/>
    <x v="319"/>
    <n v="1"/>
    <n v="374"/>
    <n v="374"/>
    <n v="394"/>
    <n v="394"/>
    <m/>
    <n v="59"/>
    <n v="453"/>
    <n v="453"/>
    <n v="0"/>
    <x v="16"/>
    <s v="true"/>
    <s v="true"/>
    <x v="0"/>
  </r>
  <r>
    <n v="477"/>
    <d v="2025-02-18T00:00:00"/>
    <s v="2/2025"/>
    <x v="114"/>
    <x v="1270"/>
    <x v="0"/>
    <x v="0"/>
    <x v="319"/>
    <n v="1"/>
    <n v="340"/>
    <n v="340"/>
    <n v="358"/>
    <n v="358"/>
    <m/>
    <n v="54"/>
    <n v="412"/>
    <n v="412"/>
    <n v="0"/>
    <x v="16"/>
    <s v="true"/>
    <s v="true"/>
    <x v="0"/>
  </r>
  <r>
    <n v="477"/>
    <d v="2025-02-18T00:00:00"/>
    <s v="2/2025"/>
    <x v="114"/>
    <x v="1318"/>
    <x v="0"/>
    <x v="0"/>
    <x v="312"/>
    <n v="1"/>
    <n v="120"/>
    <n v="120"/>
    <n v="127"/>
    <n v="127"/>
    <m/>
    <n v="19"/>
    <n v="146"/>
    <n v="146"/>
    <n v="0"/>
    <x v="16"/>
    <s v="true"/>
    <s v="true"/>
    <x v="0"/>
  </r>
  <r>
    <n v="477"/>
    <d v="2025-02-18T00:00:00"/>
    <s v="2/2025"/>
    <x v="114"/>
    <x v="1319"/>
    <x v="0"/>
    <x v="0"/>
    <x v="319"/>
    <n v="1"/>
    <n v="286"/>
    <n v="286"/>
    <n v="302"/>
    <n v="302"/>
    <m/>
    <n v="45"/>
    <n v="347"/>
    <n v="347"/>
    <n v="0"/>
    <x v="16"/>
    <s v="true"/>
    <s v="true"/>
    <x v="0"/>
  </r>
  <r>
    <n v="478"/>
    <d v="2025-02-18T00:00:00"/>
    <s v="2/2025"/>
    <x v="47"/>
    <x v="823"/>
    <x v="0"/>
    <x v="0"/>
    <x v="319"/>
    <n v="1"/>
    <n v="155"/>
    <n v="155"/>
    <n v="164"/>
    <n v="164"/>
    <m/>
    <n v="25"/>
    <n v="189"/>
    <n v="189"/>
    <n v="0"/>
    <x v="16"/>
    <s v="true"/>
    <s v="true"/>
    <x v="0"/>
  </r>
  <r>
    <n v="478"/>
    <d v="2025-02-18T00:00:00"/>
    <s v="2/2025"/>
    <x v="47"/>
    <x v="1016"/>
    <x v="0"/>
    <x v="0"/>
    <x v="319"/>
    <n v="1"/>
    <n v="333"/>
    <n v="333"/>
    <n v="351"/>
    <n v="351"/>
    <m/>
    <n v="53"/>
    <n v="404"/>
    <n v="404"/>
    <n v="0"/>
    <x v="16"/>
    <s v="true"/>
    <s v="true"/>
    <x v="0"/>
  </r>
  <r>
    <n v="478"/>
    <d v="2025-02-18T00:00:00"/>
    <s v="2/2025"/>
    <x v="47"/>
    <x v="1275"/>
    <x v="0"/>
    <x v="0"/>
    <x v="319"/>
    <n v="1"/>
    <n v="348"/>
    <n v="348"/>
    <n v="367"/>
    <n v="367"/>
    <m/>
    <n v="55"/>
    <n v="422"/>
    <n v="422"/>
    <n v="0"/>
    <x v="16"/>
    <s v="true"/>
    <s v="true"/>
    <x v="0"/>
  </r>
  <r>
    <n v="478"/>
    <d v="2025-02-18T00:00:00"/>
    <s v="2/2025"/>
    <x v="47"/>
    <x v="410"/>
    <x v="0"/>
    <x v="0"/>
    <x v="338"/>
    <n v="1"/>
    <n v="182"/>
    <n v="182"/>
    <n v="192"/>
    <n v="192"/>
    <m/>
    <n v="29"/>
    <n v="221"/>
    <n v="221"/>
    <n v="0"/>
    <x v="16"/>
    <s v="true"/>
    <s v="true"/>
    <x v="0"/>
  </r>
  <r>
    <n v="478"/>
    <d v="2025-02-18T00:00:00"/>
    <s v="2/2025"/>
    <x v="47"/>
    <x v="977"/>
    <x v="0"/>
    <x v="0"/>
    <x v="319"/>
    <n v="1"/>
    <n v="323"/>
    <n v="323"/>
    <n v="340"/>
    <n v="340"/>
    <m/>
    <n v="51"/>
    <n v="391"/>
    <n v="391"/>
    <n v="0"/>
    <x v="16"/>
    <s v="true"/>
    <s v="true"/>
    <x v="0"/>
  </r>
  <r>
    <n v="478"/>
    <d v="2025-02-18T00:00:00"/>
    <s v="2/2025"/>
    <x v="47"/>
    <x v="1320"/>
    <x v="0"/>
    <x v="0"/>
    <x v="319"/>
    <n v="1"/>
    <n v="332"/>
    <n v="332"/>
    <n v="350"/>
    <n v="350"/>
    <m/>
    <n v="53"/>
    <n v="403"/>
    <n v="403"/>
    <n v="0"/>
    <x v="16"/>
    <s v="true"/>
    <s v="true"/>
    <x v="0"/>
  </r>
  <r>
    <n v="478"/>
    <d v="2025-02-18T00:00:00"/>
    <s v="2/2025"/>
    <x v="47"/>
    <x v="663"/>
    <x v="0"/>
    <x v="0"/>
    <x v="312"/>
    <n v="1"/>
    <n v="189"/>
    <n v="189"/>
    <n v="199"/>
    <n v="199"/>
    <m/>
    <n v="30"/>
    <n v="229"/>
    <n v="229"/>
    <n v="0"/>
    <x v="16"/>
    <s v="true"/>
    <s v="true"/>
    <x v="0"/>
  </r>
  <r>
    <n v="478"/>
    <d v="2025-02-18T00:00:00"/>
    <s v="2/2025"/>
    <x v="47"/>
    <x v="114"/>
    <x v="0"/>
    <x v="0"/>
    <x v="319"/>
    <n v="1"/>
    <n v="339"/>
    <n v="339"/>
    <n v="357"/>
    <n v="357"/>
    <m/>
    <n v="54"/>
    <n v="411"/>
    <n v="411"/>
    <n v="0"/>
    <x v="16"/>
    <s v="true"/>
    <s v="true"/>
    <x v="0"/>
  </r>
  <r>
    <n v="478"/>
    <d v="2025-02-18T00:00:00"/>
    <s v="2/2025"/>
    <x v="47"/>
    <x v="1169"/>
    <x v="0"/>
    <x v="0"/>
    <x v="319"/>
    <n v="1"/>
    <n v="432"/>
    <n v="432"/>
    <n v="455"/>
    <n v="455"/>
    <m/>
    <n v="68"/>
    <n v="523"/>
    <n v="523"/>
    <n v="0"/>
    <x v="16"/>
    <s v="true"/>
    <s v="true"/>
    <x v="0"/>
  </r>
  <r>
    <n v="478"/>
    <d v="2025-02-18T00:00:00"/>
    <s v="2/2025"/>
    <x v="47"/>
    <x v="753"/>
    <x v="0"/>
    <x v="0"/>
    <x v="315"/>
    <n v="0"/>
    <n v="453"/>
    <n v="0"/>
    <n v="477"/>
    <n v="0"/>
    <m/>
    <n v="0"/>
    <n v="0"/>
    <m/>
    <n v="0"/>
    <x v="16"/>
    <s v="true"/>
    <s v="true"/>
    <x v="0"/>
  </r>
  <r>
    <n v="478"/>
    <d v="2025-02-18T00:00:00"/>
    <s v="2/2025"/>
    <x v="47"/>
    <x v="1321"/>
    <x v="0"/>
    <x v="0"/>
    <x v="319"/>
    <n v="1"/>
    <n v="150"/>
    <n v="150"/>
    <n v="158"/>
    <n v="158"/>
    <m/>
    <n v="24"/>
    <n v="182"/>
    <n v="182"/>
    <n v="0"/>
    <x v="16"/>
    <s v="true"/>
    <s v="true"/>
    <x v="0"/>
  </r>
  <r>
    <n v="478"/>
    <d v="2025-02-18T00:00:00"/>
    <s v="2/2025"/>
    <x v="47"/>
    <x v="477"/>
    <x v="0"/>
    <x v="0"/>
    <x v="321"/>
    <n v="1"/>
    <n v="556"/>
    <n v="556"/>
    <n v="586"/>
    <n v="586"/>
    <m/>
    <n v="88"/>
    <n v="674"/>
    <n v="674"/>
    <n v="0"/>
    <x v="16"/>
    <s v="true"/>
    <s v="true"/>
    <x v="0"/>
  </r>
  <r>
    <n v="479"/>
    <d v="2025-02-20T00:00:00"/>
    <s v="2/2025"/>
    <x v="26"/>
    <x v="257"/>
    <x v="0"/>
    <x v="147"/>
    <x v="330"/>
    <n v="1"/>
    <n v="800"/>
    <n v="800"/>
    <n v="800"/>
    <n v="800"/>
    <m/>
    <n v="200"/>
    <n v="200"/>
    <n v="200"/>
    <n v="0"/>
    <x v="21"/>
    <s v="true"/>
    <s v="true"/>
    <x v="0"/>
  </r>
  <r>
    <n v="484"/>
    <d v="2025-02-20T00:00:00"/>
    <s v="2/2025"/>
    <x v="26"/>
    <x v="257"/>
    <x v="0"/>
    <x v="148"/>
    <x v="319"/>
    <n v="1"/>
    <n v="220"/>
    <n v="220"/>
    <n v="220"/>
    <n v="220"/>
    <m/>
    <n v="200"/>
    <n v="200"/>
    <n v="200"/>
    <n v="0"/>
    <x v="18"/>
    <s v="true"/>
    <s v="true"/>
    <x v="0"/>
  </r>
  <r>
    <n v="485"/>
    <d v="2025-02-20T00:00:00"/>
    <s v="2/2025"/>
    <x v="26"/>
    <x v="257"/>
    <x v="0"/>
    <x v="149"/>
    <x v="319"/>
    <n v="1"/>
    <n v="3000"/>
    <n v="3000"/>
    <n v="3000"/>
    <n v="3000"/>
    <m/>
    <n v="300"/>
    <n v="300"/>
    <n v="300"/>
    <n v="0"/>
    <x v="18"/>
    <s v="true"/>
    <s v="true"/>
    <x v="0"/>
  </r>
  <r>
    <n v="486"/>
    <d v="2025-02-20T00:00:00"/>
    <s v="2/2025"/>
    <x v="26"/>
    <x v="257"/>
    <x v="0"/>
    <x v="150"/>
    <x v="312"/>
    <n v="1"/>
    <n v="1075"/>
    <n v="1075"/>
    <n v="1075"/>
    <n v="1075"/>
    <m/>
    <n v="200"/>
    <n v="200"/>
    <n v="200"/>
    <n v="0"/>
    <x v="18"/>
    <s v="true"/>
    <s v="true"/>
    <x v="0"/>
  </r>
  <r>
    <n v="487"/>
    <d v="2025-02-20T00:00:00"/>
    <s v="2/2025"/>
    <x v="26"/>
    <x v="257"/>
    <x v="0"/>
    <x v="151"/>
    <x v="321"/>
    <n v="1"/>
    <n v="1075"/>
    <n v="1075"/>
    <n v="1075"/>
    <n v="1075"/>
    <m/>
    <n v="200"/>
    <n v="200"/>
    <n v="200"/>
    <n v="0"/>
    <x v="18"/>
    <s v="true"/>
    <s v="true"/>
    <x v="0"/>
  </r>
  <r>
    <n v="488"/>
    <d v="2025-02-20T00:00:00"/>
    <s v="2/2025"/>
    <x v="26"/>
    <x v="257"/>
    <x v="0"/>
    <x v="152"/>
    <x v="321"/>
    <n v="1"/>
    <n v="5000"/>
    <n v="5000"/>
    <n v="5000"/>
    <n v="5000"/>
    <m/>
    <n v="500"/>
    <n v="500"/>
    <n v="500"/>
    <n v="0"/>
    <x v="18"/>
    <s v="true"/>
    <s v="true"/>
    <x v="0"/>
  </r>
  <r>
    <n v="489"/>
    <d v="2025-02-20T00:00:00"/>
    <s v="2/2025"/>
    <x v="26"/>
    <x v="257"/>
    <x v="0"/>
    <x v="153"/>
    <x v="319"/>
    <n v="1"/>
    <n v="1100"/>
    <n v="1100"/>
    <n v="1100"/>
    <n v="1100"/>
    <m/>
    <n v="200"/>
    <n v="200"/>
    <n v="200"/>
    <n v="0"/>
    <x v="18"/>
    <s v="true"/>
    <s v="true"/>
    <x v="0"/>
  </r>
  <r>
    <n v="480"/>
    <d v="2025-02-20T00:00:00"/>
    <s v="2/2025"/>
    <x v="115"/>
    <x v="1322"/>
    <x v="0"/>
    <x v="0"/>
    <x v="312"/>
    <n v="1"/>
    <n v="6242"/>
    <n v="6242"/>
    <n v="6658"/>
    <n v="6658"/>
    <m/>
    <n v="1332"/>
    <n v="7990"/>
    <n v="7990"/>
    <n v="0"/>
    <x v="15"/>
    <s v="true"/>
    <s v="true"/>
    <x v="0"/>
  </r>
  <r>
    <n v="480"/>
    <d v="2025-02-20T00:00:00"/>
    <s v="2/2025"/>
    <x v="115"/>
    <x v="1323"/>
    <x v="0"/>
    <x v="0"/>
    <x v="312"/>
    <n v="1"/>
    <n v="7295"/>
    <n v="7295"/>
    <n v="7679"/>
    <n v="7679"/>
    <m/>
    <n v="1536"/>
    <n v="9215"/>
    <n v="9215"/>
    <n v="0"/>
    <x v="15"/>
    <s v="true"/>
    <s v="true"/>
    <x v="0"/>
  </r>
  <r>
    <n v="481"/>
    <d v="2025-02-21T00:00:00"/>
    <s v="2/2025"/>
    <x v="79"/>
    <x v="73"/>
    <x v="0"/>
    <x v="0"/>
    <x v="315"/>
    <n v="1"/>
    <n v="1112"/>
    <n v="1112"/>
    <n v="1112"/>
    <n v="1112"/>
    <m/>
    <n v="200"/>
    <n v="200"/>
    <n v="200"/>
    <n v="0"/>
    <x v="16"/>
    <s v="true"/>
    <s v="true"/>
    <x v="0"/>
  </r>
  <r>
    <n v="482"/>
    <d v="2025-02-21T00:00:00"/>
    <s v="2/2025"/>
    <x v="67"/>
    <x v="73"/>
    <x v="0"/>
    <x v="0"/>
    <x v="315"/>
    <n v="1"/>
    <n v="7313"/>
    <n v="7313"/>
    <n v="7313"/>
    <n v="7313"/>
    <m/>
    <n v="1097"/>
    <n v="1097"/>
    <n v="1097"/>
    <n v="0"/>
    <x v="15"/>
    <s v="true"/>
    <s v="true"/>
    <x v="0"/>
  </r>
  <r>
    <n v="483"/>
    <d v="2025-02-21T00:00:00"/>
    <s v="2/2025"/>
    <x v="116"/>
    <x v="73"/>
    <x v="0"/>
    <x v="0"/>
    <x v="315"/>
    <n v="1"/>
    <n v="500"/>
    <n v="500"/>
    <n v="500"/>
    <n v="500"/>
    <n v="200"/>
    <n v="200"/>
    <n v="400"/>
    <n v="400"/>
    <n v="0"/>
    <x v="15"/>
    <s v="true"/>
    <s v="true"/>
    <x v="0"/>
  </r>
  <r>
    <n v="490"/>
    <d v="2025-02-22T00:00:00"/>
    <s v="2/2025"/>
    <x v="117"/>
    <x v="1324"/>
    <x v="0"/>
    <x v="0"/>
    <x v="340"/>
    <n v="1"/>
    <n v="431"/>
    <n v="431"/>
    <n v="465"/>
    <n v="465"/>
    <m/>
    <n v="70"/>
    <n v="535"/>
    <n v="535"/>
    <n v="0"/>
    <x v="15"/>
    <s v="true"/>
    <s v="true"/>
    <x v="0"/>
  </r>
  <r>
    <n v="490"/>
    <d v="2025-02-22T00:00:00"/>
    <s v="2/2025"/>
    <x v="117"/>
    <x v="1325"/>
    <x v="0"/>
    <x v="0"/>
    <x v="341"/>
    <n v="1"/>
    <n v="1146"/>
    <n v="1146"/>
    <n v="1232"/>
    <n v="1232"/>
    <m/>
    <n v="185"/>
    <n v="1417"/>
    <n v="1417"/>
    <n v="0"/>
    <x v="15"/>
    <s v="true"/>
    <s v="true"/>
    <x v="0"/>
  </r>
  <r>
    <n v="490"/>
    <d v="2025-02-22T00:00:00"/>
    <s v="2/2025"/>
    <x v="117"/>
    <x v="1326"/>
    <x v="0"/>
    <x v="0"/>
    <x v="321"/>
    <n v="1"/>
    <n v="924"/>
    <n v="924"/>
    <n v="990"/>
    <n v="990"/>
    <m/>
    <n v="149"/>
    <n v="1139"/>
    <n v="1139"/>
    <n v="0"/>
    <x v="15"/>
    <s v="true"/>
    <s v="true"/>
    <x v="0"/>
  </r>
  <r>
    <n v="490"/>
    <d v="2025-02-22T00:00:00"/>
    <s v="2/2025"/>
    <x v="117"/>
    <x v="1327"/>
    <x v="0"/>
    <x v="0"/>
    <x v="338"/>
    <n v="1"/>
    <n v="745"/>
    <n v="745"/>
    <n v="800"/>
    <n v="800"/>
    <m/>
    <n v="120"/>
    <n v="920"/>
    <n v="920"/>
    <n v="0"/>
    <x v="15"/>
    <s v="true"/>
    <s v="true"/>
    <x v="0"/>
  </r>
  <r>
    <n v="490"/>
    <d v="2025-02-22T00:00:00"/>
    <s v="2/2025"/>
    <x v="117"/>
    <x v="1328"/>
    <x v="0"/>
    <x v="0"/>
    <x v="342"/>
    <n v="1"/>
    <n v="488"/>
    <n v="488"/>
    <n v="512"/>
    <n v="512"/>
    <m/>
    <n v="77"/>
    <n v="589"/>
    <n v="589"/>
    <n v="0"/>
    <x v="15"/>
    <s v="true"/>
    <s v="true"/>
    <x v="0"/>
  </r>
  <r>
    <n v="490"/>
    <d v="2025-02-22T00:00:00"/>
    <s v="2/2025"/>
    <x v="117"/>
    <x v="1329"/>
    <x v="0"/>
    <x v="0"/>
    <x v="310"/>
    <n v="1"/>
    <n v="136"/>
    <n v="136"/>
    <n v="140"/>
    <n v="140"/>
    <m/>
    <n v="21"/>
    <n v="161"/>
    <n v="161"/>
    <n v="0"/>
    <x v="15"/>
    <s v="true"/>
    <s v="true"/>
    <x v="0"/>
  </r>
  <r>
    <n v="490"/>
    <d v="2025-02-22T00:00:00"/>
    <s v="2/2025"/>
    <x v="117"/>
    <x v="1330"/>
    <x v="0"/>
    <x v="0"/>
    <x v="343"/>
    <n v="1"/>
    <n v="321"/>
    <n v="321"/>
    <n v="336"/>
    <n v="336"/>
    <m/>
    <n v="50"/>
    <n v="386"/>
    <n v="386"/>
    <n v="0"/>
    <x v="15"/>
    <s v="true"/>
    <s v="true"/>
    <x v="0"/>
  </r>
  <r>
    <n v="490"/>
    <d v="2025-02-22T00:00:00"/>
    <s v="2/2025"/>
    <x v="117"/>
    <x v="1331"/>
    <x v="0"/>
    <x v="0"/>
    <x v="321"/>
    <n v="2"/>
    <n v="267"/>
    <n v="534"/>
    <n v="274"/>
    <n v="548"/>
    <m/>
    <n v="82"/>
    <n v="630"/>
    <n v="630"/>
    <n v="0"/>
    <x v="15"/>
    <s v="true"/>
    <s v="true"/>
    <x v="0"/>
  </r>
  <r>
    <n v="490"/>
    <d v="2025-02-22T00:00:00"/>
    <s v="2/2025"/>
    <x v="117"/>
    <x v="1332"/>
    <x v="0"/>
    <x v="0"/>
    <x v="338"/>
    <n v="3"/>
    <n v="633"/>
    <n v="1899"/>
    <n v="681"/>
    <n v="2043"/>
    <m/>
    <n v="306"/>
    <n v="2349"/>
    <n v="2349"/>
    <n v="0"/>
    <x v="15"/>
    <s v="true"/>
    <s v="true"/>
    <x v="0"/>
  </r>
  <r>
    <n v="490"/>
    <d v="2025-02-22T00:00:00"/>
    <s v="2/2025"/>
    <x v="117"/>
    <x v="1333"/>
    <x v="0"/>
    <x v="0"/>
    <x v="342"/>
    <n v="1"/>
    <n v="606"/>
    <n v="606"/>
    <n v="634"/>
    <n v="634"/>
    <m/>
    <n v="95"/>
    <n v="729"/>
    <n v="729"/>
    <n v="0"/>
    <x v="15"/>
    <s v="true"/>
    <s v="true"/>
    <x v="0"/>
  </r>
  <r>
    <n v="491"/>
    <d v="2025-02-23T00:00:00"/>
    <s v="2/2025"/>
    <x v="61"/>
    <x v="1334"/>
    <x v="0"/>
    <x v="0"/>
    <x v="340"/>
    <n v="1"/>
    <n v="342"/>
    <n v="342"/>
    <n v="361"/>
    <n v="361"/>
    <m/>
    <n v="54"/>
    <n v="415"/>
    <n v="415"/>
    <n v="0"/>
    <x v="16"/>
    <s v="true"/>
    <s v="true"/>
    <x v="0"/>
  </r>
  <r>
    <n v="491"/>
    <d v="2025-02-23T00:00:00"/>
    <s v="2/2025"/>
    <x v="61"/>
    <x v="1335"/>
    <x v="0"/>
    <x v="0"/>
    <x v="310"/>
    <n v="1"/>
    <n v="305"/>
    <n v="305"/>
    <n v="322"/>
    <n v="322"/>
    <m/>
    <n v="48"/>
    <n v="370"/>
    <n v="370"/>
    <n v="0"/>
    <x v="16"/>
    <s v="true"/>
    <s v="true"/>
    <x v="0"/>
  </r>
  <r>
    <n v="491"/>
    <d v="2025-02-23T00:00:00"/>
    <s v="2/2025"/>
    <x v="61"/>
    <x v="1335"/>
    <x v="0"/>
    <x v="0"/>
    <x v="310"/>
    <n v="1"/>
    <n v="305"/>
    <n v="305"/>
    <n v="322"/>
    <n v="322"/>
    <m/>
    <n v="48"/>
    <n v="370"/>
    <n v="370"/>
    <n v="0"/>
    <x v="16"/>
    <s v="true"/>
    <s v="true"/>
    <x v="0"/>
  </r>
  <r>
    <n v="491"/>
    <d v="2025-02-23T00:00:00"/>
    <s v="2/2025"/>
    <x v="61"/>
    <x v="1336"/>
    <x v="0"/>
    <x v="0"/>
    <x v="344"/>
    <n v="1"/>
    <n v="565"/>
    <n v="565"/>
    <n v="595"/>
    <n v="595"/>
    <m/>
    <n v="89"/>
    <n v="684"/>
    <n v="684"/>
    <n v="0"/>
    <x v="16"/>
    <s v="true"/>
    <s v="true"/>
    <x v="0"/>
  </r>
  <r>
    <n v="491"/>
    <d v="2025-02-23T00:00:00"/>
    <s v="2/2025"/>
    <x v="61"/>
    <x v="1337"/>
    <x v="0"/>
    <x v="0"/>
    <x v="338"/>
    <n v="1"/>
    <n v="467"/>
    <n v="467"/>
    <n v="492"/>
    <n v="492"/>
    <m/>
    <n v="74"/>
    <n v="566"/>
    <n v="566"/>
    <n v="0"/>
    <x v="16"/>
    <s v="true"/>
    <s v="true"/>
    <x v="0"/>
  </r>
  <r>
    <n v="491"/>
    <d v="2025-02-23T00:00:00"/>
    <s v="2/2025"/>
    <x v="61"/>
    <x v="210"/>
    <x v="0"/>
    <x v="0"/>
    <x v="310"/>
    <n v="1"/>
    <n v="403"/>
    <n v="403"/>
    <n v="425"/>
    <n v="425"/>
    <m/>
    <n v="64"/>
    <n v="489"/>
    <n v="489"/>
    <n v="0"/>
    <x v="16"/>
    <s v="true"/>
    <s v="true"/>
    <x v="0"/>
  </r>
  <r>
    <n v="491"/>
    <d v="2025-02-23T00:00:00"/>
    <s v="2/2025"/>
    <x v="61"/>
    <x v="210"/>
    <x v="0"/>
    <x v="0"/>
    <x v="338"/>
    <n v="1"/>
    <n v="327"/>
    <n v="327"/>
    <n v="345"/>
    <n v="345"/>
    <m/>
    <n v="52"/>
    <n v="397"/>
    <n v="397"/>
    <n v="0"/>
    <x v="16"/>
    <s v="true"/>
    <s v="true"/>
    <x v="0"/>
  </r>
  <r>
    <n v="491"/>
    <d v="2025-02-23T00:00:00"/>
    <s v="2/2025"/>
    <x v="61"/>
    <x v="1338"/>
    <x v="0"/>
    <x v="0"/>
    <x v="338"/>
    <n v="1"/>
    <n v="532"/>
    <n v="532"/>
    <n v="561"/>
    <n v="561"/>
    <m/>
    <n v="84"/>
    <n v="645"/>
    <n v="645"/>
    <n v="0"/>
    <x v="16"/>
    <s v="true"/>
    <s v="true"/>
    <x v="0"/>
  </r>
  <r>
    <n v="480"/>
    <d v="2025-02-20T00:00:00"/>
    <s v="2/2025"/>
    <x v="115"/>
    <x v="1339"/>
    <x v="0"/>
    <x v="0"/>
    <x v="345"/>
    <n v="1"/>
    <n v="337"/>
    <n v="337"/>
    <n v="347"/>
    <n v="347"/>
    <m/>
    <n v="35"/>
    <n v="382"/>
    <n v="382"/>
    <n v="0"/>
    <x v="15"/>
    <s v="true"/>
    <s v="true"/>
    <x v="0"/>
  </r>
  <r>
    <n v="492"/>
    <d v="2025-02-24T00:00:00"/>
    <s v="2/2025"/>
    <x v="9"/>
    <x v="1340"/>
    <x v="0"/>
    <x v="0"/>
    <x v="340"/>
    <n v="1"/>
    <n v="505"/>
    <n v="505"/>
    <n v="532"/>
    <n v="532"/>
    <m/>
    <n v="80"/>
    <n v="612"/>
    <n v="612"/>
    <n v="0"/>
    <x v="16"/>
    <s v="true"/>
    <s v="true"/>
    <x v="0"/>
  </r>
  <r>
    <n v="492"/>
    <d v="2025-02-24T00:00:00"/>
    <s v="2/2025"/>
    <x v="9"/>
    <x v="1341"/>
    <x v="0"/>
    <x v="0"/>
    <x v="330"/>
    <n v="1"/>
    <n v="990"/>
    <n v="990"/>
    <n v="990"/>
    <n v="990"/>
    <m/>
    <n v="149"/>
    <n v="1139"/>
    <n v="1139"/>
    <n v="0"/>
    <x v="18"/>
    <s v="true"/>
    <s v="true"/>
    <x v="0"/>
  </r>
  <r>
    <n v="493"/>
    <d v="2025-02-26T00:00:00"/>
    <s v="2/2025"/>
    <x v="47"/>
    <x v="743"/>
    <x v="0"/>
    <x v="0"/>
    <x v="345"/>
    <n v="1"/>
    <n v="472"/>
    <n v="472"/>
    <n v="497"/>
    <n v="497"/>
    <m/>
    <n v="75"/>
    <n v="572"/>
    <n v="572"/>
    <n v="0"/>
    <x v="16"/>
    <s v="true"/>
    <s v="true"/>
    <x v="0"/>
  </r>
  <r>
    <n v="493"/>
    <d v="2025-02-26T00:00:00"/>
    <s v="2/2025"/>
    <x v="47"/>
    <x v="1342"/>
    <x v="0"/>
    <x v="0"/>
    <x v="344"/>
    <n v="1"/>
    <n v="312"/>
    <n v="312"/>
    <n v="329"/>
    <n v="329"/>
    <m/>
    <n v="49"/>
    <n v="378"/>
    <n v="378"/>
    <n v="0"/>
    <x v="16"/>
    <s v="true"/>
    <s v="true"/>
    <x v="0"/>
  </r>
  <r>
    <n v="493"/>
    <d v="2025-02-26T00:00:00"/>
    <s v="2/2025"/>
    <x v="47"/>
    <x v="1343"/>
    <x v="0"/>
    <x v="0"/>
    <x v="346"/>
    <n v="1"/>
    <n v="380"/>
    <n v="380"/>
    <n v="400"/>
    <n v="400"/>
    <m/>
    <n v="60"/>
    <n v="460"/>
    <n v="460"/>
    <n v="0"/>
    <x v="16"/>
    <s v="true"/>
    <s v="true"/>
    <x v="0"/>
  </r>
  <r>
    <n v="493"/>
    <d v="2025-02-26T00:00:00"/>
    <s v="2/2025"/>
    <x v="47"/>
    <x v="1344"/>
    <x v="0"/>
    <x v="0"/>
    <x v="344"/>
    <n v="1"/>
    <n v="136"/>
    <n v="136"/>
    <n v="144"/>
    <n v="144"/>
    <m/>
    <n v="22"/>
    <n v="166"/>
    <n v="166"/>
    <n v="0"/>
    <x v="16"/>
    <s v="true"/>
    <s v="true"/>
    <x v="0"/>
  </r>
  <r>
    <n v="493"/>
    <d v="2025-02-26T00:00:00"/>
    <s v="2/2025"/>
    <x v="47"/>
    <x v="1345"/>
    <x v="0"/>
    <x v="0"/>
    <x v="345"/>
    <n v="1"/>
    <n v="359"/>
    <n v="359"/>
    <n v="378"/>
    <n v="378"/>
    <m/>
    <n v="57"/>
    <n v="435"/>
    <n v="435"/>
    <n v="0"/>
    <x v="16"/>
    <s v="true"/>
    <s v="true"/>
    <x v="0"/>
  </r>
  <r>
    <n v="493"/>
    <d v="2025-02-26T00:00:00"/>
    <s v="2/2025"/>
    <x v="47"/>
    <x v="1346"/>
    <x v="0"/>
    <x v="0"/>
    <x v="345"/>
    <n v="1"/>
    <n v="140"/>
    <n v="140"/>
    <n v="148"/>
    <n v="148"/>
    <m/>
    <n v="22"/>
    <n v="170"/>
    <n v="170"/>
    <n v="0"/>
    <x v="16"/>
    <s v="true"/>
    <s v="true"/>
    <x v="0"/>
  </r>
  <r>
    <n v="493"/>
    <d v="2025-02-26T00:00:00"/>
    <s v="2/2025"/>
    <x v="47"/>
    <x v="1347"/>
    <x v="0"/>
    <x v="0"/>
    <x v="345"/>
    <n v="1"/>
    <n v="169"/>
    <n v="169"/>
    <n v="178"/>
    <n v="178"/>
    <m/>
    <n v="27"/>
    <n v="205"/>
    <n v="205"/>
    <n v="0"/>
    <x v="16"/>
    <s v="true"/>
    <s v="true"/>
    <x v="0"/>
  </r>
  <r>
    <n v="493"/>
    <d v="2025-02-26T00:00:00"/>
    <s v="2/2025"/>
    <x v="47"/>
    <x v="823"/>
    <x v="0"/>
    <x v="0"/>
    <x v="346"/>
    <n v="1"/>
    <n v="205"/>
    <n v="205"/>
    <n v="216"/>
    <n v="216"/>
    <m/>
    <n v="32"/>
    <n v="248"/>
    <n v="248"/>
    <n v="0"/>
    <x v="16"/>
    <s v="true"/>
    <s v="true"/>
    <x v="0"/>
  </r>
  <r>
    <n v="493"/>
    <d v="2025-02-26T00:00:00"/>
    <s v="2/2025"/>
    <x v="47"/>
    <x v="410"/>
    <x v="0"/>
    <x v="0"/>
    <x v="346"/>
    <n v="0"/>
    <n v="109"/>
    <n v="0"/>
    <n v="115"/>
    <n v="0"/>
    <m/>
    <n v="0"/>
    <n v="0"/>
    <m/>
    <n v="0"/>
    <x v="16"/>
    <s v="true"/>
    <s v="true"/>
    <x v="0"/>
  </r>
  <r>
    <n v="493"/>
    <d v="2025-02-26T00:00:00"/>
    <s v="2/2025"/>
    <x v="47"/>
    <x v="1348"/>
    <x v="0"/>
    <x v="0"/>
    <x v="345"/>
    <n v="1"/>
    <n v="108"/>
    <n v="108"/>
    <n v="114"/>
    <n v="114"/>
    <m/>
    <n v="17"/>
    <n v="131"/>
    <n v="131"/>
    <n v="0"/>
    <x v="16"/>
    <s v="true"/>
    <s v="true"/>
    <x v="0"/>
  </r>
  <r>
    <n v="493"/>
    <d v="2025-02-26T00:00:00"/>
    <s v="2/2025"/>
    <x v="47"/>
    <x v="1239"/>
    <x v="0"/>
    <x v="0"/>
    <x v="345"/>
    <n v="1"/>
    <n v="266"/>
    <n v="266"/>
    <n v="281"/>
    <n v="281"/>
    <m/>
    <n v="42"/>
    <n v="323"/>
    <n v="323"/>
    <n v="0"/>
    <x v="16"/>
    <s v="true"/>
    <s v="true"/>
    <x v="0"/>
  </r>
  <r>
    <n v="494"/>
    <d v="2025-02-26T00:00:00"/>
    <s v="2/2025"/>
    <x v="114"/>
    <x v="477"/>
    <x v="0"/>
    <x v="0"/>
    <x v="344"/>
    <n v="1"/>
    <n v="1026"/>
    <n v="1026"/>
    <n v="1081"/>
    <n v="1081"/>
    <m/>
    <n v="162"/>
    <n v="1243"/>
    <n v="1243"/>
    <n v="0"/>
    <x v="16"/>
    <s v="true"/>
    <s v="true"/>
    <x v="0"/>
  </r>
  <r>
    <n v="494"/>
    <d v="2025-02-26T00:00:00"/>
    <s v="2/2025"/>
    <x v="114"/>
    <x v="1027"/>
    <x v="0"/>
    <x v="0"/>
    <x v="330"/>
    <n v="1"/>
    <n v="199"/>
    <n v="199"/>
    <n v="210"/>
    <n v="210"/>
    <m/>
    <n v="32"/>
    <n v="242"/>
    <n v="242"/>
    <n v="0"/>
    <x v="16"/>
    <s v="true"/>
    <s v="true"/>
    <x v="0"/>
  </r>
  <r>
    <n v="494"/>
    <d v="2025-02-26T00:00:00"/>
    <s v="2/2025"/>
    <x v="114"/>
    <x v="1317"/>
    <x v="0"/>
    <x v="0"/>
    <x v="345"/>
    <n v="1"/>
    <n v="358"/>
    <n v="358"/>
    <n v="377"/>
    <n v="377"/>
    <m/>
    <n v="57"/>
    <n v="434"/>
    <n v="434"/>
    <n v="0"/>
    <x v="16"/>
    <s v="true"/>
    <s v="true"/>
    <x v="0"/>
  </r>
  <r>
    <n v="494"/>
    <d v="2025-02-26T00:00:00"/>
    <s v="2/2025"/>
    <x v="114"/>
    <x v="1349"/>
    <x v="0"/>
    <x v="0"/>
    <x v="344"/>
    <n v="1"/>
    <n v="204"/>
    <n v="204"/>
    <n v="215"/>
    <n v="215"/>
    <m/>
    <n v="32"/>
    <n v="247"/>
    <n v="247"/>
    <n v="0"/>
    <x v="16"/>
    <s v="true"/>
    <s v="true"/>
    <x v="0"/>
  </r>
  <r>
    <n v="494"/>
    <d v="2025-02-26T00:00:00"/>
    <s v="2/2025"/>
    <x v="114"/>
    <x v="1350"/>
    <x v="0"/>
    <x v="0"/>
    <x v="345"/>
    <n v="1"/>
    <n v="732"/>
    <n v="732"/>
    <n v="771"/>
    <n v="771"/>
    <m/>
    <n v="116"/>
    <n v="887"/>
    <n v="887"/>
    <n v="0"/>
    <x v="16"/>
    <s v="true"/>
    <s v="true"/>
    <x v="0"/>
  </r>
  <r>
    <n v="495"/>
    <d v="2025-02-27T00:00:00"/>
    <s v="2/2025"/>
    <x v="61"/>
    <x v="1351"/>
    <x v="0"/>
    <x v="0"/>
    <x v="347"/>
    <n v="1"/>
    <n v="1621"/>
    <n v="1621"/>
    <n v="1713"/>
    <n v="1713"/>
    <m/>
    <n v="257"/>
    <n v="1970"/>
    <n v="1970"/>
    <n v="0"/>
    <x v="15"/>
    <s v="true"/>
    <s v="true"/>
    <x v="0"/>
  </r>
  <r>
    <n v="495"/>
    <d v="2025-02-27T00:00:00"/>
    <s v="2/2025"/>
    <x v="61"/>
    <x v="1352"/>
    <x v="0"/>
    <x v="0"/>
    <x v="344"/>
    <n v="1"/>
    <n v="582"/>
    <n v="582"/>
    <n v="613"/>
    <n v="613"/>
    <m/>
    <n v="92"/>
    <n v="705"/>
    <n v="705"/>
    <n v="0"/>
    <x v="16"/>
    <s v="true"/>
    <s v="true"/>
    <x v="0"/>
  </r>
  <r>
    <n v="495"/>
    <d v="2025-02-27T00:00:00"/>
    <s v="2/2025"/>
    <x v="61"/>
    <x v="795"/>
    <x v="0"/>
    <x v="0"/>
    <x v="348"/>
    <n v="1"/>
    <n v="866"/>
    <n v="866"/>
    <n v="912"/>
    <n v="912"/>
    <m/>
    <n v="137"/>
    <n v="1049"/>
    <n v="1049"/>
    <n v="0"/>
    <x v="16"/>
    <s v="true"/>
    <s v="true"/>
    <x v="0"/>
  </r>
  <r>
    <n v="495"/>
    <d v="2025-02-27T00:00:00"/>
    <s v="2/2025"/>
    <x v="61"/>
    <x v="834"/>
    <x v="0"/>
    <x v="0"/>
    <x v="334"/>
    <n v="1"/>
    <n v="733"/>
    <n v="733"/>
    <n v="772"/>
    <n v="772"/>
    <m/>
    <n v="116"/>
    <n v="888"/>
    <n v="888"/>
    <n v="0"/>
    <x v="16"/>
    <s v="true"/>
    <s v="true"/>
    <x v="0"/>
  </r>
  <r>
    <n v="496"/>
    <d v="2025-02-28T00:00:00"/>
    <s v="2/2025"/>
    <x v="26"/>
    <x v="257"/>
    <x v="0"/>
    <x v="154"/>
    <x v="344"/>
    <n v="1"/>
    <n v="1152"/>
    <n v="1152"/>
    <n v="1152"/>
    <n v="1152"/>
    <m/>
    <n v="200"/>
    <n v="200"/>
    <n v="200"/>
    <n v="0"/>
    <x v="18"/>
    <s v="true"/>
    <s v="true"/>
    <x v="0"/>
  </r>
  <r>
    <n v="497"/>
    <d v="2025-02-28T00:00:00"/>
    <s v="2/2025"/>
    <x v="79"/>
    <x v="73"/>
    <x v="0"/>
    <x v="0"/>
    <x v="344"/>
    <n v="1"/>
    <n v="2226"/>
    <n v="2226"/>
    <n v="2226"/>
    <n v="2226"/>
    <m/>
    <n v="334"/>
    <n v="334"/>
    <n v="334"/>
    <n v="0"/>
    <x v="16"/>
    <s v="true"/>
    <s v="true"/>
    <x v="0"/>
  </r>
  <r>
    <n v="492"/>
    <d v="2025-02-24T00:00:00"/>
    <s v="2/2025"/>
    <x v="9"/>
    <x v="1353"/>
    <x v="0"/>
    <x v="0"/>
    <x v="315"/>
    <n v="1"/>
    <n v="756"/>
    <n v="756"/>
    <n v="812"/>
    <n v="812"/>
    <m/>
    <n v="122"/>
    <n v="934"/>
    <n v="934"/>
    <n v="0"/>
    <x v="15"/>
    <s v="true"/>
    <s v="true"/>
    <x v="0"/>
  </r>
  <r>
    <n v="492"/>
    <d v="2025-02-24T00:00:00"/>
    <s v="2/2025"/>
    <x v="9"/>
    <x v="1354"/>
    <x v="0"/>
    <x v="0"/>
    <x v="315"/>
    <n v="1"/>
    <n v="526"/>
    <n v="526"/>
    <n v="567"/>
    <n v="567"/>
    <m/>
    <n v="85"/>
    <n v="652"/>
    <n v="652"/>
    <n v="0"/>
    <x v="15"/>
    <s v="true"/>
    <s v="true"/>
    <x v="0"/>
  </r>
  <r>
    <n v="498"/>
    <d v="2025-02-28T00:00:00"/>
    <s v="2/2025"/>
    <x v="117"/>
    <x v="1355"/>
    <x v="0"/>
    <x v="0"/>
    <x v="346"/>
    <n v="1"/>
    <n v="1068"/>
    <n v="1068"/>
    <n v="1145"/>
    <n v="1145"/>
    <m/>
    <n v="172"/>
    <n v="1317"/>
    <n v="1317"/>
    <n v="0"/>
    <x v="15"/>
    <s v="true"/>
    <s v="true"/>
    <x v="0"/>
  </r>
  <r>
    <n v="498"/>
    <d v="2025-02-28T00:00:00"/>
    <s v="2/2025"/>
    <x v="117"/>
    <x v="1356"/>
    <x v="0"/>
    <x v="0"/>
    <x v="349"/>
    <n v="1"/>
    <n v="318"/>
    <n v="318"/>
    <n v="326"/>
    <n v="326"/>
    <m/>
    <n v="49"/>
    <n v="375"/>
    <n v="375"/>
    <n v="0"/>
    <x v="15"/>
    <s v="true"/>
    <s v="true"/>
    <x v="0"/>
  </r>
  <r>
    <n v="498"/>
    <d v="2025-02-28T00:00:00"/>
    <s v="2/2025"/>
    <x v="117"/>
    <x v="1357"/>
    <x v="0"/>
    <x v="0"/>
    <x v="350"/>
    <n v="1"/>
    <n v="1335"/>
    <n v="1335"/>
    <n v="1380"/>
    <n v="1380"/>
    <m/>
    <n v="207"/>
    <n v="1587"/>
    <n v="1587"/>
    <n v="0"/>
    <x v="15"/>
    <s v="true"/>
    <s v="true"/>
    <x v="0"/>
  </r>
  <r>
    <n v="498"/>
    <d v="2025-02-28T00:00:00"/>
    <s v="2/2025"/>
    <x v="117"/>
    <x v="1358"/>
    <x v="0"/>
    <x v="0"/>
    <x v="334"/>
    <n v="1"/>
    <n v="333"/>
    <n v="333"/>
    <n v="341"/>
    <n v="341"/>
    <m/>
    <n v="51"/>
    <n v="392"/>
    <n v="392"/>
    <n v="0"/>
    <x v="15"/>
    <s v="true"/>
    <s v="true"/>
    <x v="0"/>
  </r>
  <r>
    <n v="499"/>
    <d v="2025-03-02T00:00:00"/>
    <s v="3/2025"/>
    <x v="118"/>
    <x v="1016"/>
    <x v="0"/>
    <x v="0"/>
    <x v="330"/>
    <n v="1"/>
    <n v="617"/>
    <n v="617"/>
    <n v="650"/>
    <n v="650"/>
    <m/>
    <n v="98"/>
    <n v="748"/>
    <n v="748"/>
    <n v="0"/>
    <x v="16"/>
    <s v="true"/>
    <s v="true"/>
    <x v="0"/>
  </r>
  <r>
    <n v="499"/>
    <d v="2025-03-02T00:00:00"/>
    <s v="3/2025"/>
    <x v="118"/>
    <x v="615"/>
    <x v="0"/>
    <x v="0"/>
    <x v="330"/>
    <n v="1"/>
    <n v="573"/>
    <n v="573"/>
    <n v="604"/>
    <n v="604"/>
    <m/>
    <n v="91"/>
    <n v="695"/>
    <n v="695"/>
    <n v="0"/>
    <x v="16"/>
    <s v="true"/>
    <s v="true"/>
    <x v="0"/>
  </r>
  <r>
    <n v="499"/>
    <d v="2025-03-02T00:00:00"/>
    <s v="3/2025"/>
    <x v="118"/>
    <x v="1359"/>
    <x v="0"/>
    <x v="0"/>
    <x v="347"/>
    <n v="1"/>
    <n v="635"/>
    <n v="635"/>
    <n v="669"/>
    <n v="669"/>
    <m/>
    <n v="100"/>
    <n v="769"/>
    <n v="769"/>
    <n v="0"/>
    <x v="16"/>
    <s v="true"/>
    <s v="true"/>
    <x v="0"/>
  </r>
  <r>
    <n v="499"/>
    <d v="2025-03-02T00:00:00"/>
    <s v="3/2025"/>
    <x v="118"/>
    <x v="683"/>
    <x v="0"/>
    <x v="0"/>
    <x v="347"/>
    <n v="1"/>
    <n v="666"/>
    <n v="666"/>
    <n v="702"/>
    <n v="702"/>
    <m/>
    <n v="105"/>
    <n v="807"/>
    <n v="807"/>
    <n v="0"/>
    <x v="16"/>
    <s v="true"/>
    <s v="true"/>
    <x v="0"/>
  </r>
  <r>
    <n v="500"/>
    <d v="2025-03-03T00:00:00"/>
    <s v="3/2025"/>
    <x v="47"/>
    <x v="1360"/>
    <x v="0"/>
    <x v="0"/>
    <x v="349"/>
    <n v="1"/>
    <n v="281"/>
    <n v="281"/>
    <n v="296"/>
    <n v="296"/>
    <m/>
    <n v="44"/>
    <n v="340"/>
    <n v="340"/>
    <n v="0"/>
    <x v="16"/>
    <s v="true"/>
    <s v="true"/>
    <x v="0"/>
  </r>
  <r>
    <n v="500"/>
    <d v="2025-03-03T00:00:00"/>
    <s v="3/2025"/>
    <x v="47"/>
    <x v="121"/>
    <x v="0"/>
    <x v="0"/>
    <x v="349"/>
    <n v="1"/>
    <n v="234"/>
    <n v="234"/>
    <n v="247"/>
    <n v="247"/>
    <m/>
    <n v="37"/>
    <n v="284"/>
    <n v="284"/>
    <n v="0"/>
    <x v="16"/>
    <s v="true"/>
    <s v="true"/>
    <x v="0"/>
  </r>
  <r>
    <n v="500"/>
    <d v="2025-03-03T00:00:00"/>
    <s v="3/2025"/>
    <x v="47"/>
    <x v="1361"/>
    <x v="0"/>
    <x v="0"/>
    <x v="349"/>
    <n v="1"/>
    <n v="403"/>
    <n v="403"/>
    <n v="425"/>
    <n v="425"/>
    <m/>
    <n v="64"/>
    <n v="489"/>
    <n v="489"/>
    <n v="0"/>
    <x v="16"/>
    <s v="true"/>
    <s v="true"/>
    <x v="0"/>
  </r>
  <r>
    <n v="500"/>
    <d v="2025-03-03T00:00:00"/>
    <s v="3/2025"/>
    <x v="47"/>
    <x v="1362"/>
    <x v="0"/>
    <x v="0"/>
    <x v="349"/>
    <n v="1"/>
    <n v="362"/>
    <n v="362"/>
    <n v="382"/>
    <n v="382"/>
    <m/>
    <n v="57"/>
    <n v="439"/>
    <n v="439"/>
    <n v="0"/>
    <x v="16"/>
    <s v="true"/>
    <s v="true"/>
    <x v="0"/>
  </r>
  <r>
    <n v="500"/>
    <d v="2025-03-03T00:00:00"/>
    <s v="3/2025"/>
    <x v="47"/>
    <x v="1363"/>
    <x v="0"/>
    <x v="0"/>
    <x v="335"/>
    <n v="1"/>
    <n v="309"/>
    <n v="309"/>
    <n v="326"/>
    <n v="326"/>
    <m/>
    <n v="49"/>
    <n v="375"/>
    <n v="375"/>
    <n v="0"/>
    <x v="16"/>
    <s v="true"/>
    <s v="true"/>
    <x v="0"/>
  </r>
  <r>
    <n v="500"/>
    <d v="2025-03-03T00:00:00"/>
    <s v="3/2025"/>
    <x v="47"/>
    <x v="391"/>
    <x v="0"/>
    <x v="0"/>
    <x v="349"/>
    <n v="1"/>
    <n v="288"/>
    <n v="288"/>
    <n v="304"/>
    <n v="304"/>
    <m/>
    <n v="46"/>
    <n v="350"/>
    <n v="350"/>
    <n v="0"/>
    <x v="16"/>
    <s v="true"/>
    <s v="true"/>
    <x v="0"/>
  </r>
  <r>
    <n v="500"/>
    <d v="2025-03-03T00:00:00"/>
    <s v="3/2025"/>
    <x v="47"/>
    <x v="1194"/>
    <x v="0"/>
    <x v="0"/>
    <x v="351"/>
    <n v="1"/>
    <n v="384"/>
    <n v="384"/>
    <n v="405"/>
    <n v="405"/>
    <m/>
    <n v="61"/>
    <n v="466"/>
    <n v="466"/>
    <n v="0"/>
    <x v="16"/>
    <s v="true"/>
    <s v="true"/>
    <x v="0"/>
  </r>
  <r>
    <n v="500"/>
    <d v="2025-03-03T00:00:00"/>
    <s v="3/2025"/>
    <x v="47"/>
    <x v="214"/>
    <x v="0"/>
    <x v="0"/>
    <x v="334"/>
    <n v="1"/>
    <n v="162"/>
    <n v="162"/>
    <n v="171"/>
    <n v="171"/>
    <m/>
    <n v="26"/>
    <n v="197"/>
    <n v="197"/>
    <n v="0"/>
    <x v="16"/>
    <s v="true"/>
    <s v="true"/>
    <x v="0"/>
  </r>
  <r>
    <n v="500"/>
    <d v="2025-03-03T00:00:00"/>
    <s v="3/2025"/>
    <x v="47"/>
    <x v="1364"/>
    <x v="0"/>
    <x v="0"/>
    <x v="335"/>
    <n v="1"/>
    <n v="371"/>
    <n v="371"/>
    <n v="391"/>
    <n v="391"/>
    <m/>
    <n v="59"/>
    <n v="450"/>
    <n v="450"/>
    <n v="0"/>
    <x v="16"/>
    <s v="true"/>
    <s v="true"/>
    <x v="0"/>
  </r>
  <r>
    <n v="500"/>
    <d v="2025-03-03T00:00:00"/>
    <s v="3/2025"/>
    <x v="47"/>
    <x v="402"/>
    <x v="0"/>
    <x v="0"/>
    <x v="351"/>
    <n v="1"/>
    <n v="190"/>
    <n v="190"/>
    <n v="200"/>
    <n v="200"/>
    <m/>
    <n v="30"/>
    <n v="230"/>
    <n v="230"/>
    <n v="0"/>
    <x v="16"/>
    <s v="true"/>
    <s v="true"/>
    <x v="0"/>
  </r>
  <r>
    <n v="501"/>
    <d v="2025-03-03T00:00:00"/>
    <s v="3/2025"/>
    <x v="24"/>
    <x v="730"/>
    <x v="0"/>
    <x v="0"/>
    <x v="349"/>
    <n v="3"/>
    <n v="727"/>
    <n v="2181"/>
    <n v="783"/>
    <n v="2349"/>
    <m/>
    <n v="352"/>
    <n v="2701"/>
    <n v="2701"/>
    <n v="0"/>
    <x v="15"/>
    <s v="true"/>
    <s v="true"/>
    <x v="0"/>
  </r>
  <r>
    <n v="502"/>
    <d v="2025-03-04T00:00:00"/>
    <s v="3/2025"/>
    <x v="119"/>
    <x v="164"/>
    <x v="0"/>
    <x v="0"/>
    <x v="334"/>
    <n v="1"/>
    <n v="5009"/>
    <n v="5009"/>
    <n v="5360"/>
    <n v="5360"/>
    <m/>
    <n v="804"/>
    <n v="6164"/>
    <n v="6164"/>
    <n v="0"/>
    <x v="15"/>
    <s v="true"/>
    <s v="true"/>
    <x v="0"/>
  </r>
  <r>
    <n v="503"/>
    <d v="2025-03-05T00:00:00"/>
    <s v="3/2025"/>
    <x v="104"/>
    <x v="75"/>
    <x v="0"/>
    <x v="0"/>
    <x v="335"/>
    <n v="1"/>
    <n v="1576"/>
    <n v="1576"/>
    <n v="1659"/>
    <n v="1659"/>
    <m/>
    <n v="249"/>
    <n v="1908"/>
    <n v="1908"/>
    <n v="0"/>
    <x v="16"/>
    <s v="true"/>
    <s v="true"/>
    <x v="0"/>
  </r>
  <r>
    <n v="503"/>
    <d v="2025-03-05T00:00:00"/>
    <s v="3/2025"/>
    <x v="104"/>
    <x v="1365"/>
    <x v="0"/>
    <x v="0"/>
    <x v="335"/>
    <n v="1"/>
    <n v="239"/>
    <n v="239"/>
    <n v="252"/>
    <n v="252"/>
    <m/>
    <n v="38"/>
    <n v="290"/>
    <n v="290"/>
    <n v="0"/>
    <x v="16"/>
    <s v="true"/>
    <s v="true"/>
    <x v="0"/>
  </r>
  <r>
    <n v="503"/>
    <d v="2025-03-05T00:00:00"/>
    <s v="3/2025"/>
    <x v="104"/>
    <x v="1366"/>
    <x v="0"/>
    <x v="0"/>
    <x v="351"/>
    <n v="1"/>
    <n v="1546"/>
    <n v="1546"/>
    <n v="1628"/>
    <n v="1628"/>
    <m/>
    <n v="244"/>
    <n v="1872"/>
    <n v="1872"/>
    <n v="0"/>
    <x v="16"/>
    <s v="true"/>
    <s v="true"/>
    <x v="0"/>
  </r>
  <r>
    <n v="504"/>
    <d v="2025-03-05T00:00:00"/>
    <s v="3/2025"/>
    <x v="61"/>
    <x v="1169"/>
    <x v="0"/>
    <x v="0"/>
    <x v="335"/>
    <n v="1"/>
    <n v="649"/>
    <n v="649"/>
    <n v="684"/>
    <n v="684"/>
    <m/>
    <n v="103"/>
    <n v="787"/>
    <n v="787"/>
    <n v="0"/>
    <x v="16"/>
    <s v="true"/>
    <s v="true"/>
    <x v="0"/>
  </r>
  <r>
    <n v="504"/>
    <d v="2025-03-05T00:00:00"/>
    <s v="3/2025"/>
    <x v="61"/>
    <x v="1169"/>
    <x v="0"/>
    <x v="0"/>
    <x v="351"/>
    <n v="1"/>
    <n v="649"/>
    <n v="649"/>
    <n v="684"/>
    <n v="684"/>
    <m/>
    <n v="103"/>
    <n v="787"/>
    <n v="787"/>
    <n v="0"/>
    <x v="16"/>
    <s v="true"/>
    <s v="true"/>
    <x v="0"/>
  </r>
  <r>
    <n v="504"/>
    <d v="2025-03-05T00:00:00"/>
    <s v="3/2025"/>
    <x v="61"/>
    <x v="1040"/>
    <x v="0"/>
    <x v="0"/>
    <x v="351"/>
    <n v="1"/>
    <n v="413"/>
    <n v="413"/>
    <n v="435"/>
    <n v="435"/>
    <m/>
    <n v="65"/>
    <n v="500"/>
    <n v="500"/>
    <n v="0"/>
    <x v="16"/>
    <s v="true"/>
    <s v="true"/>
    <x v="0"/>
  </r>
  <r>
    <n v="504"/>
    <d v="2025-03-05T00:00:00"/>
    <s v="3/2025"/>
    <x v="61"/>
    <x v="1367"/>
    <x v="0"/>
    <x v="0"/>
    <x v="334"/>
    <n v="1"/>
    <n v="242"/>
    <n v="242"/>
    <n v="255"/>
    <n v="255"/>
    <m/>
    <n v="38"/>
    <n v="293"/>
    <n v="293"/>
    <n v="0"/>
    <x v="16"/>
    <s v="true"/>
    <s v="true"/>
    <x v="0"/>
  </r>
  <r>
    <n v="504"/>
    <d v="2025-03-05T00:00:00"/>
    <s v="3/2025"/>
    <x v="61"/>
    <x v="1368"/>
    <x v="0"/>
    <x v="0"/>
    <x v="334"/>
    <n v="1"/>
    <n v="176"/>
    <n v="176"/>
    <n v="186"/>
    <n v="186"/>
    <m/>
    <n v="28"/>
    <n v="214"/>
    <n v="214"/>
    <n v="0"/>
    <x v="16"/>
    <s v="true"/>
    <s v="true"/>
    <x v="0"/>
  </r>
  <r>
    <n v="504"/>
    <d v="2025-03-05T00:00:00"/>
    <s v="3/2025"/>
    <x v="61"/>
    <x v="1368"/>
    <x v="0"/>
    <x v="0"/>
    <x v="335"/>
    <n v="2"/>
    <n v="256"/>
    <n v="512"/>
    <n v="270"/>
    <n v="540"/>
    <m/>
    <n v="81"/>
    <n v="621"/>
    <n v="621"/>
    <n v="0"/>
    <x v="16"/>
    <s v="true"/>
    <s v="true"/>
    <x v="0"/>
  </r>
  <r>
    <n v="504"/>
    <d v="2025-03-05T00:00:00"/>
    <s v="3/2025"/>
    <x v="61"/>
    <x v="1369"/>
    <x v="0"/>
    <x v="0"/>
    <x v="335"/>
    <n v="1"/>
    <n v="182"/>
    <n v="182"/>
    <n v="192"/>
    <n v="192"/>
    <m/>
    <n v="29"/>
    <n v="221"/>
    <n v="221"/>
    <n v="0"/>
    <x v="16"/>
    <s v="true"/>
    <s v="true"/>
    <x v="0"/>
  </r>
  <r>
    <n v="504"/>
    <d v="2025-03-05T00:00:00"/>
    <s v="3/2025"/>
    <x v="61"/>
    <x v="1370"/>
    <x v="0"/>
    <x v="0"/>
    <x v="351"/>
    <n v="1"/>
    <n v="1270"/>
    <n v="1270"/>
    <n v="1337"/>
    <n v="1337"/>
    <m/>
    <n v="201"/>
    <n v="1538"/>
    <n v="1538"/>
    <n v="0"/>
    <x v="16"/>
    <s v="true"/>
    <s v="true"/>
    <x v="0"/>
  </r>
  <r>
    <n v="504"/>
    <d v="2025-03-05T00:00:00"/>
    <s v="3/2025"/>
    <x v="61"/>
    <x v="1371"/>
    <x v="0"/>
    <x v="0"/>
    <x v="352"/>
    <n v="1"/>
    <n v="668"/>
    <n v="668"/>
    <n v="681"/>
    <n v="681"/>
    <m/>
    <n v="102"/>
    <n v="783"/>
    <n v="783"/>
    <n v="0"/>
    <x v="15"/>
    <s v="true"/>
    <s v="true"/>
    <x v="1"/>
  </r>
  <r>
    <n v="503"/>
    <d v="2025-03-05T00:00:00"/>
    <s v="3/2025"/>
    <x v="104"/>
    <x v="1366"/>
    <x v="0"/>
    <x v="0"/>
    <x v="351"/>
    <n v="1"/>
    <n v="2885"/>
    <n v="2885"/>
    <n v="3037"/>
    <n v="3037"/>
    <m/>
    <n v="456"/>
    <n v="3493"/>
    <n v="3493"/>
    <n v="0"/>
    <x v="16"/>
    <s v="true"/>
    <s v="true"/>
    <x v="0"/>
  </r>
  <r>
    <n v="504"/>
    <d v="2025-03-05T00:00:00"/>
    <s v="3/2025"/>
    <x v="61"/>
    <x v="1372"/>
    <x v="0"/>
    <x v="0"/>
    <x v="353"/>
    <n v="0"/>
    <n v="2356"/>
    <n v="0"/>
    <n v="2481"/>
    <n v="0"/>
    <m/>
    <n v="0"/>
    <n v="0"/>
    <m/>
    <n v="0"/>
    <x v="16"/>
    <s v="true"/>
    <s v="true"/>
    <x v="0"/>
  </r>
  <r>
    <n v="505"/>
    <d v="2025-03-05T00:00:00"/>
    <s v="3/2025"/>
    <x v="26"/>
    <x v="257"/>
    <x v="0"/>
    <x v="155"/>
    <x v="353"/>
    <n v="1"/>
    <n v="3000"/>
    <n v="3000"/>
    <n v="3000"/>
    <n v="3000"/>
    <m/>
    <n v="300"/>
    <n v="300"/>
    <n v="300"/>
    <n v="0"/>
    <x v="20"/>
    <s v="true"/>
    <s v="true"/>
    <x v="0"/>
  </r>
  <r>
    <n v="506"/>
    <d v="2025-03-05T00:00:00"/>
    <s v="3/2025"/>
    <x v="26"/>
    <x v="257"/>
    <x v="0"/>
    <x v="156"/>
    <x v="334"/>
    <n v="1"/>
    <n v="6900"/>
    <n v="6900"/>
    <n v="6900"/>
    <n v="6900"/>
    <m/>
    <n v="690"/>
    <n v="690"/>
    <n v="690"/>
    <n v="0"/>
    <x v="20"/>
    <s v="true"/>
    <s v="true"/>
    <x v="0"/>
  </r>
  <r>
    <n v="503"/>
    <d v="2025-03-05T00:00:00"/>
    <s v="3/2025"/>
    <x v="104"/>
    <x v="1286"/>
    <x v="0"/>
    <x v="0"/>
    <x v="353"/>
    <n v="1"/>
    <n v="359"/>
    <n v="359"/>
    <n v="378"/>
    <n v="378"/>
    <m/>
    <n v="57"/>
    <n v="435"/>
    <n v="435"/>
    <n v="0"/>
    <x v="16"/>
    <s v="true"/>
    <s v="true"/>
    <x v="0"/>
  </r>
  <r>
    <n v="503"/>
    <d v="2025-03-05T00:00:00"/>
    <s v="3/2025"/>
    <x v="104"/>
    <x v="1371"/>
    <x v="0"/>
    <x v="0"/>
    <x v="353"/>
    <n v="1"/>
    <n v="160"/>
    <n v="160"/>
    <n v="169"/>
    <n v="169"/>
    <m/>
    <n v="25"/>
    <n v="194"/>
    <n v="194"/>
    <n v="0"/>
    <x v="16"/>
    <s v="true"/>
    <s v="true"/>
    <x v="0"/>
  </r>
  <r>
    <n v="507"/>
    <d v="2025-03-09T00:00:00"/>
    <s v="3/2025"/>
    <x v="47"/>
    <x v="877"/>
    <x v="0"/>
    <x v="0"/>
    <x v="353"/>
    <n v="1"/>
    <n v="970"/>
    <n v="970"/>
    <n v="970"/>
    <n v="970"/>
    <m/>
    <n v="146"/>
    <n v="1116"/>
    <n v="1116"/>
    <n v="0"/>
    <x v="16"/>
    <s v="true"/>
    <s v="true"/>
    <x v="0"/>
  </r>
  <r>
    <n v="507"/>
    <d v="2025-03-09T00:00:00"/>
    <s v="3/2025"/>
    <x v="47"/>
    <x v="1373"/>
    <x v="0"/>
    <x v="0"/>
    <x v="329"/>
    <n v="1"/>
    <n v="761"/>
    <n v="761"/>
    <n v="761"/>
    <n v="761"/>
    <m/>
    <n v="114"/>
    <n v="875"/>
    <n v="875"/>
    <n v="0"/>
    <x v="16"/>
    <s v="true"/>
    <s v="true"/>
    <x v="0"/>
  </r>
  <r>
    <n v="507"/>
    <d v="2025-03-09T00:00:00"/>
    <s v="3/2025"/>
    <x v="47"/>
    <x v="1274"/>
    <x v="0"/>
    <x v="0"/>
    <x v="342"/>
    <n v="1"/>
    <n v="532"/>
    <n v="532"/>
    <n v="532"/>
    <n v="532"/>
    <m/>
    <n v="80"/>
    <n v="612"/>
    <n v="612"/>
    <n v="0"/>
    <x v="16"/>
    <s v="true"/>
    <s v="true"/>
    <x v="0"/>
  </r>
  <r>
    <n v="507"/>
    <d v="2025-03-09T00:00:00"/>
    <s v="3/2025"/>
    <x v="47"/>
    <x v="650"/>
    <x v="0"/>
    <x v="0"/>
    <x v="329"/>
    <n v="1"/>
    <n v="1039"/>
    <n v="1039"/>
    <n v="1039"/>
    <n v="1039"/>
    <m/>
    <n v="156"/>
    <n v="1195"/>
    <n v="1195"/>
    <n v="0"/>
    <x v="16"/>
    <s v="true"/>
    <s v="true"/>
    <x v="0"/>
  </r>
  <r>
    <n v="507"/>
    <d v="2025-03-09T00:00:00"/>
    <s v="3/2025"/>
    <x v="47"/>
    <x v="963"/>
    <x v="0"/>
    <x v="0"/>
    <x v="329"/>
    <n v="1"/>
    <n v="884"/>
    <n v="884"/>
    <n v="884"/>
    <n v="884"/>
    <m/>
    <n v="133"/>
    <n v="1017"/>
    <n v="1017"/>
    <n v="0"/>
    <x v="16"/>
    <s v="true"/>
    <s v="true"/>
    <x v="0"/>
  </r>
  <r>
    <n v="507"/>
    <d v="2025-03-09T00:00:00"/>
    <s v="3/2025"/>
    <x v="47"/>
    <x v="1052"/>
    <x v="0"/>
    <x v="0"/>
    <x v="354"/>
    <n v="1"/>
    <n v="286"/>
    <n v="286"/>
    <n v="286"/>
    <n v="286"/>
    <m/>
    <n v="43"/>
    <n v="329"/>
    <n v="329"/>
    <n v="0"/>
    <x v="16"/>
    <s v="true"/>
    <s v="true"/>
    <x v="0"/>
  </r>
  <r>
    <n v="507"/>
    <d v="2025-03-09T00:00:00"/>
    <s v="3/2025"/>
    <x v="47"/>
    <x v="627"/>
    <x v="0"/>
    <x v="0"/>
    <x v="329"/>
    <n v="1"/>
    <n v="368"/>
    <n v="368"/>
    <n v="368"/>
    <n v="368"/>
    <m/>
    <n v="55"/>
    <n v="423"/>
    <n v="423"/>
    <n v="0"/>
    <x v="16"/>
    <s v="true"/>
    <s v="true"/>
    <x v="0"/>
  </r>
  <r>
    <n v="507"/>
    <d v="2025-03-09T00:00:00"/>
    <s v="3/2025"/>
    <x v="47"/>
    <x v="870"/>
    <x v="0"/>
    <x v="0"/>
    <x v="329"/>
    <n v="1"/>
    <n v="363"/>
    <n v="363"/>
    <n v="363"/>
    <n v="363"/>
    <m/>
    <n v="54"/>
    <n v="417"/>
    <n v="417"/>
    <n v="0"/>
    <x v="16"/>
    <s v="true"/>
    <s v="true"/>
    <x v="0"/>
  </r>
  <r>
    <n v="507"/>
    <d v="2025-03-09T00:00:00"/>
    <s v="3/2025"/>
    <x v="47"/>
    <x v="1374"/>
    <x v="0"/>
    <x v="0"/>
    <x v="353"/>
    <n v="1"/>
    <n v="990"/>
    <n v="990"/>
    <n v="990"/>
    <n v="990"/>
    <m/>
    <n v="149"/>
    <n v="1139"/>
    <n v="1139"/>
    <n v="0"/>
    <x v="16"/>
    <s v="true"/>
    <s v="true"/>
    <x v="0"/>
  </r>
  <r>
    <n v="507"/>
    <d v="2025-03-09T00:00:00"/>
    <s v="3/2025"/>
    <x v="47"/>
    <x v="410"/>
    <x v="0"/>
    <x v="0"/>
    <x v="355"/>
    <n v="1"/>
    <n v="301"/>
    <n v="301"/>
    <n v="301"/>
    <n v="301"/>
    <m/>
    <n v="45"/>
    <n v="346"/>
    <n v="346"/>
    <n v="0"/>
    <x v="16"/>
    <s v="true"/>
    <s v="true"/>
    <x v="0"/>
  </r>
  <r>
    <n v="507"/>
    <d v="2025-03-09T00:00:00"/>
    <s v="3/2025"/>
    <x v="47"/>
    <x v="770"/>
    <x v="0"/>
    <x v="0"/>
    <x v="355"/>
    <n v="1"/>
    <n v="247"/>
    <n v="247"/>
    <n v="247"/>
    <n v="247"/>
    <m/>
    <n v="37"/>
    <n v="284"/>
    <n v="284"/>
    <n v="0"/>
    <x v="16"/>
    <s v="true"/>
    <s v="true"/>
    <x v="0"/>
  </r>
  <r>
    <n v="508"/>
    <d v="2025-03-10T00:00:00"/>
    <s v="3/2025"/>
    <x v="47"/>
    <x v="1375"/>
    <x v="0"/>
    <x v="0"/>
    <x v="355"/>
    <n v="1"/>
    <n v="5269"/>
    <n v="5269"/>
    <n v="5547"/>
    <n v="5547"/>
    <m/>
    <n v="832"/>
    <n v="6379"/>
    <n v="6379"/>
    <n v="0"/>
    <x v="16"/>
    <s v="true"/>
    <s v="true"/>
    <x v="0"/>
  </r>
  <r>
    <n v="509"/>
    <d v="2025-03-10T00:00:00"/>
    <s v="3/2025"/>
    <x v="47"/>
    <x v="1376"/>
    <x v="0"/>
    <x v="0"/>
    <x v="354"/>
    <n v="1"/>
    <n v="228"/>
    <n v="228"/>
    <n v="240"/>
    <n v="240"/>
    <m/>
    <n v="36"/>
    <n v="276"/>
    <n v="276"/>
    <n v="0"/>
    <x v="16"/>
    <s v="true"/>
    <s v="true"/>
    <x v="0"/>
  </r>
  <r>
    <n v="509"/>
    <d v="2025-03-10T00:00:00"/>
    <s v="3/2025"/>
    <x v="47"/>
    <x v="1282"/>
    <x v="0"/>
    <x v="0"/>
    <x v="355"/>
    <n v="1"/>
    <n v="256"/>
    <n v="256"/>
    <n v="270"/>
    <n v="270"/>
    <m/>
    <n v="41"/>
    <n v="311"/>
    <n v="311"/>
    <n v="0"/>
    <x v="16"/>
    <s v="true"/>
    <s v="true"/>
    <x v="0"/>
  </r>
  <r>
    <n v="509"/>
    <d v="2025-03-10T00:00:00"/>
    <s v="3/2025"/>
    <x v="47"/>
    <x v="482"/>
    <x v="0"/>
    <x v="0"/>
    <x v="355"/>
    <n v="1"/>
    <n v="1297"/>
    <n v="1297"/>
    <n v="1366"/>
    <n v="1366"/>
    <m/>
    <n v="205"/>
    <n v="1571"/>
    <n v="1571"/>
    <n v="0"/>
    <x v="16"/>
    <s v="true"/>
    <s v="true"/>
    <x v="0"/>
  </r>
  <r>
    <n v="510"/>
    <d v="2025-03-10T00:00:00"/>
    <s v="3/2025"/>
    <x v="24"/>
    <x v="1377"/>
    <x v="0"/>
    <x v="0"/>
    <x v="355"/>
    <n v="1"/>
    <n v="931"/>
    <n v="931"/>
    <n v="981"/>
    <n v="981"/>
    <m/>
    <n v="147"/>
    <n v="1128"/>
    <n v="1128"/>
    <n v="0"/>
    <x v="16"/>
    <s v="true"/>
    <s v="true"/>
    <x v="0"/>
  </r>
  <r>
    <n v="510"/>
    <d v="2025-03-10T00:00:00"/>
    <s v="3/2025"/>
    <x v="24"/>
    <x v="1378"/>
    <x v="0"/>
    <x v="157"/>
    <x v="343"/>
    <n v="1"/>
    <n v="900"/>
    <n v="900"/>
    <n v="900"/>
    <n v="900"/>
    <n v="142"/>
    <n v="135"/>
    <n v="1177"/>
    <n v="1177"/>
    <n v="0"/>
    <x v="19"/>
    <s v="true"/>
    <s v="true"/>
    <x v="0"/>
  </r>
  <r>
    <n v="511"/>
    <d v="2025-03-10T00:00:00"/>
    <s v="3/2025"/>
    <x v="118"/>
    <x v="1379"/>
    <x v="0"/>
    <x v="0"/>
    <x v="354"/>
    <n v="1"/>
    <n v="3364"/>
    <n v="3364"/>
    <n v="3542"/>
    <n v="3542"/>
    <m/>
    <n v="531"/>
    <n v="4073"/>
    <n v="4073"/>
    <n v="0"/>
    <x v="16"/>
    <s v="true"/>
    <s v="true"/>
    <x v="0"/>
  </r>
  <r>
    <n v="511"/>
    <d v="2025-03-10T00:00:00"/>
    <s v="3/2025"/>
    <x v="118"/>
    <x v="872"/>
    <x v="0"/>
    <x v="0"/>
    <x v="355"/>
    <n v="1"/>
    <n v="569"/>
    <n v="569"/>
    <n v="599"/>
    <n v="599"/>
    <m/>
    <n v="90"/>
    <n v="689"/>
    <n v="689"/>
    <n v="0"/>
    <x v="16"/>
    <s v="true"/>
    <s v="true"/>
    <x v="0"/>
  </r>
  <r>
    <n v="512"/>
    <d v="2025-03-11T00:00:00"/>
    <s v="3/2025"/>
    <x v="61"/>
    <x v="1380"/>
    <x v="0"/>
    <x v="0"/>
    <x v="354"/>
    <n v="1"/>
    <n v="427"/>
    <n v="427"/>
    <n v="450"/>
    <n v="450"/>
    <m/>
    <n v="45"/>
    <n v="495"/>
    <n v="495"/>
    <n v="0"/>
    <x v="16"/>
    <s v="true"/>
    <s v="true"/>
    <x v="0"/>
  </r>
  <r>
    <n v="512"/>
    <d v="2025-03-11T00:00:00"/>
    <s v="3/2025"/>
    <x v="61"/>
    <x v="1381"/>
    <x v="0"/>
    <x v="0"/>
    <x v="354"/>
    <n v="1"/>
    <n v="446"/>
    <n v="446"/>
    <n v="470"/>
    <n v="470"/>
    <m/>
    <n v="47"/>
    <n v="517"/>
    <n v="517"/>
    <n v="0"/>
    <x v="16"/>
    <s v="true"/>
    <s v="true"/>
    <x v="0"/>
  </r>
  <r>
    <n v="512"/>
    <d v="2025-03-11T00:00:00"/>
    <s v="3/2025"/>
    <x v="61"/>
    <x v="1382"/>
    <x v="0"/>
    <x v="0"/>
    <x v="354"/>
    <n v="1"/>
    <n v="420"/>
    <n v="420"/>
    <n v="443"/>
    <n v="443"/>
    <m/>
    <n v="44"/>
    <n v="487"/>
    <n v="487"/>
    <n v="0"/>
    <x v="16"/>
    <s v="true"/>
    <s v="true"/>
    <x v="0"/>
  </r>
  <r>
    <n v="512"/>
    <d v="2025-03-11T00:00:00"/>
    <s v="3/2025"/>
    <x v="61"/>
    <x v="1383"/>
    <x v="0"/>
    <x v="0"/>
    <x v="354"/>
    <n v="1"/>
    <n v="177"/>
    <n v="177"/>
    <n v="187"/>
    <n v="187"/>
    <m/>
    <n v="19"/>
    <n v="206"/>
    <n v="206"/>
    <n v="0"/>
    <x v="16"/>
    <s v="true"/>
    <s v="true"/>
    <x v="0"/>
  </r>
  <r>
    <n v="512"/>
    <d v="2025-03-11T00:00:00"/>
    <s v="3/2025"/>
    <x v="61"/>
    <x v="1384"/>
    <x v="0"/>
    <x v="0"/>
    <x v="356"/>
    <n v="2"/>
    <n v="563"/>
    <n v="1126"/>
    <n v="593"/>
    <n v="1186"/>
    <m/>
    <n v="119"/>
    <n v="1305"/>
    <n v="1305"/>
    <n v="0"/>
    <x v="16"/>
    <s v="true"/>
    <s v="true"/>
    <x v="0"/>
  </r>
  <r>
    <n v="512"/>
    <d v="2025-03-11T00:00:00"/>
    <s v="3/2025"/>
    <x v="61"/>
    <x v="1385"/>
    <x v="0"/>
    <x v="0"/>
    <x v="354"/>
    <n v="1"/>
    <n v="265"/>
    <n v="265"/>
    <n v="279"/>
    <n v="279"/>
    <m/>
    <n v="28"/>
    <n v="307"/>
    <n v="307"/>
    <n v="0"/>
    <x v="16"/>
    <s v="true"/>
    <s v="true"/>
    <x v="0"/>
  </r>
  <r>
    <n v="512"/>
    <d v="2025-03-11T00:00:00"/>
    <s v="3/2025"/>
    <x v="61"/>
    <x v="1386"/>
    <x v="0"/>
    <x v="0"/>
    <x v="354"/>
    <n v="1"/>
    <n v="608"/>
    <n v="608"/>
    <n v="641"/>
    <n v="641"/>
    <m/>
    <n v="64"/>
    <n v="705"/>
    <n v="705"/>
    <n v="0"/>
    <x v="16"/>
    <s v="true"/>
    <s v="true"/>
    <x v="0"/>
  </r>
  <r>
    <n v="512"/>
    <d v="2025-03-11T00:00:00"/>
    <s v="3/2025"/>
    <x v="61"/>
    <x v="1387"/>
    <x v="0"/>
    <x v="0"/>
    <x v="354"/>
    <n v="3"/>
    <n v="546"/>
    <n v="1638"/>
    <n v="575"/>
    <n v="1725"/>
    <m/>
    <n v="173"/>
    <n v="1898"/>
    <n v="1898"/>
    <n v="0"/>
    <x v="16"/>
    <s v="true"/>
    <s v="true"/>
    <x v="0"/>
  </r>
  <r>
    <n v="512"/>
    <d v="2025-03-11T00:00:00"/>
    <s v="3/2025"/>
    <x v="61"/>
    <x v="1384"/>
    <x v="0"/>
    <x v="0"/>
    <x v="357"/>
    <n v="3"/>
    <n v="282"/>
    <n v="846"/>
    <n v="297"/>
    <n v="891"/>
    <m/>
    <n v="89"/>
    <n v="980"/>
    <n v="980"/>
    <n v="0"/>
    <x v="16"/>
    <s v="true"/>
    <s v="true"/>
    <x v="0"/>
  </r>
  <r>
    <n v="512"/>
    <d v="2025-03-11T00:00:00"/>
    <s v="3/2025"/>
    <x v="61"/>
    <x v="1384"/>
    <x v="0"/>
    <x v="0"/>
    <x v="357"/>
    <n v="4"/>
    <n v="376"/>
    <n v="1504"/>
    <n v="396"/>
    <n v="1584"/>
    <m/>
    <n v="158"/>
    <n v="1742"/>
    <n v="1742"/>
    <n v="0"/>
    <x v="16"/>
    <s v="true"/>
    <s v="true"/>
    <x v="0"/>
  </r>
  <r>
    <n v="512"/>
    <d v="2025-03-11T00:00:00"/>
    <s v="3/2025"/>
    <x v="61"/>
    <x v="1388"/>
    <x v="0"/>
    <x v="0"/>
    <x v="354"/>
    <n v="1"/>
    <n v="346"/>
    <n v="346"/>
    <n v="365"/>
    <n v="365"/>
    <m/>
    <n v="37"/>
    <n v="402"/>
    <n v="402"/>
    <n v="0"/>
    <x v="16"/>
    <s v="true"/>
    <s v="true"/>
    <x v="0"/>
  </r>
  <r>
    <n v="512"/>
    <d v="2025-03-11T00:00:00"/>
    <s v="3/2025"/>
    <x v="61"/>
    <x v="1388"/>
    <x v="0"/>
    <x v="0"/>
    <x v="354"/>
    <n v="1"/>
    <n v="591"/>
    <n v="591"/>
    <n v="623"/>
    <n v="623"/>
    <m/>
    <n v="62"/>
    <n v="685"/>
    <n v="685"/>
    <n v="0"/>
    <x v="16"/>
    <s v="true"/>
    <s v="true"/>
    <x v="0"/>
  </r>
  <r>
    <n v="512"/>
    <d v="2025-03-11T00:00:00"/>
    <s v="3/2025"/>
    <x v="61"/>
    <x v="1389"/>
    <x v="0"/>
    <x v="0"/>
    <x v="358"/>
    <n v="1"/>
    <n v="499"/>
    <n v="499"/>
    <n v="526"/>
    <n v="526"/>
    <m/>
    <n v="53"/>
    <n v="579"/>
    <n v="579"/>
    <n v="0"/>
    <x v="16"/>
    <s v="true"/>
    <s v="true"/>
    <x v="0"/>
  </r>
  <r>
    <n v="512"/>
    <d v="2025-03-11T00:00:00"/>
    <s v="3/2025"/>
    <x v="61"/>
    <x v="661"/>
    <x v="0"/>
    <x v="0"/>
    <x v="357"/>
    <n v="1"/>
    <n v="174"/>
    <n v="174"/>
    <n v="184"/>
    <n v="184"/>
    <m/>
    <n v="18"/>
    <n v="202"/>
    <n v="202"/>
    <n v="0"/>
    <x v="16"/>
    <s v="true"/>
    <s v="true"/>
    <x v="0"/>
  </r>
  <r>
    <n v="512"/>
    <d v="2025-03-11T00:00:00"/>
    <s v="3/2025"/>
    <x v="61"/>
    <x v="1362"/>
    <x v="0"/>
    <x v="0"/>
    <x v="354"/>
    <n v="1"/>
    <n v="743"/>
    <n v="743"/>
    <n v="783"/>
    <n v="783"/>
    <m/>
    <n v="78"/>
    <n v="861"/>
    <n v="861"/>
    <n v="0"/>
    <x v="16"/>
    <s v="true"/>
    <s v="true"/>
    <x v="0"/>
  </r>
  <r>
    <n v="513"/>
    <d v="2025-03-12T00:00:00"/>
    <s v="3/2025"/>
    <x v="76"/>
    <x v="1390"/>
    <x v="0"/>
    <x v="0"/>
    <x v="356"/>
    <n v="1"/>
    <n v="1319"/>
    <n v="1319"/>
    <n v="1389"/>
    <n v="1389"/>
    <m/>
    <n v="139"/>
    <n v="1528"/>
    <n v="1528"/>
    <n v="0"/>
    <x v="16"/>
    <s v="true"/>
    <s v="true"/>
    <x v="0"/>
  </r>
  <r>
    <n v="513"/>
    <d v="2025-03-12T00:00:00"/>
    <s v="3/2025"/>
    <x v="76"/>
    <x v="1391"/>
    <x v="0"/>
    <x v="0"/>
    <x v="356"/>
    <n v="1"/>
    <n v="1480"/>
    <n v="1480"/>
    <n v="1558"/>
    <n v="1558"/>
    <m/>
    <n v="156"/>
    <n v="1714"/>
    <n v="1714"/>
    <n v="0"/>
    <x v="16"/>
    <s v="true"/>
    <s v="true"/>
    <x v="0"/>
  </r>
  <r>
    <n v="513"/>
    <d v="2025-03-12T00:00:00"/>
    <s v="3/2025"/>
    <x v="76"/>
    <x v="712"/>
    <x v="0"/>
    <x v="0"/>
    <x v="359"/>
    <n v="1"/>
    <n v="2049"/>
    <n v="2049"/>
    <n v="2157"/>
    <n v="2157"/>
    <m/>
    <n v="216"/>
    <n v="2373"/>
    <n v="2373"/>
    <n v="0"/>
    <x v="16"/>
    <s v="true"/>
    <s v="true"/>
    <x v="0"/>
  </r>
  <r>
    <n v="513"/>
    <d v="2025-03-12T00:00:00"/>
    <s v="3/2025"/>
    <x v="76"/>
    <x v="978"/>
    <x v="0"/>
    <x v="0"/>
    <x v="356"/>
    <n v="1"/>
    <n v="762"/>
    <n v="762"/>
    <n v="803"/>
    <n v="803"/>
    <m/>
    <n v="80"/>
    <n v="883"/>
    <n v="883"/>
    <n v="0"/>
    <x v="16"/>
    <s v="true"/>
    <s v="true"/>
    <x v="0"/>
  </r>
  <r>
    <n v="512"/>
    <d v="2025-03-11T00:00:00"/>
    <s v="3/2025"/>
    <x v="61"/>
    <x v="1153"/>
    <x v="0"/>
    <x v="0"/>
    <x v="356"/>
    <n v="1"/>
    <n v="995"/>
    <n v="995"/>
    <n v="1048"/>
    <n v="1048"/>
    <m/>
    <n v="105"/>
    <n v="1153"/>
    <n v="1153"/>
    <n v="0"/>
    <x v="16"/>
    <s v="true"/>
    <s v="true"/>
    <x v="0"/>
  </r>
  <r>
    <n v="514"/>
    <d v="2025-03-12T00:00:00"/>
    <s v="3/2025"/>
    <x v="118"/>
    <x v="203"/>
    <x v="0"/>
    <x v="0"/>
    <x v="356"/>
    <n v="1"/>
    <n v="814"/>
    <n v="814"/>
    <n v="857"/>
    <n v="857"/>
    <m/>
    <n v="129"/>
    <n v="986"/>
    <n v="986"/>
    <n v="0"/>
    <x v="16"/>
    <s v="true"/>
    <s v="true"/>
    <x v="0"/>
  </r>
  <r>
    <n v="514"/>
    <d v="2025-03-12T00:00:00"/>
    <s v="3/2025"/>
    <x v="118"/>
    <x v="1392"/>
    <x v="0"/>
    <x v="0"/>
    <x v="356"/>
    <n v="1"/>
    <n v="1316"/>
    <n v="1316"/>
    <n v="1386"/>
    <n v="1386"/>
    <m/>
    <n v="208"/>
    <n v="1594"/>
    <n v="1594"/>
    <n v="0"/>
    <x v="16"/>
    <s v="true"/>
    <s v="true"/>
    <x v="0"/>
  </r>
  <r>
    <n v="514"/>
    <d v="2025-03-12T00:00:00"/>
    <s v="3/2025"/>
    <x v="118"/>
    <x v="597"/>
    <x v="0"/>
    <x v="0"/>
    <x v="356"/>
    <n v="1"/>
    <n v="293"/>
    <n v="293"/>
    <n v="309"/>
    <n v="309"/>
    <m/>
    <n v="46"/>
    <n v="355"/>
    <n v="355"/>
    <n v="0"/>
    <x v="16"/>
    <s v="true"/>
    <s v="true"/>
    <x v="0"/>
  </r>
  <r>
    <n v="512"/>
    <d v="2025-03-11T00:00:00"/>
    <s v="3/2025"/>
    <x v="61"/>
    <x v="1381"/>
    <x v="0"/>
    <x v="0"/>
    <x v="358"/>
    <n v="1"/>
    <n v="378"/>
    <n v="378"/>
    <n v="398"/>
    <n v="398"/>
    <m/>
    <n v="40"/>
    <n v="438"/>
    <n v="438"/>
    <n v="0"/>
    <x v="16"/>
    <s v="true"/>
    <s v="true"/>
    <x v="0"/>
  </r>
  <r>
    <n v="512"/>
    <d v="2025-03-11T00:00:00"/>
    <s v="3/2025"/>
    <x v="61"/>
    <x v="1393"/>
    <x v="0"/>
    <x v="0"/>
    <x v="359"/>
    <n v="1"/>
    <n v="997"/>
    <n v="997"/>
    <n v="1050"/>
    <n v="1050"/>
    <m/>
    <n v="105"/>
    <n v="1155"/>
    <n v="1155"/>
    <n v="0"/>
    <x v="16"/>
    <s v="true"/>
    <s v="true"/>
    <x v="0"/>
  </r>
  <r>
    <n v="515"/>
    <d v="2025-03-13T00:00:00"/>
    <s v="3/2025"/>
    <x v="39"/>
    <x v="257"/>
    <x v="0"/>
    <x v="158"/>
    <x v="354"/>
    <n v="1"/>
    <n v="25729.999999999996"/>
    <n v="25729.999999999996"/>
    <n v="25730"/>
    <n v="25730"/>
    <m/>
    <n v="2573"/>
    <n v="2573"/>
    <n v="2573"/>
    <n v="0"/>
    <x v="20"/>
    <s v="true"/>
    <s v="true"/>
    <x v="0"/>
  </r>
  <r>
    <n v="516"/>
    <d v="2025-03-13T00:00:00"/>
    <s v="3/2025"/>
    <x v="26"/>
    <x v="257"/>
    <x v="0"/>
    <x v="159"/>
    <x v="354"/>
    <n v="1"/>
    <n v="3590"/>
    <n v="3590"/>
    <n v="3590"/>
    <n v="3590"/>
    <m/>
    <n v="359"/>
    <n v="359"/>
    <n v="359"/>
    <n v="0"/>
    <x v="20"/>
    <s v="true"/>
    <s v="true"/>
    <x v="0"/>
  </r>
  <r>
    <n v="517"/>
    <d v="2025-03-13T00:00:00"/>
    <s v="3/2025"/>
    <x v="26"/>
    <x v="257"/>
    <x v="0"/>
    <x v="160"/>
    <x v="354"/>
    <n v="1"/>
    <n v="300"/>
    <n v="300"/>
    <n v="300"/>
    <n v="300"/>
    <m/>
    <n v="200"/>
    <n v="200"/>
    <n v="200"/>
    <n v="0"/>
    <x v="18"/>
    <s v="true"/>
    <s v="true"/>
    <x v="0"/>
  </r>
  <r>
    <n v="518"/>
    <d v="2025-03-13T00:00:00"/>
    <s v="3/2025"/>
    <x v="26"/>
    <x v="257"/>
    <x v="0"/>
    <x v="161"/>
    <x v="354"/>
    <n v="1"/>
    <n v="3990"/>
    <n v="3990"/>
    <n v="3990"/>
    <n v="3990"/>
    <m/>
    <n v="399"/>
    <n v="399"/>
    <n v="399"/>
    <n v="0"/>
    <x v="18"/>
    <s v="true"/>
    <s v="true"/>
    <x v="0"/>
  </r>
  <r>
    <n v="519"/>
    <d v="2025-03-13T00:00:00"/>
    <s v="3/2025"/>
    <x v="80"/>
    <x v="257"/>
    <x v="0"/>
    <x v="162"/>
    <x v="354"/>
    <n v="1"/>
    <n v="500"/>
    <n v="500"/>
    <n v="500"/>
    <n v="500"/>
    <m/>
    <n v="67"/>
    <n v="67"/>
    <n v="67"/>
    <n v="0"/>
    <x v="19"/>
    <s v="true"/>
    <s v="true"/>
    <x v="0"/>
  </r>
  <r>
    <n v="519"/>
    <d v="2025-03-13T00:00:00"/>
    <s v="3/2025"/>
    <x v="80"/>
    <x v="257"/>
    <x v="0"/>
    <x v="163"/>
    <x v="354"/>
    <n v="1"/>
    <n v="500"/>
    <n v="500"/>
    <n v="500"/>
    <n v="500"/>
    <m/>
    <n v="67"/>
    <n v="67"/>
    <n v="67"/>
    <n v="0"/>
    <x v="19"/>
    <s v="true"/>
    <s v="true"/>
    <x v="0"/>
  </r>
  <r>
    <n v="519"/>
    <d v="2025-03-13T00:00:00"/>
    <s v="3/2025"/>
    <x v="80"/>
    <x v="257"/>
    <x v="0"/>
    <x v="164"/>
    <x v="354"/>
    <n v="1"/>
    <n v="462"/>
    <n v="462"/>
    <n v="462"/>
    <n v="462"/>
    <m/>
    <n v="67"/>
    <n v="67"/>
    <n v="67"/>
    <n v="0"/>
    <x v="19"/>
    <s v="true"/>
    <s v="true"/>
    <x v="0"/>
  </r>
  <r>
    <n v="520"/>
    <d v="2025-03-13T00:00:00"/>
    <s v="3/2025"/>
    <x v="26"/>
    <x v="257"/>
    <x v="0"/>
    <x v="165"/>
    <x v="342"/>
    <n v="1"/>
    <n v="2100"/>
    <n v="2100"/>
    <n v="2100"/>
    <n v="2100"/>
    <m/>
    <n v="210"/>
    <n v="210"/>
    <n v="210"/>
    <n v="0"/>
    <x v="18"/>
    <s v="true"/>
    <s v="true"/>
    <x v="0"/>
  </r>
  <r>
    <n v="514"/>
    <d v="2025-03-12T00:00:00"/>
    <s v="3/2025"/>
    <x v="118"/>
    <x v="477"/>
    <x v="0"/>
    <x v="0"/>
    <x v="356"/>
    <n v="1"/>
    <n v="2490"/>
    <n v="2490"/>
    <n v="2656"/>
    <n v="2656"/>
    <m/>
    <n v="398"/>
    <n v="3054"/>
    <n v="3054"/>
    <n v="0"/>
    <x v="16"/>
    <s v="true"/>
    <s v="true"/>
    <x v="0"/>
  </r>
  <r>
    <n v="521"/>
    <d v="2025-03-14T00:00:00"/>
    <s v="3/2025"/>
    <x v="74"/>
    <x v="73"/>
    <x v="0"/>
    <x v="0"/>
    <x v="356"/>
    <n v="1"/>
    <n v="11582"/>
    <n v="11582"/>
    <n v="11582"/>
    <n v="11582"/>
    <m/>
    <n v="1158"/>
    <n v="1158"/>
    <n v="1158"/>
    <n v="0"/>
    <x v="16"/>
    <s v="true"/>
    <s v="true"/>
    <x v="0"/>
  </r>
  <r>
    <n v="522"/>
    <d v="2025-03-14T00:00:00"/>
    <s v="3/2025"/>
    <x v="79"/>
    <x v="73"/>
    <x v="0"/>
    <x v="0"/>
    <x v="356"/>
    <n v="1"/>
    <n v="2612"/>
    <n v="2612"/>
    <n v="2612"/>
    <n v="2612"/>
    <m/>
    <n v="392"/>
    <n v="392"/>
    <n v="392"/>
    <n v="0"/>
    <x v="16"/>
    <s v="true"/>
    <s v="true"/>
    <x v="0"/>
  </r>
  <r>
    <n v="523"/>
    <d v="2025-03-14T00:00:00"/>
    <s v="3/2025"/>
    <x v="27"/>
    <x v="73"/>
    <x v="0"/>
    <x v="0"/>
    <x v="356"/>
    <n v="1"/>
    <n v="12782"/>
    <n v="12782"/>
    <n v="12782"/>
    <n v="12782"/>
    <m/>
    <n v="1278"/>
    <n v="1278"/>
    <n v="1278"/>
    <n v="0"/>
    <x v="16"/>
    <s v="true"/>
    <s v="true"/>
    <x v="0"/>
  </r>
  <r>
    <n v="524"/>
    <d v="2025-03-15T00:00:00"/>
    <s v="3/2025"/>
    <x v="61"/>
    <x v="1372"/>
    <x v="0"/>
    <x v="0"/>
    <x v="342"/>
    <n v="1"/>
    <n v="2390"/>
    <n v="2390"/>
    <n v="2481"/>
    <n v="2481"/>
    <m/>
    <n v="372"/>
    <n v="2853"/>
    <n v="2853"/>
    <n v="0"/>
    <x v="16"/>
    <s v="true"/>
    <s v="true"/>
    <x v="0"/>
  </r>
  <r>
    <n v="525"/>
    <d v="2025-03-15T00:00:00"/>
    <s v="3/2025"/>
    <x v="117"/>
    <x v="1394"/>
    <x v="0"/>
    <x v="0"/>
    <x v="343"/>
    <n v="1"/>
    <n v="284"/>
    <n v="284"/>
    <n v="291"/>
    <n v="291"/>
    <m/>
    <n v="33"/>
    <n v="324"/>
    <n v="341"/>
    <n v="-17"/>
    <x v="15"/>
    <s v="true"/>
    <s v="false"/>
    <x v="0"/>
  </r>
  <r>
    <n v="525"/>
    <d v="2025-03-15T00:00:00"/>
    <s v="3/2025"/>
    <x v="117"/>
    <x v="1395"/>
    <x v="0"/>
    <x v="0"/>
    <x v="357"/>
    <n v="1"/>
    <n v="298"/>
    <n v="298"/>
    <n v="305"/>
    <n v="305"/>
    <m/>
    <n v="33"/>
    <n v="338"/>
    <n v="355"/>
    <n v="-17"/>
    <x v="15"/>
    <s v="true"/>
    <s v="false"/>
    <x v="0"/>
  </r>
  <r>
    <n v="525"/>
    <d v="2025-03-15T00:00:00"/>
    <s v="3/2025"/>
    <x v="117"/>
    <x v="1396"/>
    <x v="0"/>
    <x v="0"/>
    <x v="359"/>
    <n v="1"/>
    <n v="150"/>
    <n v="150"/>
    <n v="154"/>
    <n v="154"/>
    <m/>
    <n v="33"/>
    <n v="187"/>
    <n v="204"/>
    <n v="-17"/>
    <x v="15"/>
    <s v="true"/>
    <s v="false"/>
    <x v="0"/>
  </r>
  <r>
    <n v="525"/>
    <d v="2025-03-15T00:00:00"/>
    <s v="3/2025"/>
    <x v="117"/>
    <x v="1397"/>
    <x v="0"/>
    <x v="0"/>
    <x v="360"/>
    <n v="0"/>
    <n v="225"/>
    <n v="0"/>
    <n v="230"/>
    <n v="0"/>
    <m/>
    <m/>
    <m/>
    <m/>
    <n v="0"/>
    <x v="15"/>
    <s v="true"/>
    <s v="true"/>
    <x v="0"/>
  </r>
  <r>
    <n v="526"/>
    <d v="2025-03-15T00:00:00"/>
    <s v="3/2025"/>
    <x v="9"/>
    <x v="1398"/>
    <x v="0"/>
    <x v="166"/>
    <x v="342"/>
    <n v="0"/>
    <n v="1665"/>
    <n v="0"/>
    <n v="1665"/>
    <n v="0"/>
    <m/>
    <m/>
    <m/>
    <m/>
    <n v="0"/>
    <x v="18"/>
    <s v="true"/>
    <s v="true"/>
    <x v="0"/>
  </r>
  <r>
    <n v="527"/>
    <d v="2025-03-17T00:00:00"/>
    <s v="3/2025"/>
    <x v="61"/>
    <x v="1399"/>
    <x v="0"/>
    <x v="0"/>
    <x v="341"/>
    <n v="1"/>
    <n v="91"/>
    <n v="91"/>
    <n v="96"/>
    <n v="96"/>
    <m/>
    <n v="14"/>
    <n v="110"/>
    <n v="110"/>
    <n v="0"/>
    <x v="16"/>
    <s v="true"/>
    <s v="true"/>
    <x v="0"/>
  </r>
  <r>
    <n v="527"/>
    <d v="2025-03-17T00:00:00"/>
    <s v="3/2025"/>
    <x v="61"/>
    <x v="1400"/>
    <x v="0"/>
    <x v="0"/>
    <x v="343"/>
    <n v="1"/>
    <n v="950"/>
    <n v="950"/>
    <n v="1001"/>
    <n v="1001"/>
    <m/>
    <n v="150"/>
    <n v="1151"/>
    <n v="1151"/>
    <n v="0"/>
    <x v="16"/>
    <s v="true"/>
    <s v="true"/>
    <x v="0"/>
  </r>
  <r>
    <n v="527"/>
    <d v="2025-03-17T00:00:00"/>
    <s v="3/2025"/>
    <x v="61"/>
    <x v="1255"/>
    <x v="0"/>
    <x v="0"/>
    <x v="361"/>
    <n v="1"/>
    <n v="256"/>
    <n v="256"/>
    <n v="270"/>
    <n v="270"/>
    <m/>
    <n v="41"/>
    <n v="311"/>
    <n v="311"/>
    <n v="0"/>
    <x v="16"/>
    <s v="true"/>
    <s v="true"/>
    <x v="0"/>
  </r>
  <r>
    <n v="527"/>
    <d v="2025-03-17T00:00:00"/>
    <s v="3/2025"/>
    <x v="61"/>
    <x v="1401"/>
    <x v="0"/>
    <x v="0"/>
    <x v="362"/>
    <n v="1"/>
    <n v="822"/>
    <n v="822"/>
    <n v="856"/>
    <n v="856"/>
    <m/>
    <n v="128"/>
    <n v="984"/>
    <n v="984"/>
    <n v="0"/>
    <x v="15"/>
    <s v="true"/>
    <s v="true"/>
    <x v="0"/>
  </r>
  <r>
    <n v="527"/>
    <d v="2025-03-17T00:00:00"/>
    <s v="3/2025"/>
    <x v="61"/>
    <x v="1402"/>
    <x v="0"/>
    <x v="0"/>
    <x v="343"/>
    <n v="1"/>
    <n v="437"/>
    <n v="437"/>
    <n v="460"/>
    <n v="460"/>
    <m/>
    <n v="69"/>
    <n v="529"/>
    <n v="529"/>
    <n v="0"/>
    <x v="16"/>
    <s v="true"/>
    <s v="true"/>
    <x v="0"/>
  </r>
  <r>
    <n v="527"/>
    <d v="2025-03-17T00:00:00"/>
    <s v="3/2025"/>
    <x v="61"/>
    <x v="1403"/>
    <x v="0"/>
    <x v="0"/>
    <x v="341"/>
    <n v="1"/>
    <n v="456"/>
    <n v="456"/>
    <n v="480"/>
    <n v="480"/>
    <m/>
    <n v="72"/>
    <n v="552"/>
    <n v="552"/>
    <n v="0"/>
    <x v="16"/>
    <s v="true"/>
    <s v="true"/>
    <x v="0"/>
  </r>
  <r>
    <n v="527"/>
    <d v="2025-03-17T00:00:00"/>
    <s v="3/2025"/>
    <x v="61"/>
    <x v="1404"/>
    <x v="0"/>
    <x v="0"/>
    <x v="341"/>
    <n v="1"/>
    <n v="456"/>
    <n v="456"/>
    <n v="480"/>
    <n v="480"/>
    <m/>
    <n v="72"/>
    <n v="552"/>
    <n v="552"/>
    <n v="0"/>
    <x v="16"/>
    <s v="true"/>
    <s v="true"/>
    <x v="0"/>
  </r>
  <r>
    <n v="527"/>
    <d v="2025-03-17T00:00:00"/>
    <s v="3/2025"/>
    <x v="61"/>
    <x v="1405"/>
    <x v="0"/>
    <x v="0"/>
    <x v="343"/>
    <n v="1"/>
    <n v="1342"/>
    <n v="1342"/>
    <n v="1413"/>
    <n v="1413"/>
    <m/>
    <n v="212"/>
    <n v="1625"/>
    <n v="1625"/>
    <n v="0"/>
    <x v="16"/>
    <s v="true"/>
    <s v="true"/>
    <x v="0"/>
  </r>
  <r>
    <n v="528"/>
    <d v="2025-03-17T00:00:00"/>
    <s v="3/2025"/>
    <x v="114"/>
    <x v="1406"/>
    <x v="0"/>
    <x v="0"/>
    <x v="343"/>
    <n v="1"/>
    <n v="1779"/>
    <n v="1779"/>
    <n v="1873"/>
    <n v="1873"/>
    <m/>
    <n v="281"/>
    <n v="2154"/>
    <n v="2154"/>
    <n v="0"/>
    <x v="16"/>
    <s v="true"/>
    <s v="true"/>
    <x v="0"/>
  </r>
  <r>
    <n v="528"/>
    <d v="2025-03-17T00:00:00"/>
    <s v="3/2025"/>
    <x v="114"/>
    <x v="661"/>
    <x v="0"/>
    <x v="0"/>
    <x v="328"/>
    <n v="1"/>
    <n v="167"/>
    <n v="167"/>
    <n v="176"/>
    <n v="176"/>
    <m/>
    <n v="26"/>
    <n v="202"/>
    <n v="202"/>
    <n v="0"/>
    <x v="16"/>
    <s v="true"/>
    <s v="true"/>
    <x v="0"/>
  </r>
  <r>
    <n v="528"/>
    <d v="2025-03-17T00:00:00"/>
    <s v="3/2025"/>
    <x v="114"/>
    <x v="1407"/>
    <x v="0"/>
    <x v="0"/>
    <x v="361"/>
    <n v="1"/>
    <n v="103"/>
    <n v="103"/>
    <n v="109"/>
    <n v="109"/>
    <m/>
    <n v="16"/>
    <n v="125"/>
    <n v="125"/>
    <n v="0"/>
    <x v="16"/>
    <s v="true"/>
    <s v="true"/>
    <x v="0"/>
  </r>
  <r>
    <n v="528"/>
    <d v="2025-03-17T00:00:00"/>
    <s v="3/2025"/>
    <x v="114"/>
    <x v="1408"/>
    <x v="0"/>
    <x v="0"/>
    <x v="362"/>
    <n v="1"/>
    <n v="209"/>
    <n v="209"/>
    <n v="221"/>
    <n v="221"/>
    <m/>
    <n v="33"/>
    <n v="254"/>
    <n v="254"/>
    <n v="0"/>
    <x v="16"/>
    <s v="true"/>
    <s v="true"/>
    <x v="0"/>
  </r>
  <r>
    <n v="528"/>
    <d v="2025-03-17T00:00:00"/>
    <s v="3/2025"/>
    <x v="114"/>
    <x v="1040"/>
    <x v="0"/>
    <x v="0"/>
    <x v="343"/>
    <n v="1"/>
    <n v="320"/>
    <n v="320"/>
    <n v="337"/>
    <n v="337"/>
    <m/>
    <n v="51"/>
    <n v="388"/>
    <n v="388"/>
    <n v="0"/>
    <x v="16"/>
    <s v="true"/>
    <s v="true"/>
    <x v="0"/>
  </r>
  <r>
    <n v="528"/>
    <d v="2025-03-17T00:00:00"/>
    <s v="3/2025"/>
    <x v="114"/>
    <x v="650"/>
    <x v="0"/>
    <x v="0"/>
    <x v="361"/>
    <n v="1"/>
    <n v="1019"/>
    <n v="1019"/>
    <n v="1073"/>
    <n v="1073"/>
    <m/>
    <n v="161"/>
    <n v="1234"/>
    <n v="1234"/>
    <n v="0"/>
    <x v="16"/>
    <s v="true"/>
    <s v="true"/>
    <x v="0"/>
  </r>
  <r>
    <n v="528"/>
    <d v="2025-03-17T00:00:00"/>
    <s v="3/2025"/>
    <x v="114"/>
    <x v="246"/>
    <x v="0"/>
    <x v="0"/>
    <x v="341"/>
    <n v="1"/>
    <n v="1024"/>
    <n v="1024"/>
    <n v="1078"/>
    <n v="1078"/>
    <m/>
    <n v="162"/>
    <n v="1240"/>
    <n v="1240"/>
    <n v="0"/>
    <x v="16"/>
    <s v="true"/>
    <s v="true"/>
    <x v="0"/>
  </r>
  <r>
    <n v="529"/>
    <d v="2025-03-17T00:00:00"/>
    <s v="3/2025"/>
    <x v="47"/>
    <x v="1282"/>
    <x v="0"/>
    <x v="0"/>
    <x v="343"/>
    <n v="1"/>
    <n v="256"/>
    <n v="256"/>
    <n v="270"/>
    <n v="270"/>
    <m/>
    <n v="41"/>
    <n v="311"/>
    <n v="311"/>
    <n v="0"/>
    <x v="16"/>
    <s v="true"/>
    <s v="true"/>
    <x v="0"/>
  </r>
  <r>
    <n v="529"/>
    <d v="2025-03-17T00:00:00"/>
    <s v="3/2025"/>
    <x v="47"/>
    <x v="1409"/>
    <x v="0"/>
    <x v="0"/>
    <x v="361"/>
    <n v="1"/>
    <n v="281"/>
    <n v="281"/>
    <n v="296"/>
    <n v="296"/>
    <m/>
    <n v="44"/>
    <n v="340"/>
    <n v="340"/>
    <n v="0"/>
    <x v="16"/>
    <s v="true"/>
    <s v="true"/>
    <x v="0"/>
  </r>
  <r>
    <n v="529"/>
    <d v="2025-03-17T00:00:00"/>
    <s v="3/2025"/>
    <x v="47"/>
    <x v="1410"/>
    <x v="0"/>
    <x v="0"/>
    <x v="361"/>
    <n v="1"/>
    <n v="325"/>
    <n v="325"/>
    <n v="343"/>
    <n v="343"/>
    <m/>
    <n v="51"/>
    <n v="394"/>
    <n v="394"/>
    <n v="0"/>
    <x v="16"/>
    <s v="true"/>
    <s v="true"/>
    <x v="0"/>
  </r>
  <r>
    <n v="529"/>
    <d v="2025-03-17T00:00:00"/>
    <s v="3/2025"/>
    <x v="47"/>
    <x v="1052"/>
    <x v="0"/>
    <x v="0"/>
    <x v="361"/>
    <n v="1"/>
    <n v="342"/>
    <n v="342"/>
    <n v="361"/>
    <n v="361"/>
    <m/>
    <n v="54"/>
    <n v="415"/>
    <n v="415"/>
    <n v="0"/>
    <x v="16"/>
    <s v="true"/>
    <s v="true"/>
    <x v="0"/>
  </r>
  <r>
    <n v="529"/>
    <d v="2025-03-17T00:00:00"/>
    <s v="3/2025"/>
    <x v="47"/>
    <x v="1411"/>
    <x v="0"/>
    <x v="0"/>
    <x v="343"/>
    <n v="1"/>
    <n v="349"/>
    <n v="349"/>
    <n v="368"/>
    <n v="368"/>
    <m/>
    <n v="55"/>
    <n v="423"/>
    <n v="423"/>
    <n v="0"/>
    <x v="16"/>
    <s v="true"/>
    <s v="true"/>
    <x v="0"/>
  </r>
  <r>
    <n v="529"/>
    <d v="2025-03-17T00:00:00"/>
    <s v="3/2025"/>
    <x v="47"/>
    <x v="1412"/>
    <x v="0"/>
    <x v="0"/>
    <x v="342"/>
    <n v="1"/>
    <n v="387"/>
    <n v="387"/>
    <n v="408"/>
    <n v="408"/>
    <m/>
    <n v="61"/>
    <n v="469"/>
    <n v="469"/>
    <n v="0"/>
    <x v="16"/>
    <s v="true"/>
    <s v="true"/>
    <x v="0"/>
  </r>
  <r>
    <n v="529"/>
    <d v="2025-03-17T00:00:00"/>
    <s v="3/2025"/>
    <x v="47"/>
    <x v="1413"/>
    <x v="0"/>
    <x v="0"/>
    <x v="362"/>
    <n v="1"/>
    <n v="187"/>
    <n v="187"/>
    <n v="197"/>
    <n v="197"/>
    <m/>
    <n v="30"/>
    <n v="227"/>
    <n v="227"/>
    <n v="0"/>
    <x v="16"/>
    <s v="true"/>
    <s v="true"/>
    <x v="0"/>
  </r>
  <r>
    <n v="529"/>
    <d v="2025-03-17T00:00:00"/>
    <s v="3/2025"/>
    <x v="47"/>
    <x v="1414"/>
    <x v="0"/>
    <x v="0"/>
    <x v="362"/>
    <n v="1"/>
    <n v="161"/>
    <n v="161"/>
    <n v="170"/>
    <n v="170"/>
    <m/>
    <n v="26"/>
    <n v="196"/>
    <n v="196"/>
    <n v="0"/>
    <x v="16"/>
    <s v="true"/>
    <s v="true"/>
    <x v="0"/>
  </r>
  <r>
    <n v="530"/>
    <d v="2025-03-17T00:00:00"/>
    <s v="3/2025"/>
    <x v="3"/>
    <x v="1415"/>
    <x v="0"/>
    <x v="167"/>
    <x v="363"/>
    <n v="1"/>
    <n v="6000"/>
    <n v="6000"/>
    <n v="6000"/>
    <n v="6000"/>
    <n v="659"/>
    <n v="900"/>
    <n v="7559"/>
    <n v="7559"/>
    <n v="0"/>
    <x v="22"/>
    <s v="true"/>
    <s v="true"/>
    <x v="0"/>
  </r>
  <r>
    <n v="531"/>
    <d v="2025-03-18T00:00:00"/>
    <s v="3/2025"/>
    <x v="24"/>
    <x v="1416"/>
    <x v="0"/>
    <x v="168"/>
    <x v="364"/>
    <n v="1"/>
    <n v="600"/>
    <n v="600"/>
    <n v="600"/>
    <n v="600"/>
    <n v="72"/>
    <n v="90"/>
    <n v="762"/>
    <n v="762"/>
    <n v="0"/>
    <x v="22"/>
    <s v="true"/>
    <s v="true"/>
    <x v="0"/>
  </r>
  <r>
    <n v="531"/>
    <d v="2025-03-18T00:00:00"/>
    <s v="3/2025"/>
    <x v="24"/>
    <x v="1417"/>
    <x v="0"/>
    <x v="169"/>
    <x v="364"/>
    <n v="1"/>
    <n v="1397"/>
    <n v="1397"/>
    <n v="1397"/>
    <n v="1397"/>
    <n v="249"/>
    <n v="210"/>
    <n v="1856"/>
    <n v="1856"/>
    <n v="0"/>
    <x v="19"/>
    <s v="true"/>
    <s v="true"/>
    <x v="0"/>
  </r>
  <r>
    <n v="531"/>
    <d v="2025-03-18T00:00:00"/>
    <s v="3/2025"/>
    <x v="24"/>
    <x v="1418"/>
    <x v="0"/>
    <x v="0"/>
    <x v="362"/>
    <n v="1"/>
    <n v="684"/>
    <n v="684"/>
    <n v="721"/>
    <n v="721"/>
    <m/>
    <n v="108"/>
    <n v="829"/>
    <n v="829"/>
    <n v="0"/>
    <x v="16"/>
    <s v="true"/>
    <s v="true"/>
    <x v="0"/>
  </r>
  <r>
    <n v="531"/>
    <d v="2025-03-18T00:00:00"/>
    <s v="3/2025"/>
    <x v="24"/>
    <x v="1419"/>
    <x v="0"/>
    <x v="0"/>
    <x v="361"/>
    <n v="1"/>
    <n v="173"/>
    <n v="173"/>
    <n v="180"/>
    <n v="180"/>
    <m/>
    <n v="27"/>
    <n v="207"/>
    <n v="207"/>
    <n v="0"/>
    <x v="15"/>
    <s v="true"/>
    <s v="true"/>
    <x v="0"/>
  </r>
  <r>
    <n v="531"/>
    <d v="2025-03-18T00:00:00"/>
    <s v="3/2025"/>
    <x v="24"/>
    <x v="1420"/>
    <x v="0"/>
    <x v="0"/>
    <x v="328"/>
    <n v="1"/>
    <n v="272"/>
    <n v="272"/>
    <n v="287"/>
    <n v="287"/>
    <m/>
    <n v="43"/>
    <n v="330"/>
    <n v="330"/>
    <n v="0"/>
    <x v="16"/>
    <s v="true"/>
    <s v="true"/>
    <x v="0"/>
  </r>
  <r>
    <n v="531"/>
    <d v="2025-03-18T00:00:00"/>
    <s v="3/2025"/>
    <x v="24"/>
    <x v="1420"/>
    <x v="0"/>
    <x v="0"/>
    <x v="328"/>
    <n v="1"/>
    <n v="291"/>
    <n v="291"/>
    <n v="307"/>
    <n v="307"/>
    <m/>
    <n v="46"/>
    <n v="353"/>
    <n v="353"/>
    <n v="0"/>
    <x v="16"/>
    <s v="true"/>
    <s v="true"/>
    <x v="0"/>
  </r>
  <r>
    <n v="531"/>
    <d v="2025-03-18T00:00:00"/>
    <s v="3/2025"/>
    <x v="24"/>
    <x v="1421"/>
    <x v="0"/>
    <x v="0"/>
    <x v="341"/>
    <n v="1"/>
    <n v="263"/>
    <n v="263"/>
    <n v="271"/>
    <n v="271"/>
    <m/>
    <n v="41"/>
    <n v="312"/>
    <n v="312"/>
    <n v="0"/>
    <x v="15"/>
    <s v="true"/>
    <s v="true"/>
    <x v="0"/>
  </r>
  <r>
    <n v="531"/>
    <d v="2025-03-18T00:00:00"/>
    <s v="3/2025"/>
    <x v="24"/>
    <x v="1422"/>
    <x v="0"/>
    <x v="0"/>
    <x v="361"/>
    <n v="1"/>
    <n v="179"/>
    <n v="179"/>
    <n v="185"/>
    <n v="185"/>
    <m/>
    <n v="28"/>
    <n v="213"/>
    <n v="213"/>
    <n v="0"/>
    <x v="15"/>
    <s v="true"/>
    <s v="true"/>
    <x v="0"/>
  </r>
  <r>
    <n v="531"/>
    <d v="2025-03-18T00:00:00"/>
    <s v="3/2025"/>
    <x v="24"/>
    <x v="1423"/>
    <x v="0"/>
    <x v="0"/>
    <x v="314"/>
    <n v="1"/>
    <n v="252"/>
    <n v="252"/>
    <n v="260"/>
    <n v="260"/>
    <m/>
    <n v="39"/>
    <n v="299"/>
    <n v="299"/>
    <n v="0"/>
    <x v="15"/>
    <s v="true"/>
    <s v="true"/>
    <x v="0"/>
  </r>
  <r>
    <n v="531"/>
    <d v="2025-03-18T00:00:00"/>
    <s v="3/2025"/>
    <x v="24"/>
    <x v="1424"/>
    <x v="0"/>
    <x v="170"/>
    <x v="352"/>
    <n v="1"/>
    <n v="55"/>
    <n v="55"/>
    <n v="55"/>
    <n v="55"/>
    <m/>
    <n v="8"/>
    <n v="63"/>
    <n v="63"/>
    <n v="0"/>
    <x v="18"/>
    <s v="true"/>
    <s v="true"/>
    <x v="0"/>
  </r>
  <r>
    <n v="531"/>
    <d v="2025-03-18T00:00:00"/>
    <s v="3/2025"/>
    <x v="24"/>
    <x v="1425"/>
    <x v="0"/>
    <x v="170"/>
    <x v="352"/>
    <n v="1"/>
    <n v="150"/>
    <n v="150"/>
    <n v="150"/>
    <n v="150"/>
    <m/>
    <n v="23"/>
    <n v="173"/>
    <n v="173"/>
    <n v="0"/>
    <x v="18"/>
    <s v="true"/>
    <s v="true"/>
    <x v="0"/>
  </r>
  <r>
    <n v="531"/>
    <d v="2025-03-18T00:00:00"/>
    <s v="3/2025"/>
    <x v="24"/>
    <x v="1426"/>
    <x v="0"/>
    <x v="0"/>
    <x v="328"/>
    <n v="1"/>
    <n v="327"/>
    <n v="327"/>
    <n v="336"/>
    <n v="336"/>
    <m/>
    <n v="50"/>
    <n v="386"/>
    <n v="386"/>
    <n v="0"/>
    <x v="15"/>
    <s v="true"/>
    <s v="true"/>
    <x v="0"/>
  </r>
  <r>
    <n v="531"/>
    <d v="2025-03-18T00:00:00"/>
    <s v="3/2025"/>
    <x v="24"/>
    <x v="1427"/>
    <x v="0"/>
    <x v="170"/>
    <x v="352"/>
    <n v="1"/>
    <n v="85"/>
    <n v="85"/>
    <n v="85"/>
    <n v="85"/>
    <m/>
    <n v="13"/>
    <n v="98"/>
    <n v="98"/>
    <n v="0"/>
    <x v="18"/>
    <s v="true"/>
    <s v="true"/>
    <x v="0"/>
  </r>
  <r>
    <n v="531"/>
    <d v="2025-03-18T00:00:00"/>
    <s v="3/2025"/>
    <x v="24"/>
    <x v="1428"/>
    <x v="0"/>
    <x v="170"/>
    <x v="352"/>
    <n v="1"/>
    <n v="45"/>
    <n v="45"/>
    <n v="45"/>
    <n v="45"/>
    <m/>
    <n v="7"/>
    <n v="52"/>
    <n v="52"/>
    <n v="0"/>
    <x v="18"/>
    <s v="true"/>
    <s v="true"/>
    <x v="0"/>
  </r>
  <r>
    <n v="531"/>
    <d v="2025-03-18T00:00:00"/>
    <s v="3/2025"/>
    <x v="24"/>
    <x v="1429"/>
    <x v="0"/>
    <x v="170"/>
    <x v="352"/>
    <n v="1"/>
    <n v="90"/>
    <n v="90"/>
    <n v="90"/>
    <n v="90"/>
    <m/>
    <n v="14"/>
    <n v="104"/>
    <n v="104"/>
    <n v="0"/>
    <x v="18"/>
    <s v="true"/>
    <s v="true"/>
    <x v="0"/>
  </r>
  <r>
    <n v="531"/>
    <d v="2025-03-18T00:00:00"/>
    <s v="3/2025"/>
    <x v="24"/>
    <x v="1430"/>
    <x v="0"/>
    <x v="170"/>
    <x v="352"/>
    <n v="1"/>
    <n v="590"/>
    <n v="590"/>
    <n v="590"/>
    <n v="590"/>
    <m/>
    <n v="89"/>
    <n v="679"/>
    <n v="679"/>
    <n v="0"/>
    <x v="18"/>
    <s v="true"/>
    <s v="true"/>
    <x v="0"/>
  </r>
  <r>
    <n v="531"/>
    <d v="2025-03-18T00:00:00"/>
    <s v="3/2025"/>
    <x v="24"/>
    <x v="1431"/>
    <x v="0"/>
    <x v="170"/>
    <x v="352"/>
    <n v="1"/>
    <n v="100"/>
    <n v="100"/>
    <n v="100"/>
    <n v="100"/>
    <m/>
    <n v="15"/>
    <n v="115"/>
    <n v="115"/>
    <n v="0"/>
    <x v="18"/>
    <s v="true"/>
    <s v="true"/>
    <x v="0"/>
  </r>
  <r>
    <n v="531"/>
    <d v="2025-03-18T00:00:00"/>
    <s v="3/2025"/>
    <x v="24"/>
    <x v="1432"/>
    <x v="0"/>
    <x v="171"/>
    <x v="363"/>
    <n v="1"/>
    <n v="412"/>
    <n v="412"/>
    <n v="412"/>
    <n v="412"/>
    <n v="219"/>
    <n v="62"/>
    <n v="693"/>
    <n v="693"/>
    <n v="0"/>
    <x v="19"/>
    <s v="true"/>
    <s v="true"/>
    <x v="0"/>
  </r>
  <r>
    <n v="531"/>
    <d v="2025-03-18T00:00:00"/>
    <s v="3/2025"/>
    <x v="24"/>
    <x v="1433"/>
    <x v="0"/>
    <x v="171"/>
    <x v="363"/>
    <n v="1"/>
    <n v="142"/>
    <n v="142"/>
    <n v="142"/>
    <n v="142"/>
    <m/>
    <n v="21"/>
    <n v="163"/>
    <n v="163"/>
    <n v="0"/>
    <x v="19"/>
    <s v="true"/>
    <s v="true"/>
    <x v="0"/>
  </r>
  <r>
    <n v="531"/>
    <d v="2025-03-18T00:00:00"/>
    <s v="3/2025"/>
    <x v="24"/>
    <x v="1434"/>
    <x v="0"/>
    <x v="0"/>
    <x v="361"/>
    <n v="1"/>
    <n v="235"/>
    <n v="235"/>
    <n v="240"/>
    <n v="240"/>
    <m/>
    <n v="36"/>
    <n v="276"/>
    <n v="276"/>
    <n v="0"/>
    <x v="15"/>
    <s v="true"/>
    <s v="true"/>
    <x v="0"/>
  </r>
  <r>
    <n v="532"/>
    <d v="2025-03-19T00:00:00"/>
    <s v="3/2025"/>
    <x v="120"/>
    <x v="1435"/>
    <x v="0"/>
    <x v="172"/>
    <x v="342"/>
    <n v="1"/>
    <n v="4290"/>
    <n v="4290"/>
    <n v="4290"/>
    <n v="4290"/>
    <n v="259"/>
    <n v="644"/>
    <n v="5193"/>
    <n v="5193"/>
    <n v="0"/>
    <x v="18"/>
    <s v="true"/>
    <s v="true"/>
    <x v="0"/>
  </r>
  <r>
    <n v="533"/>
    <d v="2025-03-21T00:00:00"/>
    <s v="3/2025"/>
    <x v="26"/>
    <x v="257"/>
    <x v="0"/>
    <x v="173"/>
    <x v="342"/>
    <n v="1"/>
    <n v="3500"/>
    <n v="3500"/>
    <n v="3500"/>
    <n v="3500"/>
    <m/>
    <n v="350"/>
    <n v="350"/>
    <n v="350"/>
    <n v="0"/>
    <x v="18"/>
    <s v="true"/>
    <s v="true"/>
    <x v="0"/>
  </r>
  <r>
    <n v="529"/>
    <d v="2025-03-17T00:00:00"/>
    <s v="3/2025"/>
    <x v="47"/>
    <x v="1052"/>
    <x v="0"/>
    <x v="0"/>
    <x v="342"/>
    <n v="1"/>
    <n v="271"/>
    <n v="271"/>
    <n v="286"/>
    <n v="286"/>
    <m/>
    <n v="43"/>
    <n v="329"/>
    <n v="329"/>
    <n v="0"/>
    <x v="16"/>
    <s v="true"/>
    <s v="true"/>
    <x v="0"/>
  </r>
  <r>
    <n v="529"/>
    <d v="2025-03-17T00:00:00"/>
    <s v="3/2025"/>
    <x v="47"/>
    <x v="1052"/>
    <x v="0"/>
    <x v="0"/>
    <x v="342"/>
    <n v="1"/>
    <n v="271"/>
    <n v="271"/>
    <n v="286"/>
    <n v="286"/>
    <m/>
    <n v="43"/>
    <n v="329"/>
    <n v="329"/>
    <n v="0"/>
    <x v="16"/>
    <s v="true"/>
    <s v="true"/>
    <x v="0"/>
  </r>
  <r>
    <n v="534"/>
    <d v="2025-03-21T00:00:00"/>
    <s v="3/2025"/>
    <x v="26"/>
    <x v="257"/>
    <x v="0"/>
    <x v="0"/>
    <x v="342"/>
    <n v="1"/>
    <n v="250"/>
    <n v="250"/>
    <n v="250"/>
    <n v="250"/>
    <m/>
    <n v="200"/>
    <n v="200"/>
    <n v="200"/>
    <n v="0"/>
    <x v="18"/>
    <s v="true"/>
    <s v="true"/>
    <x v="0"/>
  </r>
  <r>
    <n v="535"/>
    <d v="2025-03-21T00:00:00"/>
    <s v="3/2025"/>
    <x v="64"/>
    <x v="73"/>
    <x v="0"/>
    <x v="0"/>
    <x v="342"/>
    <n v="1"/>
    <n v="23124"/>
    <n v="23124"/>
    <n v="23124"/>
    <n v="23124"/>
    <m/>
    <n v="2312"/>
    <n v="2312"/>
    <n v="2312"/>
    <n v="0"/>
    <x v="15"/>
    <s v="true"/>
    <s v="true"/>
    <x v="0"/>
  </r>
  <r>
    <n v="536"/>
    <d v="2025-03-21T00:00:00"/>
    <s v="3/2025"/>
    <x v="60"/>
    <x v="257"/>
    <x v="0"/>
    <x v="0"/>
    <x v="342"/>
    <n v="1"/>
    <n v="77569"/>
    <n v="77569"/>
    <n v="77569"/>
    <n v="77569"/>
    <n v="1122"/>
    <n v="3878"/>
    <n v="5000"/>
    <n v="5000"/>
    <n v="0"/>
    <x v="15"/>
    <s v="true"/>
    <s v="true"/>
    <x v="0"/>
  </r>
  <r>
    <n v="537"/>
    <d v="2025-03-21T00:00:00"/>
    <s v="3/2025"/>
    <x v="9"/>
    <x v="203"/>
    <x v="0"/>
    <x v="0"/>
    <x v="350"/>
    <n v="1"/>
    <n v="1434"/>
    <n v="1434"/>
    <n v="1510"/>
    <n v="1510"/>
    <m/>
    <n v="227"/>
    <n v="1737"/>
    <n v="1737"/>
    <n v="0"/>
    <x v="16"/>
    <s v="true"/>
    <s v="true"/>
    <x v="0"/>
  </r>
  <r>
    <n v="525"/>
    <d v="2025-03-15T00:00:00"/>
    <s v="3/2025"/>
    <x v="117"/>
    <x v="1397"/>
    <x v="0"/>
    <x v="0"/>
    <x v="365"/>
    <n v="0"/>
    <n v="213"/>
    <n v="0"/>
    <n v="218"/>
    <n v="0"/>
    <m/>
    <n v="0"/>
    <n v="0"/>
    <m/>
    <n v="0"/>
    <x v="15"/>
    <s v="true"/>
    <s v="true"/>
    <x v="0"/>
  </r>
  <r>
    <n v="538"/>
    <d v="2025-03-22T00:00:00"/>
    <s v="3/2025"/>
    <x v="121"/>
    <x v="477"/>
    <x v="0"/>
    <x v="0"/>
    <x v="350"/>
    <n v="1"/>
    <n v="3600"/>
    <n v="3600"/>
    <n v="3790"/>
    <n v="3790"/>
    <m/>
    <n v="569"/>
    <n v="4359"/>
    <n v="4359"/>
    <n v="0"/>
    <x v="16"/>
    <s v="true"/>
    <s v="true"/>
    <x v="0"/>
  </r>
  <r>
    <n v="539"/>
    <d v="2025-03-22T00:00:00"/>
    <s v="3/2025"/>
    <x v="47"/>
    <x v="1436"/>
    <x v="0"/>
    <x v="0"/>
    <x v="366"/>
    <n v="1"/>
    <n v="132"/>
    <n v="132"/>
    <n v="139"/>
    <n v="139"/>
    <m/>
    <n v="21"/>
    <n v="160"/>
    <n v="160"/>
    <n v="0"/>
    <x v="16"/>
    <s v="true"/>
    <s v="true"/>
    <x v="0"/>
  </r>
  <r>
    <n v="539"/>
    <d v="2025-03-22T00:00:00"/>
    <s v="3/2025"/>
    <x v="47"/>
    <x v="1044"/>
    <x v="0"/>
    <x v="0"/>
    <x v="352"/>
    <n v="1"/>
    <n v="273"/>
    <n v="273"/>
    <n v="288"/>
    <n v="288"/>
    <m/>
    <n v="43"/>
    <n v="331"/>
    <n v="331"/>
    <n v="0"/>
    <x v="16"/>
    <s v="true"/>
    <s v="true"/>
    <x v="0"/>
  </r>
  <r>
    <n v="539"/>
    <d v="2025-03-22T00:00:00"/>
    <s v="3/2025"/>
    <x v="47"/>
    <x v="1437"/>
    <x v="0"/>
    <x v="0"/>
    <x v="363"/>
    <n v="1"/>
    <n v="178"/>
    <n v="178"/>
    <n v="188"/>
    <n v="188"/>
    <m/>
    <n v="28"/>
    <n v="216"/>
    <n v="216"/>
    <n v="0"/>
    <x v="16"/>
    <s v="true"/>
    <s v="true"/>
    <x v="0"/>
  </r>
  <r>
    <n v="539"/>
    <d v="2025-03-22T00:00:00"/>
    <s v="3/2025"/>
    <x v="47"/>
    <x v="1438"/>
    <x v="0"/>
    <x v="0"/>
    <x v="352"/>
    <n v="1"/>
    <n v="123"/>
    <n v="123"/>
    <n v="130"/>
    <n v="130"/>
    <m/>
    <n v="20"/>
    <n v="150"/>
    <n v="150"/>
    <n v="0"/>
    <x v="16"/>
    <s v="true"/>
    <s v="true"/>
    <x v="0"/>
  </r>
  <r>
    <n v="539"/>
    <d v="2025-03-22T00:00:00"/>
    <s v="3/2025"/>
    <x v="47"/>
    <x v="1052"/>
    <x v="0"/>
    <x v="0"/>
    <x v="352"/>
    <n v="1"/>
    <n v="271"/>
    <n v="271"/>
    <n v="286"/>
    <n v="286"/>
    <m/>
    <n v="43"/>
    <n v="329"/>
    <n v="329"/>
    <n v="0"/>
    <x v="16"/>
    <s v="true"/>
    <s v="true"/>
    <x v="0"/>
  </r>
  <r>
    <n v="539"/>
    <d v="2025-03-22T00:00:00"/>
    <s v="3/2025"/>
    <x v="47"/>
    <x v="1439"/>
    <x v="0"/>
    <x v="0"/>
    <x v="363"/>
    <n v="1"/>
    <n v="192"/>
    <n v="192"/>
    <n v="203"/>
    <n v="203"/>
    <m/>
    <n v="30"/>
    <n v="233"/>
    <n v="233"/>
    <n v="0"/>
    <x v="16"/>
    <s v="true"/>
    <s v="true"/>
    <x v="0"/>
  </r>
  <r>
    <n v="539"/>
    <d v="2025-03-22T00:00:00"/>
    <s v="3/2025"/>
    <x v="47"/>
    <x v="1169"/>
    <x v="0"/>
    <x v="0"/>
    <x v="350"/>
    <n v="1"/>
    <n v="442"/>
    <n v="442"/>
    <n v="466"/>
    <n v="466"/>
    <m/>
    <n v="70"/>
    <n v="536"/>
    <n v="536"/>
    <n v="0"/>
    <x v="16"/>
    <s v="true"/>
    <s v="true"/>
    <x v="0"/>
  </r>
  <r>
    <n v="539"/>
    <d v="2025-03-22T00:00:00"/>
    <s v="3/2025"/>
    <x v="47"/>
    <x v="1440"/>
    <x v="0"/>
    <x v="0"/>
    <x v="367"/>
    <n v="1"/>
    <n v="217"/>
    <n v="217"/>
    <n v="229"/>
    <n v="229"/>
    <m/>
    <n v="34"/>
    <n v="263"/>
    <n v="263"/>
    <n v="0"/>
    <x v="16"/>
    <s v="true"/>
    <s v="true"/>
    <x v="0"/>
  </r>
  <r>
    <n v="539"/>
    <d v="2025-03-22T00:00:00"/>
    <s v="3/2025"/>
    <x v="47"/>
    <x v="1409"/>
    <x v="0"/>
    <x v="0"/>
    <x v="350"/>
    <n v="1"/>
    <n v="281"/>
    <n v="281"/>
    <n v="296"/>
    <n v="296"/>
    <m/>
    <n v="44"/>
    <n v="340"/>
    <n v="340"/>
    <n v="0"/>
    <x v="16"/>
    <s v="true"/>
    <s v="true"/>
    <x v="0"/>
  </r>
  <r>
    <n v="539"/>
    <d v="2025-03-22T00:00:00"/>
    <s v="3/2025"/>
    <x v="47"/>
    <x v="1410"/>
    <x v="0"/>
    <x v="0"/>
    <x v="363"/>
    <n v="1"/>
    <n v="317"/>
    <n v="317"/>
    <n v="334"/>
    <n v="334"/>
    <m/>
    <n v="50"/>
    <n v="384"/>
    <n v="384"/>
    <n v="0"/>
    <x v="16"/>
    <s v="true"/>
    <s v="true"/>
    <x v="0"/>
  </r>
  <r>
    <n v="539"/>
    <d v="2025-03-22T00:00:00"/>
    <s v="3/2025"/>
    <x v="47"/>
    <x v="615"/>
    <x v="0"/>
    <x v="0"/>
    <x v="352"/>
    <n v="1"/>
    <n v="374"/>
    <n v="374"/>
    <n v="394"/>
    <n v="394"/>
    <m/>
    <n v="59"/>
    <n v="453"/>
    <n v="453"/>
    <n v="0"/>
    <x v="16"/>
    <s v="true"/>
    <s v="true"/>
    <x v="0"/>
  </r>
  <r>
    <n v="539"/>
    <d v="2025-03-22T00:00:00"/>
    <s v="3/2025"/>
    <x v="47"/>
    <x v="1040"/>
    <x v="0"/>
    <x v="0"/>
    <x v="350"/>
    <n v="1"/>
    <n v="397"/>
    <n v="397"/>
    <n v="418"/>
    <n v="418"/>
    <m/>
    <n v="63"/>
    <n v="481"/>
    <n v="481"/>
    <n v="0"/>
    <x v="16"/>
    <s v="true"/>
    <s v="true"/>
    <x v="0"/>
  </r>
  <r>
    <n v="539"/>
    <d v="2025-03-22T00:00:00"/>
    <s v="3/2025"/>
    <x v="47"/>
    <x v="1441"/>
    <x v="0"/>
    <x v="0"/>
    <x v="350"/>
    <n v="1"/>
    <n v="456"/>
    <n v="456"/>
    <n v="481"/>
    <n v="481"/>
    <m/>
    <n v="72"/>
    <n v="553"/>
    <n v="553"/>
    <n v="0"/>
    <x v="16"/>
    <s v="true"/>
    <s v="true"/>
    <x v="0"/>
  </r>
  <r>
    <n v="539"/>
    <d v="2025-03-22T00:00:00"/>
    <s v="3/2025"/>
    <x v="47"/>
    <x v="1442"/>
    <x v="0"/>
    <x v="0"/>
    <x v="352"/>
    <n v="1"/>
    <n v="384"/>
    <n v="384"/>
    <n v="405"/>
    <n v="405"/>
    <m/>
    <n v="61"/>
    <n v="466"/>
    <n v="466"/>
    <n v="0"/>
    <x v="16"/>
    <s v="true"/>
    <s v="true"/>
    <x v="0"/>
  </r>
  <r>
    <n v="539"/>
    <d v="2025-03-22T00:00:00"/>
    <s v="3/2025"/>
    <x v="47"/>
    <x v="1443"/>
    <x v="0"/>
    <x v="0"/>
    <x v="352"/>
    <n v="1"/>
    <n v="118"/>
    <n v="118"/>
    <n v="125"/>
    <n v="125"/>
    <m/>
    <n v="19"/>
    <n v="144"/>
    <n v="144"/>
    <n v="0"/>
    <x v="16"/>
    <s v="true"/>
    <s v="true"/>
    <x v="0"/>
  </r>
  <r>
    <n v="540"/>
    <d v="2025-03-23T00:00:00"/>
    <s v="3/2025"/>
    <x v="3"/>
    <x v="1444"/>
    <x v="0"/>
    <x v="174"/>
    <x v="341"/>
    <n v="1"/>
    <n v="14400"/>
    <n v="14400"/>
    <n v="14400"/>
    <n v="14400"/>
    <n v="434"/>
    <n v="1440"/>
    <n v="16274"/>
    <n v="16274"/>
    <n v="0"/>
    <x v="18"/>
    <s v="true"/>
    <s v="true"/>
    <x v="0"/>
  </r>
  <r>
    <n v="541"/>
    <d v="2025-03-24T00:00:00"/>
    <s v="3/2025"/>
    <x v="24"/>
    <x v="1445"/>
    <x v="0"/>
    <x v="0"/>
    <x v="367"/>
    <n v="1"/>
    <n v="2678"/>
    <n v="2678"/>
    <n v="2819"/>
    <n v="2819"/>
    <m/>
    <n v="423"/>
    <n v="3242"/>
    <n v="3242"/>
    <n v="0"/>
    <x v="16"/>
    <s v="true"/>
    <s v="true"/>
    <x v="0"/>
  </r>
  <r>
    <n v="541"/>
    <d v="2025-03-24T00:00:00"/>
    <s v="3/2025"/>
    <x v="24"/>
    <x v="1446"/>
    <x v="0"/>
    <x v="0"/>
    <x v="367"/>
    <n v="1"/>
    <n v="730"/>
    <n v="730"/>
    <n v="772"/>
    <n v="772"/>
    <m/>
    <n v="116"/>
    <n v="888"/>
    <n v="888"/>
    <n v="0"/>
    <x v="15"/>
    <s v="true"/>
    <s v="true"/>
    <x v="0"/>
  </r>
  <r>
    <n v="541"/>
    <d v="2025-03-24T00:00:00"/>
    <s v="3/2025"/>
    <x v="24"/>
    <x v="1447"/>
    <x v="0"/>
    <x v="0"/>
    <x v="364"/>
    <n v="1"/>
    <n v="765"/>
    <n v="765"/>
    <n v="822"/>
    <n v="822"/>
    <m/>
    <n v="123"/>
    <n v="945"/>
    <n v="945"/>
    <n v="0"/>
    <x v="15"/>
    <s v="true"/>
    <s v="true"/>
    <x v="0"/>
  </r>
  <r>
    <n v="541"/>
    <d v="2025-03-24T00:00:00"/>
    <s v="3/2025"/>
    <x v="24"/>
    <x v="1448"/>
    <x v="0"/>
    <x v="0"/>
    <x v="363"/>
    <n v="1"/>
    <n v="1116"/>
    <n v="1116"/>
    <n v="1200"/>
    <n v="1200"/>
    <m/>
    <n v="180"/>
    <n v="1380"/>
    <n v="1380"/>
    <n v="0"/>
    <x v="15"/>
    <s v="true"/>
    <s v="true"/>
    <x v="0"/>
  </r>
  <r>
    <n v="541"/>
    <d v="2025-03-24T00:00:00"/>
    <s v="3/2025"/>
    <x v="24"/>
    <x v="1449"/>
    <x v="0"/>
    <x v="0"/>
    <x v="363"/>
    <n v="1"/>
    <n v="409"/>
    <n v="409"/>
    <n v="441"/>
    <n v="441"/>
    <m/>
    <n v="66"/>
    <n v="507"/>
    <n v="507"/>
    <n v="0"/>
    <x v="15"/>
    <s v="true"/>
    <s v="true"/>
    <x v="0"/>
  </r>
  <r>
    <n v="541"/>
    <d v="2025-03-24T00:00:00"/>
    <s v="3/2025"/>
    <x v="24"/>
    <x v="1450"/>
    <x v="0"/>
    <x v="0"/>
    <x v="363"/>
    <n v="1"/>
    <n v="808"/>
    <n v="808"/>
    <n v="870"/>
    <n v="870"/>
    <m/>
    <n v="131"/>
    <n v="1001"/>
    <n v="1001"/>
    <n v="0"/>
    <x v="15"/>
    <s v="true"/>
    <s v="true"/>
    <x v="0"/>
  </r>
  <r>
    <n v="541"/>
    <d v="2025-03-24T00:00:00"/>
    <s v="3/2025"/>
    <x v="24"/>
    <x v="1451"/>
    <x v="0"/>
    <x v="0"/>
    <x v="363"/>
    <n v="1"/>
    <n v="832"/>
    <n v="832"/>
    <n v="881"/>
    <n v="881"/>
    <m/>
    <n v="132"/>
    <n v="1013"/>
    <n v="1013"/>
    <n v="0"/>
    <x v="15"/>
    <s v="true"/>
    <s v="true"/>
    <x v="0"/>
  </r>
  <r>
    <n v="542"/>
    <d v="2025-03-25T00:00:00"/>
    <s v="3/2025"/>
    <x v="47"/>
    <x v="1452"/>
    <x v="0"/>
    <x v="0"/>
    <x v="363"/>
    <n v="1"/>
    <n v="1316"/>
    <n v="1316"/>
    <n v="1386"/>
    <n v="1386"/>
    <m/>
    <n v="208"/>
    <n v="1594"/>
    <n v="1594"/>
    <n v="0"/>
    <x v="16"/>
    <s v="true"/>
    <s v="true"/>
    <x v="0"/>
  </r>
  <r>
    <n v="542"/>
    <d v="2025-03-25T00:00:00"/>
    <s v="3/2025"/>
    <x v="47"/>
    <x v="1453"/>
    <x v="0"/>
    <x v="0"/>
    <x v="363"/>
    <n v="1"/>
    <n v="757"/>
    <n v="757"/>
    <n v="797"/>
    <n v="797"/>
    <m/>
    <n v="120"/>
    <n v="917"/>
    <n v="917"/>
    <n v="0"/>
    <x v="16"/>
    <s v="true"/>
    <s v="true"/>
    <x v="0"/>
  </r>
  <r>
    <n v="542"/>
    <d v="2025-03-25T00:00:00"/>
    <s v="3/2025"/>
    <x v="47"/>
    <x v="1283"/>
    <x v="0"/>
    <x v="0"/>
    <x v="364"/>
    <n v="1"/>
    <n v="365"/>
    <n v="365"/>
    <n v="385"/>
    <n v="385"/>
    <m/>
    <n v="58"/>
    <n v="443"/>
    <n v="443"/>
    <n v="0"/>
    <x v="16"/>
    <s v="true"/>
    <s v="true"/>
    <x v="0"/>
  </r>
  <r>
    <n v="542"/>
    <d v="2025-03-25T00:00:00"/>
    <s v="3/2025"/>
    <x v="47"/>
    <x v="1454"/>
    <x v="0"/>
    <x v="0"/>
    <x v="314"/>
    <n v="1"/>
    <n v="146"/>
    <n v="146"/>
    <n v="154"/>
    <n v="154"/>
    <m/>
    <n v="23"/>
    <n v="177"/>
    <n v="177"/>
    <n v="0"/>
    <x v="16"/>
    <s v="true"/>
    <s v="true"/>
    <x v="0"/>
  </r>
  <r>
    <n v="543"/>
    <d v="2025-03-25T00:00:00"/>
    <s v="3/2025"/>
    <x v="76"/>
    <x v="1455"/>
    <x v="0"/>
    <x v="0"/>
    <x v="364"/>
    <n v="1"/>
    <n v="760"/>
    <n v="760"/>
    <n v="800"/>
    <n v="800"/>
    <m/>
    <n v="80"/>
    <n v="880"/>
    <n v="880"/>
    <n v="0"/>
    <x v="16"/>
    <s v="true"/>
    <s v="true"/>
    <x v="0"/>
  </r>
  <r>
    <n v="543"/>
    <d v="2025-03-25T00:00:00"/>
    <s v="3/2025"/>
    <x v="76"/>
    <x v="1456"/>
    <x v="0"/>
    <x v="0"/>
    <x v="364"/>
    <n v="1"/>
    <n v="364"/>
    <n v="364"/>
    <n v="384"/>
    <n v="384"/>
    <m/>
    <n v="38"/>
    <n v="422"/>
    <n v="422"/>
    <n v="0"/>
    <x v="16"/>
    <s v="true"/>
    <s v="true"/>
    <x v="0"/>
  </r>
  <r>
    <n v="543"/>
    <d v="2025-03-25T00:00:00"/>
    <s v="3/2025"/>
    <x v="76"/>
    <x v="963"/>
    <x v="0"/>
    <x v="0"/>
    <x v="364"/>
    <n v="1"/>
    <n v="2469"/>
    <n v="2469"/>
    <n v="2599"/>
    <n v="2599"/>
    <m/>
    <n v="260"/>
    <n v="2859"/>
    <n v="2859"/>
    <n v="0"/>
    <x v="16"/>
    <s v="true"/>
    <s v="true"/>
    <x v="0"/>
  </r>
  <r>
    <n v="543"/>
    <d v="2025-03-25T00:00:00"/>
    <s v="3/2025"/>
    <x v="76"/>
    <x v="1271"/>
    <x v="0"/>
    <x v="0"/>
    <x v="364"/>
    <n v="1"/>
    <n v="481"/>
    <n v="481"/>
    <n v="507"/>
    <n v="507"/>
    <m/>
    <n v="51"/>
    <n v="558"/>
    <n v="558"/>
    <n v="0"/>
    <x v="16"/>
    <s v="true"/>
    <s v="true"/>
    <x v="0"/>
  </r>
  <r>
    <n v="543"/>
    <d v="2025-03-25T00:00:00"/>
    <s v="3/2025"/>
    <x v="76"/>
    <x v="477"/>
    <x v="0"/>
    <x v="0"/>
    <x v="364"/>
    <n v="1"/>
    <n v="1969"/>
    <n v="1969"/>
    <n v="2073"/>
    <n v="2073"/>
    <m/>
    <n v="207"/>
    <n v="2280"/>
    <n v="2280"/>
    <n v="0"/>
    <x v="16"/>
    <s v="true"/>
    <s v="true"/>
    <x v="0"/>
  </r>
  <r>
    <n v="544"/>
    <d v="2025-03-26T00:00:00"/>
    <s v="3/2025"/>
    <x v="50"/>
    <x v="576"/>
    <x v="0"/>
    <x v="0"/>
    <x v="364"/>
    <n v="1"/>
    <n v="335"/>
    <n v="335"/>
    <n v="353"/>
    <n v="353"/>
    <m/>
    <n v="53"/>
    <n v="406"/>
    <n v="406"/>
    <n v="0"/>
    <x v="16"/>
    <s v="true"/>
    <s v="true"/>
    <x v="0"/>
  </r>
  <r>
    <n v="544"/>
    <d v="2025-03-26T00:00:00"/>
    <s v="3/2025"/>
    <x v="50"/>
    <x v="981"/>
    <x v="0"/>
    <x v="0"/>
    <x v="341"/>
    <n v="1"/>
    <n v="215"/>
    <n v="215"/>
    <n v="227"/>
    <n v="227"/>
    <m/>
    <n v="34"/>
    <n v="261"/>
    <n v="261"/>
    <n v="0"/>
    <x v="16"/>
    <s v="true"/>
    <s v="true"/>
    <x v="0"/>
  </r>
  <r>
    <n v="544"/>
    <d v="2025-03-26T00:00:00"/>
    <s v="3/2025"/>
    <x v="50"/>
    <x v="974"/>
    <x v="0"/>
    <x v="0"/>
    <x v="364"/>
    <n v="1"/>
    <n v="1017"/>
    <n v="1017"/>
    <n v="1071"/>
    <n v="1071"/>
    <m/>
    <n v="161"/>
    <n v="1232"/>
    <n v="1232"/>
    <n v="0"/>
    <x v="16"/>
    <s v="true"/>
    <s v="true"/>
    <x v="0"/>
  </r>
  <r>
    <n v="544"/>
    <d v="2025-03-26T00:00:00"/>
    <s v="3/2025"/>
    <x v="50"/>
    <x v="1251"/>
    <x v="0"/>
    <x v="0"/>
    <x v="364"/>
    <n v="1"/>
    <n v="522"/>
    <n v="522"/>
    <n v="550"/>
    <n v="550"/>
    <m/>
    <n v="83"/>
    <n v="633"/>
    <n v="633"/>
    <n v="0"/>
    <x v="16"/>
    <s v="true"/>
    <s v="true"/>
    <x v="0"/>
  </r>
  <r>
    <n v="544"/>
    <d v="2025-03-26T00:00:00"/>
    <s v="3/2025"/>
    <x v="50"/>
    <x v="1457"/>
    <x v="0"/>
    <x v="0"/>
    <x v="341"/>
    <n v="1"/>
    <n v="871"/>
    <n v="871"/>
    <n v="917"/>
    <n v="917"/>
    <m/>
    <n v="138"/>
    <n v="1055"/>
    <n v="1055"/>
    <n v="0"/>
    <x v="16"/>
    <s v="true"/>
    <s v="true"/>
    <x v="0"/>
  </r>
  <r>
    <n v="544"/>
    <d v="2025-03-26T00:00:00"/>
    <s v="3/2025"/>
    <x v="50"/>
    <x v="1458"/>
    <x v="0"/>
    <x v="0"/>
    <x v="364"/>
    <n v="1"/>
    <n v="290"/>
    <n v="290"/>
    <n v="306"/>
    <n v="306"/>
    <m/>
    <n v="46"/>
    <n v="352"/>
    <n v="352"/>
    <n v="0"/>
    <x v="16"/>
    <s v="true"/>
    <s v="true"/>
    <x v="0"/>
  </r>
  <r>
    <n v="544"/>
    <d v="2025-03-26T00:00:00"/>
    <s v="3/2025"/>
    <x v="50"/>
    <x v="756"/>
    <x v="0"/>
    <x v="0"/>
    <x v="364"/>
    <n v="1"/>
    <n v="343"/>
    <n v="343"/>
    <n v="362"/>
    <n v="362"/>
    <m/>
    <n v="54"/>
    <n v="416"/>
    <n v="416"/>
    <n v="0"/>
    <x v="16"/>
    <s v="true"/>
    <s v="true"/>
    <x v="0"/>
  </r>
  <r>
    <n v="544"/>
    <d v="2025-03-26T00:00:00"/>
    <s v="3/2025"/>
    <x v="50"/>
    <x v="704"/>
    <x v="0"/>
    <x v="0"/>
    <x v="364"/>
    <n v="1"/>
    <n v="600"/>
    <n v="600"/>
    <n v="632"/>
    <n v="632"/>
    <m/>
    <n v="95"/>
    <n v="727"/>
    <n v="727"/>
    <n v="0"/>
    <x v="16"/>
    <s v="true"/>
    <s v="true"/>
    <x v="0"/>
  </r>
  <r>
    <n v="544"/>
    <d v="2025-03-26T00:00:00"/>
    <s v="3/2025"/>
    <x v="50"/>
    <x v="705"/>
    <x v="0"/>
    <x v="0"/>
    <x v="341"/>
    <n v="2"/>
    <n v="265"/>
    <n v="530"/>
    <n v="279"/>
    <n v="558"/>
    <m/>
    <n v="84"/>
    <n v="642"/>
    <n v="642"/>
    <n v="0"/>
    <x v="16"/>
    <s v="true"/>
    <s v="true"/>
    <x v="0"/>
  </r>
  <r>
    <n v="545"/>
    <d v="2025-03-26T00:00:00"/>
    <s v="3/2025"/>
    <x v="112"/>
    <x v="1459"/>
    <x v="0"/>
    <x v="0"/>
    <x v="341"/>
    <n v="1"/>
    <n v="564"/>
    <n v="564"/>
    <n v="594"/>
    <n v="594"/>
    <m/>
    <n v="89"/>
    <n v="683"/>
    <n v="683"/>
    <n v="0"/>
    <x v="16"/>
    <s v="true"/>
    <s v="true"/>
    <x v="0"/>
  </r>
  <r>
    <n v="545"/>
    <d v="2025-03-26T00:00:00"/>
    <s v="3/2025"/>
    <x v="112"/>
    <x v="1460"/>
    <x v="0"/>
    <x v="0"/>
    <x v="341"/>
    <n v="1"/>
    <n v="767"/>
    <n v="767"/>
    <n v="808"/>
    <n v="808"/>
    <m/>
    <n v="121"/>
    <n v="929"/>
    <n v="929"/>
    <n v="0"/>
    <x v="16"/>
    <s v="true"/>
    <s v="true"/>
    <x v="0"/>
  </r>
  <r>
    <n v="545"/>
    <d v="2025-03-26T00:00:00"/>
    <s v="3/2025"/>
    <x v="112"/>
    <x v="1461"/>
    <x v="0"/>
    <x v="0"/>
    <x v="341"/>
    <n v="1"/>
    <n v="811"/>
    <n v="811"/>
    <n v="854"/>
    <n v="854"/>
    <m/>
    <n v="128"/>
    <n v="982"/>
    <n v="982"/>
    <n v="0"/>
    <x v="16"/>
    <s v="true"/>
    <s v="true"/>
    <x v="0"/>
  </r>
  <r>
    <n v="545"/>
    <d v="2025-03-26T00:00:00"/>
    <s v="3/2025"/>
    <x v="112"/>
    <x v="1462"/>
    <x v="0"/>
    <x v="0"/>
    <x v="341"/>
    <n v="1"/>
    <n v="764"/>
    <n v="764"/>
    <n v="805"/>
    <n v="805"/>
    <m/>
    <n v="121"/>
    <n v="926"/>
    <n v="926"/>
    <n v="0"/>
    <x v="16"/>
    <s v="true"/>
    <s v="true"/>
    <x v="0"/>
  </r>
  <r>
    <n v="546"/>
    <d v="2025-03-28T00:00:00"/>
    <s v="3/2025"/>
    <x v="122"/>
    <x v="73"/>
    <x v="0"/>
    <x v="0"/>
    <x v="341"/>
    <n v="1"/>
    <n v="2871"/>
    <n v="2871"/>
    <n v="2871"/>
    <n v="2871"/>
    <m/>
    <n v="431"/>
    <n v="431"/>
    <n v="431"/>
    <n v="0"/>
    <x v="15"/>
    <s v="true"/>
    <s v="true"/>
    <x v="0"/>
  </r>
  <r>
    <n v="525"/>
    <d v="2025-03-15T00:00:00"/>
    <s v="3/2025"/>
    <x v="117"/>
    <x v="1397"/>
    <x v="0"/>
    <x v="0"/>
    <x v="368"/>
    <n v="0"/>
    <n v="227"/>
    <n v="0"/>
    <n v="227"/>
    <n v="0"/>
    <m/>
    <m/>
    <n v="0"/>
    <m/>
    <n v="0"/>
    <x v="15"/>
    <s v="true"/>
    <s v="true"/>
    <x v="0"/>
  </r>
  <r>
    <n v="547"/>
    <d v="2025-03-30T00:00:00"/>
    <s v="3/2025"/>
    <x v="123"/>
    <x v="1463"/>
    <x v="0"/>
    <x v="0"/>
    <x v="369"/>
    <n v="1"/>
    <n v="546"/>
    <n v="546"/>
    <n v="560"/>
    <n v="560"/>
    <m/>
    <n v="84"/>
    <n v="644"/>
    <n v="644"/>
    <n v="0"/>
    <x v="15"/>
    <s v="true"/>
    <s v="true"/>
    <x v="0"/>
  </r>
  <r>
    <n v="547"/>
    <d v="2025-03-30T00:00:00"/>
    <s v="3/2025"/>
    <x v="123"/>
    <x v="1464"/>
    <x v="0"/>
    <x v="0"/>
    <x v="370"/>
    <n v="1"/>
    <n v="1162"/>
    <n v="1162"/>
    <n v="1210"/>
    <n v="1210"/>
    <m/>
    <n v="182"/>
    <n v="1392"/>
    <n v="1392"/>
    <n v="0"/>
    <x v="15"/>
    <s v="true"/>
    <s v="true"/>
    <x v="0"/>
  </r>
  <r>
    <n v="547"/>
    <d v="2025-03-30T00:00:00"/>
    <s v="3/2025"/>
    <x v="123"/>
    <x v="1465"/>
    <x v="0"/>
    <x v="0"/>
    <x v="371"/>
    <n v="1"/>
    <n v="1125"/>
    <n v="1125"/>
    <n v="1183"/>
    <n v="1183"/>
    <m/>
    <n v="177"/>
    <n v="1360"/>
    <n v="1360"/>
    <n v="0"/>
    <x v="15"/>
    <s v="true"/>
    <s v="true"/>
    <x v="0"/>
  </r>
  <r>
    <n v="547"/>
    <d v="2025-03-30T00:00:00"/>
    <s v="3/2025"/>
    <x v="123"/>
    <x v="1464"/>
    <x v="0"/>
    <x v="0"/>
    <x v="369"/>
    <n v="1"/>
    <n v="1089"/>
    <n v="1089"/>
    <n v="1134"/>
    <n v="1134"/>
    <m/>
    <n v="170"/>
    <n v="1304"/>
    <n v="1304"/>
    <n v="0"/>
    <x v="15"/>
    <s v="true"/>
    <s v="true"/>
    <x v="0"/>
  </r>
  <r>
    <n v="547"/>
    <d v="2025-03-30T00:00:00"/>
    <s v="3/2025"/>
    <x v="123"/>
    <x v="1466"/>
    <x v="0"/>
    <x v="0"/>
    <x v="369"/>
    <n v="1"/>
    <n v="2159"/>
    <n v="2159"/>
    <n v="2268"/>
    <n v="2268"/>
    <m/>
    <n v="340"/>
    <n v="2608"/>
    <n v="2608"/>
    <n v="0"/>
    <x v="15"/>
    <s v="true"/>
    <s v="true"/>
    <x v="0"/>
  </r>
  <r>
    <n v="547"/>
    <d v="2025-03-30T00:00:00"/>
    <s v="3/2025"/>
    <x v="123"/>
    <x v="1467"/>
    <x v="0"/>
    <x v="0"/>
    <x v="369"/>
    <n v="1"/>
    <n v="630"/>
    <n v="630"/>
    <n v="678"/>
    <n v="678"/>
    <m/>
    <n v="102"/>
    <n v="780"/>
    <n v="780"/>
    <n v="0"/>
    <x v="15"/>
    <s v="true"/>
    <s v="true"/>
    <x v="0"/>
  </r>
  <r>
    <n v="548"/>
    <d v="2025-03-31T00:00:00"/>
    <s v="3/2025"/>
    <x v="24"/>
    <x v="543"/>
    <x v="0"/>
    <x v="0"/>
    <x v="372"/>
    <n v="1"/>
    <n v="432"/>
    <n v="432"/>
    <n v="455"/>
    <n v="455"/>
    <m/>
    <n v="67"/>
    <n v="522"/>
    <n v="522"/>
    <n v="0"/>
    <x v="16"/>
    <s v="true"/>
    <s v="true"/>
    <x v="0"/>
  </r>
  <r>
    <n v="548"/>
    <d v="2025-03-31T00:00:00"/>
    <s v="3/2025"/>
    <x v="24"/>
    <x v="1468"/>
    <x v="0"/>
    <x v="0"/>
    <x v="372"/>
    <n v="1"/>
    <n v="390"/>
    <n v="390"/>
    <n v="420"/>
    <n v="420"/>
    <m/>
    <n v="67"/>
    <n v="487"/>
    <n v="487"/>
    <n v="0"/>
    <x v="15"/>
    <s v="true"/>
    <s v="true"/>
    <x v="0"/>
  </r>
  <r>
    <n v="548"/>
    <d v="2025-03-31T00:00:00"/>
    <s v="3/2025"/>
    <x v="24"/>
    <x v="1469"/>
    <x v="0"/>
    <x v="0"/>
    <x v="370"/>
    <n v="1"/>
    <n v="322"/>
    <n v="322"/>
    <n v="331"/>
    <n v="331"/>
    <m/>
    <n v="67"/>
    <n v="398"/>
    <n v="398"/>
    <n v="0"/>
    <x v="15"/>
    <s v="true"/>
    <s v="true"/>
    <x v="0"/>
  </r>
  <r>
    <n v="549"/>
    <d v="2025-03-31T00:00:00"/>
    <s v="3/2025"/>
    <x v="124"/>
    <x v="257"/>
    <x v="0"/>
    <x v="175"/>
    <x v="360"/>
    <n v="1"/>
    <n v="2200"/>
    <n v="2200"/>
    <n v="2200"/>
    <n v="2200"/>
    <n v="520"/>
    <n v="330"/>
    <n v="850"/>
    <n v="850"/>
    <n v="0"/>
    <x v="20"/>
    <s v="true"/>
    <s v="true"/>
    <x v="0"/>
  </r>
  <r>
    <n v="550"/>
    <d v="2025-04-02T00:00:00"/>
    <s v="4/2025"/>
    <x v="104"/>
    <x v="1470"/>
    <x v="0"/>
    <x v="0"/>
    <x v="373"/>
    <n v="1"/>
    <n v="1795"/>
    <n v="1795"/>
    <n v="1890"/>
    <n v="1890"/>
    <m/>
    <n v="284"/>
    <n v="2174"/>
    <n v="2174"/>
    <n v="0"/>
    <x v="16"/>
    <s v="true"/>
    <s v="true"/>
    <x v="0"/>
  </r>
  <r>
    <n v="550"/>
    <d v="2025-04-02T00:00:00"/>
    <s v="4/2025"/>
    <x v="104"/>
    <x v="1471"/>
    <x v="0"/>
    <x v="0"/>
    <x v="370"/>
    <n v="1"/>
    <n v="296"/>
    <n v="296"/>
    <n v="312"/>
    <n v="312"/>
    <m/>
    <n v="47"/>
    <n v="359"/>
    <n v="359"/>
    <n v="0"/>
    <x v="16"/>
    <s v="true"/>
    <s v="true"/>
    <x v="0"/>
  </r>
  <r>
    <n v="550"/>
    <d v="2025-04-02T00:00:00"/>
    <s v="4/2025"/>
    <x v="104"/>
    <x v="1472"/>
    <x v="0"/>
    <x v="0"/>
    <x v="373"/>
    <n v="1"/>
    <n v="582"/>
    <n v="582"/>
    <n v="613"/>
    <n v="613"/>
    <m/>
    <n v="92"/>
    <n v="705"/>
    <n v="705"/>
    <n v="0"/>
    <x v="16"/>
    <s v="true"/>
    <s v="true"/>
    <x v="0"/>
  </r>
  <r>
    <n v="550"/>
    <d v="2025-04-02T00:00:00"/>
    <s v="4/2025"/>
    <x v="104"/>
    <x v="1473"/>
    <x v="0"/>
    <x v="0"/>
    <x v="370"/>
    <n v="1"/>
    <n v="197"/>
    <n v="197"/>
    <n v="208"/>
    <n v="208"/>
    <m/>
    <n v="31"/>
    <n v="239"/>
    <n v="239"/>
    <n v="0"/>
    <x v="16"/>
    <s v="true"/>
    <s v="true"/>
    <x v="0"/>
  </r>
  <r>
    <n v="551"/>
    <d v="2025-04-02T00:00:00"/>
    <s v="4/2025"/>
    <x v="109"/>
    <x v="257"/>
    <x v="0"/>
    <x v="176"/>
    <x v="24"/>
    <n v="1"/>
    <n v="7840"/>
    <n v="7840"/>
    <n v="7840"/>
    <n v="7840"/>
    <n v="7840"/>
    <n v="784"/>
    <n v="8624"/>
    <n v="8624"/>
    <n v="0"/>
    <x v="20"/>
    <s v="true"/>
    <s v="true"/>
    <x v="0"/>
  </r>
  <r>
    <n v="552"/>
    <d v="2025-04-03T00:00:00"/>
    <s v="4/2025"/>
    <x v="26"/>
    <x v="257"/>
    <x v="0"/>
    <x v="177"/>
    <x v="373"/>
    <n v="1"/>
    <n v="4300"/>
    <n v="4300"/>
    <n v="4300"/>
    <n v="4300"/>
    <m/>
    <n v="430"/>
    <n v="430"/>
    <n v="430"/>
    <n v="0"/>
    <x v="18"/>
    <s v="true"/>
    <s v="true"/>
    <x v="0"/>
  </r>
  <r>
    <n v="553"/>
    <d v="2025-04-03T00:00:00"/>
    <s v="4/2025"/>
    <x v="26"/>
    <x v="257"/>
    <x v="0"/>
    <x v="178"/>
    <x v="373"/>
    <n v="1"/>
    <n v="250"/>
    <n v="250"/>
    <n v="250"/>
    <n v="250"/>
    <m/>
    <n v="200"/>
    <n v="200"/>
    <n v="200"/>
    <n v="0"/>
    <x v="18"/>
    <s v="true"/>
    <s v="true"/>
    <x v="0"/>
  </r>
  <r>
    <n v="554"/>
    <d v="2025-04-03T00:00:00"/>
    <s v="4/2025"/>
    <x v="26"/>
    <x v="257"/>
    <x v="0"/>
    <x v="179"/>
    <x v="374"/>
    <n v="1"/>
    <n v="4600"/>
    <n v="4600"/>
    <n v="4600"/>
    <n v="4600"/>
    <m/>
    <n v="460"/>
    <n v="460"/>
    <n v="460"/>
    <n v="0"/>
    <x v="18"/>
    <s v="true"/>
    <s v="true"/>
    <x v="0"/>
  </r>
  <r>
    <n v="555"/>
    <d v="2025-04-04T00:00:00"/>
    <s v="4/2025"/>
    <x v="80"/>
    <x v="257"/>
    <x v="0"/>
    <x v="180"/>
    <x v="373"/>
    <n v="1"/>
    <n v="1000"/>
    <n v="1000"/>
    <n v="1000"/>
    <n v="1000"/>
    <m/>
    <n v="150"/>
    <n v="150"/>
    <n v="150"/>
    <n v="0"/>
    <x v="19"/>
    <s v="true"/>
    <s v="true"/>
    <x v="0"/>
  </r>
  <r>
    <n v="555"/>
    <d v="2025-04-04T00:00:00"/>
    <s v="4/2025"/>
    <x v="80"/>
    <x v="257"/>
    <x v="0"/>
    <x v="181"/>
    <x v="373"/>
    <n v="1"/>
    <n v="1100"/>
    <n v="1100"/>
    <n v="1100"/>
    <n v="1100"/>
    <m/>
    <n v="165"/>
    <n v="165"/>
    <n v="165"/>
    <n v="0"/>
    <x v="19"/>
    <s v="true"/>
    <s v="true"/>
    <x v="0"/>
  </r>
  <r>
    <n v="557"/>
    <d v="2025-04-04T00:00:00"/>
    <s v="4/2025"/>
    <x v="39"/>
    <x v="257"/>
    <x v="0"/>
    <x v="182"/>
    <x v="365"/>
    <n v="1"/>
    <n v="23100"/>
    <n v="23100"/>
    <n v="23100"/>
    <n v="23100"/>
    <m/>
    <n v="2310"/>
    <n v="2310"/>
    <n v="2310"/>
    <n v="0"/>
    <x v="20"/>
    <s v="true"/>
    <s v="true"/>
    <x v="0"/>
  </r>
  <r>
    <n v="558"/>
    <d v="2025-04-04T00:00:00"/>
    <s v="4/2025"/>
    <x v="27"/>
    <x v="73"/>
    <x v="0"/>
    <x v="0"/>
    <x v="373"/>
    <n v="1"/>
    <n v="8700"/>
    <n v="8700"/>
    <n v="8700"/>
    <n v="8700"/>
    <m/>
    <n v="870"/>
    <n v="870"/>
    <n v="870"/>
    <n v="0"/>
    <x v="16"/>
    <s v="true"/>
    <s v="true"/>
    <x v="0"/>
  </r>
  <r>
    <n v="559"/>
    <d v="2025-04-04T00:00:00"/>
    <s v="4/2025"/>
    <x v="79"/>
    <x v="73"/>
    <x v="0"/>
    <x v="0"/>
    <x v="373"/>
    <n v="1"/>
    <n v="1303"/>
    <n v="1303"/>
    <n v="1303"/>
    <n v="1303"/>
    <m/>
    <n v="200"/>
    <n v="200"/>
    <n v="200"/>
    <n v="0"/>
    <x v="16"/>
    <s v="true"/>
    <s v="true"/>
    <x v="0"/>
  </r>
  <r>
    <n v="560"/>
    <d v="2025-04-04T00:00:00"/>
    <s v="4/2025"/>
    <x v="125"/>
    <x v="73"/>
    <x v="0"/>
    <x v="0"/>
    <x v="373"/>
    <n v="1"/>
    <n v="440"/>
    <n v="440"/>
    <n v="440"/>
    <n v="440"/>
    <m/>
    <n v="200"/>
    <n v="200"/>
    <n v="200"/>
    <n v="0"/>
    <x v="15"/>
    <s v="true"/>
    <s v="true"/>
    <x v="0"/>
  </r>
  <r>
    <n v="561"/>
    <d v="2025-04-07T00:00:00"/>
    <s v="4/2025"/>
    <x v="114"/>
    <x v="1153"/>
    <x v="0"/>
    <x v="0"/>
    <x v="375"/>
    <n v="1"/>
    <n v="754"/>
    <n v="754"/>
    <n v="794"/>
    <n v="794"/>
    <m/>
    <n v="119"/>
    <n v="913"/>
    <n v="913"/>
    <n v="0"/>
    <x v="16"/>
    <s v="true"/>
    <s v="true"/>
    <x v="0"/>
  </r>
  <r>
    <n v="561"/>
    <d v="2025-04-07T00:00:00"/>
    <s v="4/2025"/>
    <x v="114"/>
    <x v="1379"/>
    <x v="0"/>
    <x v="0"/>
    <x v="375"/>
    <n v="1"/>
    <n v="790"/>
    <n v="790"/>
    <n v="832"/>
    <n v="832"/>
    <m/>
    <n v="125"/>
    <n v="957"/>
    <n v="957"/>
    <n v="0"/>
    <x v="16"/>
    <s v="true"/>
    <s v="true"/>
    <x v="0"/>
  </r>
  <r>
    <n v="561"/>
    <d v="2025-04-07T00:00:00"/>
    <s v="4/2025"/>
    <x v="114"/>
    <x v="1474"/>
    <x v="0"/>
    <x v="0"/>
    <x v="376"/>
    <n v="1"/>
    <n v="1266"/>
    <n v="1266"/>
    <n v="1333"/>
    <n v="1333"/>
    <m/>
    <n v="200"/>
    <n v="1533"/>
    <n v="1533"/>
    <n v="0"/>
    <x v="16"/>
    <s v="true"/>
    <s v="true"/>
    <x v="0"/>
  </r>
  <r>
    <n v="561"/>
    <d v="2025-04-07T00:00:00"/>
    <s v="4/2025"/>
    <x v="114"/>
    <x v="1475"/>
    <x v="0"/>
    <x v="0"/>
    <x v="376"/>
    <n v="1"/>
    <n v="377"/>
    <n v="377"/>
    <n v="397"/>
    <n v="397"/>
    <m/>
    <n v="60"/>
    <n v="457"/>
    <n v="457"/>
    <n v="0"/>
    <x v="16"/>
    <s v="true"/>
    <s v="true"/>
    <x v="0"/>
  </r>
  <r>
    <n v="562"/>
    <d v="2025-04-07T00:00:00"/>
    <s v="4/2025"/>
    <x v="47"/>
    <x v="1476"/>
    <x v="0"/>
    <x v="0"/>
    <x v="376"/>
    <n v="1"/>
    <n v="353"/>
    <n v="353"/>
    <n v="372"/>
    <n v="372"/>
    <m/>
    <n v="56"/>
    <n v="428"/>
    <n v="428"/>
    <n v="0"/>
    <x v="16"/>
    <s v="true"/>
    <s v="true"/>
    <x v="0"/>
  </r>
  <r>
    <n v="562"/>
    <d v="2025-04-07T00:00:00"/>
    <s v="4/2025"/>
    <x v="47"/>
    <x v="1477"/>
    <x v="0"/>
    <x v="0"/>
    <x v="375"/>
    <n v="1"/>
    <n v="369"/>
    <n v="369"/>
    <n v="389"/>
    <n v="389"/>
    <m/>
    <n v="58"/>
    <n v="447"/>
    <n v="447"/>
    <n v="0"/>
    <x v="16"/>
    <s v="true"/>
    <s v="true"/>
    <x v="0"/>
  </r>
  <r>
    <n v="562"/>
    <d v="2025-04-07T00:00:00"/>
    <s v="4/2025"/>
    <x v="47"/>
    <x v="753"/>
    <x v="0"/>
    <x v="0"/>
    <x v="376"/>
    <n v="1"/>
    <n v="265"/>
    <n v="265"/>
    <n v="279"/>
    <n v="279"/>
    <m/>
    <n v="42"/>
    <n v="321"/>
    <n v="321"/>
    <n v="0"/>
    <x v="16"/>
    <s v="true"/>
    <s v="true"/>
    <x v="0"/>
  </r>
  <r>
    <n v="562"/>
    <d v="2025-04-07T00:00:00"/>
    <s v="4/2025"/>
    <x v="47"/>
    <x v="1194"/>
    <x v="0"/>
    <x v="0"/>
    <x v="377"/>
    <n v="1"/>
    <n v="456"/>
    <n v="456"/>
    <n v="480"/>
    <n v="480"/>
    <m/>
    <n v="72"/>
    <n v="552"/>
    <n v="552"/>
    <n v="0"/>
    <x v="16"/>
    <s v="true"/>
    <s v="true"/>
    <x v="0"/>
  </r>
  <r>
    <n v="562"/>
    <d v="2025-04-07T00:00:00"/>
    <s v="4/2025"/>
    <x v="47"/>
    <x v="1478"/>
    <x v="0"/>
    <x v="0"/>
    <x v="375"/>
    <n v="1"/>
    <n v="286"/>
    <n v="286"/>
    <n v="302"/>
    <n v="302"/>
    <m/>
    <n v="45"/>
    <n v="347"/>
    <n v="347"/>
    <n v="0"/>
    <x v="16"/>
    <s v="true"/>
    <s v="true"/>
    <x v="0"/>
  </r>
  <r>
    <n v="562"/>
    <d v="2025-04-07T00:00:00"/>
    <s v="4/2025"/>
    <x v="47"/>
    <x v="1414"/>
    <x v="0"/>
    <x v="0"/>
    <x v="377"/>
    <n v="1"/>
    <n v="162"/>
    <n v="162"/>
    <n v="171"/>
    <n v="171"/>
    <m/>
    <n v="26"/>
    <n v="197"/>
    <n v="197"/>
    <n v="0"/>
    <x v="16"/>
    <s v="true"/>
    <s v="true"/>
    <x v="0"/>
  </r>
  <r>
    <n v="562"/>
    <d v="2025-04-07T00:00:00"/>
    <s v="4/2025"/>
    <x v="47"/>
    <x v="1479"/>
    <x v="0"/>
    <x v="0"/>
    <x v="375"/>
    <n v="1"/>
    <n v="309"/>
    <n v="309"/>
    <n v="326"/>
    <n v="326"/>
    <m/>
    <n v="49"/>
    <n v="375"/>
    <n v="375"/>
    <n v="0"/>
    <x v="16"/>
    <s v="true"/>
    <s v="true"/>
    <x v="0"/>
  </r>
  <r>
    <n v="562"/>
    <d v="2025-04-07T00:00:00"/>
    <s v="4/2025"/>
    <x v="47"/>
    <x v="1480"/>
    <x v="0"/>
    <x v="0"/>
    <x v="377"/>
    <n v="1"/>
    <n v="513"/>
    <n v="513"/>
    <n v="540"/>
    <n v="540"/>
    <m/>
    <n v="81"/>
    <n v="621"/>
    <n v="621"/>
    <n v="0"/>
    <x v="16"/>
    <s v="true"/>
    <s v="true"/>
    <x v="0"/>
  </r>
  <r>
    <n v="562"/>
    <d v="2025-04-07T00:00:00"/>
    <s v="4/2025"/>
    <x v="47"/>
    <x v="1481"/>
    <x v="0"/>
    <x v="0"/>
    <x v="378"/>
    <n v="1"/>
    <n v="372"/>
    <n v="372"/>
    <n v="392"/>
    <n v="392"/>
    <m/>
    <n v="59"/>
    <n v="451"/>
    <n v="451"/>
    <n v="0"/>
    <x v="16"/>
    <s v="true"/>
    <s v="true"/>
    <x v="1"/>
  </r>
  <r>
    <n v="562"/>
    <d v="2025-04-07T00:00:00"/>
    <s v="4/2025"/>
    <x v="47"/>
    <x v="1482"/>
    <x v="0"/>
    <x v="0"/>
    <x v="376"/>
    <n v="1"/>
    <n v="703"/>
    <n v="703"/>
    <n v="741"/>
    <n v="741"/>
    <m/>
    <n v="111"/>
    <n v="852"/>
    <n v="852"/>
    <n v="0"/>
    <x v="16"/>
    <s v="true"/>
    <s v="true"/>
    <x v="0"/>
  </r>
  <r>
    <n v="563"/>
    <d v="2025-04-07T00:00:00"/>
    <s v="4/2025"/>
    <x v="85"/>
    <x v="1405"/>
    <x v="1"/>
    <x v="0"/>
    <x v="379"/>
    <n v="1"/>
    <n v="971"/>
    <n v="971"/>
    <n v="1023"/>
    <n v="1023"/>
    <m/>
    <n v="153"/>
    <n v="1176"/>
    <n v="1176"/>
    <n v="0"/>
    <x v="16"/>
    <s v="true"/>
    <s v="true"/>
    <x v="1"/>
  </r>
  <r>
    <n v="563"/>
    <d v="2025-04-07T00:00:00"/>
    <s v="4/2025"/>
    <x v="85"/>
    <x v="1483"/>
    <x v="0"/>
    <x v="0"/>
    <x v="376"/>
    <n v="1"/>
    <n v="314"/>
    <n v="314"/>
    <n v="331"/>
    <n v="331"/>
    <m/>
    <n v="50"/>
    <n v="381"/>
    <n v="381"/>
    <n v="0"/>
    <x v="16"/>
    <s v="true"/>
    <s v="true"/>
    <x v="0"/>
  </r>
  <r>
    <n v="563"/>
    <d v="2025-04-07T00:00:00"/>
    <s v="4/2025"/>
    <x v="85"/>
    <x v="1484"/>
    <x v="0"/>
    <x v="0"/>
    <x v="380"/>
    <n v="1"/>
    <n v="177"/>
    <n v="177"/>
    <n v="187"/>
    <n v="187"/>
    <m/>
    <n v="28"/>
    <n v="215"/>
    <n v="215"/>
    <n v="0"/>
    <x v="16"/>
    <s v="true"/>
    <s v="true"/>
    <x v="1"/>
  </r>
  <r>
    <n v="563"/>
    <d v="2025-04-07T00:00:00"/>
    <s v="4/2025"/>
    <x v="85"/>
    <x v="1485"/>
    <x v="0"/>
    <x v="0"/>
    <x v="365"/>
    <n v="1"/>
    <n v="171"/>
    <n v="171"/>
    <n v="180"/>
    <n v="180"/>
    <m/>
    <n v="27"/>
    <n v="207"/>
    <n v="207"/>
    <n v="0"/>
    <x v="16"/>
    <s v="true"/>
    <s v="true"/>
    <x v="0"/>
  </r>
  <r>
    <n v="564"/>
    <d v="2025-04-08T00:00:00"/>
    <s v="4/2025"/>
    <x v="109"/>
    <x v="257"/>
    <x v="0"/>
    <x v="183"/>
    <x v="381"/>
    <n v="1"/>
    <n v="2180"/>
    <n v="2180"/>
    <n v="2180"/>
    <n v="2180"/>
    <n v="2180"/>
    <n v="327"/>
    <n v="2507"/>
    <n v="2507"/>
    <n v="0"/>
    <x v="20"/>
    <s v="true"/>
    <s v="true"/>
    <x v="0"/>
  </r>
  <r>
    <n v="550"/>
    <d v="2025-04-02T00:00:00"/>
    <s v="4/2025"/>
    <x v="104"/>
    <x v="1435"/>
    <x v="0"/>
    <x v="0"/>
    <x v="373"/>
    <n v="1"/>
    <n v="495"/>
    <n v="495"/>
    <n v="522"/>
    <n v="522"/>
    <m/>
    <n v="78"/>
    <n v="600"/>
    <n v="600"/>
    <n v="0"/>
    <x v="16"/>
    <s v="true"/>
    <s v="true"/>
    <x v="0"/>
  </r>
  <r>
    <n v="565"/>
    <d v="2025-04-09T00:00:00"/>
    <s v="4/2025"/>
    <x v="73"/>
    <x v="1486"/>
    <x v="0"/>
    <x v="0"/>
    <x v="365"/>
    <n v="1"/>
    <n v="167"/>
    <n v="167"/>
    <n v="172"/>
    <n v="172"/>
    <m/>
    <n v="26"/>
    <n v="198"/>
    <n v="198"/>
    <n v="0"/>
    <x v="15"/>
    <s v="true"/>
    <s v="true"/>
    <x v="1"/>
  </r>
  <r>
    <n v="565"/>
    <d v="2025-04-09T00:00:00"/>
    <s v="4/2025"/>
    <x v="73"/>
    <x v="1487"/>
    <x v="0"/>
    <x v="0"/>
    <x v="365"/>
    <n v="1"/>
    <n v="157"/>
    <n v="157"/>
    <n v="161"/>
    <n v="161"/>
    <m/>
    <n v="24"/>
    <n v="185"/>
    <n v="185"/>
    <n v="0"/>
    <x v="15"/>
    <s v="true"/>
    <s v="true"/>
    <x v="1"/>
  </r>
  <r>
    <n v="565"/>
    <d v="2025-04-09T00:00:00"/>
    <s v="4/2025"/>
    <x v="73"/>
    <x v="818"/>
    <x v="1"/>
    <x v="0"/>
    <x v="379"/>
    <n v="1"/>
    <n v="2436"/>
    <n v="2436"/>
    <n v="2629"/>
    <n v="2629"/>
    <m/>
    <n v="394"/>
    <n v="3023"/>
    <n v="3023"/>
    <n v="0"/>
    <x v="15"/>
    <s v="true"/>
    <s v="true"/>
    <x v="1"/>
  </r>
  <r>
    <n v="565"/>
    <d v="2025-04-09T00:00:00"/>
    <s v="4/2025"/>
    <x v="73"/>
    <x v="1488"/>
    <x v="0"/>
    <x v="0"/>
    <x v="365"/>
    <n v="1"/>
    <n v="362"/>
    <n v="362"/>
    <n v="372"/>
    <n v="372"/>
    <m/>
    <n v="56"/>
    <n v="428"/>
    <n v="428"/>
    <n v="0"/>
    <x v="15"/>
    <s v="true"/>
    <s v="true"/>
    <x v="1"/>
  </r>
  <r>
    <n v="565"/>
    <d v="2025-04-09T00:00:00"/>
    <s v="4/2025"/>
    <x v="73"/>
    <x v="1487"/>
    <x v="0"/>
    <x v="0"/>
    <x v="365"/>
    <n v="1"/>
    <n v="106"/>
    <n v="106"/>
    <n v="109"/>
    <n v="109"/>
    <m/>
    <n v="16"/>
    <n v="125"/>
    <n v="125"/>
    <n v="0"/>
    <x v="15"/>
    <s v="true"/>
    <s v="true"/>
    <x v="1"/>
  </r>
  <r>
    <n v="565"/>
    <d v="2025-04-09T00:00:00"/>
    <s v="4/2025"/>
    <x v="73"/>
    <x v="1489"/>
    <x v="1"/>
    <x v="0"/>
    <x v="382"/>
    <n v="1"/>
    <n v="548"/>
    <n v="548"/>
    <n v="549"/>
    <n v="549"/>
    <m/>
    <n v="82"/>
    <n v="631"/>
    <n v="631"/>
    <n v="0"/>
    <x v="15"/>
    <s v="true"/>
    <s v="true"/>
    <x v="1"/>
  </r>
  <r>
    <n v="565"/>
    <d v="2025-04-09T00:00:00"/>
    <s v="4/2025"/>
    <x v="73"/>
    <x v="1490"/>
    <x v="1"/>
    <x v="0"/>
    <x v="383"/>
    <n v="1"/>
    <n v="1069"/>
    <n v="1069"/>
    <n v="1142"/>
    <n v="1142"/>
    <m/>
    <n v="171"/>
    <n v="1313"/>
    <n v="1313"/>
    <n v="0"/>
    <x v="15"/>
    <s v="true"/>
    <s v="true"/>
    <x v="1"/>
  </r>
  <r>
    <n v="566"/>
    <d v="2025-04-08T00:00:00"/>
    <s v="4/2025"/>
    <x v="126"/>
    <x v="1284"/>
    <x v="0"/>
    <x v="0"/>
    <x v="365"/>
    <n v="1"/>
    <n v="840"/>
    <n v="840"/>
    <n v="923"/>
    <n v="923"/>
    <m/>
    <n v="200"/>
    <n v="1123"/>
    <n v="1123"/>
    <n v="0"/>
    <x v="15"/>
    <s v="true"/>
    <s v="true"/>
    <x v="0"/>
  </r>
  <r>
    <n v="567"/>
    <d v="2025-04-11T00:00:00"/>
    <s v="4/2025"/>
    <x v="73"/>
    <x v="1491"/>
    <x v="0"/>
    <x v="0"/>
    <x v="384"/>
    <n v="1"/>
    <n v="1055"/>
    <n v="1055"/>
    <n v="1132"/>
    <n v="1132"/>
    <m/>
    <n v="170"/>
    <n v="1302"/>
    <n v="1302"/>
    <n v="0"/>
    <x v="15"/>
    <s v="true"/>
    <s v="true"/>
    <x v="1"/>
  </r>
  <r>
    <n v="567"/>
    <d v="2025-04-11T00:00:00"/>
    <s v="4/2025"/>
    <x v="73"/>
    <x v="1492"/>
    <x v="0"/>
    <x v="0"/>
    <x v="385"/>
    <n v="1"/>
    <n v="845"/>
    <n v="845"/>
    <n v="908"/>
    <n v="908"/>
    <m/>
    <n v="136"/>
    <n v="1044"/>
    <n v="1044"/>
    <n v="0"/>
    <x v="15"/>
    <s v="true"/>
    <s v="true"/>
    <x v="1"/>
  </r>
  <r>
    <n v="568"/>
    <d v="2025-04-11T00:00:00"/>
    <s v="4/2025"/>
    <x v="67"/>
    <x v="73"/>
    <x v="0"/>
    <x v="0"/>
    <x v="365"/>
    <n v="1"/>
    <m/>
    <n v="0"/>
    <n v="2317"/>
    <n v="2317"/>
    <m/>
    <n v="348"/>
    <n v="348"/>
    <n v="348"/>
    <n v="0"/>
    <x v="15"/>
    <s v="true"/>
    <s v="true"/>
    <x v="0"/>
  </r>
  <r>
    <n v="569"/>
    <d v="2025-04-11T00:00:00"/>
    <s v="4/2025"/>
    <x v="64"/>
    <x v="73"/>
    <x v="0"/>
    <x v="0"/>
    <x v="365"/>
    <n v="1"/>
    <m/>
    <n v="0"/>
    <n v="1419"/>
    <n v="1419"/>
    <m/>
    <n v="200"/>
    <n v="200"/>
    <n v="200"/>
    <n v="0"/>
    <x v="15"/>
    <s v="true"/>
    <s v="true"/>
    <x v="0"/>
  </r>
  <r>
    <n v="570"/>
    <d v="2025-04-13T00:00:00"/>
    <s v="4/2025"/>
    <x v="123"/>
    <x v="1493"/>
    <x v="0"/>
    <x v="0"/>
    <x v="384"/>
    <n v="1"/>
    <n v="1882"/>
    <n v="1882"/>
    <n v="1930"/>
    <n v="1930"/>
    <m/>
    <n v="290"/>
    <n v="2220"/>
    <n v="2220"/>
    <n v="0"/>
    <x v="15"/>
    <s v="true"/>
    <s v="true"/>
    <x v="1"/>
  </r>
  <r>
    <n v="570"/>
    <d v="2025-04-13T00:00:00"/>
    <s v="4/2025"/>
    <x v="123"/>
    <x v="963"/>
    <x v="0"/>
    <x v="0"/>
    <x v="384"/>
    <n v="1"/>
    <n v="4211"/>
    <n v="4211"/>
    <n v="4425"/>
    <n v="4425"/>
    <m/>
    <n v="664"/>
    <n v="5089"/>
    <n v="5089"/>
    <n v="0"/>
    <x v="15"/>
    <s v="true"/>
    <s v="true"/>
    <x v="1"/>
  </r>
  <r>
    <n v="570"/>
    <d v="2025-04-13T00:00:00"/>
    <s v="4/2025"/>
    <x v="123"/>
    <x v="1494"/>
    <x v="0"/>
    <x v="0"/>
    <x v="384"/>
    <n v="1"/>
    <n v="653"/>
    <n v="653"/>
    <n v="699"/>
    <n v="699"/>
    <m/>
    <n v="105"/>
    <n v="804"/>
    <n v="804"/>
    <n v="0"/>
    <x v="15"/>
    <s v="true"/>
    <s v="true"/>
    <x v="1"/>
  </r>
  <r>
    <n v="570"/>
    <d v="2025-04-13T00:00:00"/>
    <s v="4/2025"/>
    <x v="123"/>
    <x v="1495"/>
    <x v="0"/>
    <x v="0"/>
    <x v="384"/>
    <n v="1"/>
    <n v="1570"/>
    <n v="1570"/>
    <n v="1648"/>
    <n v="1648"/>
    <m/>
    <n v="247"/>
    <n v="1895"/>
    <n v="1895"/>
    <n v="0"/>
    <x v="15"/>
    <s v="true"/>
    <s v="true"/>
    <x v="1"/>
  </r>
  <r>
    <n v="571"/>
    <d v="2025-04-14T00:00:00"/>
    <s v="4/2025"/>
    <x v="109"/>
    <x v="257"/>
    <x v="0"/>
    <x v="184"/>
    <x v="386"/>
    <n v="1"/>
    <n v="2600"/>
    <n v="2600"/>
    <n v="2600"/>
    <n v="2600"/>
    <n v="750"/>
    <n v="390"/>
    <n v="1140"/>
    <n v="1140"/>
    <n v="0"/>
    <x v="20"/>
    <s v="true"/>
    <s v="true"/>
    <x v="1"/>
  </r>
  <r>
    <n v="572"/>
    <d v="2025-04-13T00:00:00"/>
    <s v="4/2025"/>
    <x v="117"/>
    <x v="1397"/>
    <x v="1"/>
    <x v="0"/>
    <x v="379"/>
    <n v="1"/>
    <n v="322"/>
    <n v="322"/>
    <n v="322"/>
    <n v="322"/>
    <m/>
    <n v="200"/>
    <n v="522"/>
    <m/>
    <n v="522"/>
    <x v="22"/>
    <s v="true"/>
    <s v="false"/>
    <x v="1"/>
  </r>
  <r>
    <n v="573"/>
    <d v="2025-04-17T00:00:00"/>
    <s v="4/2025"/>
    <x v="73"/>
    <x v="1496"/>
    <x v="1"/>
    <x v="0"/>
    <x v="387"/>
    <n v="1"/>
    <n v="1582"/>
    <n v="1582"/>
    <n v="1696"/>
    <n v="1696"/>
    <m/>
    <n v="254"/>
    <n v="1950"/>
    <n v="1950"/>
    <n v="0"/>
    <x v="15"/>
    <s v="true"/>
    <s v="true"/>
    <x v="1"/>
  </r>
  <r>
    <n v="573"/>
    <d v="2025-04-17T00:00:00"/>
    <s v="4/2025"/>
    <x v="73"/>
    <x v="1497"/>
    <x v="1"/>
    <x v="0"/>
    <x v="388"/>
    <n v="1"/>
    <n v="330"/>
    <n v="330"/>
    <n v="342"/>
    <n v="342"/>
    <m/>
    <n v="51"/>
    <n v="393"/>
    <n v="393"/>
    <n v="0"/>
    <x v="15"/>
    <s v="true"/>
    <s v="true"/>
    <x v="1"/>
  </r>
  <r>
    <n v="573"/>
    <d v="2025-04-17T00:00:00"/>
    <s v="4/2025"/>
    <x v="73"/>
    <x v="1145"/>
    <x v="1"/>
    <x v="0"/>
    <x v="386"/>
    <n v="1"/>
    <n v="3878"/>
    <n v="3878"/>
    <n v="4116"/>
    <n v="4116"/>
    <m/>
    <n v="617"/>
    <n v="4733"/>
    <n v="4733"/>
    <n v="0"/>
    <x v="15"/>
    <s v="true"/>
    <s v="true"/>
    <x v="1"/>
  </r>
  <r>
    <n v="574"/>
    <d v="2025-04-18T00:00:00"/>
    <s v="4/2025"/>
    <x v="27"/>
    <x v="73"/>
    <x v="0"/>
    <x v="0"/>
    <x v="386"/>
    <n v="1"/>
    <m/>
    <n v="0"/>
    <n v="4500"/>
    <n v="4500"/>
    <m/>
    <n v="450"/>
    <n v="450"/>
    <n v="450"/>
    <n v="0"/>
    <x v="16"/>
    <s v="true"/>
    <s v="true"/>
    <x v="0"/>
  </r>
  <r>
    <n v="575"/>
    <d v="2025-04-18T00:00:00"/>
    <s v="4/2025"/>
    <x v="27"/>
    <x v="73"/>
    <x v="0"/>
    <x v="0"/>
    <x v="386"/>
    <n v="1"/>
    <m/>
    <n v="0"/>
    <n v="11000"/>
    <n v="11000"/>
    <m/>
    <n v="1650"/>
    <n v="1650"/>
    <n v="1650"/>
    <n v="0"/>
    <x v="16"/>
    <s v="true"/>
    <s v="true"/>
    <x v="0"/>
  </r>
  <r>
    <n v="576"/>
    <d v="2025-04-18T00:00:00"/>
    <s v="4/2025"/>
    <x v="50"/>
    <x v="1288"/>
    <x v="1"/>
    <x v="0"/>
    <x v="389"/>
    <n v="1"/>
    <n v="462"/>
    <n v="462"/>
    <n v="482"/>
    <n v="482"/>
    <m/>
    <n v="200"/>
    <n v="682"/>
    <m/>
    <n v="682"/>
    <x v="16"/>
    <s v="false"/>
    <s v="false"/>
    <x v="1"/>
  </r>
  <r>
    <m/>
    <s v=""/>
    <e v="#VALUE!"/>
    <x v="127"/>
    <x v="1498"/>
    <x v="1"/>
    <x v="0"/>
    <x v="24"/>
    <m/>
    <m/>
    <n v="0"/>
    <m/>
    <n v="0"/>
    <m/>
    <s v=""/>
    <n v="0"/>
    <m/>
    <n v="0"/>
    <x v="24"/>
    <s v="false"/>
    <s v="false"/>
    <x v="1"/>
  </r>
  <r>
    <m/>
    <s v=""/>
    <e v="#VALUE!"/>
    <x v="127"/>
    <x v="1498"/>
    <x v="1"/>
    <x v="0"/>
    <x v="24"/>
    <m/>
    <m/>
    <n v="0"/>
    <m/>
    <n v="0"/>
    <m/>
    <s v=""/>
    <n v="0"/>
    <m/>
    <n v="0"/>
    <x v="24"/>
    <s v="false"/>
    <s v="false"/>
    <x v="1"/>
  </r>
  <r>
    <m/>
    <s v=""/>
    <e v="#VALUE!"/>
    <x v="127"/>
    <x v="1498"/>
    <x v="1"/>
    <x v="0"/>
    <x v="24"/>
    <m/>
    <m/>
    <n v="0"/>
    <m/>
    <n v="0"/>
    <m/>
    <s v=""/>
    <n v="0"/>
    <m/>
    <n v="0"/>
    <x v="24"/>
    <s v="false"/>
    <s v="false"/>
    <x v="1"/>
  </r>
  <r>
    <m/>
    <s v=""/>
    <e v="#VALUE!"/>
    <x v="127"/>
    <x v="1498"/>
    <x v="1"/>
    <x v="0"/>
    <x v="24"/>
    <m/>
    <m/>
    <n v="0"/>
    <m/>
    <n v="0"/>
    <m/>
    <s v=""/>
    <n v="0"/>
    <m/>
    <n v="0"/>
    <x v="24"/>
    <s v="false"/>
    <s v="false"/>
    <x v="1"/>
  </r>
  <r>
    <m/>
    <s v=""/>
    <e v="#VALUE!"/>
    <x v="127"/>
    <x v="1498"/>
    <x v="1"/>
    <x v="0"/>
    <x v="24"/>
    <m/>
    <m/>
    <n v="0"/>
    <m/>
    <n v="0"/>
    <m/>
    <s v=""/>
    <n v="0"/>
    <m/>
    <n v="0"/>
    <x v="24"/>
    <s v="false"/>
    <s v="false"/>
    <x v="1"/>
  </r>
  <r>
    <m/>
    <s v=""/>
    <e v="#VALUE!"/>
    <x v="127"/>
    <x v="1498"/>
    <x v="1"/>
    <x v="0"/>
    <x v="24"/>
    <m/>
    <m/>
    <n v="0"/>
    <m/>
    <n v="0"/>
    <m/>
    <s v=""/>
    <n v="0"/>
    <m/>
    <n v="0"/>
    <x v="24"/>
    <s v="false"/>
    <s v="false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14B720-0BB0-4C7D-A099-F4BFB59BA062}" name="Сводная таблица1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4:A45" firstHeaderRow="1" firstDataRow="1" firstDataCol="1" rowPageCount="1" colPageCount="1"/>
  <pivotFields count="22">
    <pivotField showAll="0"/>
    <pivotField showAll="0"/>
    <pivotField showAll="0"/>
    <pivotField axis="axisRow" showAll="0">
      <items count="132">
        <item h="1" x="127"/>
        <item x="36"/>
        <item x="25"/>
        <item x="45"/>
        <item x="9"/>
        <item x="21"/>
        <item x="35"/>
        <item x="39"/>
        <item x="81"/>
        <item x="46"/>
        <item x="44"/>
        <item x="55"/>
        <item x="87"/>
        <item x="16"/>
        <item x="27"/>
        <item x="8"/>
        <item x="77"/>
        <item x="48"/>
        <item x="80"/>
        <item x="67"/>
        <item x="59"/>
        <item x="56"/>
        <item x="60"/>
        <item x="63"/>
        <item x="74"/>
        <item x="66"/>
        <item x="37"/>
        <item x="28"/>
        <item x="53"/>
        <item x="72"/>
        <item x="15"/>
        <item m="1" x="130"/>
        <item x="85"/>
        <item x="12"/>
        <item x="6"/>
        <item x="68"/>
        <item x="24"/>
        <item x="31"/>
        <item x="22"/>
        <item x="20"/>
        <item x="13"/>
        <item x="71"/>
        <item x="75"/>
        <item x="65"/>
        <item x="49"/>
        <item x="70"/>
        <item x="58"/>
        <item x="52"/>
        <item x="50"/>
        <item x="34"/>
        <item x="83"/>
        <item x="86"/>
        <item x="42"/>
        <item x="32"/>
        <item x="82"/>
        <item x="76"/>
        <item x="54"/>
        <item x="29"/>
        <item x="30"/>
        <item x="17"/>
        <item x="40"/>
        <item x="64"/>
        <item x="23"/>
        <item x="19"/>
        <item x="38"/>
        <item x="33"/>
        <item x="62"/>
        <item x="10"/>
        <item x="26"/>
        <item x="2"/>
        <item x="4"/>
        <item x="3"/>
        <item x="73"/>
        <item x="11"/>
        <item x="79"/>
        <item x="18"/>
        <item x="41"/>
        <item x="57"/>
        <item x="84"/>
        <item x="14"/>
        <item x="5"/>
        <item x="0"/>
        <item x="1"/>
        <item x="61"/>
        <item x="69"/>
        <item x="51"/>
        <item x="78"/>
        <item x="43"/>
        <item x="47"/>
        <item x="7"/>
        <item x="88"/>
        <item x="89"/>
        <item x="90"/>
        <item x="91"/>
        <item x="92"/>
        <item x="93"/>
        <item x="94"/>
        <item x="95"/>
        <item x="96"/>
        <item x="97"/>
        <item m="1" x="128"/>
        <item x="99"/>
        <item x="100"/>
        <item x="98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m="1" x="129"/>
        <item x="117"/>
        <item x="118"/>
        <item x="119"/>
        <item x="120"/>
        <item x="121"/>
        <item x="122"/>
        <item x="123"/>
        <item x="124"/>
        <item x="125"/>
        <item x="126"/>
        <item t="default"/>
      </items>
    </pivotField>
    <pivotField axis="axisRow" showAll="0">
      <items count="1508">
        <item x="859"/>
        <item x="710"/>
        <item x="43"/>
        <item x="45"/>
        <item x="397"/>
        <item x="550"/>
        <item x="179"/>
        <item x="516"/>
        <item x="941"/>
        <item x="340"/>
        <item x="852"/>
        <item x="442"/>
        <item x="835"/>
        <item x="53"/>
        <item x="845"/>
        <item x="863"/>
        <item x="844"/>
        <item x="846"/>
        <item x="111"/>
        <item x="609"/>
        <item x="654"/>
        <item x="247"/>
        <item x="424"/>
        <item x="200"/>
        <item x="563"/>
        <item x="499"/>
        <item x="534"/>
        <item x="416"/>
        <item x="245"/>
        <item x="126"/>
        <item x="883"/>
        <item x="621"/>
        <item x="54"/>
        <item x="315"/>
        <item x="911"/>
        <item x="343"/>
        <item x="926"/>
        <item x="927"/>
        <item x="341"/>
        <item x="872"/>
        <item x="307"/>
        <item x="201"/>
        <item x="597"/>
        <item x="212"/>
        <item x="438"/>
        <item x="278"/>
        <item x="839"/>
        <item x="668"/>
        <item x="374"/>
        <item x="648"/>
        <item x="351"/>
        <item x="886"/>
        <item x="166"/>
        <item x="385"/>
        <item x="464"/>
        <item x="535"/>
        <item x="775"/>
        <item x="952"/>
        <item x="539"/>
        <item x="441"/>
        <item x="575"/>
        <item x="180"/>
        <item x="753"/>
        <item x="401"/>
        <item x="367"/>
        <item x="557"/>
        <item x="515"/>
        <item x="204"/>
        <item x="205"/>
        <item x="300"/>
        <item x="949"/>
        <item x="669"/>
        <item x="773"/>
        <item x="396"/>
        <item x="690"/>
        <item x="386"/>
        <item x="177"/>
        <item x="81"/>
        <item x="870"/>
        <item x="715"/>
        <item x="457"/>
        <item x="425"/>
        <item x="115"/>
        <item x="730"/>
        <item x="124"/>
        <item x="486"/>
        <item x="384"/>
        <item x="380"/>
        <item x="379"/>
        <item x="157"/>
        <item x="125"/>
        <item x="850"/>
        <item x="14"/>
        <item x="11"/>
        <item x="209"/>
        <item x="661"/>
        <item x="267"/>
        <item x="573"/>
        <item x="455"/>
        <item x="931"/>
        <item x="556"/>
        <item x="7"/>
        <item x="174"/>
        <item x="167"/>
        <item x="491"/>
        <item x="318"/>
        <item x="326"/>
        <item x="325"/>
        <item x="319"/>
        <item x="320"/>
        <item x="323"/>
        <item x="322"/>
        <item x="321"/>
        <item x="324"/>
        <item x="589"/>
        <item x="110"/>
        <item x="936"/>
        <item x="937"/>
        <item x="938"/>
        <item x="336"/>
        <item x="519"/>
        <item x="624"/>
        <item x="603"/>
        <item x="674"/>
        <item x="547"/>
        <item x="127"/>
        <item x="919"/>
        <item x="925"/>
        <item x="784"/>
        <item x="857"/>
        <item x="954"/>
        <item x="803"/>
        <item x="390"/>
        <item x="207"/>
        <item x="544"/>
        <item x="118"/>
        <item x="62"/>
        <item x="284"/>
        <item x="213"/>
        <item x="400"/>
        <item x="399"/>
        <item x="960"/>
        <item x="270"/>
        <item x="802"/>
        <item x="475"/>
        <item x="497"/>
        <item x="651"/>
        <item x="482"/>
        <item x="96"/>
        <item x="914"/>
        <item x="876"/>
        <item x="854"/>
        <item x="76"/>
        <item x="705"/>
        <item x="210"/>
        <item x="411"/>
        <item x="223"/>
        <item x="512"/>
        <item x="934"/>
        <item x="265"/>
        <item x="394"/>
        <item x="236"/>
        <item x="422"/>
        <item x="61"/>
        <item x="453"/>
        <item x="304"/>
        <item x="489"/>
        <item x="281"/>
        <item x="345"/>
        <item x="817"/>
        <item x="484"/>
        <item x="724"/>
        <item x="708"/>
        <item x="18"/>
        <item x="649"/>
        <item x="605"/>
        <item x="346"/>
        <item x="743"/>
        <item x="112"/>
        <item x="334"/>
        <item x="697"/>
        <item x="230"/>
        <item x="78"/>
        <item x="349"/>
        <item x="348"/>
        <item x="488"/>
        <item x="502"/>
        <item x="875"/>
        <item x="195"/>
        <item x="600"/>
        <item x="848"/>
        <item x="849"/>
        <item x="88"/>
        <item x="413"/>
        <item x="569"/>
        <item x="444"/>
        <item x="173"/>
        <item x="71"/>
        <item x="301"/>
        <item x="77"/>
        <item x="208"/>
        <item x="335"/>
        <item x="129"/>
        <item x="37"/>
        <item x="316"/>
        <item x="431"/>
        <item x="57"/>
        <item x="474"/>
        <item x="27"/>
        <item x="930"/>
        <item x="276"/>
        <item x="909"/>
        <item x="910"/>
        <item x="907"/>
        <item x="908"/>
        <item x="255"/>
        <item x="79"/>
        <item x="820"/>
        <item x="819"/>
        <item x="350"/>
        <item x="3"/>
        <item x="737"/>
        <item x="740"/>
        <item x="734"/>
        <item x="733"/>
        <item x="744"/>
        <item x="945"/>
        <item x="721"/>
        <item x="904"/>
        <item x="728"/>
        <item x="296"/>
        <item x="69"/>
        <item x="285"/>
        <item x="454"/>
        <item x="943"/>
        <item x="718"/>
        <item x="746"/>
        <item x="747"/>
        <item x="749"/>
        <item x="748"/>
        <item x="233"/>
        <item x="944"/>
        <item x="742"/>
        <item x="98"/>
        <item x="149"/>
        <item x="148"/>
        <item x="145"/>
        <item x="23"/>
        <item x="729"/>
        <item x="291"/>
        <item x="723"/>
        <item x="586"/>
        <item x="91"/>
        <item x="946"/>
        <item x="745"/>
        <item x="287"/>
        <item x="234"/>
        <item x="292"/>
        <item x="739"/>
        <item x="100"/>
        <item x="587"/>
        <item x="288"/>
        <item x="289"/>
        <item x="735"/>
        <item x="720"/>
        <item x="286"/>
        <item x="21"/>
        <item x="68"/>
        <item x="741"/>
        <item x="293"/>
        <item x="732"/>
        <item x="235"/>
        <item x="28"/>
        <item x="63"/>
        <item x="101"/>
        <item x="722"/>
        <item x="719"/>
        <item x="717"/>
        <item x="738"/>
        <item x="295"/>
        <item x="294"/>
        <item x="509"/>
        <item x="568"/>
        <item x="433"/>
        <item x="577"/>
        <item x="434"/>
        <item x="151"/>
        <item x="49"/>
        <item x="929"/>
        <item x="663"/>
        <item x="694"/>
        <item x="51"/>
        <item x="496"/>
        <item x="768"/>
        <item x="913"/>
        <item x="20"/>
        <item x="692"/>
        <item x="311"/>
        <item x="312"/>
        <item x="948"/>
        <item x="165"/>
        <item x="608"/>
        <item x="920"/>
        <item x="525"/>
        <item x="810"/>
        <item x="617"/>
        <item x="141"/>
        <item x="698"/>
        <item x="421"/>
        <item x="831"/>
        <item x="42"/>
        <item x="4"/>
        <item x="9"/>
        <item x="543"/>
        <item x="824"/>
        <item x="828"/>
        <item x="610"/>
        <item x="470"/>
        <item x="90"/>
        <item x="279"/>
        <item x="815"/>
        <item x="435"/>
        <item x="962"/>
        <item x="477"/>
        <item x="60"/>
        <item x="832"/>
        <item x="955"/>
        <item x="440"/>
        <item x="760"/>
        <item x="190"/>
        <item x="189"/>
        <item x="137"/>
        <item x="427"/>
        <item x="807"/>
        <item x="601"/>
        <item x="606"/>
        <item x="712"/>
        <item x="655"/>
        <item x="432"/>
        <item x="602"/>
        <item x="786"/>
        <item x="186"/>
        <item x="185"/>
        <item x="47"/>
        <item x="963"/>
        <item x="332"/>
        <item x="132"/>
        <item x="794"/>
        <item x="825"/>
        <item x="221"/>
        <item x="864"/>
        <item x="754"/>
        <item x="638"/>
        <item x="228"/>
        <item x="376"/>
        <item x="377"/>
        <item x="790"/>
        <item x="426"/>
        <item x="939"/>
        <item x="373"/>
        <item x="446"/>
        <item x="329"/>
        <item x="330"/>
        <item x="328"/>
        <item x="675"/>
        <item x="216"/>
        <item x="481"/>
        <item x="232"/>
        <item x="184"/>
        <item x="922"/>
        <item x="465"/>
        <item x="921"/>
        <item x="912"/>
        <item x="847"/>
        <item x="816"/>
        <item x="220"/>
        <item x="383"/>
        <item x="956"/>
        <item x="750"/>
        <item x="607"/>
        <item x="136"/>
        <item x="67"/>
        <item x="701"/>
        <item x="471"/>
        <item x="901"/>
        <item x="25"/>
        <item x="727"/>
        <item x="783"/>
        <item x="13"/>
        <item x="782"/>
        <item x="762"/>
        <item x="953"/>
        <item x="843"/>
        <item x="262"/>
        <item x="414"/>
        <item x="181"/>
        <item x="779"/>
        <item x="780"/>
        <item x="188"/>
        <item x="709"/>
        <item x="248"/>
        <item x="17"/>
        <item x="505"/>
        <item x="951"/>
        <item x="650"/>
        <item x="58"/>
        <item x="260"/>
        <item x="242"/>
        <item x="855"/>
        <item x="645"/>
        <item x="102"/>
        <item x="696"/>
        <item x="897"/>
        <item x="915"/>
        <item x="862"/>
        <item x="428"/>
        <item x="887"/>
        <item x="591"/>
        <item x="658"/>
        <item x="660"/>
        <item x="659"/>
        <item x="687"/>
        <item x="123"/>
        <item x="767"/>
        <item x="691"/>
        <item x="867"/>
        <item x="501"/>
        <item x="801"/>
        <item x="239"/>
        <item x="263"/>
        <item x="266"/>
        <item x="483"/>
        <item x="840"/>
        <item x="625"/>
        <item x="620"/>
        <item x="578"/>
        <item x="917"/>
        <item x="156"/>
        <item x="264"/>
        <item x="251"/>
        <item x="16"/>
        <item x="150"/>
        <item x="162"/>
        <item x="827"/>
        <item x="375"/>
        <item x="647"/>
        <item x="549"/>
        <item x="508"/>
        <item x="171"/>
        <item x="66"/>
        <item x="26"/>
        <item x="792"/>
        <item x="798"/>
        <item x="833"/>
        <item x="364"/>
        <item x="821"/>
        <item x="176"/>
        <item x="342"/>
        <item x="896"/>
        <item x="409"/>
        <item x="672"/>
        <item x="763"/>
        <item x="761"/>
        <item x="524"/>
        <item x="158"/>
        <item x="160"/>
        <item x="134"/>
        <item x="290"/>
        <item x="961"/>
        <item x="671"/>
        <item x="757"/>
        <item x="219"/>
        <item x="793"/>
        <item x="878"/>
        <item x="250"/>
        <item x="259"/>
        <item x="879"/>
        <item x="458"/>
        <item x="30"/>
        <item x="490"/>
        <item x="366"/>
        <item x="688"/>
        <item x="635"/>
        <item x="636"/>
        <item x="634"/>
        <item x="631"/>
        <item x="632"/>
        <item x="633"/>
        <item x="244"/>
        <item x="528"/>
        <item x="527"/>
        <item x="372"/>
        <item x="371"/>
        <item x="370"/>
        <item x="369"/>
        <item x="368"/>
        <item x="365"/>
        <item x="532"/>
        <item x="211"/>
        <item x="811"/>
        <item x="298"/>
        <item x="107"/>
        <item x="108"/>
        <item x="299"/>
        <item x="629"/>
        <item x="533"/>
        <item x="777"/>
        <item x="797"/>
        <item x="778"/>
        <item x="656"/>
        <item x="657"/>
        <item x="918"/>
        <item x="103"/>
        <item x="417"/>
        <item x="29"/>
        <item x="203"/>
        <item x="716"/>
        <item x="476"/>
        <item x="826"/>
        <item x="12"/>
        <item x="684"/>
        <item x="769"/>
        <item x="614"/>
        <item x="772"/>
        <item x="682"/>
        <item x="485"/>
        <item x="407"/>
        <item x="169"/>
        <item x="170"/>
        <item x="2"/>
        <item x="391"/>
        <item x="800"/>
        <item x="520"/>
        <item x="517"/>
        <item x="552"/>
        <item x="529"/>
        <item x="305"/>
        <item x="410"/>
        <item x="154"/>
        <item x="905"/>
        <item x="906"/>
        <item x="639"/>
        <item x="813"/>
        <item x="933"/>
        <item x="785"/>
        <item x="856"/>
        <item x="626"/>
        <item x="942"/>
        <item x="858"/>
        <item x="630"/>
        <item x="758"/>
        <item x="940"/>
        <item x="935"/>
        <item x="899"/>
        <item x="215"/>
        <item x="551"/>
        <item x="418"/>
        <item x="339"/>
        <item x="702"/>
        <item x="713"/>
        <item x="714"/>
        <item x="249"/>
        <item x="492"/>
        <item x="192"/>
        <item x="327"/>
        <item x="699"/>
        <item x="140"/>
        <item x="89"/>
        <item x="139"/>
        <item x="282"/>
        <item x="473"/>
        <item x="246"/>
        <item x="64"/>
        <item x="191"/>
        <item x="950"/>
        <item x="665"/>
        <item x="791"/>
        <item x="902"/>
        <item x="449"/>
        <item x="628"/>
        <item x="804"/>
        <item x="308"/>
        <item x="347"/>
        <item x="309"/>
        <item x="310"/>
        <item x="144"/>
        <item x="178"/>
        <item x="895"/>
        <item x="593"/>
        <item x="560"/>
        <item x="686"/>
        <item x="522"/>
        <item x="853"/>
        <item x="120"/>
        <item x="420"/>
        <item x="41"/>
        <item x="755"/>
        <item x="579"/>
        <item x="240"/>
        <item x="398"/>
        <item x="604"/>
        <item x="152"/>
        <item x="252"/>
        <item x="452"/>
        <item x="97"/>
        <item x="131"/>
        <item x="65"/>
        <item x="500"/>
        <item x="261"/>
        <item x="222"/>
        <item x="225"/>
        <item x="99"/>
        <item x="627"/>
        <item x="408"/>
        <item x="237"/>
        <item x="238"/>
        <item x="615"/>
        <item x="776"/>
        <item x="731"/>
        <item x="275"/>
        <item x="463"/>
        <item x="443"/>
        <item x="822"/>
        <item x="469"/>
        <item x="116"/>
        <item x="333"/>
        <item x="362"/>
        <item x="73"/>
        <item x="814"/>
        <item x="726"/>
        <item x="673"/>
        <item x="670"/>
        <item x="356"/>
        <item x="355"/>
        <item x="175"/>
        <item x="36"/>
        <item x="72"/>
        <item x="34"/>
        <item x="459"/>
        <item x="415"/>
        <item x="161"/>
        <item x="138"/>
        <item x="764"/>
        <item x="403"/>
        <item x="770"/>
        <item x="437"/>
        <item x="227"/>
        <item x="419"/>
        <item x="352"/>
        <item x="363"/>
        <item x="5"/>
        <item x="6"/>
        <item x="172"/>
        <item x="277"/>
        <item x="765"/>
        <item x="566"/>
        <item x="559"/>
        <item x="683"/>
        <item x="257"/>
        <item x="258"/>
        <item x="74"/>
        <item x="571"/>
        <item x="932"/>
        <item x="224"/>
        <item x="35"/>
        <item x="38"/>
        <item x="40"/>
        <item m="1" x="1500"/>
        <item x="395"/>
        <item x="851"/>
        <item x="725"/>
        <item x="466"/>
        <item x="19"/>
        <item x="451"/>
        <item x="159"/>
        <item x="450"/>
        <item x="85"/>
        <item x="404"/>
        <item x="504"/>
        <item x="599"/>
        <item x="523"/>
        <item x="493"/>
        <item x="197"/>
        <item x="117"/>
        <item x="507"/>
        <item x="829"/>
        <item x="84"/>
        <item x="274"/>
        <item x="272"/>
        <item x="168"/>
        <item x="196"/>
        <item x="199"/>
        <item x="271"/>
        <item x="273"/>
        <item x="888"/>
        <item x="338"/>
        <item x="337"/>
        <item x="494"/>
        <item x="681"/>
        <item x="360"/>
        <item x="86"/>
        <item x="498"/>
        <item x="187"/>
        <item x="619"/>
        <item x="812"/>
        <item x="448"/>
        <item x="652"/>
        <item x="460"/>
        <item x="823"/>
        <item x="771"/>
        <item x="8"/>
        <item x="653"/>
        <item x="461"/>
        <item x="678"/>
        <item x="359"/>
        <item x="456"/>
        <item x="487"/>
        <item x="306"/>
        <item x="331"/>
        <item x="623"/>
        <item x="622"/>
        <item x="430"/>
        <item x="506"/>
        <item x="695"/>
        <item x="871"/>
        <item x="679"/>
        <item x="680"/>
        <item x="693"/>
        <item x="39"/>
        <item x="541"/>
        <item x="536"/>
        <item x="143"/>
        <item x="830"/>
        <item x="576"/>
        <item x="703"/>
        <item x="707"/>
        <item x="861"/>
        <item x="405"/>
        <item x="964"/>
        <item x="94"/>
        <item x="704"/>
        <item x="891"/>
        <item x="241"/>
        <item x="314"/>
        <item x="558"/>
        <item x="406"/>
        <item x="109"/>
        <item x="546"/>
        <item x="382"/>
        <item x="924"/>
        <item x="890"/>
        <item x="268"/>
        <item x="155"/>
        <item x="269"/>
        <item x="378"/>
        <item x="530"/>
        <item x="837"/>
        <item x="664"/>
        <item x="22"/>
        <item x="923"/>
        <item x="514"/>
        <item x="958"/>
        <item x="756"/>
        <item x="50"/>
        <item x="52"/>
        <item x="95"/>
        <item x="565"/>
        <item x="562"/>
        <item x="389"/>
        <item x="130"/>
        <item x="317"/>
        <item x="808"/>
        <item x="429"/>
        <item x="153"/>
        <item x="795"/>
        <item x="834"/>
        <item x="799"/>
        <item x="526"/>
        <item x="789"/>
        <item x="531"/>
        <item x="353"/>
        <item x="80"/>
        <item x="612"/>
        <item x="256"/>
        <item x="302"/>
        <item x="283"/>
        <item x="24"/>
        <item x="202"/>
        <item x="677"/>
        <item x="676"/>
        <item x="616"/>
        <item x="354"/>
        <item x="868"/>
        <item x="135"/>
        <item x="787"/>
        <item x="882"/>
        <item x="1"/>
        <item x="564"/>
        <item x="818"/>
        <item x="193"/>
        <item x="194"/>
        <item x="581"/>
        <item x="641"/>
        <item x="873"/>
        <item x="689"/>
        <item x="513"/>
        <item x="595"/>
        <item x="781"/>
        <item x="860"/>
        <item x="572"/>
        <item x="806"/>
        <item x="570"/>
        <item x="751"/>
        <item x="146"/>
        <item x="114"/>
        <item x="206"/>
        <item x="113"/>
        <item x="594"/>
        <item x="32"/>
        <item x="928"/>
        <item x="666"/>
        <item x="759"/>
        <item x="662"/>
        <item x="788"/>
        <item x="640"/>
        <item x="874"/>
        <item x="836"/>
        <item x="229"/>
        <item x="900"/>
        <item x="231"/>
        <item x="15"/>
        <item x="898"/>
        <item x="393"/>
        <item x="70"/>
        <item x="31"/>
        <item x="445"/>
        <item x="582"/>
        <item x="700"/>
        <item x="889"/>
        <item x="809"/>
        <item x="869"/>
        <item x="133"/>
        <item x="198"/>
        <item x="548"/>
        <item x="59"/>
        <item x="959"/>
        <item x="10"/>
        <item x="226"/>
        <item x="903"/>
        <item x="361"/>
        <item x="865"/>
        <item x="554"/>
        <item x="618"/>
        <item x="561"/>
        <item x="540"/>
        <item x="598"/>
        <item x="44"/>
        <item x="46"/>
        <item x="381"/>
        <item x="538"/>
        <item x="537"/>
        <item x="128"/>
        <item x="0"/>
        <item x="280"/>
        <item x="805"/>
        <item x="164"/>
        <item x="613"/>
        <item x="218"/>
        <item x="580"/>
        <item x="479"/>
        <item x="297"/>
        <item x="637"/>
        <item x="56"/>
        <item x="590"/>
        <item x="736"/>
        <item x="585"/>
        <item x="119"/>
        <item x="892"/>
        <item x="884"/>
        <item x="885"/>
        <item x="916"/>
        <item x="87"/>
        <item x="646"/>
        <item x="893"/>
        <item x="104"/>
        <item x="105"/>
        <item x="766"/>
        <item x="841"/>
        <item x="472"/>
        <item x="842"/>
        <item x="583"/>
        <item x="106"/>
        <item x="774"/>
        <item x="412"/>
        <item x="518"/>
        <item x="542"/>
        <item x="423"/>
        <item x="495"/>
        <item x="83"/>
        <item x="838"/>
        <item x="402"/>
        <item x="711"/>
        <item x="75"/>
        <item x="866"/>
        <item x="644"/>
        <item x="752"/>
        <item x="881"/>
        <item x="880"/>
        <item x="521"/>
        <item x="214"/>
        <item x="82"/>
        <item x="33"/>
        <item x="303"/>
        <item x="182"/>
        <item x="183"/>
        <item x="387"/>
        <item x="643"/>
        <item x="642"/>
        <item x="584"/>
        <item x="254"/>
        <item x="253"/>
        <item x="447"/>
        <item x="511"/>
        <item x="510"/>
        <item x="796"/>
        <item x="462"/>
        <item x="439"/>
        <item x="344"/>
        <item x="436"/>
        <item x="545"/>
        <item x="55"/>
        <item x="388"/>
        <item x="121"/>
        <item x="574"/>
        <item x="596"/>
        <item x="667"/>
        <item x="480"/>
        <item x="478"/>
        <item x="706"/>
        <item x="685"/>
        <item x="947"/>
        <item x="243"/>
        <item x="93"/>
        <item x="92"/>
        <item x="217"/>
        <item x="467"/>
        <item x="468"/>
        <item x="555"/>
        <item x="142"/>
        <item x="894"/>
        <item x="877"/>
        <item x="163"/>
        <item x="567"/>
        <item x="611"/>
        <item x="358"/>
        <item x="357"/>
        <item x="122"/>
        <item x="503"/>
        <item x="957"/>
        <item x="48"/>
        <item x="553"/>
        <item x="592"/>
        <item x="588"/>
        <item x="313"/>
        <item x="147"/>
        <item x="392"/>
        <item x="1498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m="1" x="1499"/>
        <item x="1181"/>
        <item x="1182"/>
        <item m="1" x="1506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80"/>
        <item x="1183"/>
        <item m="1" x="1505"/>
        <item m="1" x="1501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m="1" x="150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3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m="1" x="1504"/>
        <item x="1398"/>
        <item m="1" x="1503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t="default"/>
      </items>
    </pivotField>
    <pivotField name="Пришло"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axis="axisPage" multipleItemSelectionAllowed="1" showAll="0">
      <items count="3">
        <item x="1"/>
        <item h="1" x="0"/>
        <item t="default"/>
      </items>
    </pivotField>
  </pivotFields>
  <rowFields count="3">
    <field x="3"/>
    <field x="5"/>
    <field x="4"/>
  </rowFields>
  <rowItems count="41">
    <i>
      <x v="32"/>
    </i>
    <i r="1">
      <x/>
    </i>
    <i r="2">
      <x v="1414"/>
    </i>
    <i r="1">
      <x v="1"/>
    </i>
    <i r="2">
      <x v="1493"/>
    </i>
    <i>
      <x v="48"/>
    </i>
    <i r="1">
      <x/>
    </i>
    <i r="2">
      <x v="1294"/>
    </i>
    <i>
      <x v="72"/>
    </i>
    <i r="1">
      <x/>
    </i>
    <i r="2">
      <x v="798"/>
    </i>
    <i r="2">
      <x v="1147"/>
    </i>
    <i r="2">
      <x v="1498"/>
    </i>
    <i r="2">
      <x v="1499"/>
    </i>
    <i r="2">
      <x v="1505"/>
    </i>
    <i r="2">
      <x v="1506"/>
    </i>
    <i r="1">
      <x v="1"/>
    </i>
    <i r="2">
      <x v="1495"/>
    </i>
    <i r="2">
      <x v="1496"/>
    </i>
    <i r="2">
      <x v="1497"/>
    </i>
    <i r="2">
      <x v="1500"/>
    </i>
    <i r="2">
      <x v="1501"/>
    </i>
    <i>
      <x v="83"/>
    </i>
    <i r="1">
      <x v="1"/>
    </i>
    <i r="2">
      <x v="1378"/>
    </i>
    <i>
      <x v="88"/>
    </i>
    <i r="1">
      <x v="1"/>
    </i>
    <i r="2">
      <x v="1490"/>
    </i>
    <i>
      <x v="112"/>
    </i>
    <i r="1">
      <x v="1"/>
    </i>
    <i r="2">
      <x v="658"/>
    </i>
    <i>
      <x v="121"/>
    </i>
    <i r="1">
      <x/>
    </i>
    <i r="2">
      <x v="1404"/>
    </i>
    <i>
      <x v="127"/>
    </i>
    <i r="1">
      <x v="1"/>
    </i>
    <i r="2">
      <x v="344"/>
    </i>
    <i r="2">
      <x v="1502"/>
    </i>
    <i r="2">
      <x v="1503"/>
    </i>
    <i r="2">
      <x v="1504"/>
    </i>
    <i t="grand">
      <x/>
    </i>
  </rowItems>
  <colItems count="1">
    <i/>
  </colItems>
  <pageFields count="1">
    <pageField fld="2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6A22B5-B20B-415D-A0F6-902E3BA32410}" name="Сводная таблица1" cacheId="0" applyNumberFormats="0" applyBorderFormats="0" applyFontFormats="0" applyPatternFormats="0" applyAlignmentFormats="0" applyWidthHeightFormats="1" dataCaption="Значения" updatedVersion="7" minRefreshableVersion="3" useAutoFormatting="1" rowGrandTotals="0" colGrandTotals="0" itemPrintTitles="1" createdVersion="7" indent="0" compact="0" compactData="0" multipleFieldFilters="0">
  <location ref="A3:E492" firstHeaderRow="1" firstDataRow="1" firstDataCol="4"/>
  <pivotFields count="22"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31">
        <item x="127"/>
        <item x="95"/>
        <item x="36"/>
        <item x="25"/>
        <item x="45"/>
        <item x="9"/>
        <item x="21"/>
        <item x="35"/>
        <item x="39"/>
        <item x="81"/>
        <item x="46"/>
        <item x="44"/>
        <item x="55"/>
        <item x="87"/>
        <item x="16"/>
        <item x="27"/>
        <item x="8"/>
        <item x="77"/>
        <item x="48"/>
        <item x="80"/>
        <item x="67"/>
        <item x="59"/>
        <item x="56"/>
        <item x="60"/>
        <item x="63"/>
        <item x="74"/>
        <item x="66"/>
        <item x="37"/>
        <item x="28"/>
        <item x="101"/>
        <item x="53"/>
        <item x="72"/>
        <item x="15"/>
        <item m="1" x="130"/>
        <item x="85"/>
        <item x="12"/>
        <item x="6"/>
        <item x="68"/>
        <item x="24"/>
        <item x="31"/>
        <item x="22"/>
        <item x="20"/>
        <item x="13"/>
        <item x="71"/>
        <item x="75"/>
        <item x="91"/>
        <item x="65"/>
        <item x="49"/>
        <item x="92"/>
        <item x="70"/>
        <item x="58"/>
        <item x="52"/>
        <item x="50"/>
        <item x="34"/>
        <item x="83"/>
        <item x="86"/>
        <item x="42"/>
        <item x="32"/>
        <item x="82"/>
        <item x="76"/>
        <item x="54"/>
        <item x="98"/>
        <item x="29"/>
        <item x="30"/>
        <item x="97"/>
        <item x="17"/>
        <item x="40"/>
        <item x="89"/>
        <item x="64"/>
        <item x="23"/>
        <item x="19"/>
        <item m="1" x="128"/>
        <item x="88"/>
        <item x="38"/>
        <item x="33"/>
        <item x="62"/>
        <item x="10"/>
        <item x="26"/>
        <item x="2"/>
        <item x="4"/>
        <item x="3"/>
        <item x="73"/>
        <item x="11"/>
        <item x="79"/>
        <item x="18"/>
        <item x="96"/>
        <item x="100"/>
        <item x="41"/>
        <item x="57"/>
        <item x="94"/>
        <item x="84"/>
        <item x="14"/>
        <item x="5"/>
        <item x="0"/>
        <item x="99"/>
        <item x="1"/>
        <item x="61"/>
        <item x="69"/>
        <item x="51"/>
        <item x="93"/>
        <item x="78"/>
        <item x="43"/>
        <item x="47"/>
        <item x="90"/>
        <item x="7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m="1" x="129"/>
        <item x="117"/>
        <item x="118"/>
        <item x="119"/>
        <item x="120"/>
        <item x="121"/>
        <item x="122"/>
        <item x="123"/>
        <item x="124"/>
        <item x="125"/>
        <item x="126"/>
      </items>
    </pivotField>
    <pivotField compact="0" outline="0" showAll="0" defaultSubtotal="0"/>
    <pivotField compact="0" outline="0" subtotalTop="0" showAll="0" defaultSubtotal="0"/>
    <pivotField axis="axisRow" compact="0" outline="0" showAll="0" defaultSubtotal="0">
      <items count="186">
        <item x="128"/>
        <item x="7"/>
        <item x="6"/>
        <item x="20"/>
        <item x="17"/>
        <item x="19"/>
        <item x="24"/>
        <item x="22"/>
        <item x="30"/>
        <item x="35"/>
        <item x="36"/>
        <item x="37"/>
        <item x="43"/>
        <item x="147"/>
        <item x="25"/>
        <item x="31"/>
        <item x="46"/>
        <item x="26"/>
        <item x="27"/>
        <item x="28"/>
        <item x="32"/>
        <item x="39"/>
        <item x="44"/>
        <item x="40"/>
        <item x="41"/>
        <item x="42"/>
        <item x="45"/>
        <item x="47"/>
        <item x="56"/>
        <item x="51"/>
        <item x="48"/>
        <item x="49"/>
        <item x="52"/>
        <item x="50"/>
        <item x="53"/>
        <item x="54"/>
        <item x="55"/>
        <item x="57"/>
        <item x="58"/>
        <item x="60"/>
        <item x="59"/>
        <item x="61"/>
        <item x="62"/>
        <item x="63"/>
        <item x="64"/>
        <item x="66"/>
        <item x="67"/>
        <item x="68"/>
        <item x="69"/>
        <item x="70"/>
        <item x="73"/>
        <item x="74"/>
        <item x="75"/>
        <item x="76"/>
        <item x="77"/>
        <item x="78"/>
        <item x="79"/>
        <item x="80"/>
        <item x="81"/>
        <item x="82"/>
        <item x="84"/>
        <item x="85"/>
        <item x="86"/>
        <item x="88"/>
        <item x="89"/>
        <item x="90"/>
        <item x="91"/>
        <item x="92"/>
        <item x="93"/>
        <item x="94"/>
        <item x="95"/>
        <item x="96"/>
        <item x="97"/>
        <item x="105"/>
        <item x="101"/>
        <item x="102"/>
        <item x="98"/>
        <item x="100"/>
        <item x="104"/>
        <item x="107"/>
        <item x="108"/>
        <item x="103"/>
        <item x="106"/>
        <item x="110"/>
        <item x="111"/>
        <item x="112"/>
        <item x="113"/>
        <item x="114"/>
        <item x="115"/>
        <item x="120"/>
        <item x="121"/>
        <item x="116"/>
        <item x="119"/>
        <item x="127"/>
        <item x="126"/>
        <item x="130"/>
        <item x="132"/>
        <item x="131"/>
        <item x="135"/>
        <item x="134"/>
        <item x="137"/>
        <item x="136"/>
        <item x="141"/>
        <item x="138"/>
        <item x="139"/>
        <item x="144"/>
        <item x="142"/>
        <item x="143"/>
        <item x="158"/>
        <item x="155"/>
        <item x="156"/>
        <item x="159"/>
        <item x="140"/>
        <item x="8"/>
        <item x="10"/>
        <item x="11"/>
        <item x="9"/>
        <item x="15"/>
        <item x="21"/>
        <item x="16"/>
        <item x="38"/>
        <item x="129"/>
        <item x="166"/>
        <item x="65"/>
        <item x="122"/>
        <item x="23"/>
        <item x="12"/>
        <item x="171"/>
        <item x="71"/>
        <item x="83"/>
        <item x="13"/>
        <item x="133"/>
        <item x="157"/>
        <item x="29"/>
        <item x="18"/>
        <item x="72"/>
        <item x="87"/>
        <item x="14"/>
        <item x="118"/>
        <item x="125"/>
        <item x="164"/>
        <item x="163"/>
        <item x="162"/>
        <item x="5"/>
        <item x="4"/>
        <item x="3"/>
        <item x="2"/>
        <item x="1"/>
        <item x="33"/>
        <item x="109"/>
        <item x="153"/>
        <item x="148"/>
        <item x="149"/>
        <item x="150"/>
        <item x="151"/>
        <item x="152"/>
        <item x="154"/>
        <item x="170"/>
        <item x="117"/>
        <item x="34"/>
        <item x="99"/>
        <item x="123"/>
        <item x="145"/>
        <item x="146"/>
        <item x="160"/>
        <item x="161"/>
        <item x="172"/>
        <item x="165"/>
        <item x="173"/>
        <item x="167"/>
        <item x="168"/>
        <item x="124"/>
        <item x="0"/>
        <item x="169"/>
        <item x="174"/>
        <item x="176"/>
        <item x="177"/>
        <item x="178"/>
        <item x="179"/>
        <item x="180"/>
        <item x="181"/>
        <item x="175"/>
        <item m="1" x="185"/>
        <item x="182"/>
        <item x="183"/>
        <item x="184"/>
      </items>
    </pivotField>
    <pivotField axis="axisRow" dataField="1" compact="0" outline="0" showAll="0" defaultSubtotal="0">
      <items count="390">
        <item x="36"/>
        <item x="89"/>
        <item x="269"/>
        <item x="287"/>
        <item x="272"/>
        <item x="286"/>
        <item x="284"/>
        <item x="285"/>
        <item x="0"/>
        <item x="2"/>
        <item x="7"/>
        <item x="4"/>
        <item x="10"/>
        <item x="5"/>
        <item x="6"/>
        <item x="13"/>
        <item x="14"/>
        <item x="11"/>
        <item x="3"/>
        <item x="12"/>
        <item x="16"/>
        <item x="17"/>
        <item x="18"/>
        <item x="9"/>
        <item x="15"/>
        <item x="20"/>
        <item x="19"/>
        <item x="21"/>
        <item x="22"/>
        <item x="23"/>
        <item x="26"/>
        <item x="8"/>
        <item x="25"/>
        <item x="1"/>
        <item x="27"/>
        <item x="28"/>
        <item x="31"/>
        <item x="29"/>
        <item x="38"/>
        <item x="30"/>
        <item x="32"/>
        <item x="34"/>
        <item x="37"/>
        <item x="33"/>
        <item x="35"/>
        <item x="41"/>
        <item x="39"/>
        <item x="43"/>
        <item x="40"/>
        <item x="42"/>
        <item x="44"/>
        <item x="46"/>
        <item x="47"/>
        <item x="48"/>
        <item x="54"/>
        <item x="45"/>
        <item x="53"/>
        <item x="50"/>
        <item x="57"/>
        <item x="49"/>
        <item x="59"/>
        <item x="55"/>
        <item x="60"/>
        <item x="58"/>
        <item x="67"/>
        <item x="65"/>
        <item x="61"/>
        <item x="68"/>
        <item x="63"/>
        <item x="64"/>
        <item x="66"/>
        <item x="69"/>
        <item x="74"/>
        <item x="51"/>
        <item x="76"/>
        <item x="73"/>
        <item x="71"/>
        <item x="70"/>
        <item x="56"/>
        <item x="72"/>
        <item x="81"/>
        <item x="79"/>
        <item x="80"/>
        <item x="78"/>
        <item x="75"/>
        <item x="82"/>
        <item x="86"/>
        <item x="83"/>
        <item x="52"/>
        <item x="88"/>
        <item x="84"/>
        <item x="87"/>
        <item x="90"/>
        <item x="91"/>
        <item x="77"/>
        <item x="85"/>
        <item x="92"/>
        <item x="95"/>
        <item x="93"/>
        <item x="94"/>
        <item x="102"/>
        <item x="97"/>
        <item x="62"/>
        <item x="98"/>
        <item x="99"/>
        <item x="101"/>
        <item x="100"/>
        <item x="104"/>
        <item x="106"/>
        <item x="109"/>
        <item x="96"/>
        <item x="103"/>
        <item x="107"/>
        <item x="111"/>
        <item x="105"/>
        <item x="110"/>
        <item x="112"/>
        <item x="117"/>
        <item x="122"/>
        <item x="118"/>
        <item x="114"/>
        <item x="124"/>
        <item x="119"/>
        <item x="116"/>
        <item x="115"/>
        <item x="125"/>
        <item x="126"/>
        <item x="121"/>
        <item x="127"/>
        <item x="123"/>
        <item x="130"/>
        <item x="108"/>
        <item x="129"/>
        <item x="128"/>
        <item x="131"/>
        <item x="133"/>
        <item x="132"/>
        <item x="134"/>
        <item x="135"/>
        <item x="113"/>
        <item x="136"/>
        <item x="120"/>
        <item x="138"/>
        <item x="142"/>
        <item x="140"/>
        <item x="143"/>
        <item x="147"/>
        <item x="146"/>
        <item x="139"/>
        <item x="152"/>
        <item x="148"/>
        <item x="151"/>
        <item x="155"/>
        <item x="154"/>
        <item x="153"/>
        <item x="149"/>
        <item x="150"/>
        <item x="137"/>
        <item x="145"/>
        <item x="141"/>
        <item x="160"/>
        <item x="157"/>
        <item x="164"/>
        <item x="158"/>
        <item x="163"/>
        <item x="166"/>
        <item x="162"/>
        <item x="156"/>
        <item x="144"/>
        <item x="165"/>
        <item x="169"/>
        <item x="167"/>
        <item x="170"/>
        <item x="159"/>
        <item x="171"/>
        <item x="168"/>
        <item x="174"/>
        <item x="173"/>
        <item x="176"/>
        <item x="161"/>
        <item x="175"/>
        <item x="181"/>
        <item x="180"/>
        <item x="177"/>
        <item x="178"/>
        <item x="179"/>
        <item x="185"/>
        <item x="191"/>
        <item x="184"/>
        <item x="192"/>
        <item x="172"/>
        <item x="186"/>
        <item x="183"/>
        <item x="193"/>
        <item x="190"/>
        <item x="182"/>
        <item x="187"/>
        <item x="188"/>
        <item x="196"/>
        <item x="195"/>
        <item x="194"/>
        <item x="189"/>
        <item x="202"/>
        <item x="197"/>
        <item x="199"/>
        <item x="198"/>
        <item x="200"/>
        <item x="208"/>
        <item x="201"/>
        <item x="204"/>
        <item x="206"/>
        <item x="205"/>
        <item x="209"/>
        <item x="207"/>
        <item x="212"/>
        <item x="210"/>
        <item x="213"/>
        <item x="214"/>
        <item x="216"/>
        <item x="203"/>
        <item x="211"/>
        <item x="219"/>
        <item x="217"/>
        <item x="218"/>
        <item x="215"/>
        <item x="224"/>
        <item x="223"/>
        <item x="221"/>
        <item x="220"/>
        <item x="222"/>
        <item x="225"/>
        <item x="228"/>
        <item x="226"/>
        <item x="227"/>
        <item x="230"/>
        <item x="234"/>
        <item x="232"/>
        <item x="233"/>
        <item x="231"/>
        <item x="237"/>
        <item x="239"/>
        <item x="241"/>
        <item x="240"/>
        <item x="245"/>
        <item x="235"/>
        <item x="247"/>
        <item x="244"/>
        <item x="248"/>
        <item x="246"/>
        <item x="249"/>
        <item x="255"/>
        <item x="254"/>
        <item x="252"/>
        <item x="253"/>
        <item x="250"/>
        <item x="236"/>
        <item x="251"/>
        <item x="242"/>
        <item x="259"/>
        <item x="257"/>
        <item x="256"/>
        <item x="261"/>
        <item x="229"/>
        <item x="265"/>
        <item x="262"/>
        <item x="238"/>
        <item x="266"/>
        <item x="260"/>
        <item x="264"/>
        <item x="270"/>
        <item x="263"/>
        <item x="243"/>
        <item x="273"/>
        <item x="276"/>
        <item x="271"/>
        <item x="268"/>
        <item x="274"/>
        <item x="275"/>
        <item x="258"/>
        <item x="277"/>
        <item x="267"/>
        <item x="278"/>
        <item x="282"/>
        <item x="280"/>
        <item x="279"/>
        <item x="281"/>
        <item x="289"/>
        <item x="290"/>
        <item x="291"/>
        <item x="292"/>
        <item x="294"/>
        <item x="295"/>
        <item x="297"/>
        <item x="296"/>
        <item x="299"/>
        <item x="298"/>
        <item x="283"/>
        <item x="300"/>
        <item x="301"/>
        <item x="293"/>
        <item x="303"/>
        <item x="304"/>
        <item x="302"/>
        <item x="288"/>
        <item x="305"/>
        <item x="306"/>
        <item x="307"/>
        <item x="308"/>
        <item x="317"/>
        <item x="318"/>
        <item x="309"/>
        <item x="316"/>
        <item x="322"/>
        <item x="323"/>
        <item x="326"/>
        <item x="324"/>
        <item x="325"/>
        <item x="327"/>
        <item x="311"/>
        <item x="332"/>
        <item x="333"/>
        <item x="336"/>
        <item x="331"/>
        <item x="337"/>
        <item x="313"/>
        <item x="339"/>
        <item x="319"/>
        <item x="315"/>
        <item x="312"/>
        <item x="321"/>
        <item x="310"/>
        <item x="338"/>
        <item x="340"/>
        <item x="345"/>
        <item x="344"/>
        <item x="346"/>
        <item x="348"/>
        <item x="330"/>
        <item x="347"/>
        <item x="349"/>
        <item x="351"/>
        <item x="335"/>
        <item x="334"/>
        <item x="320"/>
        <item x="353"/>
        <item x="329"/>
        <item x="355"/>
        <item x="354"/>
        <item x="356"/>
        <item x="358"/>
        <item x="359"/>
        <item x="357"/>
        <item x="343"/>
        <item x="361"/>
        <item x="362"/>
        <item x="342"/>
        <item x="328"/>
        <item x="350"/>
        <item x="352"/>
        <item x="363"/>
        <item x="364"/>
        <item x="341"/>
        <item x="314"/>
        <item x="360"/>
        <item x="2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4" outline="0" showAll="0" defaultSubtotal="0"/>
    <pivotField axis="axisRow" compact="0" outline="0" showAll="0" defaultSubtotal="0">
      <items count="36">
        <item x="22"/>
        <item x="11"/>
        <item x="21"/>
        <item x="26"/>
        <item x="27"/>
        <item x="1"/>
        <item x="17"/>
        <item x="6"/>
        <item x="4"/>
        <item sd="0" x="15"/>
        <item x="0"/>
        <item x="13"/>
        <item x="2"/>
        <item sd="0" x="16"/>
        <item x="8"/>
        <item x="28"/>
        <item x="30"/>
        <item x="25"/>
        <item x="5"/>
        <item x="3"/>
        <item x="19"/>
        <item x="23"/>
        <item x="10"/>
        <item x="7"/>
        <item x="20"/>
        <item x="29"/>
        <item x="14"/>
        <item x="9"/>
        <item x="12"/>
        <item x="18"/>
        <item h="1" x="24"/>
        <item x="31"/>
        <item x="32"/>
        <item x="33"/>
        <item x="34"/>
        <item x="35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</pivotFields>
  <rowFields count="4">
    <field x="18"/>
    <field x="3"/>
    <field x="7"/>
    <field x="6"/>
  </rowFields>
  <rowItems count="489">
    <i>
      <x/>
      <x v="38"/>
      <x v="247"/>
      <x v="172"/>
    </i>
    <i r="2">
      <x v="360"/>
      <x v="170"/>
    </i>
    <i r="2">
      <x v="364"/>
      <x v="136"/>
    </i>
    <i r="1">
      <x v="61"/>
      <x v="310"/>
      <x v="172"/>
    </i>
    <i r="1">
      <x v="80"/>
      <x v="124"/>
      <x v="159"/>
    </i>
    <i r="2">
      <x v="359"/>
      <x v="169"/>
    </i>
    <i r="2">
      <x v="364"/>
      <x v="172"/>
    </i>
    <i r="1">
      <x v="121"/>
      <x v="379"/>
      <x v="172"/>
    </i>
    <i>
      <x v="1"/>
      <x v="38"/>
      <x v="76"/>
      <x v="137"/>
    </i>
    <i r="1">
      <x v="56"/>
      <x v="364"/>
      <x v="4"/>
    </i>
    <i r="1">
      <x v="77"/>
      <x v="31"/>
      <x v="172"/>
    </i>
    <i r="2">
      <x v="61"/>
      <x v="2"/>
    </i>
    <i r="2">
      <x v="68"/>
      <x v="1"/>
    </i>
    <i r="2">
      <x v="76"/>
      <x v="3"/>
    </i>
    <i r="2">
      <x v="78"/>
      <x v="5"/>
    </i>
    <i r="2">
      <x v="82"/>
      <x v="172"/>
    </i>
    <i r="2">
      <x v="96"/>
      <x v="6"/>
    </i>
    <i r="3">
      <x v="14"/>
    </i>
    <i r="2">
      <x v="100"/>
      <x v="15"/>
    </i>
    <i r="2">
      <x v="101"/>
      <x v="8"/>
    </i>
    <i>
      <x v="2"/>
      <x v="7"/>
      <x v="233"/>
      <x v="160"/>
    </i>
    <i r="1">
      <x v="32"/>
      <x v="124"/>
      <x v="172"/>
    </i>
    <i r="1">
      <x v="38"/>
      <x v="174"/>
      <x v="172"/>
    </i>
    <i r="2">
      <x v="208"/>
      <x v="172"/>
    </i>
    <i r="2">
      <x v="216"/>
      <x v="172"/>
    </i>
    <i r="1">
      <x v="77"/>
      <x v="140"/>
      <x v="10"/>
    </i>
    <i r="2">
      <x v="144"/>
      <x v="11"/>
    </i>
    <i r="2">
      <x v="148"/>
      <x v="9"/>
    </i>
    <i r="2">
      <x v="152"/>
      <x v="16"/>
    </i>
    <i r="2">
      <x v="153"/>
      <x v="12"/>
    </i>
    <i r="2">
      <x v="337"/>
      <x v="13"/>
    </i>
    <i>
      <x v="3"/>
      <x v="38"/>
      <x v="364"/>
      <x v="172"/>
    </i>
    <i>
      <x v="4"/>
      <x v="38"/>
      <x v="364"/>
      <x v="172"/>
    </i>
    <i>
      <x v="5"/>
      <x v="6"/>
      <x v="24"/>
      <x v="172"/>
    </i>
    <i r="1">
      <x v="15"/>
      <x v="31"/>
      <x v="172"/>
    </i>
    <i r="1">
      <x v="24"/>
      <x v="148"/>
      <x v="172"/>
    </i>
    <i r="1">
      <x v="26"/>
      <x v="161"/>
      <x v="172"/>
    </i>
    <i r="1">
      <x v="32"/>
      <x v="24"/>
      <x v="172"/>
    </i>
    <i r="1">
      <x v="40"/>
      <x v="24"/>
      <x v="172"/>
    </i>
    <i r="1">
      <x v="65"/>
      <x v="18"/>
      <x v="172"/>
    </i>
    <i r="1">
      <x v="68"/>
      <x v="148"/>
      <x v="172"/>
    </i>
    <i r="2">
      <x v="152"/>
      <x v="172"/>
    </i>
    <i r="1">
      <x v="78"/>
      <x v="8"/>
      <x v="172"/>
    </i>
    <i r="2">
      <x v="11"/>
      <x v="172"/>
    </i>
    <i r="2">
      <x v="13"/>
      <x v="172"/>
    </i>
    <i r="2">
      <x v="14"/>
      <x v="172"/>
    </i>
    <i r="2">
      <x v="25"/>
      <x v="172"/>
    </i>
    <i r="1">
      <x v="92"/>
      <x v="10"/>
      <x v="172"/>
    </i>
    <i r="1">
      <x v="93"/>
      <x v="33"/>
      <x v="147"/>
    </i>
    <i>
      <x v="6"/>
      <x v="10"/>
      <x v="96"/>
      <x v="172"/>
    </i>
    <i>
      <x v="7"/>
      <x v="32"/>
      <x v="20"/>
      <x v="172"/>
    </i>
    <i r="2">
      <x v="31"/>
      <x v="172"/>
    </i>
    <i>
      <x v="8"/>
      <x v="4"/>
      <x v="83"/>
      <x v="172"/>
    </i>
    <i r="2">
      <x v="87"/>
      <x v="172"/>
    </i>
    <i r="1">
      <x v="5"/>
      <x v="18"/>
      <x v="172"/>
    </i>
    <i r="2">
      <x v="23"/>
      <x v="172"/>
    </i>
    <i r="2">
      <x v="33"/>
      <x v="172"/>
    </i>
    <i r="2">
      <x v="34"/>
      <x v="172"/>
    </i>
    <i r="2">
      <x v="39"/>
      <x v="172"/>
    </i>
    <i r="2">
      <x v="71"/>
      <x v="172"/>
    </i>
    <i r="2">
      <x v="72"/>
      <x v="172"/>
    </i>
    <i r="1">
      <x v="7"/>
      <x v="52"/>
      <x v="172"/>
    </i>
    <i r="2">
      <x v="73"/>
      <x v="172"/>
    </i>
    <i r="2">
      <x v="81"/>
      <x v="172"/>
    </i>
    <i r="2">
      <x v="82"/>
      <x v="172"/>
    </i>
    <i r="2">
      <x v="85"/>
      <x v="172"/>
    </i>
    <i r="1">
      <x v="11"/>
      <x v="77"/>
      <x v="172"/>
    </i>
    <i r="2">
      <x v="78"/>
      <x v="172"/>
    </i>
    <i r="2">
      <x v="80"/>
      <x v="172"/>
    </i>
    <i r="2">
      <x v="82"/>
      <x v="172"/>
    </i>
    <i r="1">
      <x v="15"/>
      <x v="96"/>
      <x v="172"/>
    </i>
    <i r="1">
      <x v="27"/>
      <x v="57"/>
      <x v="172"/>
    </i>
    <i r="1">
      <x v="28"/>
      <x v="34"/>
      <x v="172"/>
    </i>
    <i r="1">
      <x v="32"/>
      <x v="23"/>
      <x v="172"/>
    </i>
    <i r="2">
      <x v="28"/>
      <x v="172"/>
    </i>
    <i r="1">
      <x v="35"/>
      <x v="21"/>
      <x v="172"/>
    </i>
    <i r="1">
      <x v="38"/>
      <x v="28"/>
      <x v="172"/>
    </i>
    <i r="2">
      <x v="30"/>
      <x v="172"/>
    </i>
    <i r="2">
      <x v="31"/>
      <x v="172"/>
    </i>
    <i r="2">
      <x v="32"/>
      <x v="172"/>
    </i>
    <i r="2">
      <x v="33"/>
      <x v="172"/>
    </i>
    <i r="2">
      <x v="39"/>
      <x v="172"/>
    </i>
    <i r="2">
      <x v="41"/>
      <x v="172"/>
    </i>
    <i r="2">
      <x v="43"/>
      <x v="172"/>
    </i>
    <i r="2">
      <x v="44"/>
      <x v="172"/>
    </i>
    <i r="2">
      <x v="48"/>
      <x v="172"/>
    </i>
    <i r="2">
      <x v="70"/>
      <x v="172"/>
    </i>
    <i r="2">
      <x v="71"/>
      <x v="172"/>
    </i>
    <i r="2">
      <x v="86"/>
      <x v="172"/>
    </i>
    <i r="2">
      <x v="87"/>
      <x v="172"/>
    </i>
    <i r="2">
      <x v="90"/>
      <x v="172"/>
    </i>
    <i r="2">
      <x v="95"/>
      <x v="172"/>
    </i>
    <i r="1">
      <x v="40"/>
      <x v="31"/>
      <x v="172"/>
    </i>
    <i r="2">
      <x v="51"/>
      <x v="172"/>
    </i>
    <i r="2">
      <x v="57"/>
      <x v="172"/>
    </i>
    <i r="2">
      <x v="63"/>
      <x v="172"/>
    </i>
    <i r="2">
      <x v="96"/>
      <x v="172"/>
    </i>
    <i r="2">
      <x v="103"/>
      <x v="172"/>
    </i>
    <i r="1">
      <x v="42"/>
      <x v="20"/>
      <x v="172"/>
    </i>
    <i r="2">
      <x v="21"/>
      <x v="172"/>
    </i>
    <i r="2">
      <x v="22"/>
      <x v="172"/>
    </i>
    <i r="2">
      <x v="24"/>
      <x v="172"/>
    </i>
    <i r="2">
      <x v="26"/>
      <x v="172"/>
    </i>
    <i r="2">
      <x v="54"/>
      <x v="172"/>
    </i>
    <i r="2">
      <x v="56"/>
      <x v="172"/>
    </i>
    <i r="2">
      <x v="57"/>
      <x v="172"/>
    </i>
    <i r="2">
      <x v="59"/>
      <x v="172"/>
    </i>
    <i r="2">
      <x v="60"/>
      <x v="172"/>
    </i>
    <i r="2">
      <x v="62"/>
      <x v="172"/>
    </i>
    <i r="2">
      <x v="66"/>
      <x v="172"/>
    </i>
    <i r="2">
      <x v="73"/>
      <x v="172"/>
    </i>
    <i r="2">
      <x v="88"/>
      <x v="172"/>
    </i>
    <i r="1">
      <x v="53"/>
      <x v="52"/>
      <x v="172"/>
    </i>
    <i r="2">
      <x v="53"/>
      <x v="172"/>
    </i>
    <i r="2">
      <x v="56"/>
      <x v="172"/>
    </i>
    <i r="2">
      <x v="57"/>
      <x v="172"/>
    </i>
    <i r="2">
      <x v="59"/>
      <x v="172"/>
    </i>
    <i r="2">
      <x v="65"/>
      <x v="172"/>
    </i>
    <i r="2">
      <x v="66"/>
      <x v="172"/>
    </i>
    <i r="2">
      <x v="67"/>
      <x v="172"/>
    </i>
    <i r="2">
      <x v="68"/>
      <x v="172"/>
    </i>
    <i r="1">
      <x v="63"/>
      <x v="37"/>
      <x v="172"/>
    </i>
    <i r="2">
      <x v="51"/>
      <x v="172"/>
    </i>
    <i r="1">
      <x v="69"/>
      <x v="1"/>
      <x v="172"/>
    </i>
    <i r="2">
      <x v="36"/>
      <x v="172"/>
    </i>
    <i r="2">
      <x v="37"/>
      <x v="172"/>
    </i>
    <i r="2">
      <x v="38"/>
      <x v="172"/>
    </i>
    <i r="2">
      <x v="39"/>
      <x v="172"/>
    </i>
    <i r="2">
      <x v="40"/>
      <x v="172"/>
    </i>
    <i r="2">
      <x v="41"/>
      <x v="172"/>
    </i>
    <i r="2">
      <x v="42"/>
      <x v="172"/>
    </i>
    <i r="2">
      <x v="43"/>
      <x v="172"/>
    </i>
    <i r="2">
      <x v="46"/>
      <x v="172"/>
    </i>
    <i r="2">
      <x v="48"/>
      <x v="172"/>
    </i>
    <i r="2">
      <x v="49"/>
      <x v="172"/>
    </i>
    <i r="2">
      <x v="50"/>
      <x v="172"/>
    </i>
    <i r="2">
      <x v="53"/>
      <x v="172"/>
    </i>
    <i r="2">
      <x v="63"/>
      <x v="172"/>
    </i>
    <i r="2">
      <x v="67"/>
      <x v="172"/>
    </i>
    <i r="2">
      <x v="71"/>
      <x v="172"/>
    </i>
    <i r="2">
      <x v="73"/>
      <x v="172"/>
    </i>
    <i r="2">
      <x v="78"/>
      <x v="172"/>
    </i>
    <i r="2">
      <x v="79"/>
      <x v="172"/>
    </i>
    <i r="2">
      <x v="84"/>
      <x v="172"/>
    </i>
    <i r="2">
      <x v="85"/>
      <x v="172"/>
    </i>
    <i r="2">
      <x v="89"/>
      <x v="172"/>
    </i>
    <i r="2">
      <x v="364"/>
      <x v="172"/>
    </i>
    <i r="1">
      <x v="70"/>
      <x v="75"/>
      <x v="172"/>
    </i>
    <i r="1">
      <x v="76"/>
      <x v="15"/>
      <x v="172"/>
    </i>
    <i r="2">
      <x v="49"/>
      <x v="172"/>
    </i>
    <i r="2">
      <x v="55"/>
      <x v="172"/>
    </i>
    <i r="1">
      <x v="78"/>
      <x v="17"/>
      <x v="172"/>
    </i>
    <i r="2">
      <x v="19"/>
      <x v="172"/>
    </i>
    <i r="2">
      <x v="68"/>
      <x v="172"/>
    </i>
    <i r="1">
      <x v="80"/>
      <x v="37"/>
      <x v="172"/>
    </i>
    <i r="2">
      <x v="45"/>
      <x v="172"/>
    </i>
    <i r="2">
      <x v="48"/>
      <x v="172"/>
    </i>
    <i r="2">
      <x v="49"/>
      <x v="172"/>
    </i>
    <i r="2">
      <x v="56"/>
      <x v="172"/>
    </i>
    <i r="2">
      <x v="61"/>
      <x v="172"/>
    </i>
    <i r="2">
      <x v="64"/>
      <x v="172"/>
    </i>
    <i r="2">
      <x v="65"/>
      <x v="172"/>
    </i>
    <i r="2">
      <x v="66"/>
      <x v="172"/>
    </i>
    <i r="2">
      <x v="68"/>
      <x v="172"/>
    </i>
    <i r="2">
      <x v="69"/>
      <x v="172"/>
    </i>
    <i r="2">
      <x v="70"/>
      <x v="172"/>
    </i>
    <i r="2">
      <x v="77"/>
      <x v="172"/>
    </i>
    <i r="2">
      <x v="78"/>
      <x v="172"/>
    </i>
    <i r="2">
      <x v="79"/>
      <x v="172"/>
    </i>
    <i r="2">
      <x v="81"/>
      <x v="172"/>
    </i>
    <i r="1">
      <x v="82"/>
      <x v="16"/>
      <x v="172"/>
    </i>
    <i r="2">
      <x v="17"/>
      <x v="172"/>
    </i>
    <i r="2">
      <x v="18"/>
      <x v="172"/>
    </i>
    <i r="2">
      <x v="19"/>
      <x v="172"/>
    </i>
    <i r="2">
      <x v="24"/>
      <x v="172"/>
    </i>
    <i r="2">
      <x v="51"/>
      <x v="172"/>
    </i>
    <i r="2">
      <x v="52"/>
      <x v="172"/>
    </i>
    <i r="1">
      <x v="87"/>
      <x v="70"/>
      <x v="172"/>
    </i>
    <i r="1">
      <x v="91"/>
      <x v="25"/>
      <x v="172"/>
    </i>
    <i r="1">
      <x v="93"/>
      <x v="12"/>
      <x v="172"/>
    </i>
    <i r="2">
      <x v="13"/>
      <x v="172"/>
    </i>
    <i r="2">
      <x v="24"/>
      <x v="172"/>
    </i>
    <i r="2">
      <x v="25"/>
      <x v="172"/>
    </i>
    <i r="2">
      <x v="27"/>
      <x v="172"/>
    </i>
    <i r="2">
      <x v="67"/>
      <x v="172"/>
    </i>
    <i r="2">
      <x v="68"/>
      <x v="172"/>
    </i>
    <i r="2">
      <x v="72"/>
      <x v="172"/>
    </i>
    <i r="2">
      <x v="73"/>
      <x v="172"/>
    </i>
    <i r="2">
      <x v="74"/>
      <x v="172"/>
    </i>
    <i r="2">
      <x v="75"/>
      <x v="172"/>
    </i>
    <i r="2">
      <x v="77"/>
      <x v="172"/>
    </i>
    <i r="2">
      <x v="83"/>
      <x v="172"/>
    </i>
    <i r="1">
      <x v="95"/>
      <x v="22"/>
      <x v="172"/>
    </i>
    <i>
      <x v="9"/>
    </i>
    <i>
      <x v="10"/>
      <x v="3"/>
      <x v="31"/>
      <x v="172"/>
    </i>
    <i r="1">
      <x v="93"/>
      <x v="8"/>
      <x v="172"/>
    </i>
    <i r="1">
      <x v="95"/>
      <x v="9"/>
      <x v="172"/>
    </i>
    <i r="2">
      <x v="18"/>
      <x v="172"/>
    </i>
    <i r="1">
      <x v="116"/>
      <x v="321"/>
      <x v="172"/>
    </i>
    <i>
      <x v="11"/>
      <x v="69"/>
      <x v="37"/>
      <x v="172"/>
    </i>
    <i>
      <x v="12"/>
      <x v="2"/>
      <x v="58"/>
      <x v="172"/>
    </i>
    <i r="2">
      <x v="60"/>
      <x v="172"/>
    </i>
    <i r="2">
      <x v="63"/>
      <x v="172"/>
    </i>
    <i r="2">
      <x v="68"/>
      <x v="172"/>
    </i>
    <i r="2">
      <x v="69"/>
      <x v="172"/>
    </i>
    <i r="1">
      <x v="5"/>
      <x v="27"/>
      <x v="172"/>
    </i>
    <i r="1">
      <x v="10"/>
      <x v="85"/>
      <x v="172"/>
    </i>
    <i r="2">
      <x v="87"/>
      <x v="172"/>
    </i>
    <i r="1">
      <x v="14"/>
      <x v="25"/>
      <x v="172"/>
    </i>
    <i r="1">
      <x v="15"/>
      <x v="63"/>
      <x v="172"/>
    </i>
    <i r="1">
      <x v="36"/>
      <x v="13"/>
      <x v="172"/>
    </i>
    <i r="1">
      <x v="38"/>
      <x v="27"/>
      <x v="172"/>
    </i>
    <i r="2">
      <x v="28"/>
      <x v="172"/>
    </i>
    <i r="2">
      <x v="29"/>
      <x v="172"/>
    </i>
    <i r="2">
      <x v="45"/>
      <x v="172"/>
    </i>
    <i r="2">
      <x v="68"/>
      <x v="172"/>
    </i>
    <i r="2">
      <x v="69"/>
      <x v="172"/>
    </i>
    <i r="2">
      <x v="70"/>
      <x v="172"/>
    </i>
    <i r="2">
      <x v="71"/>
      <x v="172"/>
    </i>
    <i r="2">
      <x v="79"/>
      <x v="172"/>
    </i>
    <i r="2">
      <x v="80"/>
      <x v="172"/>
    </i>
    <i r="2">
      <x v="84"/>
      <x v="172"/>
    </i>
    <i r="1">
      <x v="39"/>
      <x v="43"/>
      <x v="172"/>
    </i>
    <i r="2">
      <x v="44"/>
      <x v="172"/>
    </i>
    <i r="2">
      <x v="48"/>
      <x v="172"/>
    </i>
    <i r="2">
      <x v="50"/>
      <x v="172"/>
    </i>
    <i r="1">
      <x v="42"/>
      <x v="22"/>
      <x v="172"/>
    </i>
    <i r="1">
      <x v="57"/>
      <x v="46"/>
      <x v="172"/>
    </i>
    <i r="1">
      <x v="69"/>
      <x v="27"/>
      <x v="172"/>
    </i>
    <i r="2">
      <x v="28"/>
      <x v="172"/>
    </i>
    <i r="2">
      <x v="29"/>
      <x v="172"/>
    </i>
    <i r="2">
      <x v="33"/>
      <x v="172"/>
    </i>
    <i r="2">
      <x v="34"/>
      <x v="172"/>
    </i>
    <i r="2">
      <x v="35"/>
      <x v="172"/>
    </i>
    <i r="2">
      <x v="39"/>
      <x v="172"/>
    </i>
    <i r="2">
      <x v="47"/>
      <x v="172"/>
    </i>
    <i r="2">
      <x v="52"/>
      <x v="172"/>
    </i>
    <i r="2">
      <x v="53"/>
      <x v="172"/>
    </i>
    <i r="2">
      <x v="58"/>
      <x v="172"/>
    </i>
    <i r="2">
      <x v="59"/>
      <x v="172"/>
    </i>
    <i r="2">
      <x v="61"/>
      <x v="172"/>
    </i>
    <i r="2">
      <x v="62"/>
      <x v="172"/>
    </i>
    <i r="2">
      <x v="66"/>
      <x v="172"/>
    </i>
    <i r="2">
      <x v="73"/>
      <x v="172"/>
    </i>
    <i r="2">
      <x v="74"/>
      <x v="172"/>
    </i>
    <i r="2">
      <x v="79"/>
      <x v="172"/>
    </i>
    <i r="2">
      <x v="80"/>
      <x v="172"/>
    </i>
    <i r="2">
      <x v="84"/>
      <x v="172"/>
    </i>
    <i r="2">
      <x v="85"/>
      <x v="172"/>
    </i>
    <i r="2">
      <x v="102"/>
      <x v="172"/>
    </i>
    <i r="1">
      <x v="73"/>
      <x v="61"/>
      <x v="172"/>
    </i>
    <i r="2">
      <x v="63"/>
      <x v="172"/>
    </i>
    <i r="1">
      <x v="74"/>
      <x v="46"/>
      <x v="172"/>
    </i>
    <i r="2">
      <x v="47"/>
      <x v="172"/>
    </i>
    <i r="1">
      <x v="78"/>
      <x v="10"/>
      <x v="172"/>
    </i>
    <i r="2">
      <x v="68"/>
      <x v="172"/>
    </i>
    <i r="1">
      <x v="79"/>
      <x v="11"/>
      <x v="172"/>
    </i>
    <i r="2">
      <x v="28"/>
      <x v="172"/>
    </i>
    <i r="1">
      <x v="93"/>
      <x v="13"/>
      <x v="172"/>
    </i>
    <i r="2">
      <x v="14"/>
      <x v="172"/>
    </i>
    <i r="2">
      <x v="22"/>
      <x v="172"/>
    </i>
    <i r="2">
      <x v="23"/>
      <x v="172"/>
    </i>
    <i r="2">
      <x v="24"/>
      <x v="172"/>
    </i>
    <i r="2">
      <x v="29"/>
      <x v="172"/>
    </i>
    <i r="2">
      <x v="46"/>
      <x v="172"/>
    </i>
    <i r="2">
      <x v="47"/>
      <x v="172"/>
    </i>
    <i r="2">
      <x v="66"/>
      <x v="172"/>
    </i>
    <i r="2">
      <x v="67"/>
      <x v="172"/>
    </i>
    <i r="2">
      <x v="68"/>
      <x v="172"/>
    </i>
    <i r="2">
      <x v="73"/>
      <x v="172"/>
    </i>
    <i r="2">
      <x v="94"/>
      <x v="172"/>
    </i>
    <i r="1">
      <x v="95"/>
      <x v="17"/>
      <x v="172"/>
    </i>
    <i r="2">
      <x v="20"/>
      <x v="172"/>
    </i>
    <i r="2">
      <x v="23"/>
      <x v="172"/>
    </i>
    <i r="2">
      <x v="27"/>
      <x v="172"/>
    </i>
    <i r="2">
      <x v="35"/>
      <x v="172"/>
    </i>
    <i r="2">
      <x v="58"/>
      <x v="172"/>
    </i>
    <i r="2">
      <x v="59"/>
      <x v="172"/>
    </i>
    <i r="1">
      <x v="101"/>
      <x v="76"/>
      <x v="172"/>
    </i>
    <i r="1">
      <x v="104"/>
      <x v="23"/>
      <x v="172"/>
    </i>
    <i>
      <x v="13"/>
    </i>
    <i>
      <x v="14"/>
      <x v="14"/>
      <x v="20"/>
      <x v="172"/>
    </i>
    <i r="1">
      <x v="38"/>
      <x v="91"/>
      <x v="7"/>
    </i>
    <i r="3">
      <x v="172"/>
    </i>
    <i r="1">
      <x v="80"/>
      <x v="208"/>
      <x v="172"/>
    </i>
    <i>
      <x v="15"/>
      <x v="38"/>
      <x v="240"/>
      <x v="172"/>
    </i>
    <i>
      <x v="16"/>
      <x v="61"/>
      <x v="303"/>
      <x v="172"/>
    </i>
    <i>
      <x v="17"/>
      <x v="38"/>
      <x v="156"/>
      <x v="120"/>
    </i>
    <i>
      <x v="18"/>
      <x v="16"/>
      <x v="18"/>
      <x v="172"/>
    </i>
    <i r="2">
      <x v="105"/>
      <x v="133"/>
    </i>
    <i r="1">
      <x v="38"/>
      <x v="76"/>
      <x v="126"/>
    </i>
    <i r="2">
      <x v="79"/>
      <x v="130"/>
    </i>
    <i r="2">
      <x v="364"/>
      <x v="172"/>
    </i>
    <i r="1">
      <x v="56"/>
      <x v="364"/>
      <x v="134"/>
    </i>
    <i r="1">
      <x v="78"/>
      <x v="31"/>
      <x v="144"/>
    </i>
    <i r="1">
      <x v="80"/>
      <x v="296"/>
      <x v="139"/>
    </i>
    <i r="3">
      <x v="171"/>
    </i>
    <i r="1">
      <x v="93"/>
      <x v="31"/>
      <x v="143"/>
    </i>
    <i>
      <x v="19"/>
      <x v="41"/>
      <x v="20"/>
      <x v="172"/>
    </i>
    <i r="1">
      <x v="80"/>
      <x v="31"/>
      <x v="145"/>
    </i>
    <i r="3">
      <x v="146"/>
    </i>
    <i>
      <x v="20"/>
      <x v="7"/>
      <x v="299"/>
      <x v="172"/>
    </i>
    <i r="1">
      <x v="8"/>
      <x v="188"/>
      <x v="129"/>
    </i>
    <i r="1">
      <x v="15"/>
      <x v="298"/>
      <x v="131"/>
    </i>
    <i r="1">
      <x v="19"/>
      <x v="347"/>
      <x v="140"/>
    </i>
    <i r="3">
      <x v="141"/>
    </i>
    <i r="3">
      <x v="142"/>
    </i>
    <i r="2">
      <x v="373"/>
      <x v="179"/>
    </i>
    <i r="3">
      <x v="180"/>
    </i>
    <i r="1">
      <x v="32"/>
      <x v="192"/>
      <x v="135"/>
    </i>
    <i r="1">
      <x v="38"/>
      <x v="174"/>
      <x v="172"/>
    </i>
    <i r="2">
      <x v="352"/>
      <x v="132"/>
    </i>
    <i r="2">
      <x v="359"/>
      <x v="127"/>
    </i>
    <i r="2">
      <x v="360"/>
      <x v="173"/>
    </i>
    <i r="2">
      <x v="364"/>
      <x v="172"/>
    </i>
    <i r="1">
      <x v="43"/>
      <x v="196"/>
      <x v="172"/>
    </i>
    <i r="2">
      <x v="197"/>
      <x v="172"/>
    </i>
    <i r="1">
      <x v="67"/>
      <x v="247"/>
      <x v="172"/>
    </i>
    <i r="1">
      <x v="69"/>
      <x v="141"/>
      <x v="148"/>
    </i>
    <i r="1">
      <x v="77"/>
      <x v="98"/>
      <x v="125"/>
    </i>
    <i r="2">
      <x v="180"/>
      <x v="123"/>
    </i>
    <i r="2">
      <x v="182"/>
      <x v="128"/>
    </i>
    <i r="1">
      <x v="103"/>
      <x v="254"/>
      <x v="172"/>
    </i>
    <i>
      <x v="21"/>
      <x v="7"/>
      <x v="136"/>
      <x v="172"/>
    </i>
    <i>
      <x v="22"/>
      <x v="70"/>
      <x v="20"/>
      <x v="172"/>
    </i>
    <i r="2">
      <x v="25"/>
      <x v="172"/>
    </i>
    <i r="1">
      <x v="77"/>
      <x v="31"/>
      <x v="172"/>
    </i>
    <i>
      <x v="23"/>
      <x v="8"/>
      <x v="364"/>
      <x v="115"/>
    </i>
    <i r="1">
      <x v="32"/>
      <x v="20"/>
      <x v="172"/>
    </i>
    <i r="2">
      <x v="70"/>
      <x v="117"/>
    </i>
    <i r="2">
      <x v="73"/>
      <x v="119"/>
    </i>
    <i r="2">
      <x v="96"/>
      <x v="17"/>
    </i>
    <i r="1">
      <x v="38"/>
      <x v="34"/>
      <x v="172"/>
    </i>
    <i r="2">
      <x v="39"/>
      <x v="172"/>
    </i>
    <i r="1">
      <x v="60"/>
      <x v="121"/>
      <x v="172"/>
    </i>
    <i r="1">
      <x v="77"/>
      <x v="63"/>
      <x v="114"/>
    </i>
    <i r="2">
      <x v="66"/>
      <x v="116"/>
    </i>
    <i r="2">
      <x v="69"/>
      <x v="113"/>
    </i>
    <i r="2">
      <x v="74"/>
      <x v="118"/>
    </i>
    <i r="1">
      <x v="80"/>
      <x v="37"/>
      <x v="172"/>
    </i>
    <i>
      <x v="24"/>
      <x v="7"/>
      <x v="163"/>
      <x v="31"/>
    </i>
    <i r="2">
      <x v="228"/>
      <x v="77"/>
    </i>
    <i r="1">
      <x v="8"/>
      <x v="233"/>
      <x v="73"/>
    </i>
    <i r="2">
      <x v="255"/>
      <x v="86"/>
    </i>
    <i r="2">
      <x v="280"/>
      <x v="92"/>
    </i>
    <i r="2">
      <x v="321"/>
      <x v="105"/>
    </i>
    <i r="2">
      <x v="347"/>
      <x v="108"/>
    </i>
    <i r="2">
      <x v="365"/>
      <x v="183"/>
    </i>
    <i r="1">
      <x v="13"/>
      <x v="246"/>
      <x v="83"/>
    </i>
    <i r="2">
      <x v="291"/>
      <x v="95"/>
    </i>
    <i r="2">
      <x v="307"/>
      <x v="101"/>
    </i>
    <i r="1">
      <x v="16"/>
      <x v="96"/>
      <x v="18"/>
    </i>
    <i r="2">
      <x v="106"/>
      <x v="19"/>
    </i>
    <i r="1">
      <x v="23"/>
      <x v="132"/>
      <x v="172"/>
    </i>
    <i r="2">
      <x v="148"/>
      <x v="21"/>
    </i>
    <i r="2">
      <x v="159"/>
      <x v="28"/>
    </i>
    <i r="2">
      <x v="167"/>
      <x v="38"/>
    </i>
    <i r="2">
      <x v="168"/>
      <x v="40"/>
    </i>
    <i r="2">
      <x v="200"/>
      <x v="62"/>
    </i>
    <i r="1">
      <x v="30"/>
      <x v="122"/>
      <x v="20"/>
    </i>
    <i r="1">
      <x v="32"/>
      <x v="155"/>
      <x v="172"/>
    </i>
    <i r="2">
      <x v="226"/>
      <x v="76"/>
    </i>
    <i r="2">
      <x v="268"/>
      <x v="91"/>
    </i>
    <i r="1">
      <x v="45"/>
      <x v="276"/>
      <x v="93"/>
    </i>
    <i r="2">
      <x v="277"/>
      <x v="94"/>
    </i>
    <i r="1">
      <x v="55"/>
      <x v="233"/>
      <x v="78"/>
    </i>
    <i r="1">
      <x v="70"/>
      <x v="247"/>
      <x v="88"/>
    </i>
    <i r="1">
      <x v="77"/>
      <x v="152"/>
      <x v="22"/>
    </i>
    <i r="2">
      <x v="154"/>
      <x v="24"/>
    </i>
    <i r="3">
      <x v="25"/>
    </i>
    <i r="2">
      <x v="155"/>
      <x v="23"/>
    </i>
    <i r="2">
      <x v="156"/>
      <x v="26"/>
    </i>
    <i r="3">
      <x v="27"/>
    </i>
    <i r="2">
      <x v="160"/>
      <x v="29"/>
    </i>
    <i r="3">
      <x v="32"/>
    </i>
    <i r="2">
      <x v="163"/>
      <x v="35"/>
    </i>
    <i r="2">
      <x v="165"/>
      <x v="39"/>
    </i>
    <i r="2">
      <x v="169"/>
      <x v="37"/>
    </i>
    <i r="2">
      <x v="172"/>
      <x v="42"/>
    </i>
    <i r="2">
      <x v="173"/>
      <x v="33"/>
    </i>
    <i r="2">
      <x v="175"/>
      <x v="44"/>
    </i>
    <i r="2">
      <x v="177"/>
      <x v="43"/>
    </i>
    <i r="2">
      <x v="179"/>
      <x v="34"/>
    </i>
    <i r="3">
      <x v="36"/>
    </i>
    <i r="2">
      <x v="182"/>
      <x v="48"/>
    </i>
    <i r="2">
      <x v="183"/>
      <x v="46"/>
    </i>
    <i r="3">
      <x v="49"/>
    </i>
    <i r="2">
      <x v="184"/>
      <x v="45"/>
    </i>
    <i r="2">
      <x v="185"/>
      <x v="47"/>
    </i>
    <i r="2">
      <x v="186"/>
      <x v="53"/>
    </i>
    <i r="2">
      <x v="188"/>
      <x v="56"/>
    </i>
    <i r="3">
      <x v="59"/>
    </i>
    <i r="2">
      <x v="190"/>
      <x v="41"/>
    </i>
    <i r="3">
      <x v="50"/>
    </i>
    <i r="3">
      <x v="52"/>
    </i>
    <i r="2">
      <x v="191"/>
      <x v="54"/>
    </i>
    <i r="3">
      <x v="55"/>
    </i>
    <i r="3">
      <x v="57"/>
    </i>
    <i r="2">
      <x v="192"/>
      <x v="51"/>
    </i>
    <i r="3">
      <x v="58"/>
    </i>
    <i r="2">
      <x v="194"/>
      <x v="60"/>
    </i>
    <i r="3">
      <x v="61"/>
    </i>
    <i r="2">
      <x v="203"/>
      <x v="63"/>
    </i>
    <i r="2">
      <x v="205"/>
      <x v="64"/>
    </i>
    <i r="3">
      <x v="66"/>
    </i>
    <i r="2">
      <x v="206"/>
      <x v="67"/>
    </i>
    <i r="2">
      <x v="209"/>
      <x v="68"/>
    </i>
    <i r="2">
      <x v="210"/>
      <x v="70"/>
    </i>
    <i r="2">
      <x v="211"/>
      <x v="69"/>
    </i>
    <i r="2">
      <x v="216"/>
      <x v="72"/>
    </i>
    <i r="2">
      <x v="219"/>
      <x v="65"/>
    </i>
    <i r="2">
      <x v="226"/>
      <x v="74"/>
    </i>
    <i r="3">
      <x v="75"/>
    </i>
    <i r="2">
      <x v="233"/>
      <x v="79"/>
    </i>
    <i r="3">
      <x v="80"/>
    </i>
    <i r="2">
      <x v="238"/>
      <x v="82"/>
    </i>
    <i r="2">
      <x v="239"/>
      <x v="84"/>
    </i>
    <i r="2">
      <x v="243"/>
      <x v="85"/>
    </i>
    <i r="2">
      <x v="246"/>
      <x v="87"/>
    </i>
    <i r="2">
      <x v="267"/>
      <x v="89"/>
    </i>
    <i r="3">
      <x v="90"/>
    </i>
    <i r="2">
      <x v="307"/>
      <x v="100"/>
    </i>
    <i r="2">
      <x v="342"/>
      <x v="110"/>
    </i>
    <i r="2">
      <x v="344"/>
      <x v="109"/>
    </i>
    <i r="2">
      <x v="347"/>
      <x v="111"/>
    </i>
    <i r="1">
      <x v="81"/>
      <x v="234"/>
      <x v="81"/>
    </i>
    <i r="2">
      <x v="282"/>
      <x v="172"/>
    </i>
    <i r="1">
      <x v="93"/>
      <x v="133"/>
      <x v="172"/>
    </i>
    <i r="1">
      <x v="100"/>
      <x v="213"/>
      <x v="71"/>
    </i>
    <i r="1">
      <x v="108"/>
      <x v="300"/>
      <x v="96"/>
    </i>
    <i r="2">
      <x v="302"/>
      <x v="97"/>
    </i>
    <i r="3">
      <x v="98"/>
    </i>
    <i r="2">
      <x v="309"/>
      <x v="103"/>
    </i>
    <i r="2">
      <x v="311"/>
      <x v="104"/>
    </i>
    <i r="2">
      <x v="317"/>
      <x v="102"/>
    </i>
    <i r="3">
      <x v="106"/>
    </i>
    <i r="2">
      <x v="320"/>
      <x v="107"/>
    </i>
    <i r="1">
      <x v="111"/>
      <x v="306"/>
      <x v="99"/>
    </i>
    <i r="1">
      <x v="112"/>
      <x v="364"/>
      <x v="175"/>
    </i>
    <i r="2">
      <x v="381"/>
      <x v="184"/>
    </i>
    <i r="2">
      <x v="386"/>
      <x v="185"/>
    </i>
    <i r="1">
      <x v="128"/>
      <x v="363"/>
      <x v="181"/>
    </i>
    <i>
      <x v="25"/>
      <x v="38"/>
      <x v="281"/>
      <x v="124"/>
    </i>
    <i>
      <x v="26"/>
      <x v="66"/>
      <x v="73"/>
      <x v="172"/>
    </i>
    <i r="2">
      <x v="84"/>
      <x v="172"/>
    </i>
    <i>
      <x v="27"/>
      <x v="84"/>
      <x v="18"/>
      <x v="172"/>
    </i>
    <i>
      <x v="28"/>
      <x v="38"/>
      <x v="364"/>
      <x v="172"/>
    </i>
    <i r="1">
      <x v="62"/>
      <x v="46"/>
      <x v="172"/>
    </i>
    <i r="1">
      <x v="69"/>
      <x/>
      <x v="172"/>
    </i>
    <i r="2">
      <x v="63"/>
      <x v="172"/>
    </i>
    <i>
      <x v="29"/>
      <x v="5"/>
      <x v="337"/>
      <x v="172"/>
    </i>
    <i r="2">
      <x v="355"/>
      <x v="122"/>
    </i>
    <i r="1">
      <x v="38"/>
      <x v="197"/>
      <x v="172"/>
    </i>
    <i r="2">
      <x v="285"/>
      <x v="161"/>
    </i>
    <i r="2">
      <x v="358"/>
      <x v="157"/>
    </i>
    <i r="2">
      <x v="364"/>
      <x v="172"/>
    </i>
    <i r="1">
      <x v="43"/>
      <x v="181"/>
      <x v="172"/>
    </i>
    <i r="2">
      <x v="318"/>
      <x v="172"/>
    </i>
    <i r="1">
      <x v="47"/>
      <x v="98"/>
      <x v="172"/>
    </i>
    <i r="2">
      <x v="108"/>
      <x v="172"/>
    </i>
    <i r="2">
      <x v="111"/>
      <x v="172"/>
    </i>
    <i r="2">
      <x v="114"/>
      <x v="172"/>
    </i>
    <i r="2">
      <x v="167"/>
      <x v="30"/>
    </i>
    <i r="1">
      <x v="69"/>
      <x v="140"/>
      <x v="172"/>
    </i>
    <i r="1">
      <x v="77"/>
      <x v="326"/>
      <x v="150"/>
    </i>
    <i r="3">
      <x v="151"/>
    </i>
    <i r="3">
      <x v="152"/>
    </i>
    <i r="2">
      <x v="328"/>
      <x v="153"/>
    </i>
    <i r="2">
      <x v="329"/>
      <x v="154"/>
    </i>
    <i r="3">
      <x v="155"/>
    </i>
    <i r="2">
      <x v="334"/>
      <x v="156"/>
    </i>
    <i r="2">
      <x v="347"/>
      <x v="164"/>
    </i>
    <i r="3">
      <x v="165"/>
    </i>
    <i r="2">
      <x v="355"/>
      <x v="167"/>
    </i>
    <i r="3">
      <x v="168"/>
    </i>
    <i r="3">
      <x v="172"/>
    </i>
    <i r="2">
      <x v="373"/>
      <x v="176"/>
    </i>
    <i r="3">
      <x v="177"/>
    </i>
    <i r="2">
      <x v="374"/>
      <x v="178"/>
    </i>
    <i r="1">
      <x v="80"/>
      <x v="194"/>
      <x v="172"/>
    </i>
    <i r="2">
      <x v="327"/>
      <x v="162"/>
    </i>
    <i r="2">
      <x v="331"/>
      <x v="163"/>
    </i>
    <i r="2">
      <x v="361"/>
      <x v="174"/>
    </i>
    <i r="1">
      <x v="124"/>
      <x v="355"/>
      <x v="166"/>
    </i>
    <i>
      <x v="31"/>
      <x v="82"/>
      <x v="291"/>
      <x v="172"/>
    </i>
    <i>
      <x v="32"/>
      <x v="106"/>
      <x v="291"/>
      <x v="172"/>
    </i>
    <i>
      <x v="33"/>
      <x v="7"/>
      <x v="364"/>
      <x v="172"/>
    </i>
    <i>
      <x v="34"/>
      <x v="112"/>
      <x v="303"/>
      <x v="172"/>
    </i>
    <i>
      <x v="35"/>
      <x v="114"/>
      <x v="317"/>
      <x v="112"/>
    </i>
  </rowItems>
  <colItems count="1">
    <i/>
  </colItems>
  <dataFields count="1">
    <dataField name="Кол-во" fld="7" subtotal="count" baseField="8" baseItem="36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39AB12-052E-40E8-A728-2B85C215C79C}" name="ТабКлиенты" displayName="ТабКлиенты" ref="A1:F271" totalsRowShown="0" headerRowDxfId="62" dataDxfId="60" headerRowBorderDxfId="61" tableBorderDxfId="59" totalsRowBorderDxfId="58">
  <autoFilter ref="A1:F271" xr:uid="{FE39AB12-052E-40E8-A728-2B85C215C79C}"/>
  <tableColumns count="6">
    <tableColumn id="1" xr3:uid="{BA97EC0C-868B-4092-9EC3-BA81C7C4A5D2}" name="name" dataDxfId="57"/>
    <tableColumn id="5" xr3:uid="{4CD00161-F72D-4045-A88E-7508BEC81604}" name="_id" dataDxfId="56"/>
    <tableColumn id="2" xr3:uid="{F1D3C234-FC76-4B07-A005-74B284617567}" name="phone" dataDxfId="55"/>
    <tableColumn id="3" xr3:uid="{4AE5CD01-BF7D-4DDF-890A-7F2486BDEB59}" name="address" dataDxfId="54"/>
    <tableColumn id="12" xr3:uid="{10DA1533-BFCC-4E46-8121-D4B0A201A954}" name="gps" dataDxfId="53"/>
    <tableColumn id="6" xr3:uid="{93CB5F00-FB75-42A1-AA7C-8A6804C84823}" name="percent" dataDxfId="52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A2A49A-BC35-4FF4-8E4E-E64C6B78BEF0}" name="ТабЗаказы" displayName="ТабЗаказы" ref="A1:I608" totalsRowCount="1">
  <autoFilter ref="A1:I607" xr:uid="{A2A2A49A-BC35-4FF4-8E4E-E64C6B78BEF0}"/>
  <tableColumns count="9">
    <tableColumn id="2" xr3:uid="{67F46BB1-4A7C-459B-A1D3-17B2EE9800A0}" name="orderNum" totalsRowLabel="Итог">
      <calculatedColumnFormula>A1+1</calculatedColumnFormula>
    </tableColumn>
    <tableColumn id="1" xr3:uid="{9060C9D0-9478-46F3-AF1F-DAFBBD4E0D1A}" name="date" dataDxfId="51" totalsRowDxfId="22"/>
    <tableColumn id="3" xr3:uid="{2EEB9DB3-3EE2-4BD1-B6C0-F56C9AE02B2F}" name="client"/>
    <tableColumn id="4" xr3:uid="{590905E0-A346-4EFD-AFA7-7D99E1D2B064}" name="clientId" dataDxfId="50">
      <calculatedColumnFormula>VLOOKUP(ТабЗаказы[[#This Row],[client]],ТабКлиенты[[name]:[_id]],2,0)</calculatedColumnFormula>
    </tableColumn>
    <tableColumn id="6" xr3:uid="{448D85BF-0E9E-4CF3-80D0-3F8FCAC00075}" name="percent" dataDxfId="49">
      <calculatedColumnFormula>IFERROR(IF(ТабЗаказы[[#This Row],[orderSumm]]&gt;10000,10,VLOOKUP(ТабЗаказы[[#This Row],[client]],ТабКлиенты[[name]:[percent]],MATCH(E$1,ТабКлиенты[#Headers],0)-1,0)),"")</calculatedColumnFormula>
    </tableColumn>
    <tableColumn id="7" xr3:uid="{C96E73D8-8A9D-49B1-A888-3DAE153C68F6}" name="orderSumm" totalsRowFunction="sum" dataDxfId="48" totalsRowDxfId="21"/>
    <tableColumn id="8" xr3:uid="{8456E53C-0976-4A97-A1A8-7B4A423DFEC1}" name="deliverySumm" totalsRowFunction="sum" dataDxfId="47" totalsRowDxfId="20"/>
    <tableColumn id="9" xr3:uid="{D0B68ACB-A786-4295-B019-69282D635780}" name="totalSumm" totalsRowFunction="sum" dataDxfId="46" totalsRowDxfId="19"/>
    <tableColumn id="11" xr3:uid="{30241DD6-0103-4381-897B-C6C51A5189F9}" name="Delivery" dataDxfId="45" totalsRowDxfId="18">
      <calculatedColumnFormula>IFERROR(VLOOKUP(ТабЗаказы[[#This Row],[orderNum]],ТабПозиции[#Data],22,0),"")</calculatedColumnFormula>
    </tableColumn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FF8FC4-79DD-40CE-B58D-470A2CD8FA8A}" name="ТабПозиции" displayName="ТабПозиции" ref="A7:V2184" totalsRowCount="1" headerRowDxfId="44">
  <autoFilter ref="A7:V2183" xr:uid="{F2FF8FC4-79DD-40CE-B58D-470A2CD8FA8A}"/>
  <sortState xmlns:xlrd2="http://schemas.microsoft.com/office/spreadsheetml/2017/richdata2" ref="A947:V973">
    <sortCondition ref="S7:S1290"/>
  </sortState>
  <tableColumns count="22">
    <tableColumn id="1" xr3:uid="{92EAD96E-9EE7-4233-8FFD-5AD7510D9BD0}" name="orderNum" totalsRowLabel="Итог" dataDxfId="43" totalsRowDxfId="14"/>
    <tableColumn id="2" xr3:uid="{F41B8E35-3556-4898-90F2-4D44C2EC8B67}" name="date" dataDxfId="42"/>
    <tableColumn id="24" xr3:uid="{C783757B-B31E-4E46-9873-A232CC98B828}" name="Месяц" dataDxfId="41">
      <calculatedColumnFormula>MONTH(ТабПозиции[[#This Row],[date]])&amp;"/"&amp;YEAR(ТабПозиции[[#This Row],[date]])</calculatedColumnFormula>
    </tableColumn>
    <tableColumn id="17" xr3:uid="{E95DE998-5532-4639-B34C-B8E0B92D52A8}" name="client" dataDxfId="40"/>
    <tableColumn id="3" xr3:uid="{FCD24601-06A2-4417-8ED1-3A6DDC898656}" name="item" dataDxfId="39" totalsRowDxfId="13"/>
    <tableColumn id="15" xr3:uid="{8A85A45C-1D67-4408-B958-FE11A51C518E}" name="rec" dataDxfId="38" totalsRowDxfId="12"/>
    <tableColumn id="20" xr3:uid="{C8090E35-ED38-48A3-BFCB-DBA7EE7B7983}" name="abroad" dataDxfId="37" totalsRowDxfId="11"/>
    <tableColumn id="9" xr3:uid="{E9B7B80D-BB53-45C8-9619-8F2A544CC6C9}" name="dateTo" dataDxfId="36" totalsRowDxfId="10"/>
    <tableColumn id="4" xr3:uid="{9277276F-403A-4BE0-B0AB-0EE09C510B52}" name="quantity" totalsRowFunction="count" dataDxfId="35" totalsRowDxfId="9"/>
    <tableColumn id="21" xr3:uid="{3F242B96-AF1D-4491-84BD-D2021912E176}" name="discountPrice" dataDxfId="34" totalsRowDxfId="8"/>
    <tableColumn id="22" xr3:uid="{1BA966A7-3D9D-4827-8178-1A89DDA99FB0}" name="discountSumm" totalsRowFunction="sum" dataDxfId="33"/>
    <tableColumn id="5" xr3:uid="{84DFC0D0-ACE4-4080-97CD-21C1C58F8C55}" name="price" dataDxfId="32" totalsRowDxfId="7"/>
    <tableColumn id="6" xr3:uid="{95A360D6-ECCF-4383-ACA4-CC60E8B3D38A}" name="orderSumm" totalsRowFunction="sum">
      <calculatedColumnFormula>L8*I8</calculatedColumnFormula>
    </tableColumn>
    <tableColumn id="23" xr3:uid="{EAC4320C-8C9C-4504-9A68-B647779A447B}" name="deliveryPost" totalsRowFunction="sum" dataDxfId="31" totalsRowDxfId="6"/>
    <tableColumn id="7" xr3:uid="{9E7B387E-79C9-4908-A548-E5DD524FA49F}" name="deliverySumm" totalsRowFunction="sum" dataDxfId="30"/>
    <tableColumn id="8" xr3:uid="{72BEE366-5C2D-4DF8-92AA-09E4699B0C6E}" name="totalSumm" totalsRowFunction="sum" dataDxfId="29">
      <calculatedColumnFormula>IF(OR(ТабПозиции[[#This Row],[item]]="По штрихкоду",ТабПозиции[[#This Row],[item]]="Посылка"),ТабПозиции[[#This Row],[deliverySumm]]+ТабПозиции[[#This Row],[deliveryPost]],SUM(M8:O8))</calculatedColumnFormula>
    </tableColumn>
    <tableColumn id="12" xr3:uid="{84B2E6E5-6B28-4BFB-BB9A-D5F49AF2B1FD}" name="payment" totalsRowFunction="sum" dataDxfId="28" totalsRowDxfId="5"/>
    <tableColumn id="18" xr3:uid="{419D7097-AD11-4991-A848-61E7BE3584A9}" name="Остаток" totalsRowFunction="sum" dataDxfId="27" totalsRowDxfId="4">
      <calculatedColumnFormula>ТабПозиции[[#This Row],[totalSumm]]-ТабПозиции[[#This Row],[payment]]</calculatedColumnFormula>
    </tableColumn>
    <tableColumn id="10" xr3:uid="{361E6D3C-979B-4418-8FB4-129AAD3D75E6}" name="pvzName" dataDxfId="26" totalsRowDxfId="3"/>
    <tableColumn id="11" xr3:uid="{C1684814-A817-4BF7-B43F-4A2DB0B8F43A}" name="ord" dataDxfId="25" totalsRowDxfId="2"/>
    <tableColumn id="13" xr3:uid="{DF57C69C-E520-43C7-B704-E18C340BDA19}" name="pai" dataDxfId="24" totalsRowDxfId="1"/>
    <tableColumn id="16" xr3:uid="{0319486D-F84F-4FB5-AA07-3EDD9A0FE0AC}" name="ship" dataDxfId="23" totalsRow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EBAKA10" TargetMode="External"/><Relationship Id="rId2" Type="http://schemas.openxmlformats.org/officeDocument/2006/relationships/hyperlink" Target="https://t.me/marichkaaaiii" TargetMode="External"/><Relationship Id="rId1" Type="http://schemas.openxmlformats.org/officeDocument/2006/relationships/hyperlink" Target="https://t.me/poliinkin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ildberries.ru/catalog/118833102/detail.aspx" TargetMode="External"/><Relationship Id="rId1827" Type="http://schemas.openxmlformats.org/officeDocument/2006/relationships/printerSettings" Target="../printerSettings/printerSettings3.bin"/><Relationship Id="rId21" Type="http://schemas.openxmlformats.org/officeDocument/2006/relationships/hyperlink" Target="https://www.wildberries.ru/catalog/65579476/detail.aspx" TargetMode="External"/><Relationship Id="rId170" Type="http://schemas.openxmlformats.org/officeDocument/2006/relationships/hyperlink" Target="https://ozon.ru/t/nbr3Mjw" TargetMode="External"/><Relationship Id="rId268" Type="http://schemas.openxmlformats.org/officeDocument/2006/relationships/hyperlink" Target="https://www.wildberries.ru/catalog/110774993/detail.aspx?targetUrl=SN" TargetMode="External"/><Relationship Id="rId475" Type="http://schemas.openxmlformats.org/officeDocument/2006/relationships/hyperlink" Target="https://ozon.ru/t/y8z5E3y" TargetMode="External"/><Relationship Id="rId682" Type="http://schemas.openxmlformats.org/officeDocument/2006/relationships/hyperlink" Target="https://www.wildberries.ru/catalog/208368499/detail.aspx?targetUrl=SG" TargetMode="External"/><Relationship Id="rId128" Type="http://schemas.openxmlformats.org/officeDocument/2006/relationships/hyperlink" Target="https://ozon.ru/t/q7k2J94" TargetMode="External"/><Relationship Id="rId335" Type="http://schemas.openxmlformats.org/officeDocument/2006/relationships/hyperlink" Target="https://ozon.ru/t/JKdLbXb" TargetMode="External"/><Relationship Id="rId542" Type="http://schemas.openxmlformats.org/officeDocument/2006/relationships/hyperlink" Target="https://wildberries.ru/catalog/204992045/detail.aspx" TargetMode="External"/><Relationship Id="rId987" Type="http://schemas.openxmlformats.org/officeDocument/2006/relationships/hyperlink" Target="https://ozon.ru/t/6X3MWvN" TargetMode="External"/><Relationship Id="rId1172" Type="http://schemas.openxmlformats.org/officeDocument/2006/relationships/hyperlink" Target="https://www.wildberries.ru/catalog/240440333/detail.aspx?size=377927610" TargetMode="External"/><Relationship Id="rId402" Type="http://schemas.openxmlformats.org/officeDocument/2006/relationships/hyperlink" Target="https://ozon.ru/t/00y4aPk" TargetMode="External"/><Relationship Id="rId847" Type="http://schemas.openxmlformats.org/officeDocument/2006/relationships/hyperlink" Target="https://wildberries.ru/catalog/191198176/detail.aspx" TargetMode="External"/><Relationship Id="rId1032" Type="http://schemas.openxmlformats.org/officeDocument/2006/relationships/hyperlink" Target="https://www.wildberries.ru/catalog/240448442/detail.aspx?size=377939944" TargetMode="External"/><Relationship Id="rId1477" Type="http://schemas.openxmlformats.org/officeDocument/2006/relationships/hyperlink" Target="https://wildberries.ru/catalog/188277501/detail.aspx" TargetMode="External"/><Relationship Id="rId1684" Type="http://schemas.openxmlformats.org/officeDocument/2006/relationships/hyperlink" Target="https://wildberries.ru/catalog/279108124/detail.aspx" TargetMode="External"/><Relationship Id="rId707" Type="http://schemas.openxmlformats.org/officeDocument/2006/relationships/hyperlink" Target="https://ozon.ru/t/M9R3nXJ" TargetMode="External"/><Relationship Id="rId914" Type="http://schemas.openxmlformats.org/officeDocument/2006/relationships/hyperlink" Target="https://www.wildberries.ru/catalog/165613031/detail.aspx?size=275746229" TargetMode="External"/><Relationship Id="rId1337" Type="http://schemas.openxmlformats.org/officeDocument/2006/relationships/hyperlink" Target="https://wildberries.ru/catalog/221296752/detail.aspx" TargetMode="External"/><Relationship Id="rId1544" Type="http://schemas.openxmlformats.org/officeDocument/2006/relationships/hyperlink" Target="https://www.wildberries.ru/catalog/215451373/detail.aspx?size=343693306" TargetMode="External"/><Relationship Id="rId1751" Type="http://schemas.openxmlformats.org/officeDocument/2006/relationships/hyperlink" Target="https://wildberries.ru/catalog/163059313/detail.aspx" TargetMode="External"/><Relationship Id="rId43" Type="http://schemas.openxmlformats.org/officeDocument/2006/relationships/hyperlink" Target="https://www.wildberries.ru/catalog/174283935/detail.aspx" TargetMode="External"/><Relationship Id="rId1404" Type="http://schemas.openxmlformats.org/officeDocument/2006/relationships/hyperlink" Target="https://ozon.ru/t/K0A854P" TargetMode="External"/><Relationship Id="rId1611" Type="http://schemas.openxmlformats.org/officeDocument/2006/relationships/hyperlink" Target="https://wildberries.ru/catalog/235932516/detail.aspx" TargetMode="External"/><Relationship Id="rId192" Type="http://schemas.openxmlformats.org/officeDocument/2006/relationships/hyperlink" Target="https://ozon.ru/t/864nl4r" TargetMode="External"/><Relationship Id="rId1709" Type="http://schemas.openxmlformats.org/officeDocument/2006/relationships/hyperlink" Target="https://simvolik.ru/catalog/suveniry-podarki/paskha/nabor-vinilovye-magnity-yaytsa-s-nakleykami-tsvetami-145-100-malenkiy/" TargetMode="External"/><Relationship Id="rId497" Type="http://schemas.openxmlformats.org/officeDocument/2006/relationships/hyperlink" Target="https://ozon.ru/t/QKgwXKN" TargetMode="External"/><Relationship Id="rId357" Type="http://schemas.openxmlformats.org/officeDocument/2006/relationships/hyperlink" Target="https://www.avito.ru/mineralnye_vody/knigi_i_zhurnaly/noty_dlya_tserkovnogo_hora_i_voskresnoy_shkoly_3899132470" TargetMode="External"/><Relationship Id="rId1194" Type="http://schemas.openxmlformats.org/officeDocument/2006/relationships/hyperlink" Target="https://ozon.ru/t/a91ANEg" TargetMode="External"/><Relationship Id="rId217" Type="http://schemas.openxmlformats.org/officeDocument/2006/relationships/hyperlink" Target="https://ozon.ru/t/DlQJk32" TargetMode="External"/><Relationship Id="rId564" Type="http://schemas.openxmlformats.org/officeDocument/2006/relationships/hyperlink" Target="https://www.avito.ru/ekaterinburg/telefony/iphone_x_64_gb_4041354374" TargetMode="External"/><Relationship Id="rId771" Type="http://schemas.openxmlformats.org/officeDocument/2006/relationships/hyperlink" Target="https://www.labirint.ru/books/900710/" TargetMode="External"/><Relationship Id="rId869" Type="http://schemas.openxmlformats.org/officeDocument/2006/relationships/hyperlink" Target="https://wildberries.ru/catalog/244232462/detail.aspx" TargetMode="External"/><Relationship Id="rId1499" Type="http://schemas.openxmlformats.org/officeDocument/2006/relationships/hyperlink" Target="https://www.wildberries.ru/catalog/195927852/detail.aspx" TargetMode="External"/><Relationship Id="rId424" Type="http://schemas.openxmlformats.org/officeDocument/2006/relationships/hyperlink" Target="https://ozon.ru/t/q968yQn" TargetMode="External"/><Relationship Id="rId631" Type="http://schemas.openxmlformats.org/officeDocument/2006/relationships/hyperlink" Target="https://wildberries.ru/catalog/212222148/detail.aspx" TargetMode="External"/><Relationship Id="rId729" Type="http://schemas.openxmlformats.org/officeDocument/2006/relationships/hyperlink" Target="https://ozon.ru/t/KkQzon4" TargetMode="External"/><Relationship Id="rId1054" Type="http://schemas.openxmlformats.org/officeDocument/2006/relationships/hyperlink" Target="https://www.wildberries.ru/catalog/186007686/detail.aspx" TargetMode="External"/><Relationship Id="rId1261" Type="http://schemas.openxmlformats.org/officeDocument/2006/relationships/hyperlink" Target="https://www.wildberries.ru/catalog/176028235/detail.aspx" TargetMode="External"/><Relationship Id="rId1359" Type="http://schemas.openxmlformats.org/officeDocument/2006/relationships/hyperlink" Target="https://www.wildberries.ru/catalog/259705557/detail.aspx?size=403799025" TargetMode="External"/><Relationship Id="rId936" Type="http://schemas.openxmlformats.org/officeDocument/2006/relationships/hyperlink" Target="https://www.wildberries.ru/catalog/257507298/detail.aspx?targetUrl=SN" TargetMode="External"/><Relationship Id="rId1121" Type="http://schemas.openxmlformats.org/officeDocument/2006/relationships/hyperlink" Target="https://ozon.ru/t/jGE13VD" TargetMode="External"/><Relationship Id="rId1219" Type="http://schemas.openxmlformats.org/officeDocument/2006/relationships/hyperlink" Target="https://ozon.ru/t/6dZzkWq" TargetMode="External"/><Relationship Id="rId1566" Type="http://schemas.openxmlformats.org/officeDocument/2006/relationships/hyperlink" Target="https://www.wildberries.ru/catalog/253659237/detail.aspx" TargetMode="External"/><Relationship Id="rId1773" Type="http://schemas.openxmlformats.org/officeDocument/2006/relationships/hyperlink" Target="https://ozon.ru/t/zDLMUZH" TargetMode="External"/><Relationship Id="rId65" Type="http://schemas.openxmlformats.org/officeDocument/2006/relationships/hyperlink" Target="https://www.wildberries.ru/catalog/174399672/detail.aspx?size=289164961" TargetMode="External"/><Relationship Id="rId1426" Type="http://schemas.openxmlformats.org/officeDocument/2006/relationships/hyperlink" Target="https://ozon.ru/t/0aa3PND" TargetMode="External"/><Relationship Id="rId1633" Type="http://schemas.openxmlformats.org/officeDocument/2006/relationships/hyperlink" Target="https://www.wildberries.ru/catalog/233889587/detail.aspx?size=368668356" TargetMode="External"/><Relationship Id="rId1700" Type="http://schemas.openxmlformats.org/officeDocument/2006/relationships/hyperlink" Target="https://www.avito.ru/sankt-peterburg/kollektsionirovanie/kolyaska_mini_dlya_pupsika_4699549250" TargetMode="External"/><Relationship Id="rId281" Type="http://schemas.openxmlformats.org/officeDocument/2006/relationships/hyperlink" Target="https://www.wildberries.ru/catalog/12872092/detail.aspx?targetUrl=SN" TargetMode="External"/><Relationship Id="rId141" Type="http://schemas.openxmlformats.org/officeDocument/2006/relationships/hyperlink" Target="https://ozon.ru/t/76DM81X" TargetMode="External"/><Relationship Id="rId379" Type="http://schemas.openxmlformats.org/officeDocument/2006/relationships/hyperlink" Target="https://wildberries.ru/catalog/181361185/detail.aspx" TargetMode="External"/><Relationship Id="rId586" Type="http://schemas.openxmlformats.org/officeDocument/2006/relationships/hyperlink" Target="https://ozon.ru/t/GGV9Y5K" TargetMode="External"/><Relationship Id="rId793" Type="http://schemas.openxmlformats.org/officeDocument/2006/relationships/hyperlink" Target="https://www.wildberries.ru/catalog/10733386/detail.aspx?targetUrl=SN" TargetMode="External"/><Relationship Id="rId7" Type="http://schemas.openxmlformats.org/officeDocument/2006/relationships/hyperlink" Target="https://www.wildberries.ru/catalog/29977388/detail.aspx" TargetMode="External"/><Relationship Id="rId239" Type="http://schemas.openxmlformats.org/officeDocument/2006/relationships/hyperlink" Target="https://www.wildberries.ru/catalog/144565977/detail.aspx?targetUrl=SN" TargetMode="External"/><Relationship Id="rId446" Type="http://schemas.openxmlformats.org/officeDocument/2006/relationships/hyperlink" Target="https://ozon.ru/t/GRDjLAl" TargetMode="External"/><Relationship Id="rId653" Type="http://schemas.openxmlformats.org/officeDocument/2006/relationships/hyperlink" Target="https://wildberries.ru/catalog/177384648/detail.aspx" TargetMode="External"/><Relationship Id="rId1076" Type="http://schemas.openxmlformats.org/officeDocument/2006/relationships/hyperlink" Target="https://www.wildberries.ru/catalog/189671883/detail.aspx?size=310410149" TargetMode="External"/><Relationship Id="rId1283" Type="http://schemas.openxmlformats.org/officeDocument/2006/relationships/hyperlink" Target="https://ozon.ru/t/3KmWjJj" TargetMode="External"/><Relationship Id="rId1490" Type="http://schemas.openxmlformats.org/officeDocument/2006/relationships/hyperlink" Target="https://ozon.ru/t/1r3lK90" TargetMode="External"/><Relationship Id="rId306" Type="http://schemas.openxmlformats.org/officeDocument/2006/relationships/hyperlink" Target="https://ozon.ru/t/VW3EX5" TargetMode="External"/><Relationship Id="rId860" Type="http://schemas.openxmlformats.org/officeDocument/2006/relationships/hyperlink" Target="https://www.wildberries.ru/catalog/30989710/detail.aspx" TargetMode="External"/><Relationship Id="rId958" Type="http://schemas.openxmlformats.org/officeDocument/2006/relationships/hyperlink" Target="https://www.wildberries.ru/catalog/183844425/detail.aspx" TargetMode="External"/><Relationship Id="rId1143" Type="http://schemas.openxmlformats.org/officeDocument/2006/relationships/hyperlink" Target="https://wildberries.ru/catalog/4790546/detail.aspx" TargetMode="External"/><Relationship Id="rId1588" Type="http://schemas.openxmlformats.org/officeDocument/2006/relationships/hyperlink" Target="https://ozon.ru/t/E0BDgD" TargetMode="External"/><Relationship Id="rId1795" Type="http://schemas.openxmlformats.org/officeDocument/2006/relationships/hyperlink" Target="https://www.wildberries.ru/catalog/336674375/detail.aspx?size=502492715" TargetMode="External"/><Relationship Id="rId87" Type="http://schemas.openxmlformats.org/officeDocument/2006/relationships/hyperlink" Target="https://www.wildberries.ru/catalog/186853226/detail.aspx" TargetMode="External"/><Relationship Id="rId513" Type="http://schemas.openxmlformats.org/officeDocument/2006/relationships/hyperlink" Target="https://wildberries.ru/catalog/229688334/detail.aspx" TargetMode="External"/><Relationship Id="rId720" Type="http://schemas.openxmlformats.org/officeDocument/2006/relationships/hyperlink" Target="https://ozon.ru/t/pGr52pZ" TargetMode="External"/><Relationship Id="rId818" Type="http://schemas.openxmlformats.org/officeDocument/2006/relationships/hyperlink" Target="https://wildberries.ru/catalog/167591218/detail.aspx" TargetMode="External"/><Relationship Id="rId1350" Type="http://schemas.openxmlformats.org/officeDocument/2006/relationships/hyperlink" Target="https://www.wildberries.ru/catalog/218842859/detail.aspx" TargetMode="External"/><Relationship Id="rId1448" Type="http://schemas.openxmlformats.org/officeDocument/2006/relationships/hyperlink" Target="https://www.wildberries.ru/catalog/39847637/detail.aspx?targetUrl=EX" TargetMode="External"/><Relationship Id="rId1655" Type="http://schemas.openxmlformats.org/officeDocument/2006/relationships/hyperlink" Target="https://wildberries.ru/catalog/201293771/detail.aspx" TargetMode="External"/><Relationship Id="rId1003" Type="http://schemas.openxmlformats.org/officeDocument/2006/relationships/hyperlink" Target="https://ozon.ru/t/nZ9zKdJ" TargetMode="External"/><Relationship Id="rId1210" Type="http://schemas.openxmlformats.org/officeDocument/2006/relationships/hyperlink" Target="https://www.wildberries.ru/catalog/195723846/detail.aspx?size=317913237" TargetMode="External"/><Relationship Id="rId1308" Type="http://schemas.openxmlformats.org/officeDocument/2006/relationships/hyperlink" Target="https://simvolik.ru/catalog/suveniry-podarki/magnity/magnit-na-kartone-s-rozhdestvom-khristovym-sinichki-90kh95-mm/" TargetMode="External"/><Relationship Id="rId1515" Type="http://schemas.openxmlformats.org/officeDocument/2006/relationships/hyperlink" Target="https://wildberries.ru/catalog/175517997/detail.aspx" TargetMode="External"/><Relationship Id="rId1722" Type="http://schemas.openxmlformats.org/officeDocument/2006/relationships/hyperlink" Target="https://www.wildberries.ru/catalog/249915401/detail.aspx" TargetMode="External"/><Relationship Id="rId14" Type="http://schemas.openxmlformats.org/officeDocument/2006/relationships/hyperlink" Target="https://www.ozon.ru/product/maska-dlya-suzheniya-por-natura-siberica-bereza-siberica-ochishchayushchaya-75-ml-1125183837/?from=share_android&amp;utm_campaign=productpage_link&amp;utm_medium=share_button&amp;utm_source=smm" TargetMode="External"/><Relationship Id="rId163" Type="http://schemas.openxmlformats.org/officeDocument/2006/relationships/hyperlink" Target="https://ozon.ru/t/26yAVla" TargetMode="External"/><Relationship Id="rId370" Type="http://schemas.openxmlformats.org/officeDocument/2006/relationships/hyperlink" Target="https://ozon.ru/t/LG2YM85" TargetMode="External"/><Relationship Id="rId230" Type="http://schemas.openxmlformats.org/officeDocument/2006/relationships/hyperlink" Target="https://www.wildberries.ru/catalog/117777088/detail.aspx?targetUrl=SN" TargetMode="External"/><Relationship Id="rId468" Type="http://schemas.openxmlformats.org/officeDocument/2006/relationships/hyperlink" Target="https://ozon.ru/t/0RZqBzK" TargetMode="External"/><Relationship Id="rId675" Type="http://schemas.openxmlformats.org/officeDocument/2006/relationships/hyperlink" Target="https://ozon.ru/t/gYZ47YW" TargetMode="External"/><Relationship Id="rId882" Type="http://schemas.openxmlformats.org/officeDocument/2006/relationships/hyperlink" Target="https://www.wildberries.ru/catalog/15646668/detail.aspx?size=45269375" TargetMode="External"/><Relationship Id="rId1098" Type="http://schemas.openxmlformats.org/officeDocument/2006/relationships/hyperlink" Target="https://wildberries.ru/catalog/175145615/detail.aspx" TargetMode="External"/><Relationship Id="rId328" Type="http://schemas.openxmlformats.org/officeDocument/2006/relationships/hyperlink" Target="https://ozon.ru/t/MaB2nY7" TargetMode="External"/><Relationship Id="rId535" Type="http://schemas.openxmlformats.org/officeDocument/2006/relationships/hyperlink" Target="https://ozon.ru/t/A2GBp4E" TargetMode="External"/><Relationship Id="rId742" Type="http://schemas.openxmlformats.org/officeDocument/2006/relationships/hyperlink" Target="https://www.wildberries.ru/catalog/2366942/detail.aspx?targetUrl=SN" TargetMode="External"/><Relationship Id="rId1165" Type="http://schemas.openxmlformats.org/officeDocument/2006/relationships/hyperlink" Target="https://www.wildberries.ru/catalog/235389304/detail.aspx" TargetMode="External"/><Relationship Id="rId1372" Type="http://schemas.openxmlformats.org/officeDocument/2006/relationships/hyperlink" Target="https://www.wildberries.ru/catalog/265988450/detail.aspx?size=412618500" TargetMode="External"/><Relationship Id="rId602" Type="http://schemas.openxmlformats.org/officeDocument/2006/relationships/hyperlink" Target="https://www.wildberries.ru/catalog/158401837/detail.aspx" TargetMode="External"/><Relationship Id="rId1025" Type="http://schemas.openxmlformats.org/officeDocument/2006/relationships/hyperlink" Target="https://www.wildberries.ru/catalog/97625319/detail.aspx?size=154705404" TargetMode="External"/><Relationship Id="rId1232" Type="http://schemas.openxmlformats.org/officeDocument/2006/relationships/hyperlink" Target="https://wildberries.ru/catalog/144631153/detail.aspx" TargetMode="External"/><Relationship Id="rId1677" Type="http://schemas.openxmlformats.org/officeDocument/2006/relationships/hyperlink" Target="https://wildberries.ru/catalog/192034566/detail.aspx" TargetMode="External"/><Relationship Id="rId907" Type="http://schemas.openxmlformats.org/officeDocument/2006/relationships/hyperlink" Target="https://www.wildberries.ru/catalog/177230366/detail.aspx" TargetMode="External"/><Relationship Id="rId1537" Type="http://schemas.openxmlformats.org/officeDocument/2006/relationships/hyperlink" Target="https://wildberries.ru/catalog/8341457/detail.aspx" TargetMode="External"/><Relationship Id="rId1744" Type="http://schemas.openxmlformats.org/officeDocument/2006/relationships/hyperlink" Target="https://ozon.ru/t/HOOAR95" TargetMode="External"/><Relationship Id="rId36" Type="http://schemas.openxmlformats.org/officeDocument/2006/relationships/hyperlink" Target="https://ozon.ru/t/rLrM1wW" TargetMode="External"/><Relationship Id="rId1604" Type="http://schemas.openxmlformats.org/officeDocument/2006/relationships/hyperlink" Target="https://wildberries.ru/catalog/161000815/detail.aspx" TargetMode="External"/><Relationship Id="rId185" Type="http://schemas.openxmlformats.org/officeDocument/2006/relationships/hyperlink" Target="https://www.wildberries.ru/catalog/93670707/detail.aspx?targetUrl=SN" TargetMode="External"/><Relationship Id="rId1811" Type="http://schemas.openxmlformats.org/officeDocument/2006/relationships/hyperlink" Target="https://ozon.ru/t/Rd1S4tC" TargetMode="External"/><Relationship Id="rId392" Type="http://schemas.openxmlformats.org/officeDocument/2006/relationships/hyperlink" Target="https://www.wildberries.ru/catalog/188578583/detail.aspx?targetUrl=SN" TargetMode="External"/><Relationship Id="rId697" Type="http://schemas.openxmlformats.org/officeDocument/2006/relationships/hyperlink" Target="https://www.wildberries.ru/catalog/193608863/detail.aspx" TargetMode="External"/><Relationship Id="rId252" Type="http://schemas.openxmlformats.org/officeDocument/2006/relationships/hyperlink" Target="https://ozon.ru/t/RV9NwV" TargetMode="External"/><Relationship Id="rId1187" Type="http://schemas.openxmlformats.org/officeDocument/2006/relationships/hyperlink" Target="https://wildberries.ru/catalog/238900314/detail.aspx" TargetMode="External"/><Relationship Id="rId112" Type="http://schemas.openxmlformats.org/officeDocument/2006/relationships/hyperlink" Target="https://www.wildberries.ru/catalog/197196906/detail.aspx?targetUrl=SN" TargetMode="External"/><Relationship Id="rId557" Type="http://schemas.openxmlformats.org/officeDocument/2006/relationships/hyperlink" Target="https://ozon.ru/t/BME0WV4" TargetMode="External"/><Relationship Id="rId764" Type="http://schemas.openxmlformats.org/officeDocument/2006/relationships/hyperlink" Target="https://wildberries.ru/catalog/42119854/detail.aspx" TargetMode="External"/><Relationship Id="rId971" Type="http://schemas.openxmlformats.org/officeDocument/2006/relationships/hyperlink" Target="https://ozon.ru/t/BRP3p0g" TargetMode="External"/><Relationship Id="rId1394" Type="http://schemas.openxmlformats.org/officeDocument/2006/relationships/hyperlink" Target="https://www.wildberries.ru/catalog/13474376/detail.aspx?targetUrl=GP&amp;size=40863069" TargetMode="External"/><Relationship Id="rId1699" Type="http://schemas.openxmlformats.org/officeDocument/2006/relationships/hyperlink" Target="https://www.avito.ru/sankt-peterburg/knigi_i_zhurnaly/muzykalnaya_literatura_noty_knigi_4354225339" TargetMode="External"/><Relationship Id="rId417" Type="http://schemas.openxmlformats.org/officeDocument/2006/relationships/hyperlink" Target="https://market.yandex.ru/product--funktsionalnye-petli-rip-60/1914530106?skuId=102263253337&amp;sku=102263253337&amp;uniqueId=43480489&amp;do-waremd5=2Gy5yhh-eUl4iy5q5Ga8UQ" TargetMode="External"/><Relationship Id="rId624" Type="http://schemas.openxmlformats.org/officeDocument/2006/relationships/hyperlink" Target="https://www.ozon.ru/product/1597599326/" TargetMode="External"/><Relationship Id="rId831" Type="http://schemas.openxmlformats.org/officeDocument/2006/relationships/hyperlink" Target="https://www.wildberries.ru/catalog/258489889/detail.aspx" TargetMode="External"/><Relationship Id="rId1047" Type="http://schemas.openxmlformats.org/officeDocument/2006/relationships/hyperlink" Target="https://www.wildberries.ru/catalog/87352903/detail.aspx" TargetMode="External"/><Relationship Id="rId1254" Type="http://schemas.openxmlformats.org/officeDocument/2006/relationships/hyperlink" Target="https://www.wildberries.ru/catalog/148815731/detail.aspx" TargetMode="External"/><Relationship Id="rId1461" Type="http://schemas.openxmlformats.org/officeDocument/2006/relationships/hyperlink" Target="https://ozon.ru/t/RGyle98" TargetMode="External"/><Relationship Id="rId929" Type="http://schemas.openxmlformats.org/officeDocument/2006/relationships/hyperlink" Target="https://wildberries.ru/catalog/189489755/detail.aspx" TargetMode="External"/><Relationship Id="rId1114" Type="http://schemas.openxmlformats.org/officeDocument/2006/relationships/hyperlink" Target="https://ozon.ru/t/zl6lQYr" TargetMode="External"/><Relationship Id="rId1321" Type="http://schemas.openxmlformats.org/officeDocument/2006/relationships/hyperlink" Target="https://ozon.ru/t/JeRMAnL" TargetMode="External"/><Relationship Id="rId1559" Type="http://schemas.openxmlformats.org/officeDocument/2006/relationships/hyperlink" Target="https://wildberries.ru/catalog/154963575/detail.aspx" TargetMode="External"/><Relationship Id="rId1766" Type="http://schemas.openxmlformats.org/officeDocument/2006/relationships/hyperlink" Target="https://www.wildberries.ru/catalog/243011176/detail.aspx?targetUrl=MS&amp;size=402387118" TargetMode="External"/><Relationship Id="rId58" Type="http://schemas.openxmlformats.org/officeDocument/2006/relationships/hyperlink" Target="https://www.wildberries.ru/catalog/198176373/detail.aspx?size=321149429" TargetMode="External"/><Relationship Id="rId1419" Type="http://schemas.openxmlformats.org/officeDocument/2006/relationships/hyperlink" Target="https://wildberries.ru/catalog/307641015/detail.aspx" TargetMode="External"/><Relationship Id="rId1626" Type="http://schemas.openxmlformats.org/officeDocument/2006/relationships/hyperlink" Target="https://www.wildberries.ru/catalog/157398316/detail.aspx?size=344575081" TargetMode="External"/><Relationship Id="rId274" Type="http://schemas.openxmlformats.org/officeDocument/2006/relationships/hyperlink" Target="http://slovo.net.ru/book/100690" TargetMode="External"/><Relationship Id="rId481" Type="http://schemas.openxmlformats.org/officeDocument/2006/relationships/hyperlink" Target="https://ozon.ru/t/6jwEAjG" TargetMode="External"/><Relationship Id="rId134" Type="http://schemas.openxmlformats.org/officeDocument/2006/relationships/hyperlink" Target="https://ozon.ru/t/39k7Rz9" TargetMode="External"/><Relationship Id="rId579" Type="http://schemas.openxmlformats.org/officeDocument/2006/relationships/hyperlink" Target="https://www.wildberries.ru/catalog/51700007/detail.aspx" TargetMode="External"/><Relationship Id="rId786" Type="http://schemas.openxmlformats.org/officeDocument/2006/relationships/hyperlink" Target="https://ozon.ru/t/rP0n8ew" TargetMode="External"/><Relationship Id="rId993" Type="http://schemas.openxmlformats.org/officeDocument/2006/relationships/hyperlink" Target="https://www.wildberries.ru/catalog/162324898/detail.aspx" TargetMode="External"/><Relationship Id="rId341" Type="http://schemas.openxmlformats.org/officeDocument/2006/relationships/hyperlink" Target="https://ozon.ru/t/GkXpzKj" TargetMode="External"/><Relationship Id="rId439" Type="http://schemas.openxmlformats.org/officeDocument/2006/relationships/hyperlink" Target="https://ozon.ru/t/BkMZy7V" TargetMode="External"/><Relationship Id="rId646" Type="http://schemas.openxmlformats.org/officeDocument/2006/relationships/hyperlink" Target="https://www.wildberries.ru/catalog/14505375/detail.aspx" TargetMode="External"/><Relationship Id="rId1069" Type="http://schemas.openxmlformats.org/officeDocument/2006/relationships/hyperlink" Target="https://wildberries.ru/catalog/171181579/detail.aspx" TargetMode="External"/><Relationship Id="rId1276" Type="http://schemas.openxmlformats.org/officeDocument/2006/relationships/hyperlink" Target="https://ozon.ru/t/pXKzDX" TargetMode="External"/><Relationship Id="rId1483" Type="http://schemas.openxmlformats.org/officeDocument/2006/relationships/hyperlink" Target="https://wildberries.ru/catalog/165190147/detail.aspx" TargetMode="External"/><Relationship Id="rId201" Type="http://schemas.openxmlformats.org/officeDocument/2006/relationships/hyperlink" Target="https://ozon.ru/t/NPEKoeN" TargetMode="External"/><Relationship Id="rId506" Type="http://schemas.openxmlformats.org/officeDocument/2006/relationships/hyperlink" Target="https://wildberries.ru/catalog/169401167/detail.aspx" TargetMode="External"/><Relationship Id="rId853" Type="http://schemas.openxmlformats.org/officeDocument/2006/relationships/hyperlink" Target="https://wildberries.ru/catalog/18286772/detail.aspx" TargetMode="External"/><Relationship Id="rId1136" Type="http://schemas.openxmlformats.org/officeDocument/2006/relationships/hyperlink" Target="https://www.wildberries.ru/catalog/186554250/detail.aspx" TargetMode="External"/><Relationship Id="rId1690" Type="http://schemas.openxmlformats.org/officeDocument/2006/relationships/hyperlink" Target="https://wildberries.ru/catalog/215424994/detail.aspx" TargetMode="External"/><Relationship Id="rId1788" Type="http://schemas.openxmlformats.org/officeDocument/2006/relationships/hyperlink" Target="https://www.wildberries.ru/catalog/206101803/detail.aspx" TargetMode="External"/><Relationship Id="rId713" Type="http://schemas.openxmlformats.org/officeDocument/2006/relationships/hyperlink" Target="https://www.wildberries.ru/catalog/28015529/detail.aspx?targetUrl=SN" TargetMode="External"/><Relationship Id="rId920" Type="http://schemas.openxmlformats.org/officeDocument/2006/relationships/hyperlink" Target="https://wildberries.ru/catalog/230974249/detail.aspx" TargetMode="External"/><Relationship Id="rId1343" Type="http://schemas.openxmlformats.org/officeDocument/2006/relationships/hyperlink" Target="https://www.wildberries.ru/catalog/288209927/detail.aspx" TargetMode="External"/><Relationship Id="rId1550" Type="http://schemas.openxmlformats.org/officeDocument/2006/relationships/hyperlink" Target="https://ozon.ru/t/kAZ0BPJ" TargetMode="External"/><Relationship Id="rId1648" Type="http://schemas.openxmlformats.org/officeDocument/2006/relationships/hyperlink" Target="https://wildberries.ru/catalog/306114212/detail.aspx" TargetMode="External"/><Relationship Id="rId1203" Type="http://schemas.openxmlformats.org/officeDocument/2006/relationships/hyperlink" Target="https://wildberries.ru/catalog/265501810/detail.aspx" TargetMode="External"/><Relationship Id="rId1410" Type="http://schemas.openxmlformats.org/officeDocument/2006/relationships/hyperlink" Target="https://ozon.ru/t/WvPoVxJ" TargetMode="External"/><Relationship Id="rId1508" Type="http://schemas.openxmlformats.org/officeDocument/2006/relationships/hyperlink" Target="https://wildberries.ru/catalog/195988793/detail.aspx" TargetMode="External"/><Relationship Id="rId1715" Type="http://schemas.openxmlformats.org/officeDocument/2006/relationships/hyperlink" Target="https://simvolik.ru/catalog/suveniry-podarki/paskha/nabor-magnitnykh-zakladok-khristos-voskrese-22kh35-mm-6-sht/" TargetMode="External"/><Relationship Id="rId296" Type="http://schemas.openxmlformats.org/officeDocument/2006/relationships/hyperlink" Target="https://www.wildberries.ru/catalog/184151297/detail.aspx?targetUrl=SN" TargetMode="External"/><Relationship Id="rId156" Type="http://schemas.openxmlformats.org/officeDocument/2006/relationships/hyperlink" Target="https://www.wildberries.ru/catalog/140972338/detail.aspx?targetUrl=SN" TargetMode="External"/><Relationship Id="rId363" Type="http://schemas.openxmlformats.org/officeDocument/2006/relationships/hyperlink" Target="https://ozon.ru/t/3pMNga9" TargetMode="External"/><Relationship Id="rId570" Type="http://schemas.openxmlformats.org/officeDocument/2006/relationships/hyperlink" Target="https://www.wildberries.ru/catalog/182330743/detail.aspx" TargetMode="External"/><Relationship Id="rId223" Type="http://schemas.openxmlformats.org/officeDocument/2006/relationships/hyperlink" Target="https://ozon.ru/t/jZ9glEy" TargetMode="External"/><Relationship Id="rId430" Type="http://schemas.openxmlformats.org/officeDocument/2006/relationships/hyperlink" Target="https://www.wildberries.ru/catalog/208398574/detail.aspx?targetUrl=SN" TargetMode="External"/><Relationship Id="rId668" Type="http://schemas.openxmlformats.org/officeDocument/2006/relationships/hyperlink" Target="https://www.wildberries.ru/catalog/26048921/detail.aspx?size=60367563" TargetMode="External"/><Relationship Id="rId875" Type="http://schemas.openxmlformats.org/officeDocument/2006/relationships/hyperlink" Target="https://wildberries.ru/catalog/18519775/detail.aspx" TargetMode="External"/><Relationship Id="rId1060" Type="http://schemas.openxmlformats.org/officeDocument/2006/relationships/hyperlink" Target="https://ozon.ru/t/r6qPJWY" TargetMode="External"/><Relationship Id="rId1298" Type="http://schemas.openxmlformats.org/officeDocument/2006/relationships/hyperlink" Target="https://www.wildberries.ru/catalog/262727230/detail.aspx?size=408043840" TargetMode="External"/><Relationship Id="rId528" Type="http://schemas.openxmlformats.org/officeDocument/2006/relationships/hyperlink" Target="https://www.wildberries.ru/catalog/63708377/detail.aspx?targetUrl=EX" TargetMode="External"/><Relationship Id="rId735" Type="http://schemas.openxmlformats.org/officeDocument/2006/relationships/hyperlink" Target="https://www.wildberries.ru/catalog/147553593/detail.aspx?size=248034483" TargetMode="External"/><Relationship Id="rId942" Type="http://schemas.openxmlformats.org/officeDocument/2006/relationships/hyperlink" Target="https://www.wildberries.ru/catalog/254432587/detail.aspx?size=396898931" TargetMode="External"/><Relationship Id="rId1158" Type="http://schemas.openxmlformats.org/officeDocument/2006/relationships/hyperlink" Target="https://ozon.ru/t/Pk1O8Lg" TargetMode="External"/><Relationship Id="rId1365" Type="http://schemas.openxmlformats.org/officeDocument/2006/relationships/hyperlink" Target="https://www.wildberries.ru/catalog/176305926/detail.aspx" TargetMode="External"/><Relationship Id="rId1572" Type="http://schemas.openxmlformats.org/officeDocument/2006/relationships/hyperlink" Target="https://www.wildberries.ru/catalog/249616620/detail.aspx?size=390598765" TargetMode="External"/><Relationship Id="rId1018" Type="http://schemas.openxmlformats.org/officeDocument/2006/relationships/hyperlink" Target="https://ozon.ru/t/Nl9kewp" TargetMode="External"/><Relationship Id="rId1225" Type="http://schemas.openxmlformats.org/officeDocument/2006/relationships/hyperlink" Target="https://ozon.ru/t/QVDNRW9" TargetMode="External"/><Relationship Id="rId1432" Type="http://schemas.openxmlformats.org/officeDocument/2006/relationships/hyperlink" Target="https://aliexpress.ru/cart?spm=a2g2w.detail.cart.1.2e6d2b47qswVWd" TargetMode="External"/><Relationship Id="rId71" Type="http://schemas.openxmlformats.org/officeDocument/2006/relationships/hyperlink" Target="https://www.wildberries.ru/catalog/205408071/detail.aspx?targetUrl=SN" TargetMode="External"/><Relationship Id="rId802" Type="http://schemas.openxmlformats.org/officeDocument/2006/relationships/hyperlink" Target="https://ozon.ru/t/ZbL6D2" TargetMode="External"/><Relationship Id="rId1737" Type="http://schemas.openxmlformats.org/officeDocument/2006/relationships/hyperlink" Target="https://wildberries.ru/catalog/303545144/detail.aspx" TargetMode="External"/><Relationship Id="rId29" Type="http://schemas.openxmlformats.org/officeDocument/2006/relationships/hyperlink" Target="https://www.ozon.ru/product/kislorodnyy-ochistitel-brandfree-1-kg-pyatnovyvoditel-dlya-belogo-tsvetnogo-belya-655295171/?from=share_android&amp;utm_campaign=productpage_link&amp;utm_medium=share_button&amp;utm_source=smm" TargetMode="External"/><Relationship Id="rId178" Type="http://schemas.openxmlformats.org/officeDocument/2006/relationships/hyperlink" Target="https://www.wildberries.ru/catalog/143734404/detail.aspx?targetUrl=SN" TargetMode="External"/><Relationship Id="rId1804" Type="http://schemas.openxmlformats.org/officeDocument/2006/relationships/hyperlink" Target="https://ozon.ru/t/8Uu7r3D" TargetMode="External"/><Relationship Id="rId385" Type="http://schemas.openxmlformats.org/officeDocument/2006/relationships/hyperlink" Target="https://ozon.ru/t/QgNlwBp" TargetMode="External"/><Relationship Id="rId592" Type="http://schemas.openxmlformats.org/officeDocument/2006/relationships/hyperlink" Target="https://www.wildberries.ru/catalog/18324739/detail.aspx" TargetMode="External"/><Relationship Id="rId245" Type="http://schemas.openxmlformats.org/officeDocument/2006/relationships/hyperlink" Target="https://www.wildberries.ru/catalog/91869468/detail.aspx?targetUrl=SN" TargetMode="External"/><Relationship Id="rId452" Type="http://schemas.openxmlformats.org/officeDocument/2006/relationships/hyperlink" Target="https://ozon.ru/t/X9wnDMw" TargetMode="External"/><Relationship Id="rId897" Type="http://schemas.openxmlformats.org/officeDocument/2006/relationships/hyperlink" Target="https://ozon.ru/t/V76olb8" TargetMode="External"/><Relationship Id="rId1082" Type="http://schemas.openxmlformats.org/officeDocument/2006/relationships/hyperlink" Target="https://wildberries.ru/catalog/239565970/detail.aspx" TargetMode="External"/><Relationship Id="rId105" Type="http://schemas.openxmlformats.org/officeDocument/2006/relationships/hyperlink" Target="https://www.wildberries.ru/catalog/110794179/detail.aspx" TargetMode="External"/><Relationship Id="rId312" Type="http://schemas.openxmlformats.org/officeDocument/2006/relationships/hyperlink" Target="https://ozon.ru/t/Pj8Mry" TargetMode="External"/><Relationship Id="rId757" Type="http://schemas.openxmlformats.org/officeDocument/2006/relationships/hyperlink" Target="https://www.wildberries.ru/catalog/251115426/detail.aspx" TargetMode="External"/><Relationship Id="rId964" Type="http://schemas.openxmlformats.org/officeDocument/2006/relationships/hyperlink" Target="https://wildberries.ru/catalog/241884002/detail.aspx" TargetMode="External"/><Relationship Id="rId1387" Type="http://schemas.openxmlformats.org/officeDocument/2006/relationships/hyperlink" Target="https://www.wildberries.ru/catalog/269609274/detail.aspx?size=417147916" TargetMode="External"/><Relationship Id="rId1594" Type="http://schemas.openxmlformats.org/officeDocument/2006/relationships/hyperlink" Target="https://www.wildberries.ru/catalog/147146809/detail.aspx?size=247450199" TargetMode="External"/><Relationship Id="rId93" Type="http://schemas.openxmlformats.org/officeDocument/2006/relationships/hyperlink" Target="https://ozon.ru/t/kX4jVJW" TargetMode="External"/><Relationship Id="rId617" Type="http://schemas.openxmlformats.org/officeDocument/2006/relationships/hyperlink" Target="https://avito.ru/3090365924" TargetMode="External"/><Relationship Id="rId824" Type="http://schemas.openxmlformats.org/officeDocument/2006/relationships/hyperlink" Target="https://wildberries.ru/catalog/155347079/detail.aspx" TargetMode="External"/><Relationship Id="rId1247" Type="http://schemas.openxmlformats.org/officeDocument/2006/relationships/hyperlink" Target="https://wildberries.ru/catalog/236562548/detail.aspx" TargetMode="External"/><Relationship Id="rId1454" Type="http://schemas.openxmlformats.org/officeDocument/2006/relationships/hyperlink" Target="https://www.wildberries.ru/catalog/261563577/detail.aspx" TargetMode="External"/><Relationship Id="rId1661" Type="http://schemas.openxmlformats.org/officeDocument/2006/relationships/hyperlink" Target="https://wildberries.ru/catalog/134259815/detail.aspx" TargetMode="External"/><Relationship Id="rId1107" Type="http://schemas.openxmlformats.org/officeDocument/2006/relationships/hyperlink" Target="https://www.wildberries.ru/catalog/235454461/detail.aspx" TargetMode="External"/><Relationship Id="rId1314" Type="http://schemas.openxmlformats.org/officeDocument/2006/relationships/hyperlink" Target="https://zyorna.ru/catalog/item/magnit-s-epoksidnoj-smoloj-novogodnyaya-noch-5-h-5-sm-105001" TargetMode="External"/><Relationship Id="rId1521" Type="http://schemas.openxmlformats.org/officeDocument/2006/relationships/hyperlink" Target="https://wildberries.ru/catalog/264389058/detail.aspx" TargetMode="External"/><Relationship Id="rId1759" Type="http://schemas.openxmlformats.org/officeDocument/2006/relationships/hyperlink" Target="https://www.wildberries.ru/catalog/84358113/detail.aspx" TargetMode="External"/><Relationship Id="rId1619" Type="http://schemas.openxmlformats.org/officeDocument/2006/relationships/hyperlink" Target="https://ozon.ru/t/J1ZVvMb" TargetMode="External"/><Relationship Id="rId1826" Type="http://schemas.openxmlformats.org/officeDocument/2006/relationships/hyperlink" Target="https://ozon.ru/t/oG0UCrr" TargetMode="External"/><Relationship Id="rId20" Type="http://schemas.openxmlformats.org/officeDocument/2006/relationships/hyperlink" Target="https://www.ozon.ru/product/sumka-na-plecho-kross-bodi-1430685596/" TargetMode="External"/><Relationship Id="rId267" Type="http://schemas.openxmlformats.org/officeDocument/2006/relationships/hyperlink" Target="https://www.wildberries.ru/catalog/206733758/detail.aspx?targetUrl=SN" TargetMode="External"/><Relationship Id="rId474" Type="http://schemas.openxmlformats.org/officeDocument/2006/relationships/hyperlink" Target="https://ozon.ru/t/0RZqaqr" TargetMode="External"/><Relationship Id="rId127" Type="http://schemas.openxmlformats.org/officeDocument/2006/relationships/hyperlink" Target="https://www.avito.ru/moskva/tovary_dlya_detey_i_igrushki/detskiy_graficheskiy_planshet_85_dyuyma_3474958946" TargetMode="External"/><Relationship Id="rId681" Type="http://schemas.openxmlformats.org/officeDocument/2006/relationships/hyperlink" Target="https://www.wildberries.ru/catalog/14195567/detail.aspx?targetUrl=SG" TargetMode="External"/><Relationship Id="rId779" Type="http://schemas.openxmlformats.org/officeDocument/2006/relationships/hyperlink" Target="https://www.chitai-gorod.ru/product/enciklopediya-horoshego-povedeniya-dlya-malyshey-v-skazkah-2600597" TargetMode="External"/><Relationship Id="rId986" Type="http://schemas.openxmlformats.org/officeDocument/2006/relationships/hyperlink" Target="https://ozon.ru/t/eYX1432" TargetMode="External"/><Relationship Id="rId334" Type="http://schemas.openxmlformats.org/officeDocument/2006/relationships/hyperlink" Target="https://ozon.ru/t/BGX5YPP" TargetMode="External"/><Relationship Id="rId541" Type="http://schemas.openxmlformats.org/officeDocument/2006/relationships/hyperlink" Target="https://www.wildberries.ru/catalog/220079307/detail.aspx?size=349944750" TargetMode="External"/><Relationship Id="rId639" Type="http://schemas.openxmlformats.org/officeDocument/2006/relationships/hyperlink" Target="https://wildberries.ru/catalog/160551600/detail.aspx" TargetMode="External"/><Relationship Id="rId1171" Type="http://schemas.openxmlformats.org/officeDocument/2006/relationships/hyperlink" Target="https://www.wildberries.ru/catalog/182780838/detail.aspx?size=301427003" TargetMode="External"/><Relationship Id="rId1269" Type="http://schemas.openxmlformats.org/officeDocument/2006/relationships/hyperlink" Target="https://www.wildberries.ru/catalog/272789911/detail.aspx?targetUrl=SG" TargetMode="External"/><Relationship Id="rId1476" Type="http://schemas.openxmlformats.org/officeDocument/2006/relationships/hyperlink" Target="https://wildberries.ru/catalog/35232121/detail.aspx" TargetMode="External"/><Relationship Id="rId401" Type="http://schemas.openxmlformats.org/officeDocument/2006/relationships/hyperlink" Target="https://ozon.ru/t/GoWnQZV" TargetMode="External"/><Relationship Id="rId846" Type="http://schemas.openxmlformats.org/officeDocument/2006/relationships/hyperlink" Target="https://ozon.ru/t/N8wQLDO" TargetMode="External"/><Relationship Id="rId1031" Type="http://schemas.openxmlformats.org/officeDocument/2006/relationships/hyperlink" Target="https://www.wildberries.ru/catalog/225772401/detail.aspx?size=357604145" TargetMode="External"/><Relationship Id="rId1129" Type="http://schemas.openxmlformats.org/officeDocument/2006/relationships/hyperlink" Target="https://ozon.ru/t/1zdqax2" TargetMode="External"/><Relationship Id="rId1683" Type="http://schemas.openxmlformats.org/officeDocument/2006/relationships/hyperlink" Target="https://wildberries.ru/catalog/323787419/detail.aspx" TargetMode="External"/><Relationship Id="rId706" Type="http://schemas.openxmlformats.org/officeDocument/2006/relationships/hyperlink" Target="https://ozon.ru/t/22PjygB" TargetMode="External"/><Relationship Id="rId913" Type="http://schemas.openxmlformats.org/officeDocument/2006/relationships/hyperlink" Target="https://www.wildberries.ru/catalog/229257628/detail.aspx" TargetMode="External"/><Relationship Id="rId1336" Type="http://schemas.openxmlformats.org/officeDocument/2006/relationships/hyperlink" Target="https://www.wildberries.ru/catalog/140282220/detail.aspx?size=237904274" TargetMode="External"/><Relationship Id="rId1543" Type="http://schemas.openxmlformats.org/officeDocument/2006/relationships/hyperlink" Target="https://wildberries.ru/catalog/192113574/detail.aspx" TargetMode="External"/><Relationship Id="rId1750" Type="http://schemas.openxmlformats.org/officeDocument/2006/relationships/hyperlink" Target="https://wildberries.ru/catalog/214235315/detail.aspx" TargetMode="External"/><Relationship Id="rId42" Type="http://schemas.openxmlformats.org/officeDocument/2006/relationships/hyperlink" Target="https://www.wildberries.ru/catalog/68397520/detail.aspx?targetUrl=SN" TargetMode="External"/><Relationship Id="rId1403" Type="http://schemas.openxmlformats.org/officeDocument/2006/relationships/hyperlink" Target="https://www.ozon.ru/product/karkasnaya-svetodiodnaya-figura-snegovik-45-sm-1318309859/?asb=HQA%252BLX5rkR8g%252FWsgnBWXBGG2ZPPw%252FmHtnG7YvaX%252BTY0%253D&amp;asb2=55jD_UMfkYvTzNC4leTDTBj1kycd8PORXmrhVp8EY5f7WlP77DWqJWaW0OhpYmaKd5Dmi601OQGikd1YYEKBQg&amp;avtc=1&amp;avte=4&amp;avts=1737378148&amp;keywords=%D1%81%D0%BD%D0%B5%D0%B3%D0%BE%D0%B2%D0%B8%D0%BA+%D0%B4%D0%BB%D1%8F+%D1%83%D0%BB%D0%B8%D1%86%D1%8B" TargetMode="External"/><Relationship Id="rId1610" Type="http://schemas.openxmlformats.org/officeDocument/2006/relationships/hyperlink" Target="https://www.wildberries.ru/catalog/245190607/detail.aspx" TargetMode="External"/><Relationship Id="rId191" Type="http://schemas.openxmlformats.org/officeDocument/2006/relationships/hyperlink" Target="https://ozon.ru/t/39XVXar" TargetMode="External"/><Relationship Id="rId1708" Type="http://schemas.openxmlformats.org/officeDocument/2006/relationships/hyperlink" Target="https://simvolik.ru/catalog/suveniry-podarki/paskha/yaytso-na-podstavke-khv-tsvety-pechat/" TargetMode="External"/><Relationship Id="rId289" Type="http://schemas.openxmlformats.org/officeDocument/2006/relationships/hyperlink" Target="https://ozon.ru/t/aaKa5M" TargetMode="External"/><Relationship Id="rId496" Type="http://schemas.openxmlformats.org/officeDocument/2006/relationships/hyperlink" Target="https://ozon.ru/t/BwXMGVP" TargetMode="External"/><Relationship Id="rId149" Type="http://schemas.openxmlformats.org/officeDocument/2006/relationships/hyperlink" Target="https://ozon.ru/t/86LQYpz" TargetMode="External"/><Relationship Id="rId356" Type="http://schemas.openxmlformats.org/officeDocument/2006/relationships/hyperlink" Target="https://ozon.ru/t/4rpX0Pl" TargetMode="External"/><Relationship Id="rId563" Type="http://schemas.openxmlformats.org/officeDocument/2006/relationships/hyperlink" Target="https://wildberries.ru/catalog/18373601/detail.aspx" TargetMode="External"/><Relationship Id="rId770" Type="http://schemas.openxmlformats.org/officeDocument/2006/relationships/hyperlink" Target="https://ozon.ru/t/NPzG80r" TargetMode="External"/><Relationship Id="rId1193" Type="http://schemas.openxmlformats.org/officeDocument/2006/relationships/hyperlink" Target="https://ozon.ru/t/Wx31l1z" TargetMode="External"/><Relationship Id="rId216" Type="http://schemas.openxmlformats.org/officeDocument/2006/relationships/hyperlink" Target="https://ozon.ru/t/wXnR3qo" TargetMode="External"/><Relationship Id="rId423" Type="http://schemas.openxmlformats.org/officeDocument/2006/relationships/hyperlink" Target="https://ozon.ru/t/N3wALpJ" TargetMode="External"/><Relationship Id="rId868" Type="http://schemas.openxmlformats.org/officeDocument/2006/relationships/hyperlink" Target="https://wildberries.ru/catalog/144343597/detail.aspx" TargetMode="External"/><Relationship Id="rId1053" Type="http://schemas.openxmlformats.org/officeDocument/2006/relationships/hyperlink" Target="https://www.wildberries.ru/catalog/138027100/detail.aspx" TargetMode="External"/><Relationship Id="rId1260" Type="http://schemas.openxmlformats.org/officeDocument/2006/relationships/hyperlink" Target="https://www.wildberries.ru/catalog/276474211/detail.aspx" TargetMode="External"/><Relationship Id="rId1498" Type="http://schemas.openxmlformats.org/officeDocument/2006/relationships/hyperlink" Target="https://www.avito.ru/sankt-peterburg/noutbuki/noutbuk_sony_vpcej1m1r_i5464017.3_4592610711" TargetMode="External"/><Relationship Id="rId630" Type="http://schemas.openxmlformats.org/officeDocument/2006/relationships/hyperlink" Target="https://wildberries.ru/catalog/208932030/detail.aspx" TargetMode="External"/><Relationship Id="rId728" Type="http://schemas.openxmlformats.org/officeDocument/2006/relationships/hyperlink" Target="https://www.ozon.ru/product/kurtka-dzhinsovaya-yarmarka-palto-1001860369/?from_sku=1001864298&amp;oos_search=false" TargetMode="External"/><Relationship Id="rId935" Type="http://schemas.openxmlformats.org/officeDocument/2006/relationships/hyperlink" Target="https://www.wildberries.ru/catalog/247981971/detail.aspx?targetUrl=SN" TargetMode="External"/><Relationship Id="rId1358" Type="http://schemas.openxmlformats.org/officeDocument/2006/relationships/hyperlink" Target="https://wildberries.ru/catalog/217093236/detail.aspx" TargetMode="External"/><Relationship Id="rId1565" Type="http://schemas.openxmlformats.org/officeDocument/2006/relationships/hyperlink" Target="https://ozon.ru/t/NLZKlwd" TargetMode="External"/><Relationship Id="rId1772" Type="http://schemas.openxmlformats.org/officeDocument/2006/relationships/hyperlink" Target="https://ozon.ru/t/nk6PKoD" TargetMode="External"/><Relationship Id="rId64" Type="http://schemas.openxmlformats.org/officeDocument/2006/relationships/hyperlink" Target="https://www.wildberries.ru/catalog/16072264/detail.aspx?size=46047034" TargetMode="External"/><Relationship Id="rId1120" Type="http://schemas.openxmlformats.org/officeDocument/2006/relationships/hyperlink" Target="https://ozon.ru/t/xKB3AAR" TargetMode="External"/><Relationship Id="rId1218" Type="http://schemas.openxmlformats.org/officeDocument/2006/relationships/hyperlink" Target="https://ozon.ru/t/bAnlMYO" TargetMode="External"/><Relationship Id="rId1425" Type="http://schemas.openxmlformats.org/officeDocument/2006/relationships/hyperlink" Target="https://www.wildberries.ru/catalog/258395758/detail.aspx?size=402058000" TargetMode="External"/><Relationship Id="rId1632" Type="http://schemas.openxmlformats.org/officeDocument/2006/relationships/hyperlink" Target="https://wildberries.ru/catalog/153403514/detail.aspx" TargetMode="External"/><Relationship Id="rId280" Type="http://schemas.openxmlformats.org/officeDocument/2006/relationships/hyperlink" Target="https://www.wildberries.ru/catalog/12683332/detail.aspx?targetUrl=SN" TargetMode="External"/><Relationship Id="rId140" Type="http://schemas.openxmlformats.org/officeDocument/2006/relationships/hyperlink" Target="https://ozon.ru/t/e7Z8egb" TargetMode="External"/><Relationship Id="rId378" Type="http://schemas.openxmlformats.org/officeDocument/2006/relationships/hyperlink" Target="https://wildberries.ru/catalog/220521672/detail.aspx" TargetMode="External"/><Relationship Id="rId585" Type="http://schemas.openxmlformats.org/officeDocument/2006/relationships/hyperlink" Target="https://ozon.ru/t/JzVRZQ7" TargetMode="External"/><Relationship Id="rId792" Type="http://schemas.openxmlformats.org/officeDocument/2006/relationships/hyperlink" Target="https://ozon.ru/t/e7V4Qqe" TargetMode="External"/><Relationship Id="rId6" Type="http://schemas.openxmlformats.org/officeDocument/2006/relationships/hyperlink" Target="https://www.wildberries.ru/catalog/191461719/detail.aspx" TargetMode="External"/><Relationship Id="rId238" Type="http://schemas.openxmlformats.org/officeDocument/2006/relationships/hyperlink" Target="https://ozon.ru/t/g9Xk4b" TargetMode="External"/><Relationship Id="rId445" Type="http://schemas.openxmlformats.org/officeDocument/2006/relationships/hyperlink" Target="https://wildberries.ru/catalog/237177570/detail.aspx" TargetMode="External"/><Relationship Id="rId652" Type="http://schemas.openxmlformats.org/officeDocument/2006/relationships/hyperlink" Target="https://ozon.ru/t/PYBKGeV" TargetMode="External"/><Relationship Id="rId1075" Type="http://schemas.openxmlformats.org/officeDocument/2006/relationships/hyperlink" Target="https://www.wildberries.ru/catalog/209888305/detail.aspx?size=336055891" TargetMode="External"/><Relationship Id="rId1282" Type="http://schemas.openxmlformats.org/officeDocument/2006/relationships/hyperlink" Target="https://ozon.ru/t/3VVMyMK" TargetMode="External"/><Relationship Id="rId305" Type="http://schemas.openxmlformats.org/officeDocument/2006/relationships/hyperlink" Target="https://ozon.ru/t/jL09Nw" TargetMode="External"/><Relationship Id="rId512" Type="http://schemas.openxmlformats.org/officeDocument/2006/relationships/hyperlink" Target="https://wildberries.ru/catalog/18373593/detail.aspx" TargetMode="External"/><Relationship Id="rId957" Type="http://schemas.openxmlformats.org/officeDocument/2006/relationships/hyperlink" Target="https://wildberries.ru/catalog/247657163/detail.aspx" TargetMode="External"/><Relationship Id="rId1142" Type="http://schemas.openxmlformats.org/officeDocument/2006/relationships/hyperlink" Target="https://wildberries.ru/catalog/14380746/detail.aspx" TargetMode="External"/><Relationship Id="rId1587" Type="http://schemas.openxmlformats.org/officeDocument/2006/relationships/hyperlink" Target="https://wildberries.ru/catalog/318047093/detail.aspx" TargetMode="External"/><Relationship Id="rId1794" Type="http://schemas.openxmlformats.org/officeDocument/2006/relationships/hyperlink" Target="https://www.wildberries.ru/catalog/335228079/detail.aspx" TargetMode="External"/><Relationship Id="rId86" Type="http://schemas.openxmlformats.org/officeDocument/2006/relationships/hyperlink" Target="https://www.wildberries.ru/catalog/207863959/detail.aspx?size=333313649" TargetMode="External"/><Relationship Id="rId817" Type="http://schemas.openxmlformats.org/officeDocument/2006/relationships/hyperlink" Target="https://wildberries.ru/catalog/198172058/detail.aspx" TargetMode="External"/><Relationship Id="rId1002" Type="http://schemas.openxmlformats.org/officeDocument/2006/relationships/hyperlink" Target="https://ozon.ru/t/78v1O3X" TargetMode="External"/><Relationship Id="rId1447" Type="http://schemas.openxmlformats.org/officeDocument/2006/relationships/hyperlink" Target="https://market.yandex.ru/product--portativnyi-usilitel-dlia-naushnikov-fiio-btr15-f3081b-black/35472638?sku=102529371373&amp;uniqueId=892410&amp;do-waremd5=Aat2__IEHme_wqdDusnDXg" TargetMode="External"/><Relationship Id="rId1654" Type="http://schemas.openxmlformats.org/officeDocument/2006/relationships/hyperlink" Target="https://wildberries.ru/catalog/25941593/detail.aspx" TargetMode="External"/><Relationship Id="rId1307" Type="http://schemas.openxmlformats.org/officeDocument/2006/relationships/hyperlink" Target="https://simvolik.ru/catalog/dlya-semeynogo-dosuga/pazly/pazl-magnitnyy-95kh120-mm-rkh-troyka-noch-derevnya-/" TargetMode="External"/><Relationship Id="rId1514" Type="http://schemas.openxmlformats.org/officeDocument/2006/relationships/hyperlink" Target="https://wildberries.ru/catalog/168141212/detail.aspx" TargetMode="External"/><Relationship Id="rId1721" Type="http://schemas.openxmlformats.org/officeDocument/2006/relationships/hyperlink" Target="https://www.wildberries.ru/catalog/249915401/detail.aspx" TargetMode="External"/><Relationship Id="rId13" Type="http://schemas.openxmlformats.org/officeDocument/2006/relationships/hyperlink" Target="https://www.ozon.ru/product/nitkovdevatel-dlya-igolki-nitevdevatel-dlya-shveynoy-mashiny-10-sht-1313914160/?from=share_android&amp;utm_campaign=productpage_link&amp;utm_medium=share_button&amp;utm_source=smm" TargetMode="External"/><Relationship Id="rId1819" Type="http://schemas.openxmlformats.org/officeDocument/2006/relationships/hyperlink" Target="https://ozon.ru/t/WfFRzK7" TargetMode="External"/><Relationship Id="rId162" Type="http://schemas.openxmlformats.org/officeDocument/2006/relationships/hyperlink" Target="https://ozon.ru/t/y5P3J4E" TargetMode="External"/><Relationship Id="rId467" Type="http://schemas.openxmlformats.org/officeDocument/2006/relationships/hyperlink" Target="https://ozon.ru/t/z5Dq18W" TargetMode="External"/><Relationship Id="rId1097" Type="http://schemas.openxmlformats.org/officeDocument/2006/relationships/hyperlink" Target="https://wildberries.ru/catalog/18979015/detail.aspx" TargetMode="External"/><Relationship Id="rId674" Type="http://schemas.openxmlformats.org/officeDocument/2006/relationships/hyperlink" Target="https://ozon.ru/t/0lXlzYw" TargetMode="External"/><Relationship Id="rId881" Type="http://schemas.openxmlformats.org/officeDocument/2006/relationships/hyperlink" Target="https://www.wildberries.ru/catalog/159952818/detail.aspx?size=265968712" TargetMode="External"/><Relationship Id="rId979" Type="http://schemas.openxmlformats.org/officeDocument/2006/relationships/hyperlink" Target="https://www.wildberries.ru/catalog/146160800/detail.aspx?targetUrl=SN" TargetMode="External"/><Relationship Id="rId327" Type="http://schemas.openxmlformats.org/officeDocument/2006/relationships/hyperlink" Target="https://ozon.ru/t/y0DN97Y" TargetMode="External"/><Relationship Id="rId534" Type="http://schemas.openxmlformats.org/officeDocument/2006/relationships/hyperlink" Target="https://wildberries.ru/catalog/161881450/detail.aspx" TargetMode="External"/><Relationship Id="rId741" Type="http://schemas.openxmlformats.org/officeDocument/2006/relationships/hyperlink" Target="https://ozon.ru/t/XGlX6GW" TargetMode="External"/><Relationship Id="rId839" Type="http://schemas.openxmlformats.org/officeDocument/2006/relationships/hyperlink" Target="https://www.wildberries.ru/catalog/218315258/detail.aspx" TargetMode="External"/><Relationship Id="rId1164" Type="http://schemas.openxmlformats.org/officeDocument/2006/relationships/hyperlink" Target="https://www.wildberries.ru/catalog/225147786/detail.aspx" TargetMode="External"/><Relationship Id="rId1371" Type="http://schemas.openxmlformats.org/officeDocument/2006/relationships/hyperlink" Target="https://wildberries.ru/catalog/176796572/detail.aspx" TargetMode="External"/><Relationship Id="rId1469" Type="http://schemas.openxmlformats.org/officeDocument/2006/relationships/hyperlink" Target="https://wildberries.ru/catalog/233081930/detail.aspx" TargetMode="External"/><Relationship Id="rId601" Type="http://schemas.openxmlformats.org/officeDocument/2006/relationships/hyperlink" Target="https://www.wildberries.ru/catalog/228123476/detail.aspx" TargetMode="External"/><Relationship Id="rId1024" Type="http://schemas.openxmlformats.org/officeDocument/2006/relationships/hyperlink" Target="https://www.wildberries.ru/catalog/162337219/detail.aspx?targetUrl=SN" TargetMode="External"/><Relationship Id="rId1231" Type="http://schemas.openxmlformats.org/officeDocument/2006/relationships/hyperlink" Target="https://wildberries.ru/catalog/33118723/detail.aspx" TargetMode="External"/><Relationship Id="rId1676" Type="http://schemas.openxmlformats.org/officeDocument/2006/relationships/hyperlink" Target="https://www.wildberries.ru/catalog/214315200/detail.aspx?size=342141788" TargetMode="External"/><Relationship Id="rId906" Type="http://schemas.openxmlformats.org/officeDocument/2006/relationships/hyperlink" Target="https://www.wildberries.ru/catalog/243224207/detail.aspx" TargetMode="External"/><Relationship Id="rId1329" Type="http://schemas.openxmlformats.org/officeDocument/2006/relationships/hyperlink" Target="https://ozon.ru/t/DbKvLEK" TargetMode="External"/><Relationship Id="rId1536" Type="http://schemas.openxmlformats.org/officeDocument/2006/relationships/hyperlink" Target="https://wildberries.ru/catalog/292955336/detail.aspx" TargetMode="External"/><Relationship Id="rId1743" Type="http://schemas.openxmlformats.org/officeDocument/2006/relationships/hyperlink" Target="https://ozon.ru/t/VJJ14CU" TargetMode="External"/><Relationship Id="rId35" Type="http://schemas.openxmlformats.org/officeDocument/2006/relationships/hyperlink" Target="https://ozon.ru/t/ZkGMNa2" TargetMode="External"/><Relationship Id="rId1603" Type="http://schemas.openxmlformats.org/officeDocument/2006/relationships/hyperlink" Target="https://wildberries.ru/catalog/240396035/detail.aspx" TargetMode="External"/><Relationship Id="rId1810" Type="http://schemas.openxmlformats.org/officeDocument/2006/relationships/hyperlink" Target="https://www.wildberries.ru/catalog/259755359/detail.aspx" TargetMode="External"/><Relationship Id="rId184" Type="http://schemas.openxmlformats.org/officeDocument/2006/relationships/hyperlink" Target="https://www.wildberries.ru/catalog/112132262/detail.aspx?targetUrl=SN" TargetMode="External"/><Relationship Id="rId391" Type="http://schemas.openxmlformats.org/officeDocument/2006/relationships/hyperlink" Target="https://ozon.ru/t/kr7bNok" TargetMode="External"/><Relationship Id="rId251" Type="http://schemas.openxmlformats.org/officeDocument/2006/relationships/hyperlink" Target="https://ozon.ru/t/VwkbLL" TargetMode="External"/><Relationship Id="rId489" Type="http://schemas.openxmlformats.org/officeDocument/2006/relationships/hyperlink" Target="https://wildberries.ru/catalog/227605271/detail.aspx" TargetMode="External"/><Relationship Id="rId696" Type="http://schemas.openxmlformats.org/officeDocument/2006/relationships/hyperlink" Target="https://www.wildberries.ru/catalog/98427874/detail.aspx" TargetMode="External"/><Relationship Id="rId349" Type="http://schemas.openxmlformats.org/officeDocument/2006/relationships/hyperlink" Target="https://ozon.ru/t/3B7YWbb" TargetMode="External"/><Relationship Id="rId556" Type="http://schemas.openxmlformats.org/officeDocument/2006/relationships/hyperlink" Target="https://www.wildberries.ru/catalog/165819262/detail.aspx" TargetMode="External"/><Relationship Id="rId763" Type="http://schemas.openxmlformats.org/officeDocument/2006/relationships/hyperlink" Target="https://wildberries.ru/catalog/35412671/detail.aspx" TargetMode="External"/><Relationship Id="rId1186" Type="http://schemas.openxmlformats.org/officeDocument/2006/relationships/hyperlink" Target="https://www.wildberries.ru/catalog/12886978/detail.aspx" TargetMode="External"/><Relationship Id="rId1393" Type="http://schemas.openxmlformats.org/officeDocument/2006/relationships/hyperlink" Target="https://www.wildberries.ru/catalog/247883871/detail.aspx?targetUrl=MS&amp;size=388271237" TargetMode="External"/><Relationship Id="rId111" Type="http://schemas.openxmlformats.org/officeDocument/2006/relationships/hyperlink" Target="https://www.wildberries.ru/catalog/210492245/detail.aspx?targetUrl=SN" TargetMode="External"/><Relationship Id="rId209" Type="http://schemas.openxmlformats.org/officeDocument/2006/relationships/hyperlink" Target="https://ozon.ru/t/ElL32gB" TargetMode="External"/><Relationship Id="rId416" Type="http://schemas.openxmlformats.org/officeDocument/2006/relationships/hyperlink" Target="https://www.wildberries.ru/catalog/15345433/detail.aspx" TargetMode="External"/><Relationship Id="rId970" Type="http://schemas.openxmlformats.org/officeDocument/2006/relationships/hyperlink" Target="https://ozon.ru/t/Lp7x2L1" TargetMode="External"/><Relationship Id="rId1046" Type="http://schemas.openxmlformats.org/officeDocument/2006/relationships/hyperlink" Target="https://www.wildberries.ru/catalog/183824856/detail.aspx" TargetMode="External"/><Relationship Id="rId1253" Type="http://schemas.openxmlformats.org/officeDocument/2006/relationships/hyperlink" Target="https://www.wildberries.ru/catalog/184504191/detail.aspx" TargetMode="External"/><Relationship Id="rId1698" Type="http://schemas.openxmlformats.org/officeDocument/2006/relationships/hyperlink" Target="https://www.avito.ru/moskva/zapchasti_i_aksessuary/blok_upravleniya_dvs_vw_caddy_06g906022a_bsx_2767545009?slocation=621540&amp;context=H4sIAAAAAAAA_wEmANn_YToxOntzOjE6IngiO3M6MTY6IjVxeWlsQ1ZZS2ozMW92a2QiO31Atb8CJgAAAA" TargetMode="External"/><Relationship Id="rId623" Type="http://schemas.openxmlformats.org/officeDocument/2006/relationships/hyperlink" Target="https://ozon.ru/t/ZLKerAP" TargetMode="External"/><Relationship Id="rId830" Type="http://schemas.openxmlformats.org/officeDocument/2006/relationships/hyperlink" Target="https://www.wildberries.ru/catalog/33586026/detail.aspx" TargetMode="External"/><Relationship Id="rId928" Type="http://schemas.openxmlformats.org/officeDocument/2006/relationships/hyperlink" Target="https://wildberries.ru/catalog/163357005/detail.aspx" TargetMode="External"/><Relationship Id="rId1460" Type="http://schemas.openxmlformats.org/officeDocument/2006/relationships/hyperlink" Target="https://ozon.ru/t/LzZ6ko8" TargetMode="External"/><Relationship Id="rId1558" Type="http://schemas.openxmlformats.org/officeDocument/2006/relationships/hyperlink" Target="https://wildberries.ru/catalog/154963576/detail.aspx" TargetMode="External"/><Relationship Id="rId1765" Type="http://schemas.openxmlformats.org/officeDocument/2006/relationships/hyperlink" Target="https://www.wildberries.ru/catalog/251103791/detail.aspx" TargetMode="External"/><Relationship Id="rId57" Type="http://schemas.openxmlformats.org/officeDocument/2006/relationships/hyperlink" Target="https://ozon.ru/t/Elzewel" TargetMode="External"/><Relationship Id="rId1113" Type="http://schemas.openxmlformats.org/officeDocument/2006/relationships/hyperlink" Target="https://www.wildberries.ru/catalog/257146705/detail.aspx" TargetMode="External"/><Relationship Id="rId1320" Type="http://schemas.openxmlformats.org/officeDocument/2006/relationships/hyperlink" Target="https://ozon.ru/t/yzvm5RP" TargetMode="External"/><Relationship Id="rId1418" Type="http://schemas.openxmlformats.org/officeDocument/2006/relationships/hyperlink" Target="https://wildberries.ru/catalog/225749072/detail.aspx" TargetMode="External"/><Relationship Id="rId1625" Type="http://schemas.openxmlformats.org/officeDocument/2006/relationships/hyperlink" Target="https://www.wildberries.ru/catalog/263542931/detail.aspx?size=409198594" TargetMode="External"/><Relationship Id="rId273" Type="http://schemas.openxmlformats.org/officeDocument/2006/relationships/hyperlink" Target="http://slovo.net.ru/book/72191/" TargetMode="External"/><Relationship Id="rId480" Type="http://schemas.openxmlformats.org/officeDocument/2006/relationships/hyperlink" Target="https://ozon.ru/t/W2bXw4w" TargetMode="External"/><Relationship Id="rId133" Type="http://schemas.openxmlformats.org/officeDocument/2006/relationships/hyperlink" Target="https://ozon.ru/t/Q2yPjpr" TargetMode="External"/><Relationship Id="rId340" Type="http://schemas.openxmlformats.org/officeDocument/2006/relationships/hyperlink" Target="https://ozon.ru/t/z0WdX9R" TargetMode="External"/><Relationship Id="rId578" Type="http://schemas.openxmlformats.org/officeDocument/2006/relationships/hyperlink" Target="https://www.wildberries.ru/catalog/12981663/detail.aspx" TargetMode="External"/><Relationship Id="rId785" Type="http://schemas.openxmlformats.org/officeDocument/2006/relationships/hyperlink" Target="https://detki-online.com/catalog/khobbi_i_tvorchestvo/knigi/knizhka_entsiklopediya_krasnaya_kniga_365_faktov_197_mm_kh_255_mm_64_stranitsy/" TargetMode="External"/><Relationship Id="rId992" Type="http://schemas.openxmlformats.org/officeDocument/2006/relationships/hyperlink" Target="https://www.wildberries.ru/catalog/216248032/detail.aspx" TargetMode="External"/><Relationship Id="rId200" Type="http://schemas.openxmlformats.org/officeDocument/2006/relationships/hyperlink" Target="https://ozon.ru/t/460MEl6" TargetMode="External"/><Relationship Id="rId438" Type="http://schemas.openxmlformats.org/officeDocument/2006/relationships/hyperlink" Target="https://ozon.ru/t/DDzQA5Z" TargetMode="External"/><Relationship Id="rId645" Type="http://schemas.openxmlformats.org/officeDocument/2006/relationships/hyperlink" Target="https://www.wildberries.ru/catalog/74230848/detail.aspx" TargetMode="External"/><Relationship Id="rId852" Type="http://schemas.openxmlformats.org/officeDocument/2006/relationships/hyperlink" Target="https://wildberries.ru/catalog/238007765/detail.aspx" TargetMode="External"/><Relationship Id="rId1068" Type="http://schemas.openxmlformats.org/officeDocument/2006/relationships/hyperlink" Target="https://ozon.ru/t/EmmBLzZ" TargetMode="External"/><Relationship Id="rId1275" Type="http://schemas.openxmlformats.org/officeDocument/2006/relationships/hyperlink" Target="https://ozon.ru/t/05v6RA3" TargetMode="External"/><Relationship Id="rId1482" Type="http://schemas.openxmlformats.org/officeDocument/2006/relationships/hyperlink" Target="https://wildberries.ru/catalog/277501369/detail.aspx" TargetMode="External"/><Relationship Id="rId505" Type="http://schemas.openxmlformats.org/officeDocument/2006/relationships/hyperlink" Target="https://wildberries.ru/catalog/9731418/detail.aspx" TargetMode="External"/><Relationship Id="rId712" Type="http://schemas.openxmlformats.org/officeDocument/2006/relationships/hyperlink" Target="https://www.wildberries.ru/catalog/170739275/detail.aspx?targetUrl=MS&amp;size=283472386" TargetMode="External"/><Relationship Id="rId1135" Type="http://schemas.openxmlformats.org/officeDocument/2006/relationships/hyperlink" Target="https://www.wildberries.ru/catalog/153820322/detail.aspx" TargetMode="External"/><Relationship Id="rId1342" Type="http://schemas.openxmlformats.org/officeDocument/2006/relationships/hyperlink" Target="https://www.wildberries.ru/catalog/192665778/detail.aspx" TargetMode="External"/><Relationship Id="rId1787" Type="http://schemas.openxmlformats.org/officeDocument/2006/relationships/hyperlink" Target="https://www.wildberries.ru/catalog/307554760/detail.aspx" TargetMode="External"/><Relationship Id="rId79" Type="http://schemas.openxmlformats.org/officeDocument/2006/relationships/hyperlink" Target="https://www.wildberries.ru/catalog/154648647/detail.aspx?size=258233937" TargetMode="External"/><Relationship Id="rId1202" Type="http://schemas.openxmlformats.org/officeDocument/2006/relationships/hyperlink" Target="https://www.wildberries.ru/catalog/170510916/detail.aspx?size=283120123" TargetMode="External"/><Relationship Id="rId1647" Type="http://schemas.openxmlformats.org/officeDocument/2006/relationships/hyperlink" Target="https://wildberries.ru/catalog/197985785/detail.aspx" TargetMode="External"/><Relationship Id="rId1507" Type="http://schemas.openxmlformats.org/officeDocument/2006/relationships/hyperlink" Target="https://wildberries.ru/catalog/153014834/detail.aspx" TargetMode="External"/><Relationship Id="rId1714" Type="http://schemas.openxmlformats.org/officeDocument/2006/relationships/hyperlink" Target="https://simvolik.ru/catalog/suveniry-podarki/paskha/pazl-derevyannyy-svetloy-paskhi-200kh300-mm/" TargetMode="External"/><Relationship Id="rId295" Type="http://schemas.openxmlformats.org/officeDocument/2006/relationships/hyperlink" Target="https://www.wildberries.ru/catalog/35679429/detail.aspx?targetUrl=SN" TargetMode="External"/><Relationship Id="rId155" Type="http://schemas.openxmlformats.org/officeDocument/2006/relationships/hyperlink" Target="https://www.wildberries.ru/catalog/171012330/detail.aspx?targetUrl=SN" TargetMode="External"/><Relationship Id="rId362" Type="http://schemas.openxmlformats.org/officeDocument/2006/relationships/hyperlink" Target="https://ozon.ru/t/DRMaloE" TargetMode="External"/><Relationship Id="rId1297" Type="http://schemas.openxmlformats.org/officeDocument/2006/relationships/hyperlink" Target="https://www.wildberries.ru/catalog/181996756/detail.aspx?size=300326903" TargetMode="External"/><Relationship Id="rId222" Type="http://schemas.openxmlformats.org/officeDocument/2006/relationships/hyperlink" Target="https://ozon.ru/t/0qeyq2K" TargetMode="External"/><Relationship Id="rId667" Type="http://schemas.openxmlformats.org/officeDocument/2006/relationships/hyperlink" Target="https://www.wildberries.ru/catalog/216924990/detail.aspx?size=345656650" TargetMode="External"/><Relationship Id="rId874" Type="http://schemas.openxmlformats.org/officeDocument/2006/relationships/hyperlink" Target="https://wildberries.ru/catalog/8506961/detail.aspx" TargetMode="External"/><Relationship Id="rId527" Type="http://schemas.openxmlformats.org/officeDocument/2006/relationships/hyperlink" Target="https://www.avito.ru/orders/70000000117417853?source=messenger" TargetMode="External"/><Relationship Id="rId734" Type="http://schemas.openxmlformats.org/officeDocument/2006/relationships/hyperlink" Target="https://www.wildberries.ru/catalog/156430382/detail.aspx?size=260970586" TargetMode="External"/><Relationship Id="rId941" Type="http://schemas.openxmlformats.org/officeDocument/2006/relationships/hyperlink" Target="https://www.wildberries.ru/catalog/128768601/detail.aspx?size=223748441" TargetMode="External"/><Relationship Id="rId1157" Type="http://schemas.openxmlformats.org/officeDocument/2006/relationships/hyperlink" Target="https://ozon.ru/t/V8PDkGa" TargetMode="External"/><Relationship Id="rId1364" Type="http://schemas.openxmlformats.org/officeDocument/2006/relationships/hyperlink" Target="https://www.wildberries.ru/catalog/251162971/detail.aspx?size=392614931" TargetMode="External"/><Relationship Id="rId1571" Type="http://schemas.openxmlformats.org/officeDocument/2006/relationships/hyperlink" Target="https://wildberries.ru/catalog/273269279/detail.aspx" TargetMode="External"/><Relationship Id="rId70" Type="http://schemas.openxmlformats.org/officeDocument/2006/relationships/hyperlink" Target="https://ozon.ru/t/ZnYpjaZ" TargetMode="External"/><Relationship Id="rId801" Type="http://schemas.openxmlformats.org/officeDocument/2006/relationships/hyperlink" Target="https://ozon.ru/t/wezYp8" TargetMode="External"/><Relationship Id="rId1017" Type="http://schemas.openxmlformats.org/officeDocument/2006/relationships/hyperlink" Target="https://ozon.ru/t/5j1mMB" TargetMode="External"/><Relationship Id="rId1224" Type="http://schemas.openxmlformats.org/officeDocument/2006/relationships/hyperlink" Target="https://ozon.ru/t/N2ZpbBd" TargetMode="External"/><Relationship Id="rId1431" Type="http://schemas.openxmlformats.org/officeDocument/2006/relationships/hyperlink" Target="https://ozon.ru/t/2jx0X4M" TargetMode="External"/><Relationship Id="rId1669" Type="http://schemas.openxmlformats.org/officeDocument/2006/relationships/hyperlink" Target="https://www.wildberries.ru/catalog/320439202/detail.aspx?size=482313041" TargetMode="External"/><Relationship Id="rId1529" Type="http://schemas.openxmlformats.org/officeDocument/2006/relationships/hyperlink" Target="https://wildberries.ru/catalog/189220227/detail.aspx" TargetMode="External"/><Relationship Id="rId1736" Type="http://schemas.openxmlformats.org/officeDocument/2006/relationships/hyperlink" Target="https://wildberries.ru/catalog/108789957/detail.aspx" TargetMode="External"/><Relationship Id="rId28" Type="http://schemas.openxmlformats.org/officeDocument/2006/relationships/hyperlink" Target="https://www.wildberries.ru/catalog/203613043/detail.aspx" TargetMode="External"/><Relationship Id="rId1803" Type="http://schemas.openxmlformats.org/officeDocument/2006/relationships/hyperlink" Target="https://ozon.ru/t/wiv2Sfh" TargetMode="External"/><Relationship Id="rId177" Type="http://schemas.openxmlformats.org/officeDocument/2006/relationships/hyperlink" Target="https://www.wildberries.ru/catalog/135326533/detail.aspx?targetUrl=SN" TargetMode="External"/><Relationship Id="rId384" Type="http://schemas.openxmlformats.org/officeDocument/2006/relationships/hyperlink" Target="https://wildberries.ru/catalog/12001025/detail.aspx" TargetMode="External"/><Relationship Id="rId591" Type="http://schemas.openxmlformats.org/officeDocument/2006/relationships/hyperlink" Target="https://www.wildberries.ru/catalog/151216919/detail.aspx" TargetMode="External"/><Relationship Id="rId244" Type="http://schemas.openxmlformats.org/officeDocument/2006/relationships/hyperlink" Target="https://www.wildberries.ru/catalog/204682210/detail.aspx?targetUrl=SN" TargetMode="External"/><Relationship Id="rId689" Type="http://schemas.openxmlformats.org/officeDocument/2006/relationships/hyperlink" Target="https://wildberries.ru/catalog/18010004/detail.aspx" TargetMode="External"/><Relationship Id="rId896" Type="http://schemas.openxmlformats.org/officeDocument/2006/relationships/hyperlink" Target="https://ozon.ru/t/zqEKeKX" TargetMode="External"/><Relationship Id="rId1081" Type="http://schemas.openxmlformats.org/officeDocument/2006/relationships/hyperlink" Target="https://wildberries.ru/catalog/250569624/detail.aspx" TargetMode="External"/><Relationship Id="rId451" Type="http://schemas.openxmlformats.org/officeDocument/2006/relationships/hyperlink" Target="https://ozon.ru/t/W257dbN" TargetMode="External"/><Relationship Id="rId549" Type="http://schemas.openxmlformats.org/officeDocument/2006/relationships/hyperlink" Target="https://wildberries.ru/catalog/209294110/detail.aspx" TargetMode="External"/><Relationship Id="rId756" Type="http://schemas.openxmlformats.org/officeDocument/2006/relationships/hyperlink" Target="https://www.wildberries.ru/catalog/30989710/detail.aspx" TargetMode="External"/><Relationship Id="rId1179" Type="http://schemas.openxmlformats.org/officeDocument/2006/relationships/hyperlink" Target="https://ozon.ru/t/rPYD9pe" TargetMode="External"/><Relationship Id="rId1386" Type="http://schemas.openxmlformats.org/officeDocument/2006/relationships/hyperlink" Target="https://www.wildberries.ru/catalog/245870297/detail.aspx?size=385425230" TargetMode="External"/><Relationship Id="rId1593" Type="http://schemas.openxmlformats.org/officeDocument/2006/relationships/hyperlink" Target="https://ozon.ru/t/nyEE0eX" TargetMode="External"/><Relationship Id="rId104" Type="http://schemas.openxmlformats.org/officeDocument/2006/relationships/hyperlink" Target="https://market.yandex.ru/cc/tdGLX47" TargetMode="External"/><Relationship Id="rId311" Type="http://schemas.openxmlformats.org/officeDocument/2006/relationships/hyperlink" Target="https://ozon.ru/t/Yj8KEZ" TargetMode="External"/><Relationship Id="rId409" Type="http://schemas.openxmlformats.org/officeDocument/2006/relationships/hyperlink" Target="https://www.wildberries.ru/catalog/172630902/detail.aspx" TargetMode="External"/><Relationship Id="rId963" Type="http://schemas.openxmlformats.org/officeDocument/2006/relationships/hyperlink" Target="https://ozon.ru/t/YloGQ8O" TargetMode="External"/><Relationship Id="rId1039" Type="http://schemas.openxmlformats.org/officeDocument/2006/relationships/hyperlink" Target="https://ozon.ru/t/LB91mKN" TargetMode="External"/><Relationship Id="rId1246" Type="http://schemas.openxmlformats.org/officeDocument/2006/relationships/hyperlink" Target="https://wildberries.ru/catalog/151688757/detail.aspx" TargetMode="External"/><Relationship Id="rId92" Type="http://schemas.openxmlformats.org/officeDocument/2006/relationships/hyperlink" Target="https://ozon.ru/t/odkjN7E" TargetMode="External"/><Relationship Id="rId616" Type="http://schemas.openxmlformats.org/officeDocument/2006/relationships/hyperlink" Target="https://ozon.ru/t/YoQ73Zj" TargetMode="External"/><Relationship Id="rId823" Type="http://schemas.openxmlformats.org/officeDocument/2006/relationships/hyperlink" Target="https://wildberries.ru/catalog/209580467/detail.aspx" TargetMode="External"/><Relationship Id="rId1453" Type="http://schemas.openxmlformats.org/officeDocument/2006/relationships/hyperlink" Target="https://www.wildberries.ru/catalog/105101486/detail.aspx" TargetMode="External"/><Relationship Id="rId1660" Type="http://schemas.openxmlformats.org/officeDocument/2006/relationships/hyperlink" Target="https://wildberries.ru/catalog/7002147/detail.aspx" TargetMode="External"/><Relationship Id="rId1758" Type="http://schemas.openxmlformats.org/officeDocument/2006/relationships/hyperlink" Target="https://www.wildberries.ru/catalog/81309442/detail.aspx" TargetMode="External"/><Relationship Id="rId1106" Type="http://schemas.openxmlformats.org/officeDocument/2006/relationships/hyperlink" Target="https://www.wildberries.ru/catalog/267850958/detail.aspx" TargetMode="External"/><Relationship Id="rId1313" Type="http://schemas.openxmlformats.org/officeDocument/2006/relationships/hyperlink" Target="https://zyorna.ru/catalog/item/nabor-magnitov-novogodnij-ded-moroz-i-snegurochka-118752" TargetMode="External"/><Relationship Id="rId1520" Type="http://schemas.openxmlformats.org/officeDocument/2006/relationships/hyperlink" Target="https://wildberries.ru/catalog/295469579/detail.aspx" TargetMode="External"/><Relationship Id="rId1618" Type="http://schemas.openxmlformats.org/officeDocument/2006/relationships/hyperlink" Target="https://wildberries.ru/catalog/215865230/detail.aspx" TargetMode="External"/><Relationship Id="rId1825" Type="http://schemas.openxmlformats.org/officeDocument/2006/relationships/hyperlink" Target="https://www.wildberries.ru/catalog/219543227/detail.aspx" TargetMode="External"/><Relationship Id="rId199" Type="http://schemas.openxmlformats.org/officeDocument/2006/relationships/hyperlink" Target="https://ozon.ru/t/9jL7wlq" TargetMode="External"/><Relationship Id="rId266" Type="http://schemas.openxmlformats.org/officeDocument/2006/relationships/hyperlink" Target="https://www.wildberries.ru/catalog/208233712/detail.aspx?targetUrl=SN" TargetMode="External"/><Relationship Id="rId473" Type="http://schemas.openxmlformats.org/officeDocument/2006/relationships/hyperlink" Target="https://ozon.ru/t/REnZKb0" TargetMode="External"/><Relationship Id="rId680" Type="http://schemas.openxmlformats.org/officeDocument/2006/relationships/hyperlink" Target="https://www.ozon.ru/product/veld-co-fotoalbom-36-foto-1214321938/?avtc=1&amp;avte=2&amp;avts=1725261257" TargetMode="External"/><Relationship Id="rId126" Type="http://schemas.openxmlformats.org/officeDocument/2006/relationships/hyperlink" Target="https://ozon.ru/t/zzwAoVR" TargetMode="External"/><Relationship Id="rId333" Type="http://schemas.openxmlformats.org/officeDocument/2006/relationships/hyperlink" Target="https://www.wildberries.ru/catalog/140425152/detail.aspx?targetUrl=SN" TargetMode="External"/><Relationship Id="rId540" Type="http://schemas.openxmlformats.org/officeDocument/2006/relationships/hyperlink" Target="https://wildberries.ru/catalog/164005437/detail.aspx" TargetMode="External"/><Relationship Id="rId778" Type="http://schemas.openxmlformats.org/officeDocument/2006/relationships/hyperlink" Target="https://www.labirint.ru/books/650913/" TargetMode="External"/><Relationship Id="rId985" Type="http://schemas.openxmlformats.org/officeDocument/2006/relationships/hyperlink" Target="https://ozon.ru/t/4vbB6a1" TargetMode="External"/><Relationship Id="rId1170" Type="http://schemas.openxmlformats.org/officeDocument/2006/relationships/hyperlink" Target="https://www.wildberries.ru/catalog/206479087/detail.aspx?size=331603921" TargetMode="External"/><Relationship Id="rId638" Type="http://schemas.openxmlformats.org/officeDocument/2006/relationships/hyperlink" Target="https://wildberries.ru/catalog/219806590/detail.aspx" TargetMode="External"/><Relationship Id="rId845" Type="http://schemas.openxmlformats.org/officeDocument/2006/relationships/hyperlink" Target="https://ozon.ru/t/kjABVNy" TargetMode="External"/><Relationship Id="rId1030" Type="http://schemas.openxmlformats.org/officeDocument/2006/relationships/hyperlink" Target="https://www.wildberries.ru/catalog/158292583/detail.aspx?size=263419610" TargetMode="External"/><Relationship Id="rId1268" Type="http://schemas.openxmlformats.org/officeDocument/2006/relationships/hyperlink" Target="https://wildberries.ru/catalog/296549871/detail.aspx" TargetMode="External"/><Relationship Id="rId1475" Type="http://schemas.openxmlformats.org/officeDocument/2006/relationships/hyperlink" Target="https://wildberries.ru/catalog/190602629/detail.aspx" TargetMode="External"/><Relationship Id="rId1682" Type="http://schemas.openxmlformats.org/officeDocument/2006/relationships/hyperlink" Target="https://wildberries.ru/catalog/68981308/detail.aspx" TargetMode="External"/><Relationship Id="rId400" Type="http://schemas.openxmlformats.org/officeDocument/2006/relationships/hyperlink" Target="https://ozon.ru/t/o10jqe6" TargetMode="External"/><Relationship Id="rId705" Type="http://schemas.openxmlformats.org/officeDocument/2006/relationships/hyperlink" Target="https://ozon.ru/t/7nXJyA3" TargetMode="External"/><Relationship Id="rId1128" Type="http://schemas.openxmlformats.org/officeDocument/2006/relationships/hyperlink" Target="https://ozon.ru/t/xMwvowk" TargetMode="External"/><Relationship Id="rId1335" Type="http://schemas.openxmlformats.org/officeDocument/2006/relationships/hyperlink" Target="https://www.wildberries.ru/catalog/96025839/detail.aspx?size=152703538" TargetMode="External"/><Relationship Id="rId1542" Type="http://schemas.openxmlformats.org/officeDocument/2006/relationships/hyperlink" Target="https://wildberries.ru/catalog/18288719/detail.aspx" TargetMode="External"/><Relationship Id="rId912" Type="http://schemas.openxmlformats.org/officeDocument/2006/relationships/hyperlink" Target="https://www.wildberries.ru/catalog/225840466/detail.aspx?targetUrl=SN" TargetMode="External"/><Relationship Id="rId41" Type="http://schemas.openxmlformats.org/officeDocument/2006/relationships/hyperlink" Target="https://ozon.ru/t/L9B0LZ5" TargetMode="External"/><Relationship Id="rId1402" Type="http://schemas.openxmlformats.org/officeDocument/2006/relationships/hyperlink" Target="https://www.wildberries.ru/catalog/137694742/detail.aspx" TargetMode="External"/><Relationship Id="rId1707" Type="http://schemas.openxmlformats.org/officeDocument/2006/relationships/hyperlink" Target="https://ozon.ru/t/qGppQQk" TargetMode="External"/><Relationship Id="rId190" Type="http://schemas.openxmlformats.org/officeDocument/2006/relationships/hyperlink" Target="https://ozon.ru/t/PgA1J1y" TargetMode="External"/><Relationship Id="rId288" Type="http://schemas.openxmlformats.org/officeDocument/2006/relationships/hyperlink" Target="https://ozon.ru/t/XwMq0A" TargetMode="External"/><Relationship Id="rId495" Type="http://schemas.openxmlformats.org/officeDocument/2006/relationships/hyperlink" Target="https://ozon.ru/t/wR6R4ya" TargetMode="External"/><Relationship Id="rId148" Type="http://schemas.openxmlformats.org/officeDocument/2006/relationships/hyperlink" Target="https://ozon.ru/t/Q2V95lD" TargetMode="External"/><Relationship Id="rId355" Type="http://schemas.openxmlformats.org/officeDocument/2006/relationships/hyperlink" Target="https://ozon.ru/t/jrpeQ3n" TargetMode="External"/><Relationship Id="rId562" Type="http://schemas.openxmlformats.org/officeDocument/2006/relationships/hyperlink" Target="https://wildberries.ru/catalog/196223960/detail.aspx" TargetMode="External"/><Relationship Id="rId1192" Type="http://schemas.openxmlformats.org/officeDocument/2006/relationships/hyperlink" Target="https://ozon.ru/t/EJGJ5d0" TargetMode="External"/><Relationship Id="rId215" Type="http://schemas.openxmlformats.org/officeDocument/2006/relationships/hyperlink" Target="https://ozon.ru/t/odn6bry" TargetMode="External"/><Relationship Id="rId422" Type="http://schemas.openxmlformats.org/officeDocument/2006/relationships/hyperlink" Target="https://www.wildberries.ru/catalog/47745000/detail.aspx?targetUrl=EX" TargetMode="External"/><Relationship Id="rId867" Type="http://schemas.openxmlformats.org/officeDocument/2006/relationships/hyperlink" Target="https://wildberries.ru/catalog/237239907/detail.aspx" TargetMode="External"/><Relationship Id="rId1052" Type="http://schemas.openxmlformats.org/officeDocument/2006/relationships/hyperlink" Target="https://www.wildberries.ru/catalog/230300797/detail.aspx" TargetMode="External"/><Relationship Id="rId1497" Type="http://schemas.openxmlformats.org/officeDocument/2006/relationships/hyperlink" Target="https://www.avito.ru/chelyabinskaya_oblast_troitsk/tovary_dlya_kompyutera/intel_core_i7_2670qm_8_potokov_gd900_3149076552" TargetMode="External"/><Relationship Id="rId727" Type="http://schemas.openxmlformats.org/officeDocument/2006/relationships/hyperlink" Target="https://avito.ru/4022913566" TargetMode="External"/><Relationship Id="rId934" Type="http://schemas.openxmlformats.org/officeDocument/2006/relationships/hyperlink" Target="https://www.wildberries.ru/catalog/137711979/detail.aspx?targetUrl=SN" TargetMode="External"/><Relationship Id="rId1357" Type="http://schemas.openxmlformats.org/officeDocument/2006/relationships/hyperlink" Target="https://wildberries.ru/catalog/174932080/detail.aspx" TargetMode="External"/><Relationship Id="rId1564" Type="http://schemas.openxmlformats.org/officeDocument/2006/relationships/hyperlink" Target="https://wildberries.ru/catalog/173437828/detail.aspx" TargetMode="External"/><Relationship Id="rId1771" Type="http://schemas.openxmlformats.org/officeDocument/2006/relationships/hyperlink" Target="https://ozon.ru/t/vI0BWVv" TargetMode="External"/><Relationship Id="rId63" Type="http://schemas.openxmlformats.org/officeDocument/2006/relationships/hyperlink" Target="https://www.wildberries.ru/catalog/4344843/detail.aspx?size=16177528" TargetMode="External"/><Relationship Id="rId1217" Type="http://schemas.openxmlformats.org/officeDocument/2006/relationships/hyperlink" Target="https://ozon.ru/t/RddP6wK" TargetMode="External"/><Relationship Id="rId1424" Type="http://schemas.openxmlformats.org/officeDocument/2006/relationships/hyperlink" Target="https://www.wildberries.ru/catalog/313108876/detail.aspx" TargetMode="External"/><Relationship Id="rId1631" Type="http://schemas.openxmlformats.org/officeDocument/2006/relationships/hyperlink" Target="https://www.wildberries.ru/catalog/185971273/detail.aspx?size=305592192" TargetMode="External"/><Relationship Id="rId1729" Type="http://schemas.openxmlformats.org/officeDocument/2006/relationships/hyperlink" Target="https://wildberries.ru/catalog/249915401/detail.aspx" TargetMode="External"/><Relationship Id="rId377" Type="http://schemas.openxmlformats.org/officeDocument/2006/relationships/hyperlink" Target="https://wildberries.ru/catalog/157008398/detail.aspx" TargetMode="External"/><Relationship Id="rId584" Type="http://schemas.openxmlformats.org/officeDocument/2006/relationships/hyperlink" Target="https://ozon.ru/t/WG8ABVR" TargetMode="External"/><Relationship Id="rId5" Type="http://schemas.openxmlformats.org/officeDocument/2006/relationships/hyperlink" Target="https://www.wildberries.ru/catalog/207067910/detail.aspx" TargetMode="External"/><Relationship Id="rId237" Type="http://schemas.openxmlformats.org/officeDocument/2006/relationships/hyperlink" Target="https://ozon.ru/t/d6QDQG" TargetMode="External"/><Relationship Id="rId791" Type="http://schemas.openxmlformats.org/officeDocument/2006/relationships/hyperlink" Target="https://ozon.ru/t/26Nzgqj" TargetMode="External"/><Relationship Id="rId889" Type="http://schemas.openxmlformats.org/officeDocument/2006/relationships/hyperlink" Target="https://ozon.ru/t/8bKeAwD" TargetMode="External"/><Relationship Id="rId1074" Type="http://schemas.openxmlformats.org/officeDocument/2006/relationships/hyperlink" Target="https://www.wildberries.ru/catalog/279408000/detail.aspx?size=429410338" TargetMode="External"/><Relationship Id="rId444" Type="http://schemas.openxmlformats.org/officeDocument/2006/relationships/hyperlink" Target="https://www.wildberries.ru/catalog/216360151/detail.aspx" TargetMode="External"/><Relationship Id="rId651" Type="http://schemas.openxmlformats.org/officeDocument/2006/relationships/hyperlink" Target="https://ozon.ru/t/3MlkpN5" TargetMode="External"/><Relationship Id="rId749" Type="http://schemas.openxmlformats.org/officeDocument/2006/relationships/hyperlink" Target="https://ozon.ru/t/aok5A0z" TargetMode="External"/><Relationship Id="rId1281" Type="http://schemas.openxmlformats.org/officeDocument/2006/relationships/hyperlink" Target="https://www.wildberries.ru/catalog/177359621/detail.aspx?size=293694438" TargetMode="External"/><Relationship Id="rId1379" Type="http://schemas.openxmlformats.org/officeDocument/2006/relationships/hyperlink" Target="https://wildberries.ru/catalog/45801149/detail.aspx" TargetMode="External"/><Relationship Id="rId1586" Type="http://schemas.openxmlformats.org/officeDocument/2006/relationships/hyperlink" Target="https://wildberries.ru/catalog/170793091/detail.aspx" TargetMode="External"/><Relationship Id="rId304" Type="http://schemas.openxmlformats.org/officeDocument/2006/relationships/hyperlink" Target="https://ozon.ru/t/AqlNQE" TargetMode="External"/><Relationship Id="rId511" Type="http://schemas.openxmlformats.org/officeDocument/2006/relationships/hyperlink" Target="https://wildberries.ru/catalog/192943764/detail.aspx" TargetMode="External"/><Relationship Id="rId609" Type="http://schemas.openxmlformats.org/officeDocument/2006/relationships/hyperlink" Target="https://www.ozon.ru/product/my-s-dedushkoy-druzya-seriya-mishka-i-ego-semya-koval-tatyana-leonidovna-808171373/" TargetMode="External"/><Relationship Id="rId956" Type="http://schemas.openxmlformats.org/officeDocument/2006/relationships/hyperlink" Target="https://ozon.ru/t/zj46Yk8" TargetMode="External"/><Relationship Id="rId1141" Type="http://schemas.openxmlformats.org/officeDocument/2006/relationships/hyperlink" Target="https://wildberries.ru/catalog/114564739/detail.aspx" TargetMode="External"/><Relationship Id="rId1239" Type="http://schemas.openxmlformats.org/officeDocument/2006/relationships/hyperlink" Target="https://ozon.ru/t/1O1bYdB" TargetMode="External"/><Relationship Id="rId1793" Type="http://schemas.openxmlformats.org/officeDocument/2006/relationships/hyperlink" Target="https://www.wildberries.ru/catalog/161549616/detail.aspx?size=268372487" TargetMode="External"/><Relationship Id="rId85" Type="http://schemas.openxmlformats.org/officeDocument/2006/relationships/hyperlink" Target="https://ozon.ru/t/467a516" TargetMode="External"/><Relationship Id="rId816" Type="http://schemas.openxmlformats.org/officeDocument/2006/relationships/hyperlink" Target="https://wildberries.ru/catalog/223568704/detail.aspx" TargetMode="External"/><Relationship Id="rId1001" Type="http://schemas.openxmlformats.org/officeDocument/2006/relationships/hyperlink" Target="https://ozon.ru/t/Gq2PZRG" TargetMode="External"/><Relationship Id="rId1446" Type="http://schemas.openxmlformats.org/officeDocument/2006/relationships/hyperlink" Target="https://www.wildberries.ru/catalog/202521597/detail.aspx?targetUrl=SN" TargetMode="External"/><Relationship Id="rId1653" Type="http://schemas.openxmlformats.org/officeDocument/2006/relationships/hyperlink" Target="https://wildberries.ru/catalog/317805219/detail.aspx" TargetMode="External"/><Relationship Id="rId1306" Type="http://schemas.openxmlformats.org/officeDocument/2006/relationships/hyperlink" Target="https://sl.aliexpress.ru/p?key=yw0sGcP" TargetMode="External"/><Relationship Id="rId1513" Type="http://schemas.openxmlformats.org/officeDocument/2006/relationships/hyperlink" Target="https://wildberries.ru/catalog/286301949/detail.aspx" TargetMode="External"/><Relationship Id="rId1720" Type="http://schemas.openxmlformats.org/officeDocument/2006/relationships/hyperlink" Target="https://market.yandex.ru/product--udilishche-bolonskoe-s-koltsami-mikado-princess-carbon-3-6m-test-5-20gr/987968539?sku=102832974634&amp;uniqueId=691786&amp;do-waremd5=jJ7ypZdE1e-mqiicc-wFPw&amp;cpc=IkHWWzg_zdF6Fzs4pLYA9_GV7HlE0RrvQS5tzlGVAl3JPf_8cg_6LWHASxRF28xfUx_d-WJqbIFsy73cd7FusrftFsBGkeNKtLxgvihxq6BJqmzuQoE7zif0bU97BtWd1dYOhJBrWBqAcGuwQYd7tlU7B6nLcx96EM4W9Pg1tIrzNlxoWsL6ayH-aD7rrc3SsjhuGs6Yx3g4STrg3icuMQ%2C%2C&amp;nid=18072301&amp;publicId=d7mx19ter94947vn660q1gk7tg&amp;utm_medium=sharing" TargetMode="External"/><Relationship Id="rId12" Type="http://schemas.openxmlformats.org/officeDocument/2006/relationships/hyperlink" Target="https://www.ozon.ru/product/tree-fern-trifern-2-litra-korni-paporotnika-903179093/?from=share_android&amp;utm_campaign=productpage_link&amp;utm_medium=share_button&amp;utm_source=smm" TargetMode="External"/><Relationship Id="rId1818" Type="http://schemas.openxmlformats.org/officeDocument/2006/relationships/hyperlink" Target="https://ozon.ru/t/lQftJcp" TargetMode="External"/><Relationship Id="rId161" Type="http://schemas.openxmlformats.org/officeDocument/2006/relationships/hyperlink" Target="https://ozon.ru/t/bbwMzQD" TargetMode="External"/><Relationship Id="rId399" Type="http://schemas.openxmlformats.org/officeDocument/2006/relationships/hyperlink" Target="https://wildberries.ru/catalog/93550775/detail.aspx" TargetMode="External"/><Relationship Id="rId259" Type="http://schemas.openxmlformats.org/officeDocument/2006/relationships/hyperlink" Target="https://ozon.ru/t/QVrQl1" TargetMode="External"/><Relationship Id="rId466" Type="http://schemas.openxmlformats.org/officeDocument/2006/relationships/hyperlink" Target="https://ozon.ru/t/YYPK3Ko" TargetMode="External"/><Relationship Id="rId673" Type="http://schemas.openxmlformats.org/officeDocument/2006/relationships/hyperlink" Target="https://wildberries.ru/catalog/163228429/detail.aspx" TargetMode="External"/><Relationship Id="rId880" Type="http://schemas.openxmlformats.org/officeDocument/2006/relationships/hyperlink" Target="https://megamarket.ru/catalog/details/pushka-teplovaya-ballu-bks-3-600001408842_79223/" TargetMode="External"/><Relationship Id="rId1096" Type="http://schemas.openxmlformats.org/officeDocument/2006/relationships/hyperlink" Target="https://wildberries.ru/catalog/143166465/detail.aspx" TargetMode="External"/><Relationship Id="rId119" Type="http://schemas.openxmlformats.org/officeDocument/2006/relationships/hyperlink" Target="https://www.wildberries.ru/catalog/146698948/detail.aspx?targetUrl=SN" TargetMode="External"/><Relationship Id="rId326" Type="http://schemas.openxmlformats.org/officeDocument/2006/relationships/hyperlink" Target="https://ozon.ru/t/Y2A9Yno" TargetMode="External"/><Relationship Id="rId533" Type="http://schemas.openxmlformats.org/officeDocument/2006/relationships/hyperlink" Target="https://wildberries.ru/catalog/32785746/detail.aspx" TargetMode="External"/><Relationship Id="rId978" Type="http://schemas.openxmlformats.org/officeDocument/2006/relationships/hyperlink" Target="https://www.wildberries.ru/catalog/243472510/detail.aspx?targetUrl=SN" TargetMode="External"/><Relationship Id="rId1163" Type="http://schemas.openxmlformats.org/officeDocument/2006/relationships/hyperlink" Target="https://www.wildberries.ru/catalog/189841161/detail.aspx" TargetMode="External"/><Relationship Id="rId1370" Type="http://schemas.openxmlformats.org/officeDocument/2006/relationships/hyperlink" Target="https://wildberries.ru/catalog/237096531/detail.aspx" TargetMode="External"/><Relationship Id="rId740" Type="http://schemas.openxmlformats.org/officeDocument/2006/relationships/hyperlink" Target="https://ozon.ru/t/qAK4AVY" TargetMode="External"/><Relationship Id="rId838" Type="http://schemas.openxmlformats.org/officeDocument/2006/relationships/hyperlink" Target="https://www.wildberries.ru/catalog/167314362/detail.aspx" TargetMode="External"/><Relationship Id="rId1023" Type="http://schemas.openxmlformats.org/officeDocument/2006/relationships/hyperlink" Target="https://wildberries.ru/catalog/262431554/detail.aspx" TargetMode="External"/><Relationship Id="rId1468" Type="http://schemas.openxmlformats.org/officeDocument/2006/relationships/hyperlink" Target="https://wildberries.ru/catalog/252683503/detail.aspx" TargetMode="External"/><Relationship Id="rId1675" Type="http://schemas.openxmlformats.org/officeDocument/2006/relationships/hyperlink" Target="https://www.wildberries.ru/catalog/144352616/detail.aspx" TargetMode="External"/><Relationship Id="rId600" Type="http://schemas.openxmlformats.org/officeDocument/2006/relationships/hyperlink" Target="https://www.wildberries.ru/catalog/219581926/detail.aspx" TargetMode="External"/><Relationship Id="rId1230" Type="http://schemas.openxmlformats.org/officeDocument/2006/relationships/hyperlink" Target="https://www.wildberries.ru/catalog/183056190/detail.aspx?size=301799347" TargetMode="External"/><Relationship Id="rId1328" Type="http://schemas.openxmlformats.org/officeDocument/2006/relationships/hyperlink" Target="https://ozon.ru/t/LNLZzr7" TargetMode="External"/><Relationship Id="rId1535" Type="http://schemas.openxmlformats.org/officeDocument/2006/relationships/hyperlink" Target="https://www.wildberries.ru/catalog/180525409/detail.aspx?size=298344896" TargetMode="External"/><Relationship Id="rId905" Type="http://schemas.openxmlformats.org/officeDocument/2006/relationships/hyperlink" Target="https://www.wildberries.ru/catalog/224596134/detail.aspx" TargetMode="External"/><Relationship Id="rId1742" Type="http://schemas.openxmlformats.org/officeDocument/2006/relationships/hyperlink" Target="https://www.ozon.ru/product/ekstrakt-na-tsvete-sireni-100-naturalnyy-produkt-920117149/" TargetMode="External"/><Relationship Id="rId34" Type="http://schemas.openxmlformats.org/officeDocument/2006/relationships/hyperlink" Target="https://ozon.ru/t/pGL727D" TargetMode="External"/><Relationship Id="rId1602" Type="http://schemas.openxmlformats.org/officeDocument/2006/relationships/hyperlink" Target="https://wildberries.ru/catalog/133771779/detail.aspx" TargetMode="External"/><Relationship Id="rId183" Type="http://schemas.openxmlformats.org/officeDocument/2006/relationships/hyperlink" Target="https://www.wildberries.ru/catalog/9890738/detail.aspx?targetUrl=SN" TargetMode="External"/><Relationship Id="rId390" Type="http://schemas.openxmlformats.org/officeDocument/2006/relationships/hyperlink" Target="https://ozon.ru/t/8Eander" TargetMode="External"/><Relationship Id="rId250" Type="http://schemas.openxmlformats.org/officeDocument/2006/relationships/hyperlink" Target="https://ozon.ru/t/NVG9G1" TargetMode="External"/><Relationship Id="rId488" Type="http://schemas.openxmlformats.org/officeDocument/2006/relationships/hyperlink" Target="https://rusichspb.ru/tproduct/292052537281-nabor-voina-ozverin" TargetMode="External"/><Relationship Id="rId695" Type="http://schemas.openxmlformats.org/officeDocument/2006/relationships/hyperlink" Target="https://www.wildberries.ru/catalog/83634472/detail.aspx" TargetMode="External"/><Relationship Id="rId110" Type="http://schemas.openxmlformats.org/officeDocument/2006/relationships/hyperlink" Target="https://www.wildberries.ru/catalog/202339773/detail.aspx?targetUrl=SN" TargetMode="External"/><Relationship Id="rId348" Type="http://schemas.openxmlformats.org/officeDocument/2006/relationships/hyperlink" Target="https://www.wildberries.ru/catalog/139992637/detail.aspx?targetUrl=SN" TargetMode="External"/><Relationship Id="rId555" Type="http://schemas.openxmlformats.org/officeDocument/2006/relationships/hyperlink" Target="https://www.wildberries.ru/catalog/165873288/detail.aspx" TargetMode="External"/><Relationship Id="rId762" Type="http://schemas.openxmlformats.org/officeDocument/2006/relationships/hyperlink" Target="https://wildberries.ru/catalog/196775194/detail.aspx" TargetMode="External"/><Relationship Id="rId1185" Type="http://schemas.openxmlformats.org/officeDocument/2006/relationships/hyperlink" Target="https://www.wildberries.ru/catalog/259535326/detail.aspx?size=403561889" TargetMode="External"/><Relationship Id="rId1392" Type="http://schemas.openxmlformats.org/officeDocument/2006/relationships/hyperlink" Target="https://www.wildberries.ru/catalog/242650306/detail.aspx?targetUrl=GP&amp;size=380932438" TargetMode="External"/><Relationship Id="rId208" Type="http://schemas.openxmlformats.org/officeDocument/2006/relationships/hyperlink" Target="https://ozon.ru/t/397porg" TargetMode="External"/><Relationship Id="rId415" Type="http://schemas.openxmlformats.org/officeDocument/2006/relationships/hyperlink" Target="https://www.wildberries.ru/catalog/213007503/detail.aspx" TargetMode="External"/><Relationship Id="rId622" Type="http://schemas.openxmlformats.org/officeDocument/2006/relationships/hyperlink" Target="https://ozon.ru/t/BKMoPyQ" TargetMode="External"/><Relationship Id="rId1045" Type="http://schemas.openxmlformats.org/officeDocument/2006/relationships/hyperlink" Target="https://www.wildberries.ru/catalog/207919169/detail.aspx?targetUrl=SN" TargetMode="External"/><Relationship Id="rId1252" Type="http://schemas.openxmlformats.org/officeDocument/2006/relationships/hyperlink" Target="https://wildberries.ru/catalog/177349926/detail.aspx" TargetMode="External"/><Relationship Id="rId1697" Type="http://schemas.openxmlformats.org/officeDocument/2006/relationships/hyperlink" Target="https://www.wildberries.ru/catalog/172309898/detail.aspx?size=332582489" TargetMode="External"/><Relationship Id="rId927" Type="http://schemas.openxmlformats.org/officeDocument/2006/relationships/hyperlink" Target="https://wildberries.ru/catalog/48846725/detail.aspx" TargetMode="External"/><Relationship Id="rId1112" Type="http://schemas.openxmlformats.org/officeDocument/2006/relationships/hyperlink" Target="https://wildberries.ru/catalog/215829442/detail.aspx" TargetMode="External"/><Relationship Id="rId1557" Type="http://schemas.openxmlformats.org/officeDocument/2006/relationships/hyperlink" Target="https://wildberries.ru/catalog/196146840/detail.aspx" TargetMode="External"/><Relationship Id="rId1764" Type="http://schemas.openxmlformats.org/officeDocument/2006/relationships/hyperlink" Target="https://www.wildberries.ru/catalog/30989710/detail.aspx" TargetMode="External"/><Relationship Id="rId56" Type="http://schemas.openxmlformats.org/officeDocument/2006/relationships/hyperlink" Target="https://ozon.ru/t/q7ajlVZ" TargetMode="External"/><Relationship Id="rId1417" Type="http://schemas.openxmlformats.org/officeDocument/2006/relationships/hyperlink" Target="https://wildberries.ru/catalog/179111723/detail.aspx" TargetMode="External"/><Relationship Id="rId1624" Type="http://schemas.openxmlformats.org/officeDocument/2006/relationships/hyperlink" Target="https://www.wildberries.ru/catalog/207533776/detail.aspx" TargetMode="External"/><Relationship Id="rId272" Type="http://schemas.openxmlformats.org/officeDocument/2006/relationships/hyperlink" Target="https://notatorg.ru/detyam-k-paskhe-detskie-prazdniki-stikhi-pesni-zagadki" TargetMode="External"/><Relationship Id="rId577" Type="http://schemas.openxmlformats.org/officeDocument/2006/relationships/hyperlink" Target="https://www.wildberries.ru/catalog/113402302/detail.aspx?targetUrl=SN" TargetMode="External"/><Relationship Id="rId132" Type="http://schemas.openxmlformats.org/officeDocument/2006/relationships/hyperlink" Target="https://ozon.ru/t/bb1L30y" TargetMode="External"/><Relationship Id="rId784" Type="http://schemas.openxmlformats.org/officeDocument/2006/relationships/hyperlink" Target="https://www.chitai-gorod.ru/product/zaychik-seva-delitsya-s-druzyami-poleznye-skazki-2861990" TargetMode="External"/><Relationship Id="rId991" Type="http://schemas.openxmlformats.org/officeDocument/2006/relationships/hyperlink" Target="https://ozon.ru/t/yakzm7m" TargetMode="External"/><Relationship Id="rId1067" Type="http://schemas.openxmlformats.org/officeDocument/2006/relationships/hyperlink" Target="https://ozon.ru/t/Q04DlOy" TargetMode="External"/><Relationship Id="rId437" Type="http://schemas.openxmlformats.org/officeDocument/2006/relationships/hyperlink" Target="https://wildberries.ru/catalog/173001095/detail.aspx" TargetMode="External"/><Relationship Id="rId644" Type="http://schemas.openxmlformats.org/officeDocument/2006/relationships/hyperlink" Target="https://wildberries.ru/catalog/225897272/detail.aspx" TargetMode="External"/><Relationship Id="rId851" Type="http://schemas.openxmlformats.org/officeDocument/2006/relationships/hyperlink" Target="https://wildberries.ru/catalog/219772018/detail.aspx" TargetMode="External"/><Relationship Id="rId1274" Type="http://schemas.openxmlformats.org/officeDocument/2006/relationships/hyperlink" Target="https://ozon.ru/t/4p6NdDa" TargetMode="External"/><Relationship Id="rId1481" Type="http://schemas.openxmlformats.org/officeDocument/2006/relationships/hyperlink" Target="https://wildberries.ru/catalog/251631388/detail.aspx" TargetMode="External"/><Relationship Id="rId1579" Type="http://schemas.openxmlformats.org/officeDocument/2006/relationships/hyperlink" Target="https://wildberries.ru/catalog/207456560/detail.aspx" TargetMode="External"/><Relationship Id="rId504" Type="http://schemas.openxmlformats.org/officeDocument/2006/relationships/hyperlink" Target="https://wildberries.ru/catalog/191546358/detail.aspx" TargetMode="External"/><Relationship Id="rId711" Type="http://schemas.openxmlformats.org/officeDocument/2006/relationships/hyperlink" Target="https://www.wildberries.ru/catalog/154593027/detail.aspx?targetUrl=MS&amp;size=258159870\" TargetMode="External"/><Relationship Id="rId949" Type="http://schemas.openxmlformats.org/officeDocument/2006/relationships/hyperlink" Target="https://ozon.ru/t/ZnNpZzV" TargetMode="External"/><Relationship Id="rId1134" Type="http://schemas.openxmlformats.org/officeDocument/2006/relationships/hyperlink" Target="https://www.wildberries.ru/catalog/274797314/detail.aspx" TargetMode="External"/><Relationship Id="rId1341" Type="http://schemas.openxmlformats.org/officeDocument/2006/relationships/hyperlink" Target="https://www.wildberries.ru/catalog/212229059/detail.aspx" TargetMode="External"/><Relationship Id="rId1786" Type="http://schemas.openxmlformats.org/officeDocument/2006/relationships/hyperlink" Target="https://www.wildberries.ru/catalog/17974338/detail.aspx?size=49263700" TargetMode="External"/><Relationship Id="rId78" Type="http://schemas.openxmlformats.org/officeDocument/2006/relationships/hyperlink" Target="https://www.wildberries.ru/catalog/190319088/detail.aspx?size=311264954" TargetMode="External"/><Relationship Id="rId809" Type="http://schemas.openxmlformats.org/officeDocument/2006/relationships/hyperlink" Target="https://wildberries.ru/catalog/192113574/detail.aspx" TargetMode="External"/><Relationship Id="rId1201" Type="http://schemas.openxmlformats.org/officeDocument/2006/relationships/hyperlink" Target="https://wildberries.ru/catalog/168643323/detail.aspx" TargetMode="External"/><Relationship Id="rId1439" Type="http://schemas.openxmlformats.org/officeDocument/2006/relationships/hyperlink" Target="https://wildberries.ru/catalog/279648676/detail.aspx" TargetMode="External"/><Relationship Id="rId1646" Type="http://schemas.openxmlformats.org/officeDocument/2006/relationships/hyperlink" Target="https://wildberries.ru/catalog/26019766/detail.aspx" TargetMode="External"/><Relationship Id="rId1506" Type="http://schemas.openxmlformats.org/officeDocument/2006/relationships/hyperlink" Target="https://wildberries.ru/catalog/146774188/detail.aspx" TargetMode="External"/><Relationship Id="rId1713" Type="http://schemas.openxmlformats.org/officeDocument/2006/relationships/hyperlink" Target="https://simvolik.ru/catalog/suveniry-podarki/paskha/nabor-dlya-sozdaniya-paskhalnoy-otkrytki-yaytso-/" TargetMode="External"/><Relationship Id="rId294" Type="http://schemas.openxmlformats.org/officeDocument/2006/relationships/hyperlink" Target="https://www.wildberries.ru/catalog/123045992/detail.aspx?targetUrl=SN" TargetMode="External"/><Relationship Id="rId154" Type="http://schemas.openxmlformats.org/officeDocument/2006/relationships/hyperlink" Target="https://www.wildberries.ru/catalog/156018464/detail.aspx?targetUrl=SN" TargetMode="External"/><Relationship Id="rId361" Type="http://schemas.openxmlformats.org/officeDocument/2006/relationships/hyperlink" Target="https://ozon.ru/t/zVlwdNq" TargetMode="External"/><Relationship Id="rId599" Type="http://schemas.openxmlformats.org/officeDocument/2006/relationships/hyperlink" Target="https://ozon.ru/t/aea8XQZ" TargetMode="External"/><Relationship Id="rId459" Type="http://schemas.openxmlformats.org/officeDocument/2006/relationships/hyperlink" Target="https://wildberries.ru/catalog/220471752/detail.aspx" TargetMode="External"/><Relationship Id="rId666" Type="http://schemas.openxmlformats.org/officeDocument/2006/relationships/hyperlink" Target="https://www.wildberries.ru/catalog/230292681/detail.aspx?size=363722779" TargetMode="External"/><Relationship Id="rId873" Type="http://schemas.openxmlformats.org/officeDocument/2006/relationships/hyperlink" Target="https://wildberries.ru/catalog/210895313/detail.aspx" TargetMode="External"/><Relationship Id="rId1089" Type="http://schemas.openxmlformats.org/officeDocument/2006/relationships/hyperlink" Target="https://wildberries.ru/catalog/17220845/detail.aspx" TargetMode="External"/><Relationship Id="rId1296" Type="http://schemas.openxmlformats.org/officeDocument/2006/relationships/hyperlink" Target="https://wildberries.ru/catalog/297351462/detail.aspx" TargetMode="External"/><Relationship Id="rId221" Type="http://schemas.openxmlformats.org/officeDocument/2006/relationships/hyperlink" Target="https://ozon.ru/t/rPD4dyq" TargetMode="External"/><Relationship Id="rId319" Type="http://schemas.openxmlformats.org/officeDocument/2006/relationships/hyperlink" Target="https://www.avito.ru/arhangelsk/sport_i_otdyh/roliki_detskie_2561553836" TargetMode="External"/><Relationship Id="rId526" Type="http://schemas.openxmlformats.org/officeDocument/2006/relationships/hyperlink" Target="https://www.wildberries.ru/catalog/170145023/detail.aspx" TargetMode="External"/><Relationship Id="rId1156" Type="http://schemas.openxmlformats.org/officeDocument/2006/relationships/hyperlink" Target="https://wildberries.ru/catalog/179163338/detail.aspx" TargetMode="External"/><Relationship Id="rId1363" Type="http://schemas.openxmlformats.org/officeDocument/2006/relationships/hyperlink" Target="https://www.wildberries.ru/catalog/98756764/detail.aspx?size=156086368" TargetMode="External"/><Relationship Id="rId733" Type="http://schemas.openxmlformats.org/officeDocument/2006/relationships/hyperlink" Target="https://www.wildberries.ru/catalog/235361900/detail.aspx?size=370899790" TargetMode="External"/><Relationship Id="rId940" Type="http://schemas.openxmlformats.org/officeDocument/2006/relationships/hyperlink" Target="https://www.wildberries.ru/catalog/265008365/detail.aspx?size=411304962" TargetMode="External"/><Relationship Id="rId1016" Type="http://schemas.openxmlformats.org/officeDocument/2006/relationships/hyperlink" Target="https://wildberries.ru/catalog/202115847/detail.aspx" TargetMode="External"/><Relationship Id="rId1570" Type="http://schemas.openxmlformats.org/officeDocument/2006/relationships/hyperlink" Target="https://wildberries.ru/catalog/231817838/detail.aspx" TargetMode="External"/><Relationship Id="rId1668" Type="http://schemas.openxmlformats.org/officeDocument/2006/relationships/hyperlink" Target="https://www.wildberries.ru/catalog/244888063/detail.aspx" TargetMode="External"/><Relationship Id="rId800" Type="http://schemas.openxmlformats.org/officeDocument/2006/relationships/hyperlink" Target="https://www.wildberries.ru/catalog/238291818/detail.aspx?targetUrl=SN" TargetMode="External"/><Relationship Id="rId1223" Type="http://schemas.openxmlformats.org/officeDocument/2006/relationships/hyperlink" Target="https://ozon.ru/t/2XZy9L9" TargetMode="External"/><Relationship Id="rId1430" Type="http://schemas.openxmlformats.org/officeDocument/2006/relationships/hyperlink" Target="https://ozon.ru/t/BY4y0J1" TargetMode="External"/><Relationship Id="rId1528" Type="http://schemas.openxmlformats.org/officeDocument/2006/relationships/hyperlink" Target="https://wildberries.ru/catalog/154757715/detail.aspx" TargetMode="External"/><Relationship Id="rId1735" Type="http://schemas.openxmlformats.org/officeDocument/2006/relationships/hyperlink" Target="https://wildberries.ru/catalog/215923371/detail.aspx" TargetMode="External"/><Relationship Id="rId27" Type="http://schemas.openxmlformats.org/officeDocument/2006/relationships/hyperlink" Target="https://www.wildberries.ru/catalog/115002412/detail.aspx" TargetMode="External"/><Relationship Id="rId1802" Type="http://schemas.openxmlformats.org/officeDocument/2006/relationships/hyperlink" Target="https://wildberries.ru/catalog/319597201/detail.aspx" TargetMode="External"/><Relationship Id="rId176" Type="http://schemas.openxmlformats.org/officeDocument/2006/relationships/hyperlink" Target="https://ozon.ru/t/26By0GV" TargetMode="External"/><Relationship Id="rId383" Type="http://schemas.openxmlformats.org/officeDocument/2006/relationships/hyperlink" Target="https://wildberries.ru/catalog/216105569/detail.aspx" TargetMode="External"/><Relationship Id="rId590" Type="http://schemas.openxmlformats.org/officeDocument/2006/relationships/hyperlink" Target="https://www.wildberries.ru/catalog/219653908/detail.aspx" TargetMode="External"/><Relationship Id="rId243" Type="http://schemas.openxmlformats.org/officeDocument/2006/relationships/hyperlink" Target="https://ozon.ru/t/a288Bp" TargetMode="External"/><Relationship Id="rId450" Type="http://schemas.openxmlformats.org/officeDocument/2006/relationships/hyperlink" Target="https://ozon.ru/t/LdDN0Bg" TargetMode="External"/><Relationship Id="rId688" Type="http://schemas.openxmlformats.org/officeDocument/2006/relationships/hyperlink" Target="https://wildberries.ru/catalog/229414401/detail.aspx" TargetMode="External"/><Relationship Id="rId895" Type="http://schemas.openxmlformats.org/officeDocument/2006/relationships/hyperlink" Target="https://wildberries.ru/catalog/187857416/detail.aspx" TargetMode="External"/><Relationship Id="rId1080" Type="http://schemas.openxmlformats.org/officeDocument/2006/relationships/hyperlink" Target="https://www.wildberries.ru/catalog/183655553/detail.aspx?size=302718166" TargetMode="External"/><Relationship Id="rId103" Type="http://schemas.openxmlformats.org/officeDocument/2006/relationships/hyperlink" Target="https://www.wildberries.ru/catalog/214203684/detail.aspx?targetUrl=SG" TargetMode="External"/><Relationship Id="rId310" Type="http://schemas.openxmlformats.org/officeDocument/2006/relationships/hyperlink" Target="https://ozon.ru/t/gbA2JR" TargetMode="External"/><Relationship Id="rId548" Type="http://schemas.openxmlformats.org/officeDocument/2006/relationships/hyperlink" Target="https://wildberries.ru/catalog/209294110/detail.aspx" TargetMode="External"/><Relationship Id="rId755" Type="http://schemas.openxmlformats.org/officeDocument/2006/relationships/hyperlink" Target="https://www.wildberries.ru/catalog/189364747/detail.aspx" TargetMode="External"/><Relationship Id="rId962" Type="http://schemas.openxmlformats.org/officeDocument/2006/relationships/hyperlink" Target="https://www.wildberries.ru/catalog/210881437/detail.aspx?targetUrl=SN" TargetMode="External"/><Relationship Id="rId1178" Type="http://schemas.openxmlformats.org/officeDocument/2006/relationships/hyperlink" Target="https://www.avito.ru/sankt-peterburg/zapchasti_i_aksessuary/steklo_dveri_peredney_pravoy_honda_civic_2069965902" TargetMode="External"/><Relationship Id="rId1385" Type="http://schemas.openxmlformats.org/officeDocument/2006/relationships/hyperlink" Target="https://www.wildberries.ru/catalog/167927840/detail.aspx?size=279214728" TargetMode="External"/><Relationship Id="rId1592" Type="http://schemas.openxmlformats.org/officeDocument/2006/relationships/hyperlink" Target="https://ozon.ru/t/L5OjGw2" TargetMode="External"/><Relationship Id="rId91" Type="http://schemas.openxmlformats.org/officeDocument/2006/relationships/hyperlink" Target="https://ozon.ru/t/l3kjqPJ" TargetMode="External"/><Relationship Id="rId408" Type="http://schemas.openxmlformats.org/officeDocument/2006/relationships/hyperlink" Target="https://www.wildberries.ru/catalog/163018387/detail.aspx" TargetMode="External"/><Relationship Id="rId615" Type="http://schemas.openxmlformats.org/officeDocument/2006/relationships/hyperlink" Target="https://ozon.ru/t/VPQboQ7" TargetMode="External"/><Relationship Id="rId822" Type="http://schemas.openxmlformats.org/officeDocument/2006/relationships/hyperlink" Target="https://ozon.ru/t/Qxb9Y1L" TargetMode="External"/><Relationship Id="rId1038" Type="http://schemas.openxmlformats.org/officeDocument/2006/relationships/hyperlink" Target="https://ozon.ru/t/J6D2n8m" TargetMode="External"/><Relationship Id="rId1245" Type="http://schemas.openxmlformats.org/officeDocument/2006/relationships/hyperlink" Target="https://wildberries.ru/catalog/210893485/detail.aspx" TargetMode="External"/><Relationship Id="rId1452" Type="http://schemas.openxmlformats.org/officeDocument/2006/relationships/hyperlink" Target="https://www.wildberries.ru/catalog/18921190/detail.aspx?targetUrl=SG" TargetMode="External"/><Relationship Id="rId1105" Type="http://schemas.openxmlformats.org/officeDocument/2006/relationships/hyperlink" Target="https://ozon.ru/t/Dy4LpdM" TargetMode="External"/><Relationship Id="rId1312" Type="http://schemas.openxmlformats.org/officeDocument/2006/relationships/hyperlink" Target="https://zyorna.ru/catalog/item/nabor-myagkih-magnitov-s-rozhdestvom-hristovym-deti-i-snegovik-babushka-s-vnukom-98018" TargetMode="External"/><Relationship Id="rId1757" Type="http://schemas.openxmlformats.org/officeDocument/2006/relationships/hyperlink" Target="https://www.wildberries.ru/catalog/189364747/detail.aspx" TargetMode="External"/><Relationship Id="rId49" Type="http://schemas.openxmlformats.org/officeDocument/2006/relationships/hyperlink" Target="https://ozon.ru/t/NP6yLWY" TargetMode="External"/><Relationship Id="rId1617" Type="http://schemas.openxmlformats.org/officeDocument/2006/relationships/hyperlink" Target="https://wildberries.ru/catalog/287466657/detail.aspx" TargetMode="External"/><Relationship Id="rId1824" Type="http://schemas.openxmlformats.org/officeDocument/2006/relationships/hyperlink" Target="https://www.wildberries.ru/catalog/243260511/detail.aspx" TargetMode="External"/><Relationship Id="rId198" Type="http://schemas.openxmlformats.org/officeDocument/2006/relationships/hyperlink" Target="https://ozon.ru/t/39jNJZg" TargetMode="External"/><Relationship Id="rId265" Type="http://schemas.openxmlformats.org/officeDocument/2006/relationships/hyperlink" Target="https://www.wildberries.ru/catalog/219300200/detail.aspx?targetUrl=SN" TargetMode="External"/><Relationship Id="rId472" Type="http://schemas.openxmlformats.org/officeDocument/2006/relationships/hyperlink" Target="https://ozon.ru/t/BkdlwPM" TargetMode="External"/><Relationship Id="rId125" Type="http://schemas.openxmlformats.org/officeDocument/2006/relationships/hyperlink" Target="https://ozon.ru/t/5jzDreN" TargetMode="External"/><Relationship Id="rId332" Type="http://schemas.openxmlformats.org/officeDocument/2006/relationships/hyperlink" Target="https://www.wildberries.ru/catalog/193579367/detail.aspx?targetUrl=SN" TargetMode="External"/><Relationship Id="rId777" Type="http://schemas.openxmlformats.org/officeDocument/2006/relationships/hyperlink" Target="https://www.ozon.ru/product/rozhdestvo-hristovo-1429926912/" TargetMode="External"/><Relationship Id="rId984" Type="http://schemas.openxmlformats.org/officeDocument/2006/relationships/hyperlink" Target="https://ozon.ru/t/mKeV9B" TargetMode="External"/><Relationship Id="rId637" Type="http://schemas.openxmlformats.org/officeDocument/2006/relationships/hyperlink" Target="https://www.avito.ru/volgodonsk/zapchasti_i_aksessuary/bagazhnik_na_kryshu_vaz_2107_4085980076" TargetMode="External"/><Relationship Id="rId844" Type="http://schemas.openxmlformats.org/officeDocument/2006/relationships/hyperlink" Target="https://www.wildberries.ru/catalog/90357363/detail.aspx?size=145511782" TargetMode="External"/><Relationship Id="rId1267" Type="http://schemas.openxmlformats.org/officeDocument/2006/relationships/hyperlink" Target="https://wildberries.ru/catalog/103582298/detail.aspx" TargetMode="External"/><Relationship Id="rId1474" Type="http://schemas.openxmlformats.org/officeDocument/2006/relationships/hyperlink" Target="https://www.wildberries.ru/catalog/270338410/detail.aspx?size=418040859" TargetMode="External"/><Relationship Id="rId1681" Type="http://schemas.openxmlformats.org/officeDocument/2006/relationships/hyperlink" Target="https://www.wildberries.ru/catalog/292196830/detail.aspx?size=445519754" TargetMode="External"/><Relationship Id="rId704" Type="http://schemas.openxmlformats.org/officeDocument/2006/relationships/hyperlink" Target="https://ozon.ru/t/rLAXGK3" TargetMode="External"/><Relationship Id="rId911" Type="http://schemas.openxmlformats.org/officeDocument/2006/relationships/hyperlink" Target="https://www.wildberries.ru/catalog/238491956/detail.aspx" TargetMode="External"/><Relationship Id="rId1127" Type="http://schemas.openxmlformats.org/officeDocument/2006/relationships/hyperlink" Target="https://ozon.ru/t/jONzJPG" TargetMode="External"/><Relationship Id="rId1334" Type="http://schemas.openxmlformats.org/officeDocument/2006/relationships/hyperlink" Target="https://www.wildberries.ru/catalog/183376238/detail.aspx?size=302239255" TargetMode="External"/><Relationship Id="rId1541" Type="http://schemas.openxmlformats.org/officeDocument/2006/relationships/hyperlink" Target="https://wildberries.ru/catalog/155256553/detail.aspx" TargetMode="External"/><Relationship Id="rId1779" Type="http://schemas.openxmlformats.org/officeDocument/2006/relationships/hyperlink" Target="https://ozon.ru/t/CKr7HI0" TargetMode="External"/><Relationship Id="rId40" Type="http://schemas.openxmlformats.org/officeDocument/2006/relationships/hyperlink" Target="https://ozon.ru/t/ZkGMjgq" TargetMode="External"/><Relationship Id="rId1401" Type="http://schemas.openxmlformats.org/officeDocument/2006/relationships/hyperlink" Target="https://www.wildberries.ru/catalog/247883871/detail.aspx?targetUrl=MS&amp;size=388271237" TargetMode="External"/><Relationship Id="rId1639" Type="http://schemas.openxmlformats.org/officeDocument/2006/relationships/hyperlink" Target="https://wildberries.ru/catalog/325791633/detail.aspx" TargetMode="External"/><Relationship Id="rId1706" Type="http://schemas.openxmlformats.org/officeDocument/2006/relationships/hyperlink" Target="https://ozon.ru/t/gwdQ2MB" TargetMode="External"/><Relationship Id="rId287" Type="http://schemas.openxmlformats.org/officeDocument/2006/relationships/hyperlink" Target="https://www.wildberries.ru/catalog/10025859/detail.aspx?targetUrl=SN" TargetMode="External"/><Relationship Id="rId494" Type="http://schemas.openxmlformats.org/officeDocument/2006/relationships/hyperlink" Target="https://ozon.ru/t/KKwK06L" TargetMode="External"/><Relationship Id="rId147" Type="http://schemas.openxmlformats.org/officeDocument/2006/relationships/hyperlink" Target="https://market.yandex.ru/cc/aK6T9ME" TargetMode="External"/><Relationship Id="rId354" Type="http://schemas.openxmlformats.org/officeDocument/2006/relationships/hyperlink" Target="https://ozon.ru/t/VgDN7eb" TargetMode="External"/><Relationship Id="rId799" Type="http://schemas.openxmlformats.org/officeDocument/2006/relationships/hyperlink" Target="https://lampada.su/dzhinoriya-malhaz.-vasha-zhizn-eto-moya-zhizn-poucheniya-startsa-gavriila-urgebadze-i-vospominaniya-o-nem/" TargetMode="External"/><Relationship Id="rId1191" Type="http://schemas.openxmlformats.org/officeDocument/2006/relationships/hyperlink" Target="https://ozon.ru/t/Ybydqey" TargetMode="External"/><Relationship Id="rId561" Type="http://schemas.openxmlformats.org/officeDocument/2006/relationships/hyperlink" Target="https://wildberries.ru/catalog/115942671/detail.aspx" TargetMode="External"/><Relationship Id="rId659" Type="http://schemas.openxmlformats.org/officeDocument/2006/relationships/hyperlink" Target="https://wildberries.ru/catalog/245590340/detail.aspx" TargetMode="External"/><Relationship Id="rId866" Type="http://schemas.openxmlformats.org/officeDocument/2006/relationships/hyperlink" Target="https://ozon.ru/t/mq7agKe" TargetMode="External"/><Relationship Id="rId1289" Type="http://schemas.openxmlformats.org/officeDocument/2006/relationships/hyperlink" Target="https://www.wildberries.ru/catalog/202521597/detail.aspx" TargetMode="External"/><Relationship Id="rId1496" Type="http://schemas.openxmlformats.org/officeDocument/2006/relationships/hyperlink" Target="https://wildberries.ru/catalog/150000713/detail.aspx" TargetMode="External"/><Relationship Id="rId214" Type="http://schemas.openxmlformats.org/officeDocument/2006/relationships/hyperlink" Target="https://ozon.ru/t/l3nGdpR" TargetMode="External"/><Relationship Id="rId421" Type="http://schemas.openxmlformats.org/officeDocument/2006/relationships/hyperlink" Target="https://www.wildberries.ru/catalog/168391197/detail.aspx" TargetMode="External"/><Relationship Id="rId519" Type="http://schemas.openxmlformats.org/officeDocument/2006/relationships/hyperlink" Target="https://www.wildberries.ru/catalog/4231393/detail.aspx?targetUrl=SN" TargetMode="External"/><Relationship Id="rId1051" Type="http://schemas.openxmlformats.org/officeDocument/2006/relationships/hyperlink" Target="https://www.wildberries.ru/catalog/7650224/detail.aspx" TargetMode="External"/><Relationship Id="rId1149" Type="http://schemas.openxmlformats.org/officeDocument/2006/relationships/hyperlink" Target="https://www.wildberries.ru/catalog/110725139/detail.aspx?size=200915069" TargetMode="External"/><Relationship Id="rId1356" Type="http://schemas.openxmlformats.org/officeDocument/2006/relationships/hyperlink" Target="https://wildberries.ru/catalog/52008648/detail.aspx" TargetMode="External"/><Relationship Id="rId726" Type="http://schemas.openxmlformats.org/officeDocument/2006/relationships/hyperlink" Target="https://ozon.ru/t/grRX2Kj" TargetMode="External"/><Relationship Id="rId933" Type="http://schemas.openxmlformats.org/officeDocument/2006/relationships/hyperlink" Target="https://wildberries.ru/catalog/48988097/detail.aspx" TargetMode="External"/><Relationship Id="rId1009" Type="http://schemas.openxmlformats.org/officeDocument/2006/relationships/hyperlink" Target="https://wildberries.ru/catalog/247657163/detail.aspx" TargetMode="External"/><Relationship Id="rId1563" Type="http://schemas.openxmlformats.org/officeDocument/2006/relationships/hyperlink" Target="https://wildberries.ru/catalog/309901974/detail.aspx" TargetMode="External"/><Relationship Id="rId1770" Type="http://schemas.openxmlformats.org/officeDocument/2006/relationships/hyperlink" Target="https://ozon.ru/t/GNc8BDP" TargetMode="External"/><Relationship Id="rId62" Type="http://schemas.openxmlformats.org/officeDocument/2006/relationships/hyperlink" Target="https://ozon.ru/t/26KZnyq" TargetMode="External"/><Relationship Id="rId1216" Type="http://schemas.openxmlformats.org/officeDocument/2006/relationships/hyperlink" Target="https://ozon.ru/t/N64zgO" TargetMode="External"/><Relationship Id="rId1423" Type="http://schemas.openxmlformats.org/officeDocument/2006/relationships/hyperlink" Target="https://www.wildberries.ru/catalog/257276855/detail.aspx?size=400612213" TargetMode="External"/><Relationship Id="rId1630" Type="http://schemas.openxmlformats.org/officeDocument/2006/relationships/hyperlink" Target="https://www.wildberries.ru/catalog/249915401/detail.aspx" TargetMode="External"/><Relationship Id="rId1728" Type="http://schemas.openxmlformats.org/officeDocument/2006/relationships/hyperlink" Target="https://wildberries.ru/catalog/268161786/detail.aspx" TargetMode="External"/><Relationship Id="rId169" Type="http://schemas.openxmlformats.org/officeDocument/2006/relationships/hyperlink" Target="https://www.wildberries.ru/catalog/100076915/detail.aspx?targetUrl=SN" TargetMode="External"/><Relationship Id="rId376" Type="http://schemas.openxmlformats.org/officeDocument/2006/relationships/hyperlink" Target="https://wildberries.ru/catalog/198887056/detail.aspx" TargetMode="External"/><Relationship Id="rId583" Type="http://schemas.openxmlformats.org/officeDocument/2006/relationships/hyperlink" Target="https://www.wildberries.ru/catalog/170583388/detail.aspx" TargetMode="External"/><Relationship Id="rId790" Type="http://schemas.openxmlformats.org/officeDocument/2006/relationships/hyperlink" Target="https://www.wildberries.ru/catalog/155423633/detail.aspx?targetUrl=SN" TargetMode="External"/><Relationship Id="rId4" Type="http://schemas.openxmlformats.org/officeDocument/2006/relationships/hyperlink" Target="https://www.wildberries.ru/catalog/48995102/detail.aspx" TargetMode="External"/><Relationship Id="rId236" Type="http://schemas.openxmlformats.org/officeDocument/2006/relationships/hyperlink" Target="https://ozon.ru/t/MBRA08" TargetMode="External"/><Relationship Id="rId443" Type="http://schemas.openxmlformats.org/officeDocument/2006/relationships/hyperlink" Target="https://www.wildberries.ru/catalog/137772319/detail.aspx" TargetMode="External"/><Relationship Id="rId650" Type="http://schemas.openxmlformats.org/officeDocument/2006/relationships/hyperlink" Target="https://ozon.ru/t/g0KwAy8" TargetMode="External"/><Relationship Id="rId888" Type="http://schemas.openxmlformats.org/officeDocument/2006/relationships/hyperlink" Target="https://ozon.ru/t/JMPazza" TargetMode="External"/><Relationship Id="rId1073" Type="http://schemas.openxmlformats.org/officeDocument/2006/relationships/hyperlink" Target="https://www.wildberries.ru/catalog/175542861/detail.aspx" TargetMode="External"/><Relationship Id="rId1280" Type="http://schemas.openxmlformats.org/officeDocument/2006/relationships/hyperlink" Target="https://www.wildberries.ru/catalog/223804718/detail.aspx?targetUrl=SN" TargetMode="External"/><Relationship Id="rId303" Type="http://schemas.openxmlformats.org/officeDocument/2006/relationships/hyperlink" Target="https://ozon.ru/t/ZXr6dB" TargetMode="External"/><Relationship Id="rId748" Type="http://schemas.openxmlformats.org/officeDocument/2006/relationships/hyperlink" Target="https://ozon.ru/t/5j99VrR" TargetMode="External"/><Relationship Id="rId955" Type="http://schemas.openxmlformats.org/officeDocument/2006/relationships/hyperlink" Target="https://ozon.ru/t/3my3pBq" TargetMode="External"/><Relationship Id="rId1140" Type="http://schemas.openxmlformats.org/officeDocument/2006/relationships/hyperlink" Target="https://wildberries.ru/catalog/196868746/detail.aspx" TargetMode="External"/><Relationship Id="rId1378" Type="http://schemas.openxmlformats.org/officeDocument/2006/relationships/hyperlink" Target="https://wildberries.ru/catalog/42119854/detail.aspx" TargetMode="External"/><Relationship Id="rId1585" Type="http://schemas.openxmlformats.org/officeDocument/2006/relationships/hyperlink" Target="https://wildberries.ru/catalog/269730576/detail.aspx" TargetMode="External"/><Relationship Id="rId1792" Type="http://schemas.openxmlformats.org/officeDocument/2006/relationships/hyperlink" Target="https://www.wildberries.ru/catalog/166559145/detail.aspx" TargetMode="External"/><Relationship Id="rId84" Type="http://schemas.openxmlformats.org/officeDocument/2006/relationships/hyperlink" Target="https://ozon.ru/t/5j97gyN" TargetMode="External"/><Relationship Id="rId510" Type="http://schemas.openxmlformats.org/officeDocument/2006/relationships/hyperlink" Target="https://ozon.ru/t/3eD54Rz" TargetMode="External"/><Relationship Id="rId608" Type="http://schemas.openxmlformats.org/officeDocument/2006/relationships/hyperlink" Target="https://www.wildberries.ru/catalog/15296787/detail.aspx" TargetMode="External"/><Relationship Id="rId815" Type="http://schemas.openxmlformats.org/officeDocument/2006/relationships/hyperlink" Target="https://wildberries.ru/catalog/225461567/detail.aspx" TargetMode="External"/><Relationship Id="rId1238" Type="http://schemas.openxmlformats.org/officeDocument/2006/relationships/hyperlink" Target="https://ozon.ru/t/eVeaAp" TargetMode="External"/><Relationship Id="rId1445" Type="http://schemas.openxmlformats.org/officeDocument/2006/relationships/hyperlink" Target="https://wildberries.ru/catalog/134581260/detail.aspx" TargetMode="External"/><Relationship Id="rId1652" Type="http://schemas.openxmlformats.org/officeDocument/2006/relationships/hyperlink" Target="https://wildberries.ru/catalog/341571862/detail.aspx" TargetMode="External"/><Relationship Id="rId1000" Type="http://schemas.openxmlformats.org/officeDocument/2006/relationships/hyperlink" Target="https://www.wildberries.ru/catalog/173623939/detail.aspx" TargetMode="External"/><Relationship Id="rId1305" Type="http://schemas.openxmlformats.org/officeDocument/2006/relationships/hyperlink" Target="https://sl.aliexpress.ru/p?key=cvRsGes" TargetMode="External"/><Relationship Id="rId1512" Type="http://schemas.openxmlformats.org/officeDocument/2006/relationships/hyperlink" Target="https://wildberries.ru/catalog/263577905/detail.aspx" TargetMode="External"/><Relationship Id="rId1817" Type="http://schemas.openxmlformats.org/officeDocument/2006/relationships/hyperlink" Target="https://aliexpress.ru/item/1005006097874013.html?sku_id=12000043386453205&amp;spm=a2g2x.productlist.search_results.1.5ca160810sRq3K" TargetMode="External"/><Relationship Id="rId11" Type="http://schemas.openxmlformats.org/officeDocument/2006/relationships/hyperlink" Target="https://www.ozon.ru/product/kora-iz-sosny-pinii-fraktsiya-12-20mm-5litra-plyus-udobrenie-v-podarok-1385554730/?from=share_android&amp;utm_campaign=productpage_link&amp;utm_medium=share_button&amp;utm_source=smm" TargetMode="External"/><Relationship Id="rId398" Type="http://schemas.openxmlformats.org/officeDocument/2006/relationships/hyperlink" Target="https://wildberries.ru/catalog/219087401/detail.aspx" TargetMode="External"/><Relationship Id="rId160" Type="http://schemas.openxmlformats.org/officeDocument/2006/relationships/hyperlink" Target="https://ozon.ru/t/DlVZLJr" TargetMode="External"/><Relationship Id="rId258" Type="http://schemas.openxmlformats.org/officeDocument/2006/relationships/hyperlink" Target="https://ozon.ru/t/8L7MyG" TargetMode="External"/><Relationship Id="rId465" Type="http://schemas.openxmlformats.org/officeDocument/2006/relationships/hyperlink" Target="https://www.wildberries.ru/catalog/219928682/detail.aspx?targetUrl=SN" TargetMode="External"/><Relationship Id="rId672" Type="http://schemas.openxmlformats.org/officeDocument/2006/relationships/hyperlink" Target="https://ozon.ru/t/X84wQeR" TargetMode="External"/><Relationship Id="rId1095" Type="http://schemas.openxmlformats.org/officeDocument/2006/relationships/hyperlink" Target="https://wildberries.ru/catalog/17163175/detail.aspx" TargetMode="External"/><Relationship Id="rId118" Type="http://schemas.openxmlformats.org/officeDocument/2006/relationships/hyperlink" Target="https://www.wildberries.ru/catalog/139248140/detail.aspx?targetUrl=SN" TargetMode="External"/><Relationship Id="rId325" Type="http://schemas.openxmlformats.org/officeDocument/2006/relationships/hyperlink" Target="https://www.wildberries.ru/catalog/215156014/detail.aspx?targetUrl=SN" TargetMode="External"/><Relationship Id="rId532" Type="http://schemas.openxmlformats.org/officeDocument/2006/relationships/hyperlink" Target="https://wildberries.ru/catalog/152178094/detail.aspx" TargetMode="External"/><Relationship Id="rId977" Type="http://schemas.openxmlformats.org/officeDocument/2006/relationships/hyperlink" Target="https://www.wildberries.ru/catalog/96338498/detail.aspx" TargetMode="External"/><Relationship Id="rId1162" Type="http://schemas.openxmlformats.org/officeDocument/2006/relationships/hyperlink" Target="https://www.wildberries.ru/catalog/256359546/detail.aspx" TargetMode="External"/><Relationship Id="rId837" Type="http://schemas.openxmlformats.org/officeDocument/2006/relationships/hyperlink" Target="https://www.wildberries.ru/catalog/223840201/detail.aspx" TargetMode="External"/><Relationship Id="rId1022" Type="http://schemas.openxmlformats.org/officeDocument/2006/relationships/hyperlink" Target="https://wildberries.ru/catalog/246428861/detail.aspx" TargetMode="External"/><Relationship Id="rId1467" Type="http://schemas.openxmlformats.org/officeDocument/2006/relationships/hyperlink" Target="https://wildberries.ru/catalog/248667964/detail.aspx" TargetMode="External"/><Relationship Id="rId1674" Type="http://schemas.openxmlformats.org/officeDocument/2006/relationships/hyperlink" Target="https://ozon.ru/t/NzOzjE6" TargetMode="External"/><Relationship Id="rId904" Type="http://schemas.openxmlformats.org/officeDocument/2006/relationships/hyperlink" Target="https://www.wildberries.ru/catalog/266527569/detail.aspx" TargetMode="External"/><Relationship Id="rId1327" Type="http://schemas.openxmlformats.org/officeDocument/2006/relationships/hyperlink" Target="https://ozon.ru/t/Y0GXewl" TargetMode="External"/><Relationship Id="rId1534" Type="http://schemas.openxmlformats.org/officeDocument/2006/relationships/hyperlink" Target="https://www.wildberries.ru/catalog/215188875/detail.aspx?size=343335519" TargetMode="External"/><Relationship Id="rId1741" Type="http://schemas.openxmlformats.org/officeDocument/2006/relationships/hyperlink" Target="https://www.wildberries.ru/catalog/164435075/detail.aspx" TargetMode="External"/><Relationship Id="rId33" Type="http://schemas.openxmlformats.org/officeDocument/2006/relationships/hyperlink" Target="https://ozon.ru/t/jE1w7rd" TargetMode="External"/><Relationship Id="rId129" Type="http://schemas.openxmlformats.org/officeDocument/2006/relationships/hyperlink" Target="https://ozon.ru/t/PgK7L72" TargetMode="External"/><Relationship Id="rId336" Type="http://schemas.openxmlformats.org/officeDocument/2006/relationships/hyperlink" Target="https://www.wildberries.ru/catalog/26127702/detail.aspx?targetUrl=SN" TargetMode="External"/><Relationship Id="rId543" Type="http://schemas.openxmlformats.org/officeDocument/2006/relationships/hyperlink" Target="https://wildberries.ru/catalog/177398612/detail.aspx" TargetMode="External"/><Relationship Id="rId988" Type="http://schemas.openxmlformats.org/officeDocument/2006/relationships/hyperlink" Target="https://ozon.ru/t/Rvy3XNy" TargetMode="External"/><Relationship Id="rId1173" Type="http://schemas.openxmlformats.org/officeDocument/2006/relationships/hyperlink" Target="https://ozon.ru/t/Z10qYpg" TargetMode="External"/><Relationship Id="rId1380" Type="http://schemas.openxmlformats.org/officeDocument/2006/relationships/hyperlink" Target="https://wildberries.ru/catalog/197999014/detail.aspx" TargetMode="External"/><Relationship Id="rId1601" Type="http://schemas.openxmlformats.org/officeDocument/2006/relationships/hyperlink" Target="https://wildberries.ru/catalog/9828044/detail.aspx" TargetMode="External"/><Relationship Id="rId182" Type="http://schemas.openxmlformats.org/officeDocument/2006/relationships/hyperlink" Target="https://www.wildberries.ru/catalog/7623504/detail.aspx?targetUrl=SN" TargetMode="External"/><Relationship Id="rId403" Type="http://schemas.openxmlformats.org/officeDocument/2006/relationships/hyperlink" Target="https://www.wildberries.ru/catalog/197222278/detail.aspx?targetUrl=SN" TargetMode="External"/><Relationship Id="rId750" Type="http://schemas.openxmlformats.org/officeDocument/2006/relationships/hyperlink" Target="https://ozon.ru/t/NPGdMZJ" TargetMode="External"/><Relationship Id="rId848" Type="http://schemas.openxmlformats.org/officeDocument/2006/relationships/hyperlink" Target="https://wildberries.ru/catalog/248170908/detail.aspx" TargetMode="External"/><Relationship Id="rId1033" Type="http://schemas.openxmlformats.org/officeDocument/2006/relationships/hyperlink" Target="https://www.wildberries.ru/catalog/211542057/detail.aspx?size=338323104" TargetMode="External"/><Relationship Id="rId1478" Type="http://schemas.openxmlformats.org/officeDocument/2006/relationships/hyperlink" Target="https://wildberries.ru/catalog/58280785/detail.aspx" TargetMode="External"/><Relationship Id="rId1685" Type="http://schemas.openxmlformats.org/officeDocument/2006/relationships/hyperlink" Target="https://wildberries.ru/catalog/130723475/detail.aspx" TargetMode="External"/><Relationship Id="rId487" Type="http://schemas.openxmlformats.org/officeDocument/2006/relationships/hyperlink" Target="https://www.wildberries.ru/catalog/211319632/detail.aspx?size=337905444" TargetMode="External"/><Relationship Id="rId610" Type="http://schemas.openxmlformats.org/officeDocument/2006/relationships/hyperlink" Target="https://wildberries.ru/catalog/218735885/detail.aspx" TargetMode="External"/><Relationship Id="rId694" Type="http://schemas.openxmlformats.org/officeDocument/2006/relationships/hyperlink" Target="https://www.wildberries.ru/catalog/155823851/detail.aspx" TargetMode="External"/><Relationship Id="rId708" Type="http://schemas.openxmlformats.org/officeDocument/2006/relationships/hyperlink" Target="https://ozon.ru/t/YK6d2yy" TargetMode="External"/><Relationship Id="rId915" Type="http://schemas.openxmlformats.org/officeDocument/2006/relationships/hyperlink" Target="https://www.wildberries.ru/catalog/163585392/detail.aspx?size=272656225" TargetMode="External"/><Relationship Id="rId1240" Type="http://schemas.openxmlformats.org/officeDocument/2006/relationships/hyperlink" Target="https://ozon.ru/t/ZaxyB8Q" TargetMode="External"/><Relationship Id="rId1338" Type="http://schemas.openxmlformats.org/officeDocument/2006/relationships/hyperlink" Target="https://wildberries.ru/catalog/253841721/detail.aspx" TargetMode="External"/><Relationship Id="rId1545" Type="http://schemas.openxmlformats.org/officeDocument/2006/relationships/hyperlink" Target="https://ozon.ru/t/4Mrk2p8" TargetMode="External"/><Relationship Id="rId347" Type="http://schemas.openxmlformats.org/officeDocument/2006/relationships/hyperlink" Target="https://www.wildberries.ru/catalog/157567978/detail.aspx?targetUrl=SN" TargetMode="External"/><Relationship Id="rId999" Type="http://schemas.openxmlformats.org/officeDocument/2006/relationships/hyperlink" Target="https://www.wildberries.ru/catalog/209050665/detail.aspx" TargetMode="External"/><Relationship Id="rId1100" Type="http://schemas.openxmlformats.org/officeDocument/2006/relationships/hyperlink" Target="https://www.wildberries.ru/catalog/261960310/detail.aspx?size=406966044" TargetMode="External"/><Relationship Id="rId1184" Type="http://schemas.openxmlformats.org/officeDocument/2006/relationships/hyperlink" Target="https://www.wildberries.ru/catalog/246923953/detail.aspx" TargetMode="External"/><Relationship Id="rId1405" Type="http://schemas.openxmlformats.org/officeDocument/2006/relationships/hyperlink" Target="https://ozon.ru/t/29RZy9A" TargetMode="External"/><Relationship Id="rId1752" Type="http://schemas.openxmlformats.org/officeDocument/2006/relationships/hyperlink" Target="https://wildberries.ru/catalog/228289246/detail.aspx" TargetMode="External"/><Relationship Id="rId44" Type="http://schemas.openxmlformats.org/officeDocument/2006/relationships/hyperlink" Target="https://www.wildberries.ru/catalog/110382765/detail.aspx?targetUrl=SN" TargetMode="External"/><Relationship Id="rId554" Type="http://schemas.openxmlformats.org/officeDocument/2006/relationships/hyperlink" Target="https://www.wildberries.ru/catalog/91532603/detail.aspx" TargetMode="External"/><Relationship Id="rId761" Type="http://schemas.openxmlformats.org/officeDocument/2006/relationships/hyperlink" Target="https://wildberries.ru/catalog/232069641/detail.aspx" TargetMode="External"/><Relationship Id="rId859" Type="http://schemas.openxmlformats.org/officeDocument/2006/relationships/hyperlink" Target="https://www.wildberries.ru/catalog/251115426/detail.aspx" TargetMode="External"/><Relationship Id="rId1391" Type="http://schemas.openxmlformats.org/officeDocument/2006/relationships/hyperlink" Target="https://www.wildberries.ru/catalog/299728821/detail.aspx?size=455554079" TargetMode="External"/><Relationship Id="rId1489" Type="http://schemas.openxmlformats.org/officeDocument/2006/relationships/hyperlink" Target="https://ozon.ru/t/ZQ7eXNw" TargetMode="External"/><Relationship Id="rId1612" Type="http://schemas.openxmlformats.org/officeDocument/2006/relationships/hyperlink" Target="https://www.wildberries.ru/catalog/278360462/detail.aspx" TargetMode="External"/><Relationship Id="rId1696" Type="http://schemas.openxmlformats.org/officeDocument/2006/relationships/hyperlink" Target="https://wildberries.ru/catalog/146268451/detail.aspx" TargetMode="External"/><Relationship Id="rId193" Type="http://schemas.openxmlformats.org/officeDocument/2006/relationships/hyperlink" Target="https://ozon.ru/t/9j1YJd7" TargetMode="External"/><Relationship Id="rId207" Type="http://schemas.openxmlformats.org/officeDocument/2006/relationships/hyperlink" Target="https://www.wildberries.ru/catalog/111491366/detail.aspx?targetUrl=SN" TargetMode="External"/><Relationship Id="rId414" Type="http://schemas.openxmlformats.org/officeDocument/2006/relationships/hyperlink" Target="https://www.wildberries.ru/catalog/223669540/detail.aspx" TargetMode="External"/><Relationship Id="rId498" Type="http://schemas.openxmlformats.org/officeDocument/2006/relationships/hyperlink" Target="https://wildberries.ru/catalog/210949206/detail.aspx" TargetMode="External"/><Relationship Id="rId621" Type="http://schemas.openxmlformats.org/officeDocument/2006/relationships/hyperlink" Target="https://market.yandex.ru/cc/OOe3ytC" TargetMode="External"/><Relationship Id="rId1044" Type="http://schemas.openxmlformats.org/officeDocument/2006/relationships/hyperlink" Target="https://www.wildberries.ru/catalog/267598474/detail.aspx" TargetMode="External"/><Relationship Id="rId1251" Type="http://schemas.openxmlformats.org/officeDocument/2006/relationships/hyperlink" Target="https://wildberries.ru/catalog/27309923/detail.aspx" TargetMode="External"/><Relationship Id="rId1349" Type="http://schemas.openxmlformats.org/officeDocument/2006/relationships/hyperlink" Target="https://wildberries.ru/catalog/277501369/detail.aspx" TargetMode="External"/><Relationship Id="rId260" Type="http://schemas.openxmlformats.org/officeDocument/2006/relationships/hyperlink" Target="https://www.wildberries.ru/catalog/148526880/detail.aspx?targetUrl=SN" TargetMode="External"/><Relationship Id="rId719" Type="http://schemas.openxmlformats.org/officeDocument/2006/relationships/hyperlink" Target="https://www.wildberries.ru/catalog/174848727/detail.aspx?targetUrl=SG" TargetMode="External"/><Relationship Id="rId926" Type="http://schemas.openxmlformats.org/officeDocument/2006/relationships/hyperlink" Target="https://wildberries.ru/catalog/217266463/detail.aspx" TargetMode="External"/><Relationship Id="rId1111" Type="http://schemas.openxmlformats.org/officeDocument/2006/relationships/hyperlink" Target="https://wildberries.ru/catalog/31488505/detail.aspx" TargetMode="External"/><Relationship Id="rId1556" Type="http://schemas.openxmlformats.org/officeDocument/2006/relationships/hyperlink" Target="https://ozon.ru/t/81VEleM" TargetMode="External"/><Relationship Id="rId1763" Type="http://schemas.openxmlformats.org/officeDocument/2006/relationships/hyperlink" Target="https://www.wildberries.ru/catalog/225193395/detail.aspx" TargetMode="External"/><Relationship Id="rId55" Type="http://schemas.openxmlformats.org/officeDocument/2006/relationships/hyperlink" Target="https://ozon.ru/t/pa40o1b" TargetMode="External"/><Relationship Id="rId120" Type="http://schemas.openxmlformats.org/officeDocument/2006/relationships/hyperlink" Target="https://www.wildberries.ru/catalog/64159988/detail.aspx?targetUrl=SN" TargetMode="External"/><Relationship Id="rId358" Type="http://schemas.openxmlformats.org/officeDocument/2006/relationships/hyperlink" Target="https://ozon.ru/t/g908VLd" TargetMode="External"/><Relationship Id="rId565" Type="http://schemas.openxmlformats.org/officeDocument/2006/relationships/hyperlink" Target="https://www.wildberries.ru/catalog/210004411/detail.aspx" TargetMode="External"/><Relationship Id="rId772" Type="http://schemas.openxmlformats.org/officeDocument/2006/relationships/hyperlink" Target="https://www.labirint.ru/books/900707/" TargetMode="External"/><Relationship Id="rId1195" Type="http://schemas.openxmlformats.org/officeDocument/2006/relationships/hyperlink" Target="https://wildberries.ru/catalog/233718406/detail.aspx" TargetMode="External"/><Relationship Id="rId1209" Type="http://schemas.openxmlformats.org/officeDocument/2006/relationships/hyperlink" Target="https://www.wildberries.ru/catalog/263805837/detail.aspx?size=409545687" TargetMode="External"/><Relationship Id="rId1416" Type="http://schemas.openxmlformats.org/officeDocument/2006/relationships/hyperlink" Target="https://wildberries.ru/catalog/231882225/detail.aspx" TargetMode="External"/><Relationship Id="rId1623" Type="http://schemas.openxmlformats.org/officeDocument/2006/relationships/hyperlink" Target="https://www.wildberries.ru/catalog/148825454/detail.aspx" TargetMode="External"/><Relationship Id="rId1830" Type="http://schemas.openxmlformats.org/officeDocument/2006/relationships/comments" Target="../comments1.xml"/><Relationship Id="rId218" Type="http://schemas.openxmlformats.org/officeDocument/2006/relationships/hyperlink" Target="https://ozon.ru/t/ElQGprj" TargetMode="External"/><Relationship Id="rId425" Type="http://schemas.openxmlformats.org/officeDocument/2006/relationships/hyperlink" Target="https://ozon.ru/t/BzwQ4oQ" TargetMode="External"/><Relationship Id="rId632" Type="http://schemas.openxmlformats.org/officeDocument/2006/relationships/hyperlink" Target="https://wildberries.ru/catalog/146650984/detail.aspx" TargetMode="External"/><Relationship Id="rId1055" Type="http://schemas.openxmlformats.org/officeDocument/2006/relationships/hyperlink" Target="https://ozon.ru/t/7b6PVgQ" TargetMode="External"/><Relationship Id="rId1262" Type="http://schemas.openxmlformats.org/officeDocument/2006/relationships/hyperlink" Target="https://ozon.ru/t/m6bnmKg" TargetMode="External"/><Relationship Id="rId271" Type="http://schemas.openxmlformats.org/officeDocument/2006/relationships/hyperlink" Target="https://ozon.ru/t/5ZYjPD" TargetMode="External"/><Relationship Id="rId937" Type="http://schemas.openxmlformats.org/officeDocument/2006/relationships/hyperlink" Target="https://www.wildberries.ru/catalog/235902976/detail.aspx?targetUrl=SN" TargetMode="External"/><Relationship Id="rId1122" Type="http://schemas.openxmlformats.org/officeDocument/2006/relationships/hyperlink" Target="https://ozon.ru/t/nZplgGl" TargetMode="External"/><Relationship Id="rId1567" Type="http://schemas.openxmlformats.org/officeDocument/2006/relationships/hyperlink" Target="https://market.yandex.ru/cc/6Hmv8n" TargetMode="External"/><Relationship Id="rId1774" Type="http://schemas.openxmlformats.org/officeDocument/2006/relationships/hyperlink" Target="https://ozon.ru/t/gam2SKM" TargetMode="External"/><Relationship Id="rId66" Type="http://schemas.openxmlformats.org/officeDocument/2006/relationships/hyperlink" Target="https://www.wildberries.ru/catalog/165424377/detail.aspx?size=275452112" TargetMode="External"/><Relationship Id="rId131" Type="http://schemas.openxmlformats.org/officeDocument/2006/relationships/hyperlink" Target="https://ozon.ru/t/Q2yPkR0" TargetMode="External"/><Relationship Id="rId369" Type="http://schemas.openxmlformats.org/officeDocument/2006/relationships/hyperlink" Target="https://www.wildberries.ru/catalog/208295378/detail.aspx?targetUrl=SN" TargetMode="External"/><Relationship Id="rId576" Type="http://schemas.openxmlformats.org/officeDocument/2006/relationships/hyperlink" Target="https://www.wildberries.ru/catalog/219956785/detail.aspx" TargetMode="External"/><Relationship Id="rId783" Type="http://schemas.openxmlformats.org/officeDocument/2006/relationships/hyperlink" Target="https://ozon.ru/t/e7Vn5qK" TargetMode="External"/><Relationship Id="rId990" Type="http://schemas.openxmlformats.org/officeDocument/2006/relationships/hyperlink" Target="https://ozon.ru/t/8aE4bQ7" TargetMode="External"/><Relationship Id="rId1427" Type="http://schemas.openxmlformats.org/officeDocument/2006/relationships/hyperlink" Target="https://ozon.ru/t/Y0y0B8w" TargetMode="External"/><Relationship Id="rId1634" Type="http://schemas.openxmlformats.org/officeDocument/2006/relationships/hyperlink" Target="https://www.wildberries.ru/catalog/262531919/detail.aspx" TargetMode="External"/><Relationship Id="rId229" Type="http://schemas.openxmlformats.org/officeDocument/2006/relationships/hyperlink" Target="https://www.wildberries.ru/catalog/189569262/detail.aspx?targetUrl=SN" TargetMode="External"/><Relationship Id="rId436" Type="http://schemas.openxmlformats.org/officeDocument/2006/relationships/hyperlink" Target="https://www.wildberries.ru/catalog/66804962/detail.aspx?targetUrl=SN" TargetMode="External"/><Relationship Id="rId643" Type="http://schemas.openxmlformats.org/officeDocument/2006/relationships/hyperlink" Target="https://wildberries.ru/catalog/198869762/detail.aspx" TargetMode="External"/><Relationship Id="rId1066" Type="http://schemas.openxmlformats.org/officeDocument/2006/relationships/hyperlink" Target="https://ozon.ru/t/bRxW1Go" TargetMode="External"/><Relationship Id="rId1273" Type="http://schemas.openxmlformats.org/officeDocument/2006/relationships/hyperlink" Target="https://ozon.ru/t/LjO7QLx" TargetMode="External"/><Relationship Id="rId1480" Type="http://schemas.openxmlformats.org/officeDocument/2006/relationships/hyperlink" Target="https://wildberries.ru/catalog/162147130/detail.aspx" TargetMode="External"/><Relationship Id="rId850" Type="http://schemas.openxmlformats.org/officeDocument/2006/relationships/hyperlink" Target="https://wildberries.ru/catalog/38295308/detail.aspx" TargetMode="External"/><Relationship Id="rId948" Type="http://schemas.openxmlformats.org/officeDocument/2006/relationships/hyperlink" Target="https://ozon.ru/t/jb6KMwL" TargetMode="External"/><Relationship Id="rId1133" Type="http://schemas.openxmlformats.org/officeDocument/2006/relationships/hyperlink" Target="https://www.wildberries.ru/catalog/282700724/detail.aspx" TargetMode="External"/><Relationship Id="rId1578" Type="http://schemas.openxmlformats.org/officeDocument/2006/relationships/hyperlink" Target="https://wildberries.ru/catalog/120006444/detail.aspx" TargetMode="External"/><Relationship Id="rId1701" Type="http://schemas.openxmlformats.org/officeDocument/2006/relationships/hyperlink" Target="https://www.wildberries.ru/catalog/201477943/detail.aspx" TargetMode="External"/><Relationship Id="rId1785" Type="http://schemas.openxmlformats.org/officeDocument/2006/relationships/hyperlink" Target="https://www.wildberries.ru/catalog/174845854/detail.aspx?size=299502984" TargetMode="External"/><Relationship Id="rId77" Type="http://schemas.openxmlformats.org/officeDocument/2006/relationships/hyperlink" Target="https://www.wildberries.ru/catalog/201763039/detail.aspx?size=325692710" TargetMode="External"/><Relationship Id="rId282" Type="http://schemas.openxmlformats.org/officeDocument/2006/relationships/hyperlink" Target="https://www.wildberries.ru/catalog/48026306/detail.aspx?targetUrl=SN" TargetMode="External"/><Relationship Id="rId503" Type="http://schemas.openxmlformats.org/officeDocument/2006/relationships/hyperlink" Target="https://wildberries.ru/catalog/149238532/detail.aspx" TargetMode="External"/><Relationship Id="rId587" Type="http://schemas.openxmlformats.org/officeDocument/2006/relationships/hyperlink" Target="https://ozon.ru/t/MRVz4dG" TargetMode="External"/><Relationship Id="rId710" Type="http://schemas.openxmlformats.org/officeDocument/2006/relationships/hyperlink" Target="https://www.wildberries.ru/catalog/207877077/detail.aspx?targetUrl=MS&amp;size=333331503" TargetMode="External"/><Relationship Id="rId808" Type="http://schemas.openxmlformats.org/officeDocument/2006/relationships/hyperlink" Target="https://wildberries.ru/catalog/174005737/detail.aspx" TargetMode="External"/><Relationship Id="rId1340" Type="http://schemas.openxmlformats.org/officeDocument/2006/relationships/hyperlink" Target="https://www.wildberries.ru/catalog/228446557/detail.aspx" TargetMode="External"/><Relationship Id="rId1438" Type="http://schemas.openxmlformats.org/officeDocument/2006/relationships/hyperlink" Target="https://wildberries.ru/catalog/134581218/detail.aspx" TargetMode="External"/><Relationship Id="rId1645" Type="http://schemas.openxmlformats.org/officeDocument/2006/relationships/hyperlink" Target="https://wildberries.ru/catalog/31516443/detail.aspx" TargetMode="External"/><Relationship Id="rId8" Type="http://schemas.openxmlformats.org/officeDocument/2006/relationships/hyperlink" Target="https://www.wildberries.ru/catalog/196317275/detail.aspx" TargetMode="External"/><Relationship Id="rId142" Type="http://schemas.openxmlformats.org/officeDocument/2006/relationships/hyperlink" Target="https://ozon.ru/t/9jnKNgk" TargetMode="External"/><Relationship Id="rId447" Type="http://schemas.openxmlformats.org/officeDocument/2006/relationships/hyperlink" Target="https://ozon.ru/t/DDejg94" TargetMode="External"/><Relationship Id="rId794" Type="http://schemas.openxmlformats.org/officeDocument/2006/relationships/hyperlink" Target="https://www.wildberries.ru/catalog/2975442/detail.aspx?targetUrl=SN" TargetMode="External"/><Relationship Id="rId1077" Type="http://schemas.openxmlformats.org/officeDocument/2006/relationships/hyperlink" Target="https://www.avito.ru/sankt-peterburg/kollektsionirovanie/kukly_winx_vinks_3971186162" TargetMode="External"/><Relationship Id="rId1200" Type="http://schemas.openxmlformats.org/officeDocument/2006/relationships/hyperlink" Target="https://wildberries.ru/catalog/244557235/detail.aspx" TargetMode="External"/><Relationship Id="rId654" Type="http://schemas.openxmlformats.org/officeDocument/2006/relationships/hyperlink" Target="https://ozon.ru/t/4GggNal" TargetMode="External"/><Relationship Id="rId861" Type="http://schemas.openxmlformats.org/officeDocument/2006/relationships/hyperlink" Target="https://www.wildberries.ru/catalog/256686110/detail.aspx" TargetMode="External"/><Relationship Id="rId959" Type="http://schemas.openxmlformats.org/officeDocument/2006/relationships/hyperlink" Target="https://wildberries.ru/catalog/172543430/detail.aspx" TargetMode="External"/><Relationship Id="rId1284" Type="http://schemas.openxmlformats.org/officeDocument/2006/relationships/hyperlink" Target="https://ozon.ru/t/m17QMX1" TargetMode="External"/><Relationship Id="rId1491" Type="http://schemas.openxmlformats.org/officeDocument/2006/relationships/hyperlink" Target="https://wildberries.ru/catalog/192697627/detail.aspx" TargetMode="External"/><Relationship Id="rId1505" Type="http://schemas.openxmlformats.org/officeDocument/2006/relationships/hyperlink" Target="https://wildberries.ru/catalog/190911825/detail.aspx" TargetMode="External"/><Relationship Id="rId1589" Type="http://schemas.openxmlformats.org/officeDocument/2006/relationships/hyperlink" Target="https://ozon.ru/t/1y1ln0y" TargetMode="External"/><Relationship Id="rId1712" Type="http://schemas.openxmlformats.org/officeDocument/2006/relationships/hyperlink" Target="https://simvolik.ru/catalog/suveniry-podarki/paskha/igrushka-dlya-tvorchestva-kulich-na-podstavke-/" TargetMode="External"/><Relationship Id="rId293" Type="http://schemas.openxmlformats.org/officeDocument/2006/relationships/hyperlink" Target="https://ozon.ru/t/2XzyjM" TargetMode="External"/><Relationship Id="rId307" Type="http://schemas.openxmlformats.org/officeDocument/2006/relationships/hyperlink" Target="https://ozon.ru/t/7zRa9d" TargetMode="External"/><Relationship Id="rId514" Type="http://schemas.openxmlformats.org/officeDocument/2006/relationships/hyperlink" Target="https://wildberries.ru/catalog/190034435/detail.aspx" TargetMode="External"/><Relationship Id="rId721" Type="http://schemas.openxmlformats.org/officeDocument/2006/relationships/hyperlink" Target="https://wildberries.ru/catalog/166693328/detail.aspx" TargetMode="External"/><Relationship Id="rId1144" Type="http://schemas.openxmlformats.org/officeDocument/2006/relationships/hyperlink" Target="https://www.wildberries.ru/catalog/159427792/detail.aspx?size=265188043" TargetMode="External"/><Relationship Id="rId1351" Type="http://schemas.openxmlformats.org/officeDocument/2006/relationships/hyperlink" Target="https://wildberries.ru/catalog/236097981/detail.aspx" TargetMode="External"/><Relationship Id="rId1449" Type="http://schemas.openxmlformats.org/officeDocument/2006/relationships/hyperlink" Target="https://www.wildberries.ru/catalog/231735301/detail.aspx" TargetMode="External"/><Relationship Id="rId1796" Type="http://schemas.openxmlformats.org/officeDocument/2006/relationships/hyperlink" Target="https://www.wildberries.ru/catalog/313933902/detail.aspx" TargetMode="External"/><Relationship Id="rId88" Type="http://schemas.openxmlformats.org/officeDocument/2006/relationships/hyperlink" Target="https://www.wildberries.ru/catalog/177853454/detail.aspx" TargetMode="External"/><Relationship Id="rId153" Type="http://schemas.openxmlformats.org/officeDocument/2006/relationships/hyperlink" Target="https://www.wildberries.ru/catalog/18895570/detail.aspx?targetUrl=SN" TargetMode="External"/><Relationship Id="rId360" Type="http://schemas.openxmlformats.org/officeDocument/2006/relationships/hyperlink" Target="https://ozon.ru/t/jrNlprY" TargetMode="External"/><Relationship Id="rId598" Type="http://schemas.openxmlformats.org/officeDocument/2006/relationships/hyperlink" Target="https://www.wildberries.ru/catalog/237595741/detail.aspx" TargetMode="External"/><Relationship Id="rId819" Type="http://schemas.openxmlformats.org/officeDocument/2006/relationships/hyperlink" Target="https://wildberries.ru/catalog/99786198/detail.aspx" TargetMode="External"/><Relationship Id="rId1004" Type="http://schemas.openxmlformats.org/officeDocument/2006/relationships/hyperlink" Target="https://ozon.ru/t/XD090jY" TargetMode="External"/><Relationship Id="rId1211" Type="http://schemas.openxmlformats.org/officeDocument/2006/relationships/hyperlink" Target="https://www.wildberries.ru/catalog/218223659/detail.aspx?size=347452990" TargetMode="External"/><Relationship Id="rId1656" Type="http://schemas.openxmlformats.org/officeDocument/2006/relationships/hyperlink" Target="https://wildberries.ru/catalog/285465345/detail.aspx" TargetMode="External"/><Relationship Id="rId220" Type="http://schemas.openxmlformats.org/officeDocument/2006/relationships/hyperlink" Target="https://ozon.ru/t/39JrynQ" TargetMode="External"/><Relationship Id="rId458" Type="http://schemas.openxmlformats.org/officeDocument/2006/relationships/hyperlink" Target="https://wildberries.ru/catalog/232048130/detail.aspx" TargetMode="External"/><Relationship Id="rId665" Type="http://schemas.openxmlformats.org/officeDocument/2006/relationships/hyperlink" Target="https://www.wildberries.ru/catalog/196029449/detail.aspx?size=318310695" TargetMode="External"/><Relationship Id="rId872" Type="http://schemas.openxmlformats.org/officeDocument/2006/relationships/hyperlink" Target="https://wildberries.ru/catalog/167602849/detail.aspx" TargetMode="External"/><Relationship Id="rId1088" Type="http://schemas.openxmlformats.org/officeDocument/2006/relationships/hyperlink" Target="https://ozon.ru/t/069ogka" TargetMode="External"/><Relationship Id="rId1295" Type="http://schemas.openxmlformats.org/officeDocument/2006/relationships/hyperlink" Target="https://wildberries.ru/catalog/273175690/detail.aspx" TargetMode="External"/><Relationship Id="rId1309" Type="http://schemas.openxmlformats.org/officeDocument/2006/relationships/hyperlink" Target="https://simvolik.ru/catalog/suveniry-podarki/rozhdestvo/sbornaya-model-s-podsvetkoy-angel-nad-khramom/" TargetMode="External"/><Relationship Id="rId1516" Type="http://schemas.openxmlformats.org/officeDocument/2006/relationships/hyperlink" Target="https://wildberries.ru/catalog/91527058/detail.aspx" TargetMode="External"/><Relationship Id="rId1723" Type="http://schemas.openxmlformats.org/officeDocument/2006/relationships/hyperlink" Target="https://ozon.ru/t/3lld09J" TargetMode="External"/><Relationship Id="rId15" Type="http://schemas.openxmlformats.org/officeDocument/2006/relationships/hyperlink" Target="https://www.ozon.ru/product/botanica-gorshok-dlya-tsvetov-9-sm-h-12-5-sm-h-12-5-sm-0-7-l-3-sht-1066200126/?from=share_android&amp;utm_campaign=productpage_link&amp;utm_medium=share_button&amp;utm_source=smm" TargetMode="External"/><Relationship Id="rId318" Type="http://schemas.openxmlformats.org/officeDocument/2006/relationships/hyperlink" Target="https://www.detmir.ru/product/index/id/6335844/?variant_id=90743886" TargetMode="External"/><Relationship Id="rId525" Type="http://schemas.openxmlformats.org/officeDocument/2006/relationships/hyperlink" Target="https://www.ozon.ru/product/good-day-vneshniy-akkumulyator-powerbank-microusb-usb-usb-type-c-lightning-120000-mach-chernyy-1182972848/?advert=yDTRgWx5vAUz4OfpTN-TPHeA7IggvBRhLxs2P6XBRtoTdqdAJ7VJbSDXpc1nGfj1Rmb-cfsBfqCc8pduAwvdI0JmTSP5TTGU7OIyZn5sXOFwgF91ybgzdHEdjRCNEJqhLCWoBU-AijZWb_eq2MUxQ_6UyMW3II1bxC0lIx0gf8-kYFAkROCgQGwgVIpo87LuyJLqdErUIXI642dQOddFosW0tOlDesI3ZIvIiYssGr440OG4pozEYtQ8DVJ1x-wPL-oT8qRjplWUOfBtQ9yqUxbcga-mx9aQZI4XBCclZ4MAqu2umJRr5ceypkRM9Zcny5JR0Y0rN0DVusAWAkcfsQ2eod1q450&amp;avtc=1&amp;avte=2&amp;avts=1720373026&amp;keywords=%D0%BF%D0%BE%D0%B2%D0%B5%D1%80%D0%B1%D0%B0%D0%BD%D0%BA+120000mah" TargetMode="External"/><Relationship Id="rId732" Type="http://schemas.openxmlformats.org/officeDocument/2006/relationships/hyperlink" Target="https://www.wildberries.ru/catalog/43225478/detail.aspx?size=86161655" TargetMode="External"/><Relationship Id="rId1155" Type="http://schemas.openxmlformats.org/officeDocument/2006/relationships/hyperlink" Target="https://wildberries.ru/catalog/295584905/detail.aspx" TargetMode="External"/><Relationship Id="rId1362" Type="http://schemas.openxmlformats.org/officeDocument/2006/relationships/hyperlink" Target="https://www.wildberries.ru/catalog/194592942/detail.aspx?size=316570762" TargetMode="External"/><Relationship Id="rId99" Type="http://schemas.openxmlformats.org/officeDocument/2006/relationships/hyperlink" Target="https://ozon.ru/t/KdMLV6K" TargetMode="External"/><Relationship Id="rId164" Type="http://schemas.openxmlformats.org/officeDocument/2006/relationships/hyperlink" Target="https://www.wildberries.ru/catalog/173310943/detail.aspx?targetUrl=SN" TargetMode="External"/><Relationship Id="rId371" Type="http://schemas.openxmlformats.org/officeDocument/2006/relationships/hyperlink" Target="https://ozon.ru/t/a2k79Gp" TargetMode="External"/><Relationship Id="rId1015" Type="http://schemas.openxmlformats.org/officeDocument/2006/relationships/hyperlink" Target="https://wildberries.ru/catalog/271908583/detail.aspx" TargetMode="External"/><Relationship Id="rId1222" Type="http://schemas.openxmlformats.org/officeDocument/2006/relationships/hyperlink" Target="https://ozon.ru/t/G7lWKe" TargetMode="External"/><Relationship Id="rId1667" Type="http://schemas.openxmlformats.org/officeDocument/2006/relationships/hyperlink" Target="https://www.wildberries.ru/catalog/163522913/detail.aspx" TargetMode="External"/><Relationship Id="rId469" Type="http://schemas.openxmlformats.org/officeDocument/2006/relationships/hyperlink" Target="https://ozon.ru/t/9wJjk8k" TargetMode="External"/><Relationship Id="rId676" Type="http://schemas.openxmlformats.org/officeDocument/2006/relationships/hyperlink" Target="https://ozon.ru/t/yJoJEry" TargetMode="External"/><Relationship Id="rId883" Type="http://schemas.openxmlformats.org/officeDocument/2006/relationships/hyperlink" Target="https://www.wildberries.ru/catalog/48982527/detail.aspx?size=94020713" TargetMode="External"/><Relationship Id="rId1099" Type="http://schemas.openxmlformats.org/officeDocument/2006/relationships/hyperlink" Target="https://wildberries.ru/catalog/78337993/detail.aspx" TargetMode="External"/><Relationship Id="rId1527" Type="http://schemas.openxmlformats.org/officeDocument/2006/relationships/hyperlink" Target="https://wildberries.ru/catalog/179027555/detail.aspx" TargetMode="External"/><Relationship Id="rId1734" Type="http://schemas.openxmlformats.org/officeDocument/2006/relationships/hyperlink" Target="https://wildberries.ru/catalog/231896397/detail.aspx" TargetMode="External"/><Relationship Id="rId26" Type="http://schemas.openxmlformats.org/officeDocument/2006/relationships/hyperlink" Target="https://www.wildberries.ru/catalog/118172914/detail.aspx?size=210302176" TargetMode="External"/><Relationship Id="rId231" Type="http://schemas.openxmlformats.org/officeDocument/2006/relationships/hyperlink" Target="https://www.wildberries.ru/catalog/197840416/detail.aspx?targetUrl=SN" TargetMode="External"/><Relationship Id="rId329" Type="http://schemas.openxmlformats.org/officeDocument/2006/relationships/hyperlink" Target="https://www.wildberries.ru/catalog/227094154/detail.aspx?targetUrl=SN" TargetMode="External"/><Relationship Id="rId536" Type="http://schemas.openxmlformats.org/officeDocument/2006/relationships/hyperlink" Target="https://ozon.ru/t/bekPgZn" TargetMode="External"/><Relationship Id="rId1166" Type="http://schemas.openxmlformats.org/officeDocument/2006/relationships/hyperlink" Target="https://www.wildberries.ru/catalog/230115851/detail.aspx" TargetMode="External"/><Relationship Id="rId1373" Type="http://schemas.openxmlformats.org/officeDocument/2006/relationships/hyperlink" Target="https://www.wildberries.ru/catalog/239198828/detail.aspx?size=376248628" TargetMode="External"/><Relationship Id="rId175" Type="http://schemas.openxmlformats.org/officeDocument/2006/relationships/hyperlink" Target="https://www.wildberries.ru/catalog/205014236/detail.aspx?targetUrl=SN" TargetMode="External"/><Relationship Id="rId743" Type="http://schemas.openxmlformats.org/officeDocument/2006/relationships/hyperlink" Target="https://ozon.ru/t/zqKyMV2" TargetMode="External"/><Relationship Id="rId950" Type="http://schemas.openxmlformats.org/officeDocument/2006/relationships/hyperlink" Target="https://ozon.ru/t/RQ85d06" TargetMode="External"/><Relationship Id="rId1026" Type="http://schemas.openxmlformats.org/officeDocument/2006/relationships/hyperlink" Target="https://www.wildberries.ru/catalog/132146396/detail.aspx?size=227551857" TargetMode="External"/><Relationship Id="rId1580" Type="http://schemas.openxmlformats.org/officeDocument/2006/relationships/hyperlink" Target="https://wildberries.ru/catalog/139967092/detail.aspx" TargetMode="External"/><Relationship Id="rId1678" Type="http://schemas.openxmlformats.org/officeDocument/2006/relationships/hyperlink" Target="https://ozon.ru/t/3pwlal4" TargetMode="External"/><Relationship Id="rId1801" Type="http://schemas.openxmlformats.org/officeDocument/2006/relationships/hyperlink" Target="https://www.wildberries.ru/catalog/247886325/detail.aspx" TargetMode="External"/><Relationship Id="rId382" Type="http://schemas.openxmlformats.org/officeDocument/2006/relationships/hyperlink" Target="https://wildberries.ru/catalog/192121651/detail.aspx" TargetMode="External"/><Relationship Id="rId603" Type="http://schemas.openxmlformats.org/officeDocument/2006/relationships/hyperlink" Target="https://ozon.ru/t/5EPb9k4" TargetMode="External"/><Relationship Id="rId687" Type="http://schemas.openxmlformats.org/officeDocument/2006/relationships/hyperlink" Target="https://wildberries.ru/catalog/210960633/detail.aspx" TargetMode="External"/><Relationship Id="rId810" Type="http://schemas.openxmlformats.org/officeDocument/2006/relationships/hyperlink" Target="https://wildberries.ru/catalog/255451633/detail.aspx" TargetMode="External"/><Relationship Id="rId908" Type="http://schemas.openxmlformats.org/officeDocument/2006/relationships/hyperlink" Target="https://www.wildberries.ru/catalog/222128214/detail.aspx" TargetMode="External"/><Relationship Id="rId1233" Type="http://schemas.openxmlformats.org/officeDocument/2006/relationships/hyperlink" Target="https://wildberries.ru/catalog/26950668/detail.aspx" TargetMode="External"/><Relationship Id="rId1440" Type="http://schemas.openxmlformats.org/officeDocument/2006/relationships/hyperlink" Target="https://wildberries.ru/catalog/283555733/detail.aspx" TargetMode="External"/><Relationship Id="rId1538" Type="http://schemas.openxmlformats.org/officeDocument/2006/relationships/hyperlink" Target="https://wildberries.ru/catalog/313419514/detail.aspx" TargetMode="External"/><Relationship Id="rId242" Type="http://schemas.openxmlformats.org/officeDocument/2006/relationships/hyperlink" Target="https://www.wildberries.ru/catalog/169093098/detail.aspx?targetUrl=SN" TargetMode="External"/><Relationship Id="rId894" Type="http://schemas.openxmlformats.org/officeDocument/2006/relationships/hyperlink" Target="https://wildberries.ru/catalog/168888010/detail.aspx" TargetMode="External"/><Relationship Id="rId1177" Type="http://schemas.openxmlformats.org/officeDocument/2006/relationships/hyperlink" Target="https://ozon.ru/t/090bgG0" TargetMode="External"/><Relationship Id="rId1300" Type="http://schemas.openxmlformats.org/officeDocument/2006/relationships/hyperlink" Target="https://www.wildberries.ru/catalog/6966093/detail.aspx?size=49696154" TargetMode="External"/><Relationship Id="rId1745" Type="http://schemas.openxmlformats.org/officeDocument/2006/relationships/hyperlink" Target="https://ozon.ru/t/unnZlyK" TargetMode="External"/><Relationship Id="rId37" Type="http://schemas.openxmlformats.org/officeDocument/2006/relationships/hyperlink" Target="https://ozon.ru/t/jE85Qww" TargetMode="External"/><Relationship Id="rId102" Type="http://schemas.openxmlformats.org/officeDocument/2006/relationships/hyperlink" Target="https://www.wildberries.ru/catalog/201486818/detail.aspx?targetUrl=SG" TargetMode="External"/><Relationship Id="rId547" Type="http://schemas.openxmlformats.org/officeDocument/2006/relationships/hyperlink" Target="https://www.avito.ru/sergiev_posad/remont_i_stroitelstvo/komplekt_15m_dlya_gidrobureniya_abissinskoy_skvazhiny_3803579298" TargetMode="External"/><Relationship Id="rId754" Type="http://schemas.openxmlformats.org/officeDocument/2006/relationships/hyperlink" Target="https://www.wildberries.ru/catalog/254380558/detail.aspx" TargetMode="External"/><Relationship Id="rId961" Type="http://schemas.openxmlformats.org/officeDocument/2006/relationships/hyperlink" Target="https://wildberries.ru/catalog/42119854/detail.aspx" TargetMode="External"/><Relationship Id="rId1384" Type="http://schemas.openxmlformats.org/officeDocument/2006/relationships/hyperlink" Target="https://wildberries.ru/catalog/55846444/detail.aspx" TargetMode="External"/><Relationship Id="rId1591" Type="http://schemas.openxmlformats.org/officeDocument/2006/relationships/hyperlink" Target="https://ozon.ru/t/xqlEK4B" TargetMode="External"/><Relationship Id="rId1605" Type="http://schemas.openxmlformats.org/officeDocument/2006/relationships/hyperlink" Target="https://wildberries.ru/catalog/171118552/detail.aspx" TargetMode="External"/><Relationship Id="rId1689" Type="http://schemas.openxmlformats.org/officeDocument/2006/relationships/hyperlink" Target="https://wildberries.ru/catalog/305192270/detail.aspx" TargetMode="External"/><Relationship Id="rId1812" Type="http://schemas.openxmlformats.org/officeDocument/2006/relationships/hyperlink" Target="https://ozon.ru/t/iEB5doJ" TargetMode="External"/><Relationship Id="rId90" Type="http://schemas.openxmlformats.org/officeDocument/2006/relationships/hyperlink" Target="https://ozon.ru/t/W4ypYWo" TargetMode="External"/><Relationship Id="rId186" Type="http://schemas.openxmlformats.org/officeDocument/2006/relationships/hyperlink" Target="https://www.wildberries.ru/catalog/39168084/detail.aspx?targetUrl=SN" TargetMode="External"/><Relationship Id="rId393" Type="http://schemas.openxmlformats.org/officeDocument/2006/relationships/hyperlink" Target="https://www.wildberries.ru/catalog/167327671/detail.aspx?targetUrl=SN" TargetMode="External"/><Relationship Id="rId407" Type="http://schemas.openxmlformats.org/officeDocument/2006/relationships/hyperlink" Target="https://www.wildberries.ru/catalog/197780248/detail.aspx?targetUrl=SN" TargetMode="External"/><Relationship Id="rId614" Type="http://schemas.openxmlformats.org/officeDocument/2006/relationships/hyperlink" Target="https://ozon.ru/t/MGQzGdp" TargetMode="External"/><Relationship Id="rId821" Type="http://schemas.openxmlformats.org/officeDocument/2006/relationships/hyperlink" Target="https://ozon.ru/t/60X0vB2" TargetMode="External"/><Relationship Id="rId1037" Type="http://schemas.openxmlformats.org/officeDocument/2006/relationships/hyperlink" Target="https://www.ozon.ru/product/rura-company-organizer-75h60h13-cm-1738684628/" TargetMode="External"/><Relationship Id="rId1244" Type="http://schemas.openxmlformats.org/officeDocument/2006/relationships/hyperlink" Target="https://ozon.ru/t/JGyzRQM" TargetMode="External"/><Relationship Id="rId1451" Type="http://schemas.openxmlformats.org/officeDocument/2006/relationships/hyperlink" Target="https://www.wildberries.ru/catalog/147779622/detail.aspx?targetUrl=SG" TargetMode="External"/><Relationship Id="rId253" Type="http://schemas.openxmlformats.org/officeDocument/2006/relationships/hyperlink" Target="https://ozon.ru/t/lg312d" TargetMode="External"/><Relationship Id="rId460" Type="http://schemas.openxmlformats.org/officeDocument/2006/relationships/hyperlink" Target="https://wildberries.ru/catalog/210847590/detail.aspx" TargetMode="External"/><Relationship Id="rId698" Type="http://schemas.openxmlformats.org/officeDocument/2006/relationships/hyperlink" Target="https://www.wildberries.ru/catalog/163395850/detail.aspx" TargetMode="External"/><Relationship Id="rId919" Type="http://schemas.openxmlformats.org/officeDocument/2006/relationships/hyperlink" Target="https://wildberries.ru/catalog/232934864/detail.aspx" TargetMode="External"/><Relationship Id="rId1090" Type="http://schemas.openxmlformats.org/officeDocument/2006/relationships/hyperlink" Target="https://wildberries.ru/catalog/188574000/detail.aspx" TargetMode="External"/><Relationship Id="rId1104" Type="http://schemas.openxmlformats.org/officeDocument/2006/relationships/hyperlink" Target="https://ozon.ru/t/xDEYP9D" TargetMode="External"/><Relationship Id="rId1311" Type="http://schemas.openxmlformats.org/officeDocument/2006/relationships/hyperlink" Target="https://simvolik.ru/catalog/suveniry-podarki/magnity/magnit-obemnyy-75kh100-mm-rkh-snegir-/" TargetMode="External"/><Relationship Id="rId1549" Type="http://schemas.openxmlformats.org/officeDocument/2006/relationships/hyperlink" Target="https://ozon.ru/t/Q6BDx4N" TargetMode="External"/><Relationship Id="rId1756" Type="http://schemas.openxmlformats.org/officeDocument/2006/relationships/hyperlink" Target="https://www.wildberries.ru/catalog/334800476/detail.aspx?size=500368176" TargetMode="External"/><Relationship Id="rId48" Type="http://schemas.openxmlformats.org/officeDocument/2006/relationships/hyperlink" Target="https://ozon.ru/t/aoZgDa6" TargetMode="External"/><Relationship Id="rId113" Type="http://schemas.openxmlformats.org/officeDocument/2006/relationships/hyperlink" Target="https://www.wildberries.ru/catalog/172163840/detail.aspx?targetUrl=SN" TargetMode="External"/><Relationship Id="rId320" Type="http://schemas.openxmlformats.org/officeDocument/2006/relationships/hyperlink" Target="https://www.avito.ru/chernyahovsk/odezhda_obuv_aksessuary/krossovki_roliki_4_kolesa_razmer_35_4024157320" TargetMode="External"/><Relationship Id="rId558" Type="http://schemas.openxmlformats.org/officeDocument/2006/relationships/hyperlink" Target="https://ozon.ru/t/be0dY9W" TargetMode="External"/><Relationship Id="rId765" Type="http://schemas.openxmlformats.org/officeDocument/2006/relationships/hyperlink" Target="https://ozon.ru/t/W4b3REJ" TargetMode="External"/><Relationship Id="rId972" Type="http://schemas.openxmlformats.org/officeDocument/2006/relationships/hyperlink" Target="https://wildberries.ru/catalog/11519104/detail.aspx" TargetMode="External"/><Relationship Id="rId1188" Type="http://schemas.openxmlformats.org/officeDocument/2006/relationships/hyperlink" Target="https://wildberries.ru/catalog/198660305/detail.aspx" TargetMode="External"/><Relationship Id="rId1395" Type="http://schemas.openxmlformats.org/officeDocument/2006/relationships/hyperlink" Target="https://www.wildberries.ru/catalog/232371609/detail.aspx?targetUrl=SI&amp;size=366587434" TargetMode="External"/><Relationship Id="rId1409" Type="http://schemas.openxmlformats.org/officeDocument/2006/relationships/hyperlink" Target="https://ozon.ru/t/e56kKam" TargetMode="External"/><Relationship Id="rId1616" Type="http://schemas.openxmlformats.org/officeDocument/2006/relationships/hyperlink" Target="https://wildberries.ru/catalog/335189900/detail.aspx" TargetMode="External"/><Relationship Id="rId1823" Type="http://schemas.openxmlformats.org/officeDocument/2006/relationships/hyperlink" Target="https://www.wildberries.ru/catalog/265564719/detail.aspx" TargetMode="External"/><Relationship Id="rId197" Type="http://schemas.openxmlformats.org/officeDocument/2006/relationships/hyperlink" Target="https://ozon.ru/t/g8opQkd" TargetMode="External"/><Relationship Id="rId418" Type="http://schemas.openxmlformats.org/officeDocument/2006/relationships/hyperlink" Target="https://www.wildberries.ru/catalog/199624234/detail.aspx?targetUrl=EX" TargetMode="External"/><Relationship Id="rId625" Type="http://schemas.openxmlformats.org/officeDocument/2006/relationships/hyperlink" Target="https://ozon.ru/t/6MMaNMe" TargetMode="External"/><Relationship Id="rId832" Type="http://schemas.openxmlformats.org/officeDocument/2006/relationships/hyperlink" Target="https://www.wildberries.ru/catalog/25532217/detail.aspx" TargetMode="External"/><Relationship Id="rId1048" Type="http://schemas.openxmlformats.org/officeDocument/2006/relationships/hyperlink" Target="https://www.wildberries.ru/catalog/254730539/detail.aspx" TargetMode="External"/><Relationship Id="rId1255" Type="http://schemas.openxmlformats.org/officeDocument/2006/relationships/hyperlink" Target="https://www.wildberries.ru/catalog/168119243/detail.aspx" TargetMode="External"/><Relationship Id="rId1462" Type="http://schemas.openxmlformats.org/officeDocument/2006/relationships/hyperlink" Target="https://ozon.ru/t/MRoORBW" TargetMode="External"/><Relationship Id="rId264" Type="http://schemas.openxmlformats.org/officeDocument/2006/relationships/hyperlink" Target="https://www.wildberries.ru/catalog/38671169/detail.aspx?targetUrl=SN" TargetMode="External"/><Relationship Id="rId471" Type="http://schemas.openxmlformats.org/officeDocument/2006/relationships/hyperlink" Target="https://ozon.ru/t/a7wo7Np" TargetMode="External"/><Relationship Id="rId1115" Type="http://schemas.openxmlformats.org/officeDocument/2006/relationships/hyperlink" Target="https://ozon.ru/t/NDwB9k2" TargetMode="External"/><Relationship Id="rId1322" Type="http://schemas.openxmlformats.org/officeDocument/2006/relationships/hyperlink" Target="https://www.wildberries.ru/catalog/277142460/detail.aspx" TargetMode="External"/><Relationship Id="rId1767" Type="http://schemas.openxmlformats.org/officeDocument/2006/relationships/hyperlink" Target="https://www.wildberries.ru/catalog/322127638/detail.aspx?targetUrl=MS&amp;size=484716030" TargetMode="External"/><Relationship Id="rId59" Type="http://schemas.openxmlformats.org/officeDocument/2006/relationships/hyperlink" Target="https://www.wildberries.ru/catalog/114745236/detail.aspx" TargetMode="External"/><Relationship Id="rId124" Type="http://schemas.openxmlformats.org/officeDocument/2006/relationships/hyperlink" Target="https://www.wildberries.ru/catalog/155285481/detail.aspx?size=259266449" TargetMode="External"/><Relationship Id="rId569" Type="http://schemas.openxmlformats.org/officeDocument/2006/relationships/hyperlink" Target="https://www.wildberries.ru/catalog/24674292/detail.aspx" TargetMode="External"/><Relationship Id="rId776" Type="http://schemas.openxmlformats.org/officeDocument/2006/relationships/hyperlink" Target="https://ozon.ru/t/Y4PNnE8" TargetMode="External"/><Relationship Id="rId983" Type="http://schemas.openxmlformats.org/officeDocument/2006/relationships/hyperlink" Target="https://ozon.ru/t/8aoO4Ob" TargetMode="External"/><Relationship Id="rId1199" Type="http://schemas.openxmlformats.org/officeDocument/2006/relationships/hyperlink" Target="https://wildberries.ru/catalog/229688332/detail.aspx" TargetMode="External"/><Relationship Id="rId1627" Type="http://schemas.openxmlformats.org/officeDocument/2006/relationships/hyperlink" Target="https://www.wildberries.ru/catalog/309747206/detail.aspx?size=468862946" TargetMode="External"/><Relationship Id="rId331" Type="http://schemas.openxmlformats.org/officeDocument/2006/relationships/hyperlink" Target="https://ozon.ru/t/LkG0P8D" TargetMode="External"/><Relationship Id="rId429" Type="http://schemas.openxmlformats.org/officeDocument/2006/relationships/hyperlink" Target="https://www.ozon.ru/product/334655617/" TargetMode="External"/><Relationship Id="rId636" Type="http://schemas.openxmlformats.org/officeDocument/2006/relationships/hyperlink" Target="https://ozon.ru/t/XYGQjwy" TargetMode="External"/><Relationship Id="rId1059" Type="http://schemas.openxmlformats.org/officeDocument/2006/relationships/hyperlink" Target="https://ozon.ru/t/5aLb0Pr" TargetMode="External"/><Relationship Id="rId1266" Type="http://schemas.openxmlformats.org/officeDocument/2006/relationships/hyperlink" Target="https://www.wildberries.ru/catalog/216494874/detail.aspx?size=345105119" TargetMode="External"/><Relationship Id="rId1473" Type="http://schemas.openxmlformats.org/officeDocument/2006/relationships/hyperlink" Target="https://wildberries.ru/catalog/255609183/detail.aspx" TargetMode="External"/><Relationship Id="rId843" Type="http://schemas.openxmlformats.org/officeDocument/2006/relationships/hyperlink" Target="https://www.wildberries.ru/catalog/222690331/detail.aspx" TargetMode="External"/><Relationship Id="rId1126" Type="http://schemas.openxmlformats.org/officeDocument/2006/relationships/hyperlink" Target="https://ozon.ru/t/eooW8e6" TargetMode="External"/><Relationship Id="rId1680" Type="http://schemas.openxmlformats.org/officeDocument/2006/relationships/hyperlink" Target="https://www.wildberries.ru/catalog/286633624/detail.aspx?size=438548183" TargetMode="External"/><Relationship Id="rId1778" Type="http://schemas.openxmlformats.org/officeDocument/2006/relationships/hyperlink" Target="https://ozon.ru/t/WfcSd0M" TargetMode="External"/><Relationship Id="rId275" Type="http://schemas.openxmlformats.org/officeDocument/2006/relationships/hyperlink" Target="http://slovo.net.ru/book/108322" TargetMode="External"/><Relationship Id="rId482" Type="http://schemas.openxmlformats.org/officeDocument/2006/relationships/hyperlink" Target="https://ozon.ru/t/bZRoGkq" TargetMode="External"/><Relationship Id="rId703" Type="http://schemas.openxmlformats.org/officeDocument/2006/relationships/hyperlink" Target="https://ozon.ru/t/KkK0Z00" TargetMode="External"/><Relationship Id="rId910" Type="http://schemas.openxmlformats.org/officeDocument/2006/relationships/hyperlink" Target="https://ozon.ru/t/3gp21j2" TargetMode="External"/><Relationship Id="rId1333" Type="http://schemas.openxmlformats.org/officeDocument/2006/relationships/hyperlink" Target="https://www.wildberries.ru/catalog/63773926/detail.aspx?size=112052812" TargetMode="External"/><Relationship Id="rId1540" Type="http://schemas.openxmlformats.org/officeDocument/2006/relationships/hyperlink" Target="https://wildberries.ru/catalog/264349943/detail.aspx" TargetMode="External"/><Relationship Id="rId1638" Type="http://schemas.openxmlformats.org/officeDocument/2006/relationships/hyperlink" Target="https://wildberries.ru/catalog/215424993/detail.aspx" TargetMode="External"/><Relationship Id="rId135" Type="http://schemas.openxmlformats.org/officeDocument/2006/relationships/hyperlink" Target="https://ozon.ru/t/V4VXBa9" TargetMode="External"/><Relationship Id="rId342" Type="http://schemas.openxmlformats.org/officeDocument/2006/relationships/hyperlink" Target="https://ozon.ru/t/RXwY98V" TargetMode="External"/><Relationship Id="rId787" Type="http://schemas.openxmlformats.org/officeDocument/2006/relationships/hyperlink" Target="https://ozon.ru/t/y5zpDlj/" TargetMode="External"/><Relationship Id="rId994" Type="http://schemas.openxmlformats.org/officeDocument/2006/relationships/hyperlink" Target="https://www.wildberries.ru/catalog/215228788/detail.aspx" TargetMode="External"/><Relationship Id="rId1400" Type="http://schemas.openxmlformats.org/officeDocument/2006/relationships/hyperlink" Target="https://www.wildberries.ru/catalog/147438425/detail.aspx?targetUrl=GP&amp;size=247870325" TargetMode="External"/><Relationship Id="rId202" Type="http://schemas.openxmlformats.org/officeDocument/2006/relationships/hyperlink" Target="https://ozon.ru/t/NPdLaGJ" TargetMode="External"/><Relationship Id="rId647" Type="http://schemas.openxmlformats.org/officeDocument/2006/relationships/hyperlink" Target="https://www.wildberries.ru/catalog/171242130/detail.aspx" TargetMode="External"/><Relationship Id="rId854" Type="http://schemas.openxmlformats.org/officeDocument/2006/relationships/hyperlink" Target="https://wildberries.ru/catalog/263080762/detail.aspx" TargetMode="External"/><Relationship Id="rId1277" Type="http://schemas.openxmlformats.org/officeDocument/2006/relationships/hyperlink" Target="https://ozon.ru/t/OZgKzEz" TargetMode="External"/><Relationship Id="rId1484" Type="http://schemas.openxmlformats.org/officeDocument/2006/relationships/hyperlink" Target="https://ozon.ru/t/E9z9pO5" TargetMode="External"/><Relationship Id="rId1691" Type="http://schemas.openxmlformats.org/officeDocument/2006/relationships/hyperlink" Target="https://wildberries.ru/catalog/307863468/detail.aspx" TargetMode="External"/><Relationship Id="rId1705" Type="http://schemas.openxmlformats.org/officeDocument/2006/relationships/hyperlink" Target="https://ozon.ru/t/Y5OG29w" TargetMode="External"/><Relationship Id="rId286" Type="http://schemas.openxmlformats.org/officeDocument/2006/relationships/hyperlink" Target="https://www.wildberries.ru/catalog/7627982/detail.aspx?targetUrl=SN" TargetMode="External"/><Relationship Id="rId493" Type="http://schemas.openxmlformats.org/officeDocument/2006/relationships/hyperlink" Target="https://ozon.ru/t/1BWB9G1" TargetMode="External"/><Relationship Id="rId507" Type="http://schemas.openxmlformats.org/officeDocument/2006/relationships/hyperlink" Target="https://ozon.ru/t/BwK8Pb5" TargetMode="External"/><Relationship Id="rId714" Type="http://schemas.openxmlformats.org/officeDocument/2006/relationships/hyperlink" Target="https://www.ozon.ru/product/kurtka-dzhinsovaya-yarmarka-palto-1001860369/?from_sku=1001864298&amp;oos_search=false" TargetMode="External"/><Relationship Id="rId921" Type="http://schemas.openxmlformats.org/officeDocument/2006/relationships/hyperlink" Target="https://wildberries.ru/catalog/264004179/detail.aspx" TargetMode="External"/><Relationship Id="rId1137" Type="http://schemas.openxmlformats.org/officeDocument/2006/relationships/hyperlink" Target="https://wildberries.ru/catalog/144631961/detail.aspx" TargetMode="External"/><Relationship Id="rId1344" Type="http://schemas.openxmlformats.org/officeDocument/2006/relationships/hyperlink" Target="https://wildberries.ru/catalog/173631577/detail.aspx" TargetMode="External"/><Relationship Id="rId1551" Type="http://schemas.openxmlformats.org/officeDocument/2006/relationships/hyperlink" Target="https://ozon.ru/t/Xj8J3LL" TargetMode="External"/><Relationship Id="rId1789" Type="http://schemas.openxmlformats.org/officeDocument/2006/relationships/hyperlink" Target="https://www.wildberries.ru/catalog/290761633/detail.aspx" TargetMode="External"/><Relationship Id="rId50" Type="http://schemas.openxmlformats.org/officeDocument/2006/relationships/hyperlink" Target="https://www.wildberries.ru/catalog/23724789/detail.aspx?targetUrl=SN" TargetMode="External"/><Relationship Id="rId146" Type="http://schemas.openxmlformats.org/officeDocument/2006/relationships/hyperlink" Target="https://ozon.ru/t/Q217ydW" TargetMode="External"/><Relationship Id="rId353" Type="http://schemas.openxmlformats.org/officeDocument/2006/relationships/hyperlink" Target="https://ozon.ru/t/l1L23GX" TargetMode="External"/><Relationship Id="rId560" Type="http://schemas.openxmlformats.org/officeDocument/2006/relationships/hyperlink" Target="https://ozon.ru/t/KM5AJZ7" TargetMode="External"/><Relationship Id="rId798" Type="http://schemas.openxmlformats.org/officeDocument/2006/relationships/hyperlink" Target="https://www.wildberries.ru/catalog/221514108/detail.aspx" TargetMode="External"/><Relationship Id="rId1190" Type="http://schemas.openxmlformats.org/officeDocument/2006/relationships/hyperlink" Target="https://wildberries.ru/catalog/236166452/detail.aspx" TargetMode="External"/><Relationship Id="rId1204" Type="http://schemas.openxmlformats.org/officeDocument/2006/relationships/hyperlink" Target="https://wildberries.ru/catalog/195939000/detail.aspx" TargetMode="External"/><Relationship Id="rId1411" Type="http://schemas.openxmlformats.org/officeDocument/2006/relationships/hyperlink" Target="https://www.wildberries.ru/catalog/141543674/detail.aspx?size=239714536" TargetMode="External"/><Relationship Id="rId1649" Type="http://schemas.openxmlformats.org/officeDocument/2006/relationships/hyperlink" Target="https://wildberries.ru/catalog/242098817/detail.aspx" TargetMode="External"/><Relationship Id="rId213" Type="http://schemas.openxmlformats.org/officeDocument/2006/relationships/hyperlink" Target="https://ozon.ru/t/od582Py" TargetMode="External"/><Relationship Id="rId420" Type="http://schemas.openxmlformats.org/officeDocument/2006/relationships/hyperlink" Target="https://www.wildberries.ru/catalog/147592195/detail.aspx?targetUrl=EX" TargetMode="External"/><Relationship Id="rId658" Type="http://schemas.openxmlformats.org/officeDocument/2006/relationships/hyperlink" Target="https://wildberries.ru/catalog/224663745/detail.aspx" TargetMode="External"/><Relationship Id="rId865" Type="http://schemas.openxmlformats.org/officeDocument/2006/relationships/hyperlink" Target="https://ozon.ru/t/ewZ8ZQ6" TargetMode="External"/><Relationship Id="rId1050" Type="http://schemas.openxmlformats.org/officeDocument/2006/relationships/hyperlink" Target="https://www.wildberries.ru/catalog/182386457/detail.aspx?targetUrl=SN" TargetMode="External"/><Relationship Id="rId1288" Type="http://schemas.openxmlformats.org/officeDocument/2006/relationships/hyperlink" Target="https://ozon.ru/t/mORnWoK" TargetMode="External"/><Relationship Id="rId1495" Type="http://schemas.openxmlformats.org/officeDocument/2006/relationships/hyperlink" Target="https://wildberries.ru/catalog/7002148/detail.aspx" TargetMode="External"/><Relationship Id="rId1509" Type="http://schemas.openxmlformats.org/officeDocument/2006/relationships/hyperlink" Target="https://wildberries.ru/catalog/253920140/detail.aspx" TargetMode="External"/><Relationship Id="rId1716" Type="http://schemas.openxmlformats.org/officeDocument/2006/relationships/hyperlink" Target="https://zyorna.ru/catalog/item/pashalnyj-suvenir-korzinochka-steklo-6-sm-111446" TargetMode="External"/><Relationship Id="rId297" Type="http://schemas.openxmlformats.org/officeDocument/2006/relationships/hyperlink" Target="https://www.wildberries.ru/catalog/26127702/detail.aspx?targetUrl=SN" TargetMode="External"/><Relationship Id="rId518" Type="http://schemas.openxmlformats.org/officeDocument/2006/relationships/hyperlink" Target="https://ozon.ru/t/nk0MaRA" TargetMode="External"/><Relationship Id="rId725" Type="http://schemas.openxmlformats.org/officeDocument/2006/relationships/hyperlink" Target="https://ozon.ru/t/rLQ3K6W" TargetMode="External"/><Relationship Id="rId932" Type="http://schemas.openxmlformats.org/officeDocument/2006/relationships/hyperlink" Target="https://wildberries.ru/catalog/200336803/detail.aspx" TargetMode="External"/><Relationship Id="rId1148" Type="http://schemas.openxmlformats.org/officeDocument/2006/relationships/hyperlink" Target="https://www.wildberries.ru/catalog/185862729/detail.aspx" TargetMode="External"/><Relationship Id="rId1355" Type="http://schemas.openxmlformats.org/officeDocument/2006/relationships/hyperlink" Target="https://wildberries.ru/catalog/218795666/detail.aspx" TargetMode="External"/><Relationship Id="rId1562" Type="http://schemas.openxmlformats.org/officeDocument/2006/relationships/hyperlink" Target="https://wildberries.ru/catalog/309366351/detail.aspx" TargetMode="External"/><Relationship Id="rId157" Type="http://schemas.openxmlformats.org/officeDocument/2006/relationships/hyperlink" Target="https://www.wildberries.ru/catalog/78729603/detail.aspx?targetUrl=SN" TargetMode="External"/><Relationship Id="rId364" Type="http://schemas.openxmlformats.org/officeDocument/2006/relationships/hyperlink" Target="https://ozon.ru/t/7pMN9zd" TargetMode="External"/><Relationship Id="rId1008" Type="http://schemas.openxmlformats.org/officeDocument/2006/relationships/hyperlink" Target="https://ozon.ru/t/gJ8Qrk2" TargetMode="External"/><Relationship Id="rId1215" Type="http://schemas.openxmlformats.org/officeDocument/2006/relationships/hyperlink" Target="https://ozon.ru/t/D1XjOx1" TargetMode="External"/><Relationship Id="rId1422" Type="http://schemas.openxmlformats.org/officeDocument/2006/relationships/hyperlink" Target="https://wildberries.ru/catalog/273044085/detail.aspx" TargetMode="External"/><Relationship Id="rId61" Type="http://schemas.openxmlformats.org/officeDocument/2006/relationships/hyperlink" Target="https://ozon.ru/t/g895L1R" TargetMode="External"/><Relationship Id="rId571" Type="http://schemas.openxmlformats.org/officeDocument/2006/relationships/hyperlink" Target="https://www.wildberries.ru/catalog/7369104/detail.aspx" TargetMode="External"/><Relationship Id="rId669" Type="http://schemas.openxmlformats.org/officeDocument/2006/relationships/hyperlink" Target="https://www.wildberries.ru/catalog/217933635/detail.aspx?size=347059320" TargetMode="External"/><Relationship Id="rId876" Type="http://schemas.openxmlformats.org/officeDocument/2006/relationships/hyperlink" Target="https://wildberries.ru/catalog/197777114/detail.aspx" TargetMode="External"/><Relationship Id="rId1299" Type="http://schemas.openxmlformats.org/officeDocument/2006/relationships/hyperlink" Target="https://ozon.ru/t/dJdM3Zx" TargetMode="External"/><Relationship Id="rId1727" Type="http://schemas.openxmlformats.org/officeDocument/2006/relationships/hyperlink" Target="https://wildberries.ru/catalog/153300001/detail.aspx" TargetMode="External"/><Relationship Id="rId19" Type="http://schemas.openxmlformats.org/officeDocument/2006/relationships/hyperlink" Target="https://www.wildberries.ru/catalog/134083902/detail.aspx" TargetMode="External"/><Relationship Id="rId224" Type="http://schemas.openxmlformats.org/officeDocument/2006/relationships/hyperlink" Target="https://ozon.ru/t/LawWEL5" TargetMode="External"/><Relationship Id="rId431" Type="http://schemas.openxmlformats.org/officeDocument/2006/relationships/hyperlink" Target="https://www.wildberries.ru/catalog/230225627/detail.aspx?size=363618179" TargetMode="External"/><Relationship Id="rId529" Type="http://schemas.openxmlformats.org/officeDocument/2006/relationships/hyperlink" Target="https://www.wildberries.ru/catalog/119894961/detail.aspx?size=212451768" TargetMode="External"/><Relationship Id="rId736" Type="http://schemas.openxmlformats.org/officeDocument/2006/relationships/hyperlink" Target="https://www.wildberries.ru/catalog/167080570/detail.aspx?size=277914861" TargetMode="External"/><Relationship Id="rId1061" Type="http://schemas.openxmlformats.org/officeDocument/2006/relationships/hyperlink" Target="https://ozon.ru/t/XRkVDye" TargetMode="External"/><Relationship Id="rId1159" Type="http://schemas.openxmlformats.org/officeDocument/2006/relationships/hyperlink" Target="https://ozon.ru/t/Bqq88nQ" TargetMode="External"/><Relationship Id="rId1366" Type="http://schemas.openxmlformats.org/officeDocument/2006/relationships/hyperlink" Target="https://www.wildberries.ru/catalog/212229058/detail.aspx" TargetMode="External"/><Relationship Id="rId168" Type="http://schemas.openxmlformats.org/officeDocument/2006/relationships/hyperlink" Target="https://www.wildberries.ru/catalog/193970106/detail.aspx?targetUrl=SN" TargetMode="External"/><Relationship Id="rId943" Type="http://schemas.openxmlformats.org/officeDocument/2006/relationships/hyperlink" Target="https://www.wildberries.ru/catalog/224867818/detail.aspx?size=356414753" TargetMode="External"/><Relationship Id="rId1019" Type="http://schemas.openxmlformats.org/officeDocument/2006/relationships/hyperlink" Target="https://ozon.ru/t/E6wm99G" TargetMode="External"/><Relationship Id="rId1573" Type="http://schemas.openxmlformats.org/officeDocument/2006/relationships/hyperlink" Target="https://wildberries.ru/catalog/90067593/detail.aspx" TargetMode="External"/><Relationship Id="rId1780" Type="http://schemas.openxmlformats.org/officeDocument/2006/relationships/hyperlink" Target="https://wildberries.ru/catalog/275620256/detail.aspx" TargetMode="External"/><Relationship Id="rId72" Type="http://schemas.openxmlformats.org/officeDocument/2006/relationships/hyperlink" Target="https://www.wildberries.ru/catalog/166771024/detail.aspx?targetUrl=SN" TargetMode="External"/><Relationship Id="rId375" Type="http://schemas.openxmlformats.org/officeDocument/2006/relationships/hyperlink" Target="https://ozon.ru/t/AGRkqjK" TargetMode="External"/><Relationship Id="rId582" Type="http://schemas.openxmlformats.org/officeDocument/2006/relationships/hyperlink" Target="https://market.yandex.ru/product--planshet-teclast-t50-tiger-t616-2-0-8c-ram8gb-rom256gb-11-ips-2000x1200-3g-4g-android-11-serebristyi-20mpix-8mpix-bt-gps-wifi-touch-microsd-1tb-7500/1912709390?sku=102252575271&amp;uniqueId=43149540&amp;do-waremd5=pnHuVyKojONXx1Xwu6WOgQ" TargetMode="External"/><Relationship Id="rId803" Type="http://schemas.openxmlformats.org/officeDocument/2006/relationships/hyperlink" Target="https://megamarket.ru/catalog/details/kniga-zaychik-seva-obidelsya-poleznye-skazki-per-600005227477/" TargetMode="External"/><Relationship Id="rId1226" Type="http://schemas.openxmlformats.org/officeDocument/2006/relationships/hyperlink" Target="https://wildberries.ru/catalog/194578838/detail.aspx" TargetMode="External"/><Relationship Id="rId1433" Type="http://schemas.openxmlformats.org/officeDocument/2006/relationships/hyperlink" Target="https://www.wildberries.ru/catalog/233965532/detail.aspx" TargetMode="External"/><Relationship Id="rId1640" Type="http://schemas.openxmlformats.org/officeDocument/2006/relationships/hyperlink" Target="https://www.wildberries.ru/catalog/221318789/detail.aspx" TargetMode="External"/><Relationship Id="rId1738" Type="http://schemas.openxmlformats.org/officeDocument/2006/relationships/hyperlink" Target="https://wildberries.ru/catalog/230860540/detail.aspx" TargetMode="External"/><Relationship Id="rId3" Type="http://schemas.openxmlformats.org/officeDocument/2006/relationships/hyperlink" Target="https://www.wildberries.ru/catalog/12762408/detail.aspx" TargetMode="External"/><Relationship Id="rId235" Type="http://schemas.openxmlformats.org/officeDocument/2006/relationships/hyperlink" Target="https://www.wildberries.ru/catalog/105850081/detail.aspx?targetUrl=SN" TargetMode="External"/><Relationship Id="rId442" Type="http://schemas.openxmlformats.org/officeDocument/2006/relationships/hyperlink" Target="https://wildberries.ru/catalog/156046414/detail.aspx" TargetMode="External"/><Relationship Id="rId887" Type="http://schemas.openxmlformats.org/officeDocument/2006/relationships/hyperlink" Target="https://ozon.ru/t/Mn7ZRQm" TargetMode="External"/><Relationship Id="rId1072" Type="http://schemas.openxmlformats.org/officeDocument/2006/relationships/hyperlink" Target="https://www.wildberries.ru/catalog/76938123/detail.aspx" TargetMode="External"/><Relationship Id="rId1500" Type="http://schemas.openxmlformats.org/officeDocument/2006/relationships/hyperlink" Target="https://wildberries.ru/catalog/8994445/detail.aspx" TargetMode="External"/><Relationship Id="rId302" Type="http://schemas.openxmlformats.org/officeDocument/2006/relationships/hyperlink" Target="https://www.wildberries.ru/catalog/210150645/detail.aspx?targetUrl=SN" TargetMode="External"/><Relationship Id="rId747" Type="http://schemas.openxmlformats.org/officeDocument/2006/relationships/hyperlink" Target="https://ozon.ru/t/rPoog03" TargetMode="External"/><Relationship Id="rId954" Type="http://schemas.openxmlformats.org/officeDocument/2006/relationships/hyperlink" Target="https://ozon.ru/t/3J9bYaP" TargetMode="External"/><Relationship Id="rId1377" Type="http://schemas.openxmlformats.org/officeDocument/2006/relationships/hyperlink" Target="https://www.wildberries.ru/catalog/257942002/detail.aspx?size=401480100" TargetMode="External"/><Relationship Id="rId1584" Type="http://schemas.openxmlformats.org/officeDocument/2006/relationships/hyperlink" Target="https://ozon.ru/t/JDkzeMk" TargetMode="External"/><Relationship Id="rId1791" Type="http://schemas.openxmlformats.org/officeDocument/2006/relationships/hyperlink" Target="https://www.wildberries.ru/catalog/161022834/detail.aspx" TargetMode="External"/><Relationship Id="rId1805" Type="http://schemas.openxmlformats.org/officeDocument/2006/relationships/hyperlink" Target="https://ozon.ru/t/7oNaYsM" TargetMode="External"/><Relationship Id="rId83" Type="http://schemas.openxmlformats.org/officeDocument/2006/relationships/hyperlink" Target="https://ozon.ru/t/bbelQ71" TargetMode="External"/><Relationship Id="rId179" Type="http://schemas.openxmlformats.org/officeDocument/2006/relationships/hyperlink" Target="https://www.wildberries.ru/catalog/47678900/detail.aspx?targetUrl=SN" TargetMode="External"/><Relationship Id="rId386" Type="http://schemas.openxmlformats.org/officeDocument/2006/relationships/hyperlink" Target="https://ozon.ru/t/4ra4a2g" TargetMode="External"/><Relationship Id="rId593" Type="http://schemas.openxmlformats.org/officeDocument/2006/relationships/hyperlink" Target="https://www.wildberries.ru/catalog/192765522/detail.aspx" TargetMode="External"/><Relationship Id="rId607" Type="http://schemas.openxmlformats.org/officeDocument/2006/relationships/hyperlink" Target="https://www.wildberries.ru/catalog/227572435/detail.aspx?targetUrl=EX%7C2%7CISC%7CIT%7Cpopular%7C%7C%7C%7C%7C%7C&amp;size=360043041" TargetMode="External"/><Relationship Id="rId814" Type="http://schemas.openxmlformats.org/officeDocument/2006/relationships/hyperlink" Target="https://wildberries.ru/catalog/230438644/detail.aspx" TargetMode="External"/><Relationship Id="rId1237" Type="http://schemas.openxmlformats.org/officeDocument/2006/relationships/hyperlink" Target="https://ozon.ru/t/pjkjAJ8" TargetMode="External"/><Relationship Id="rId1444" Type="http://schemas.openxmlformats.org/officeDocument/2006/relationships/hyperlink" Target="https://wildberries.ru/catalog/272477010/detail.aspx" TargetMode="External"/><Relationship Id="rId1651" Type="http://schemas.openxmlformats.org/officeDocument/2006/relationships/hyperlink" Target="https://wildberries.ru/catalog/306482620/detail.aspx" TargetMode="External"/><Relationship Id="rId246" Type="http://schemas.openxmlformats.org/officeDocument/2006/relationships/hyperlink" Target="https://ozon.ru/t/jPY9oo" TargetMode="External"/><Relationship Id="rId453" Type="http://schemas.openxmlformats.org/officeDocument/2006/relationships/hyperlink" Target="https://ozon.ru/t/LdDN0Bg" TargetMode="External"/><Relationship Id="rId660" Type="http://schemas.openxmlformats.org/officeDocument/2006/relationships/hyperlink" Target="https://www.wildberries.ru/catalog/65545332/detail.aspx?targetUrl=SN" TargetMode="External"/><Relationship Id="rId898" Type="http://schemas.openxmlformats.org/officeDocument/2006/relationships/hyperlink" Target="https://ozon.ru/t/1jkO4DL" TargetMode="External"/><Relationship Id="rId1083" Type="http://schemas.openxmlformats.org/officeDocument/2006/relationships/hyperlink" Target="https://wildberries.ru/catalog/249138381/detail.aspx" TargetMode="External"/><Relationship Id="rId1290" Type="http://schemas.openxmlformats.org/officeDocument/2006/relationships/hyperlink" Target="https://wildberries.ru/catalog/183229186/detail.aspx" TargetMode="External"/><Relationship Id="rId1304" Type="http://schemas.openxmlformats.org/officeDocument/2006/relationships/hyperlink" Target="https://www.wildberries.ru/catalog/25115494/detail.aspx?size=58950588" TargetMode="External"/><Relationship Id="rId1511" Type="http://schemas.openxmlformats.org/officeDocument/2006/relationships/hyperlink" Target="https://wildberries.ru/catalog/5007118/detail.aspx" TargetMode="External"/><Relationship Id="rId1749" Type="http://schemas.openxmlformats.org/officeDocument/2006/relationships/hyperlink" Target="https://www.wildberries.ru/catalog/239927614/detail.aspx?size=377211019" TargetMode="External"/><Relationship Id="rId106" Type="http://schemas.openxmlformats.org/officeDocument/2006/relationships/hyperlink" Target="https://www.wildberries.ru/catalog/218782248/detail.aspx" TargetMode="External"/><Relationship Id="rId313" Type="http://schemas.openxmlformats.org/officeDocument/2006/relationships/hyperlink" Target="https://ozon.ru/t/KjJoR1" TargetMode="External"/><Relationship Id="rId758" Type="http://schemas.openxmlformats.org/officeDocument/2006/relationships/hyperlink" Target="https://www.wildberries.ru/catalog/40721388/detail.aspx?size=82116476" TargetMode="External"/><Relationship Id="rId965" Type="http://schemas.openxmlformats.org/officeDocument/2006/relationships/hyperlink" Target="https://wildberries.ru/catalog/263858290/detail.aspx" TargetMode="External"/><Relationship Id="rId1150" Type="http://schemas.openxmlformats.org/officeDocument/2006/relationships/hyperlink" Target="https://wildberries.ru/catalog/169074887/detail.aspx" TargetMode="External"/><Relationship Id="rId1388" Type="http://schemas.openxmlformats.org/officeDocument/2006/relationships/hyperlink" Target="https://www.wildberries.ru/catalog/246239026/detail.aspx?targetUrl=SN" TargetMode="External"/><Relationship Id="rId1595" Type="http://schemas.openxmlformats.org/officeDocument/2006/relationships/hyperlink" Target="https://wildberries.ru/catalog/314884989/detail.aspx" TargetMode="External"/><Relationship Id="rId1609" Type="http://schemas.openxmlformats.org/officeDocument/2006/relationships/hyperlink" Target="https://www.wildberries.ru/catalog/312040042/detail.aspx" TargetMode="External"/><Relationship Id="rId1816" Type="http://schemas.openxmlformats.org/officeDocument/2006/relationships/hyperlink" Target="https://ozon.ru/t/dhGf4KB" TargetMode="External"/><Relationship Id="rId10" Type="http://schemas.openxmlformats.org/officeDocument/2006/relationships/hyperlink" Target="https://www.ozon.ru/product/furminator-rascheska-deshedder-puhoderka-chesalka-trimmer-dlya-zhivotnyh-sobak-i-koshek-728606734/?from=share_android&amp;utm_campaign=productpage_link&amp;utm_medium=share_button&amp;utm_source=smm" TargetMode="External"/><Relationship Id="rId94" Type="http://schemas.openxmlformats.org/officeDocument/2006/relationships/hyperlink" Target="https://ozon.ru/t/kX4jN05" TargetMode="External"/><Relationship Id="rId397" Type="http://schemas.openxmlformats.org/officeDocument/2006/relationships/hyperlink" Target="https://www.wildberries.ru/catalog/177337046/detail.aspx?targetUrl=SN" TargetMode="External"/><Relationship Id="rId520" Type="http://schemas.openxmlformats.org/officeDocument/2006/relationships/hyperlink" Target="https://www.wildberries.ru/catalog/5743806/detail.aspx?targetUrl=SN" TargetMode="External"/><Relationship Id="rId618" Type="http://schemas.openxmlformats.org/officeDocument/2006/relationships/hyperlink" Target="https://www.wildberries.ru/catalog/21359777/detail.aspx?size=54349371" TargetMode="External"/><Relationship Id="rId825" Type="http://schemas.openxmlformats.org/officeDocument/2006/relationships/hyperlink" Target="https://wildberries.ru/catalog/90622034/detail.aspx" TargetMode="External"/><Relationship Id="rId1248" Type="http://schemas.openxmlformats.org/officeDocument/2006/relationships/hyperlink" Target="https://www.wildberries.ru/catalog/182785180/detail.aspx" TargetMode="External"/><Relationship Id="rId1455" Type="http://schemas.openxmlformats.org/officeDocument/2006/relationships/hyperlink" Target="https://www.wildberries.ru/catalog/239351592/detail.aspx" TargetMode="External"/><Relationship Id="rId1662" Type="http://schemas.openxmlformats.org/officeDocument/2006/relationships/hyperlink" Target="https://wildberries.ru/catalog/64115847/detail.aspx" TargetMode="External"/><Relationship Id="rId257" Type="http://schemas.openxmlformats.org/officeDocument/2006/relationships/hyperlink" Target="https://ozon.ru/t/WY9wld" TargetMode="External"/><Relationship Id="rId464" Type="http://schemas.openxmlformats.org/officeDocument/2006/relationships/hyperlink" Target="https://ozon.ru/t/V0JPrQz" TargetMode="External"/><Relationship Id="rId1010" Type="http://schemas.openxmlformats.org/officeDocument/2006/relationships/hyperlink" Target="https://www.wildberries.ru/catalog/210086404/detail.aspx?targetUrl=SN" TargetMode="External"/><Relationship Id="rId1094" Type="http://schemas.openxmlformats.org/officeDocument/2006/relationships/hyperlink" Target="https://wildberries.ru/catalog/12348260/detail.aspx" TargetMode="External"/><Relationship Id="rId1108" Type="http://schemas.openxmlformats.org/officeDocument/2006/relationships/hyperlink" Target="https://www.wildberries.ru/catalog/164426894/detail.aspx" TargetMode="External"/><Relationship Id="rId1315" Type="http://schemas.openxmlformats.org/officeDocument/2006/relationships/hyperlink" Target="https://www.avito.ru/orders/70000000194295502?source=messenger" TargetMode="External"/><Relationship Id="rId117" Type="http://schemas.openxmlformats.org/officeDocument/2006/relationships/hyperlink" Target="https://www.wildberries.ru/catalog/147326603/detail.aspx?targetUrl=SN" TargetMode="External"/><Relationship Id="rId671" Type="http://schemas.openxmlformats.org/officeDocument/2006/relationships/hyperlink" Target="https://ozon.ru/t/146ZwLG" TargetMode="External"/><Relationship Id="rId769" Type="http://schemas.openxmlformats.org/officeDocument/2006/relationships/hyperlink" Target="https://ozon.ru/t/66w9G1Z" TargetMode="External"/><Relationship Id="rId976" Type="http://schemas.openxmlformats.org/officeDocument/2006/relationships/hyperlink" Target="https://wildberries.ru/catalog/25708927/detail.aspx" TargetMode="External"/><Relationship Id="rId1399" Type="http://schemas.openxmlformats.org/officeDocument/2006/relationships/hyperlink" Target="https://www.wildberries.ru/catalog/190036473/detail.aspx?targetUrl=GP&amp;size=310893546" TargetMode="External"/><Relationship Id="rId324" Type="http://schemas.openxmlformats.org/officeDocument/2006/relationships/hyperlink" Target="https://www.wildberries.ru/catalog/27291137/detail.aspx?targetUrl=SN" TargetMode="External"/><Relationship Id="rId531" Type="http://schemas.openxmlformats.org/officeDocument/2006/relationships/hyperlink" Target="https://ozon.ru/t/YbjXPL4" TargetMode="External"/><Relationship Id="rId629" Type="http://schemas.openxmlformats.org/officeDocument/2006/relationships/hyperlink" Target="https://wildberries.ru/catalog/105220862/detail.aspx" TargetMode="External"/><Relationship Id="rId1161" Type="http://schemas.openxmlformats.org/officeDocument/2006/relationships/hyperlink" Target="https://www.wildberries.ru/catalog/218117648/detail.aspx" TargetMode="External"/><Relationship Id="rId1259" Type="http://schemas.openxmlformats.org/officeDocument/2006/relationships/hyperlink" Target="https://www.wildberries.ru/catalog/211499714/detail.aspx" TargetMode="External"/><Relationship Id="rId1466" Type="http://schemas.openxmlformats.org/officeDocument/2006/relationships/hyperlink" Target="https://wildberries.ru/catalog/156388521/detail.aspx" TargetMode="External"/><Relationship Id="rId836" Type="http://schemas.openxmlformats.org/officeDocument/2006/relationships/hyperlink" Target="https://www.wildberries.ru/catalog/28303627/detail.aspx" TargetMode="External"/><Relationship Id="rId1021" Type="http://schemas.openxmlformats.org/officeDocument/2006/relationships/hyperlink" Target="https://wildberries.ru/catalog/225919883/detail.aspx" TargetMode="External"/><Relationship Id="rId1119" Type="http://schemas.openxmlformats.org/officeDocument/2006/relationships/hyperlink" Target="https://ozon.ru/t/kn4bP2z" TargetMode="External"/><Relationship Id="rId1673" Type="http://schemas.openxmlformats.org/officeDocument/2006/relationships/hyperlink" Target="https://ozon.ru/t/4zbZ6ra" TargetMode="External"/><Relationship Id="rId903" Type="http://schemas.openxmlformats.org/officeDocument/2006/relationships/hyperlink" Target="https://www.wildberries.ru/catalog/148815731/detail.aspx" TargetMode="External"/><Relationship Id="rId1326" Type="http://schemas.openxmlformats.org/officeDocument/2006/relationships/hyperlink" Target="https://ozon.ru/t/vY4gKYj" TargetMode="External"/><Relationship Id="rId1533" Type="http://schemas.openxmlformats.org/officeDocument/2006/relationships/hyperlink" Target="https://wildberries.ru/catalog/177817763/detail.aspx" TargetMode="External"/><Relationship Id="rId1740" Type="http://schemas.openxmlformats.org/officeDocument/2006/relationships/hyperlink" Target="https://ozon.ru/t/3ll8vDK" TargetMode="External"/><Relationship Id="rId32" Type="http://schemas.openxmlformats.org/officeDocument/2006/relationships/hyperlink" Target="https://ozon.ru/t/6V7qaBw" TargetMode="External"/><Relationship Id="rId1600" Type="http://schemas.openxmlformats.org/officeDocument/2006/relationships/hyperlink" Target="https://wildberries.ru/catalog/233629895/detail.aspx" TargetMode="External"/><Relationship Id="rId181" Type="http://schemas.openxmlformats.org/officeDocument/2006/relationships/hyperlink" Target="https://www.wildberries.ru/catalog/64964221/detail.aspx?targetUrl=SN" TargetMode="External"/><Relationship Id="rId279" Type="http://schemas.openxmlformats.org/officeDocument/2006/relationships/hyperlink" Target="https://www.wildberries.ru/catalog/37318581/detail.aspx?targetUrl=SN" TargetMode="External"/><Relationship Id="rId486" Type="http://schemas.openxmlformats.org/officeDocument/2006/relationships/hyperlink" Target="https://www.wildberries.ru/catalog/110895095/detail.aspx?size=201153121" TargetMode="External"/><Relationship Id="rId693" Type="http://schemas.openxmlformats.org/officeDocument/2006/relationships/hyperlink" Target="https://www.wildberries.ru/catalog/170529312/detail.aspx" TargetMode="External"/><Relationship Id="rId139" Type="http://schemas.openxmlformats.org/officeDocument/2006/relationships/hyperlink" Target="https://ozon.ru/t/ElJpVey" TargetMode="External"/><Relationship Id="rId346" Type="http://schemas.openxmlformats.org/officeDocument/2006/relationships/hyperlink" Target="https://ozon.ru/t/l1wlr2J" TargetMode="External"/><Relationship Id="rId553" Type="http://schemas.openxmlformats.org/officeDocument/2006/relationships/hyperlink" Target="https://www.ozon.ru/product/ryukzak-shkolnyy-dlya-devochki-1-klass-ortopedicheskiy-3v1-ranets-dlya-pervoklassnika-1243127897/?__rr=1&amp;from_sku=1168384854&amp;oos_search=false" TargetMode="External"/><Relationship Id="rId760" Type="http://schemas.openxmlformats.org/officeDocument/2006/relationships/hyperlink" Target="https://www.wildberries.ru/catalog/252279571/detail.aspx?size=394088212" TargetMode="External"/><Relationship Id="rId998" Type="http://schemas.openxmlformats.org/officeDocument/2006/relationships/hyperlink" Target="https://www.wildberries.ru/catalog/265017172/detail.aspx" TargetMode="External"/><Relationship Id="rId1183" Type="http://schemas.openxmlformats.org/officeDocument/2006/relationships/hyperlink" Target="https://ozon.ru/t/Opw9dxP" TargetMode="External"/><Relationship Id="rId1390" Type="http://schemas.openxmlformats.org/officeDocument/2006/relationships/hyperlink" Target="https://www.wildberries.ru/catalog/266433211/detail.aspx?size=413146743" TargetMode="External"/><Relationship Id="rId206" Type="http://schemas.openxmlformats.org/officeDocument/2006/relationships/hyperlink" Target="https://www.wildberries.ru/catalog/225265101/detail.aspx?targetUrl=SN" TargetMode="External"/><Relationship Id="rId413" Type="http://schemas.openxmlformats.org/officeDocument/2006/relationships/hyperlink" Target="https://www.wildberries.ru/catalog/208490107/detail.aspx?targetUrl=EX" TargetMode="External"/><Relationship Id="rId858" Type="http://schemas.openxmlformats.org/officeDocument/2006/relationships/hyperlink" Target="https://wildberries.ru/catalog/258437231/detail.aspx" TargetMode="External"/><Relationship Id="rId1043" Type="http://schemas.openxmlformats.org/officeDocument/2006/relationships/hyperlink" Target="https://www.wildberries.ru/catalog/167932915/detail.aspx?targetUrl=SN" TargetMode="External"/><Relationship Id="rId1488" Type="http://schemas.openxmlformats.org/officeDocument/2006/relationships/hyperlink" Target="https://ozon.ru/t/OX6noNd" TargetMode="External"/><Relationship Id="rId1695" Type="http://schemas.openxmlformats.org/officeDocument/2006/relationships/hyperlink" Target="https://wildberries.ru/catalog/234125297/detail.aspx" TargetMode="External"/><Relationship Id="rId620" Type="http://schemas.openxmlformats.org/officeDocument/2006/relationships/hyperlink" Target="https://www.wildberries.ru/catalog/203588871/detail.aspx?size=329525886" TargetMode="External"/><Relationship Id="rId718" Type="http://schemas.openxmlformats.org/officeDocument/2006/relationships/hyperlink" Target="https://market.yandex.ru/cc/6T7T1AC" TargetMode="External"/><Relationship Id="rId925" Type="http://schemas.openxmlformats.org/officeDocument/2006/relationships/hyperlink" Target="https://wildberries.ru/catalog/196213658/detail.aspx" TargetMode="External"/><Relationship Id="rId1250" Type="http://schemas.openxmlformats.org/officeDocument/2006/relationships/hyperlink" Target="https://wildberries.ru/catalog/193640920/detail.aspx" TargetMode="External"/><Relationship Id="rId1348" Type="http://schemas.openxmlformats.org/officeDocument/2006/relationships/hyperlink" Target="https://wildberries.ru/catalog/161000815/detail.aspx" TargetMode="External"/><Relationship Id="rId1555" Type="http://schemas.openxmlformats.org/officeDocument/2006/relationships/hyperlink" Target="https://ozon.ru/t/RkDaQGk" TargetMode="External"/><Relationship Id="rId1762" Type="http://schemas.openxmlformats.org/officeDocument/2006/relationships/hyperlink" Target="https://www.wildberries.ru/catalog/265564719/detail.aspx" TargetMode="External"/><Relationship Id="rId1110" Type="http://schemas.openxmlformats.org/officeDocument/2006/relationships/hyperlink" Target="https://www.wildberries.ru/catalog/190357247/detail.aspx" TargetMode="External"/><Relationship Id="rId1208" Type="http://schemas.openxmlformats.org/officeDocument/2006/relationships/hyperlink" Target="https://www.wildberries.ru/catalog/263805837/detail.aspx?size=409545689" TargetMode="External"/><Relationship Id="rId1415" Type="http://schemas.openxmlformats.org/officeDocument/2006/relationships/hyperlink" Target="https://wildberries.ru/catalog/25779503/detail.aspx" TargetMode="External"/><Relationship Id="rId54" Type="http://schemas.openxmlformats.org/officeDocument/2006/relationships/hyperlink" Target="https://ozon.ru/t/jZB8Nnk" TargetMode="External"/><Relationship Id="rId1622" Type="http://schemas.openxmlformats.org/officeDocument/2006/relationships/hyperlink" Target="https://wildberries.ru/catalog/232572897/detail.aspx" TargetMode="External"/><Relationship Id="rId270" Type="http://schemas.openxmlformats.org/officeDocument/2006/relationships/hyperlink" Target="https://ozon.ru/t/80Q3E5" TargetMode="External"/><Relationship Id="rId130" Type="http://schemas.openxmlformats.org/officeDocument/2006/relationships/hyperlink" Target="https://ozon.ru/t/X4B07NA" TargetMode="External"/><Relationship Id="rId368" Type="http://schemas.openxmlformats.org/officeDocument/2006/relationships/hyperlink" Target="https://www.avito.ru/sankt-peterburg/knigi_i_zhurnaly/sborniki_po_muzyke_noty_3657514836" TargetMode="External"/><Relationship Id="rId575" Type="http://schemas.openxmlformats.org/officeDocument/2006/relationships/hyperlink" Target="https://www.wildberries.ru/catalog/168345820/detail.aspx" TargetMode="External"/><Relationship Id="rId782" Type="http://schemas.openxmlformats.org/officeDocument/2006/relationships/hyperlink" Target="https://www.labirint.ru/books/1004150/" TargetMode="External"/><Relationship Id="rId228" Type="http://schemas.openxmlformats.org/officeDocument/2006/relationships/hyperlink" Target="https://www.wildberries.ru/catalog/156776544/detail.aspx?targetUrl=SN" TargetMode="External"/><Relationship Id="rId435" Type="http://schemas.openxmlformats.org/officeDocument/2006/relationships/hyperlink" Target="https://wildberries.ru/catalog/161142736/detail.aspx" TargetMode="External"/><Relationship Id="rId642" Type="http://schemas.openxmlformats.org/officeDocument/2006/relationships/hyperlink" Target="https://wildberries.ru/catalog/87440400/detail.aspx" TargetMode="External"/><Relationship Id="rId1065" Type="http://schemas.openxmlformats.org/officeDocument/2006/relationships/hyperlink" Target="https://ozon.ru/t/4JwxVdj" TargetMode="External"/><Relationship Id="rId1272" Type="http://schemas.openxmlformats.org/officeDocument/2006/relationships/hyperlink" Target="https://wildberries.ru/catalog/26820324/detail.aspx" TargetMode="External"/><Relationship Id="rId502" Type="http://schemas.openxmlformats.org/officeDocument/2006/relationships/hyperlink" Target="https://wildberries.ru/catalog/220927455/detail.aspx" TargetMode="External"/><Relationship Id="rId947" Type="http://schemas.openxmlformats.org/officeDocument/2006/relationships/hyperlink" Target="https://ozon.ru/t/keO1Mm" TargetMode="External"/><Relationship Id="rId1132" Type="http://schemas.openxmlformats.org/officeDocument/2006/relationships/hyperlink" Target="https://www.wildberries.ru/catalog/252342739/detail.aspx" TargetMode="External"/><Relationship Id="rId1577" Type="http://schemas.openxmlformats.org/officeDocument/2006/relationships/hyperlink" Target="https://wildberries.ru/catalog/75230471/detail.aspx" TargetMode="External"/><Relationship Id="rId1784" Type="http://schemas.openxmlformats.org/officeDocument/2006/relationships/hyperlink" Target="https://www.wildberries.ru/catalog/174414854/detail.aspx?size=289189732" TargetMode="External"/><Relationship Id="rId76" Type="http://schemas.openxmlformats.org/officeDocument/2006/relationships/hyperlink" Target="https://www.wildberries.ru/catalog/104494893/detail.aspx?size=163778050" TargetMode="External"/><Relationship Id="rId807" Type="http://schemas.openxmlformats.org/officeDocument/2006/relationships/hyperlink" Target="https://wildberries.ru/catalog/156601537/detail.aspx" TargetMode="External"/><Relationship Id="rId1437" Type="http://schemas.openxmlformats.org/officeDocument/2006/relationships/hyperlink" Target="https://wildberries.ru/catalog/207191506/detail.aspx" TargetMode="External"/><Relationship Id="rId1644" Type="http://schemas.openxmlformats.org/officeDocument/2006/relationships/hyperlink" Target="https://wildberries.ru/catalog/6855701/detail.aspx" TargetMode="External"/><Relationship Id="rId1504" Type="http://schemas.openxmlformats.org/officeDocument/2006/relationships/hyperlink" Target="https://wildberries.ru/catalog/176729232/detail.aspx" TargetMode="External"/><Relationship Id="rId1711" Type="http://schemas.openxmlformats.org/officeDocument/2006/relationships/hyperlink" Target="https://simvolik.ru/catalog/suveniry-podarki/paskha/nabor-magnitnykh-zakladok-svetloy-paskhi-verba-47kh49-mm-4-sht/" TargetMode="External"/><Relationship Id="rId292" Type="http://schemas.openxmlformats.org/officeDocument/2006/relationships/hyperlink" Target="https://ozon.ru/t/6r3MBY" TargetMode="External"/><Relationship Id="rId1809" Type="http://schemas.openxmlformats.org/officeDocument/2006/relationships/hyperlink" Target="https://ozon.ru/t/ZgmK4Lf" TargetMode="External"/><Relationship Id="rId597" Type="http://schemas.openxmlformats.org/officeDocument/2006/relationships/hyperlink" Target="https://www.wildberries.ru/catalog/72192679/detail.aspx" TargetMode="External"/><Relationship Id="rId152" Type="http://schemas.openxmlformats.org/officeDocument/2006/relationships/hyperlink" Target="https://www.wildberries.ru/catalog/156509185/detail.aspx?targetUrl=SN" TargetMode="External"/><Relationship Id="rId457" Type="http://schemas.openxmlformats.org/officeDocument/2006/relationships/hyperlink" Target="https://wildberries.ru/catalog/213803667/detail.aspx" TargetMode="External"/><Relationship Id="rId1087" Type="http://schemas.openxmlformats.org/officeDocument/2006/relationships/hyperlink" Target="https://www.avito.ru/ryazan/zapchasti_i_aksessuary/rele_benzonasosa_honda_accord_5_1993-1998g_4262068009" TargetMode="External"/><Relationship Id="rId1294" Type="http://schemas.openxmlformats.org/officeDocument/2006/relationships/hyperlink" Target="https://wildberries.ru/catalog/241640855/detail.aspx" TargetMode="External"/><Relationship Id="rId664" Type="http://schemas.openxmlformats.org/officeDocument/2006/relationships/hyperlink" Target="https://wildberries.ru/catalog/158311059/detail.aspx" TargetMode="External"/><Relationship Id="rId871" Type="http://schemas.openxmlformats.org/officeDocument/2006/relationships/hyperlink" Target="https://wildberries.ru/catalog/180220467/detail.aspx" TargetMode="External"/><Relationship Id="rId969" Type="http://schemas.openxmlformats.org/officeDocument/2006/relationships/hyperlink" Target="https://www.avito.ru/orders/70000000165517926?source=messenger" TargetMode="External"/><Relationship Id="rId1599" Type="http://schemas.openxmlformats.org/officeDocument/2006/relationships/hyperlink" Target="https://wildberries.ru/catalog/159667334/detail.aspx" TargetMode="External"/><Relationship Id="rId317" Type="http://schemas.openxmlformats.org/officeDocument/2006/relationships/hyperlink" Target="https://www.detmir.ru/product/index/id/6255549/?variant_id=90477722" TargetMode="External"/><Relationship Id="rId524" Type="http://schemas.openxmlformats.org/officeDocument/2006/relationships/hyperlink" Target="https://ozon.ru/t/3e15w2g" TargetMode="External"/><Relationship Id="rId731" Type="http://schemas.openxmlformats.org/officeDocument/2006/relationships/hyperlink" Target="https://www.wildberries.ru/catalog/110794179/detail.aspx?size=201027507" TargetMode="External"/><Relationship Id="rId1154" Type="http://schemas.openxmlformats.org/officeDocument/2006/relationships/hyperlink" Target="https://ozon.ru/t/EO0YKn4" TargetMode="External"/><Relationship Id="rId1361" Type="http://schemas.openxmlformats.org/officeDocument/2006/relationships/hyperlink" Target="https://www.wildberries.ru/catalog/233949548/detail.aspx?size=368755447" TargetMode="External"/><Relationship Id="rId1459" Type="http://schemas.openxmlformats.org/officeDocument/2006/relationships/hyperlink" Target="https://ozon.ru/t/WKmGzZ6" TargetMode="External"/><Relationship Id="rId98" Type="http://schemas.openxmlformats.org/officeDocument/2006/relationships/hyperlink" Target="https://ozon.ru/t/KdMn5LL" TargetMode="External"/><Relationship Id="rId829" Type="http://schemas.openxmlformats.org/officeDocument/2006/relationships/hyperlink" Target="https://www.wildberries.ru/catalog/208097889/detail.aspx" TargetMode="External"/><Relationship Id="rId1014" Type="http://schemas.openxmlformats.org/officeDocument/2006/relationships/hyperlink" Target="https://wildberries.ru/catalog/271908583/detail.aspx" TargetMode="External"/><Relationship Id="rId1221" Type="http://schemas.openxmlformats.org/officeDocument/2006/relationships/hyperlink" Target="https://ozon.ru/t/1OxGdaA" TargetMode="External"/><Relationship Id="rId1666" Type="http://schemas.openxmlformats.org/officeDocument/2006/relationships/hyperlink" Target="https://wildberries.ru/catalog/230137312/detail.aspx" TargetMode="External"/><Relationship Id="rId1319" Type="http://schemas.openxmlformats.org/officeDocument/2006/relationships/hyperlink" Target="https://ozon.ru/t/daB6onZ" TargetMode="External"/><Relationship Id="rId1526" Type="http://schemas.openxmlformats.org/officeDocument/2006/relationships/hyperlink" Target="https://ozon.ru/t/Bk69v3Q" TargetMode="External"/><Relationship Id="rId1733" Type="http://schemas.openxmlformats.org/officeDocument/2006/relationships/hyperlink" Target="https://wildberries.ru/catalog/288651361/detail.aspx" TargetMode="External"/><Relationship Id="rId25" Type="http://schemas.openxmlformats.org/officeDocument/2006/relationships/hyperlink" Target="https://www.wildberries.ru/catalog/59285955/detail.aspx?size=106323763" TargetMode="External"/><Relationship Id="rId1800" Type="http://schemas.openxmlformats.org/officeDocument/2006/relationships/hyperlink" Target="https://www.wildberries.ru/catalog/241083949/detail.aspx" TargetMode="External"/><Relationship Id="rId174" Type="http://schemas.openxmlformats.org/officeDocument/2006/relationships/hyperlink" Target="https://ozon.ru/t/76bynEN" TargetMode="External"/><Relationship Id="rId381" Type="http://schemas.openxmlformats.org/officeDocument/2006/relationships/hyperlink" Target="https://ozon.ru/t/P49YQEr" TargetMode="External"/><Relationship Id="rId241" Type="http://schemas.openxmlformats.org/officeDocument/2006/relationships/hyperlink" Target="https://market.yandex.ru/cc/kSzvkWo/" TargetMode="External"/><Relationship Id="rId479" Type="http://schemas.openxmlformats.org/officeDocument/2006/relationships/hyperlink" Target="https://ozon.ru/t/ADoPgM0" TargetMode="External"/><Relationship Id="rId686" Type="http://schemas.openxmlformats.org/officeDocument/2006/relationships/hyperlink" Target="https://wildberries.ru/catalog/115056667/detail.aspx" TargetMode="External"/><Relationship Id="rId893" Type="http://schemas.openxmlformats.org/officeDocument/2006/relationships/hyperlink" Target="https://wildberries.ru/catalog/235297349/detail.aspx" TargetMode="External"/><Relationship Id="rId339" Type="http://schemas.openxmlformats.org/officeDocument/2006/relationships/hyperlink" Target="https://ozon.ru/t/EzbGP1E" TargetMode="External"/><Relationship Id="rId546" Type="http://schemas.openxmlformats.org/officeDocument/2006/relationships/hyperlink" Target="https://www.wildberries.ru/catalog/234885104/detail.aspx?targetUrl=SN" TargetMode="External"/><Relationship Id="rId753" Type="http://schemas.openxmlformats.org/officeDocument/2006/relationships/hyperlink" Target="https://wildberries.ru/catalog/202699876/detail.aspx" TargetMode="External"/><Relationship Id="rId1176" Type="http://schemas.openxmlformats.org/officeDocument/2006/relationships/hyperlink" Target="https://ozon.ru/t/gZZqmwX" TargetMode="External"/><Relationship Id="rId1383" Type="http://schemas.openxmlformats.org/officeDocument/2006/relationships/hyperlink" Target="https://wildberries.ru/catalog/241672521/detail.aspx" TargetMode="External"/><Relationship Id="rId101" Type="http://schemas.openxmlformats.org/officeDocument/2006/relationships/hyperlink" Target="https://ozon.ru/t/AV20P28" TargetMode="External"/><Relationship Id="rId406" Type="http://schemas.openxmlformats.org/officeDocument/2006/relationships/hyperlink" Target="https://wildberries.ru/catalog/96565091/detail.aspx" TargetMode="External"/><Relationship Id="rId960" Type="http://schemas.openxmlformats.org/officeDocument/2006/relationships/hyperlink" Target="https://www.wildberries.ru/catalog/170186676/detail.aspx?targetUrl=SN" TargetMode="External"/><Relationship Id="rId1036" Type="http://schemas.openxmlformats.org/officeDocument/2006/relationships/hyperlink" Target="https://karapuzov.ru/igrushki/muzykalnye-igrushki/azbukvarik-luchshie-druzya-multipleer-s-ogonkami-kod-93458-s-2-let/" TargetMode="External"/><Relationship Id="rId1243" Type="http://schemas.openxmlformats.org/officeDocument/2006/relationships/hyperlink" Target="https://ozon.ru/t/OnP7py" TargetMode="External"/><Relationship Id="rId1590" Type="http://schemas.openxmlformats.org/officeDocument/2006/relationships/hyperlink" Target="https://ozon.ru/t/8NrVmnz" TargetMode="External"/><Relationship Id="rId1688" Type="http://schemas.openxmlformats.org/officeDocument/2006/relationships/hyperlink" Target="https://www.wildberries.ru/catalog/261597196/detail.aspx?size=406484745" TargetMode="External"/><Relationship Id="rId613" Type="http://schemas.openxmlformats.org/officeDocument/2006/relationships/hyperlink" Target="https://ozon.ru/t/83BqdEr" TargetMode="External"/><Relationship Id="rId820" Type="http://schemas.openxmlformats.org/officeDocument/2006/relationships/hyperlink" Target="https://wildberries.ru/catalog/230654054/detail.aspx" TargetMode="External"/><Relationship Id="rId918" Type="http://schemas.openxmlformats.org/officeDocument/2006/relationships/hyperlink" Target="https://wildberries.ru/catalog/236064275/detail.aspx" TargetMode="External"/><Relationship Id="rId1450" Type="http://schemas.openxmlformats.org/officeDocument/2006/relationships/hyperlink" Target="https://www.wildberries.ru/catalog/58607966/detail.aspx" TargetMode="External"/><Relationship Id="rId1548" Type="http://schemas.openxmlformats.org/officeDocument/2006/relationships/hyperlink" Target="https://ozon.ru/t/XBdbPbB" TargetMode="External"/><Relationship Id="rId1755" Type="http://schemas.openxmlformats.org/officeDocument/2006/relationships/hyperlink" Target="https://wildberries.ru/catalog/79452916/detail.aspx" TargetMode="External"/><Relationship Id="rId1103" Type="http://schemas.openxmlformats.org/officeDocument/2006/relationships/hyperlink" Target="https://ozon.ru/t/AAO1821" TargetMode="External"/><Relationship Id="rId1310" Type="http://schemas.openxmlformats.org/officeDocument/2006/relationships/hyperlink" Target="https://simvolik.ru/catalog/suveniry-podarki/magnity/magnit-pazl-schastya-lyubvi-i-dobra-gibkiy-120kh95-mm/" TargetMode="External"/><Relationship Id="rId1408" Type="http://schemas.openxmlformats.org/officeDocument/2006/relationships/hyperlink" Target="https://ozon.ru/t/Eqp43Zp" TargetMode="External"/><Relationship Id="rId47" Type="http://schemas.openxmlformats.org/officeDocument/2006/relationships/hyperlink" Target="https://www.wildberries.ru/catalog/181462454/detail.aspx?targetUrl=SN" TargetMode="External"/><Relationship Id="rId1615" Type="http://schemas.openxmlformats.org/officeDocument/2006/relationships/hyperlink" Target="https://wildberries.ru/catalog/243053712/detail.aspx" TargetMode="External"/><Relationship Id="rId1822" Type="http://schemas.openxmlformats.org/officeDocument/2006/relationships/hyperlink" Target="https://www.wildberries.ru/catalog/363230733/detail.aspx?targetUrl=SG" TargetMode="External"/><Relationship Id="rId196" Type="http://schemas.openxmlformats.org/officeDocument/2006/relationships/hyperlink" Target="https://ozon.ru/t/nbVoGKW" TargetMode="External"/><Relationship Id="rId263" Type="http://schemas.openxmlformats.org/officeDocument/2006/relationships/hyperlink" Target="https://ozon.ru/t/Gabyj4" TargetMode="External"/><Relationship Id="rId470" Type="http://schemas.openxmlformats.org/officeDocument/2006/relationships/hyperlink" Target="https://ozon.ru/t/QZp2gLz" TargetMode="External"/><Relationship Id="rId123" Type="http://schemas.openxmlformats.org/officeDocument/2006/relationships/hyperlink" Target="https://www.wildberries.ru/catalog/219000099/detail.aspx?size=348463348" TargetMode="External"/><Relationship Id="rId330" Type="http://schemas.openxmlformats.org/officeDocument/2006/relationships/hyperlink" Target="https://www.wildberries.ru/catalog/200699406/detail.aspx?targetUrl=SN" TargetMode="External"/><Relationship Id="rId568" Type="http://schemas.openxmlformats.org/officeDocument/2006/relationships/hyperlink" Target="https://www.wildberries.ru/catalog/181566281/detail.aspx" TargetMode="External"/><Relationship Id="rId775" Type="http://schemas.openxmlformats.org/officeDocument/2006/relationships/hyperlink" Target="https://www.wildberries.ru/catalog/19654903/detail.aspx?targetUrl=SN" TargetMode="External"/><Relationship Id="rId982" Type="http://schemas.openxmlformats.org/officeDocument/2006/relationships/hyperlink" Target="https://ozon.ru/t/bdqa4lM" TargetMode="External"/><Relationship Id="rId1198" Type="http://schemas.openxmlformats.org/officeDocument/2006/relationships/hyperlink" Target="https://wildberries.ru/catalog/225437454/detail.aspx" TargetMode="External"/><Relationship Id="rId428" Type="http://schemas.openxmlformats.org/officeDocument/2006/relationships/hyperlink" Target="https://ozon.ru/t/Pb0XBEV" TargetMode="External"/><Relationship Id="rId635" Type="http://schemas.openxmlformats.org/officeDocument/2006/relationships/hyperlink" Target="https://wildberries.ru/catalog/188764451/detail.aspx" TargetMode="External"/><Relationship Id="rId842" Type="http://schemas.openxmlformats.org/officeDocument/2006/relationships/hyperlink" Target="https://www.wildberries.ru/catalog/191099553/detail.aspx" TargetMode="External"/><Relationship Id="rId1058" Type="http://schemas.openxmlformats.org/officeDocument/2006/relationships/hyperlink" Target="https://ozon.ru/t/jGbjj5a" TargetMode="External"/><Relationship Id="rId1265" Type="http://schemas.openxmlformats.org/officeDocument/2006/relationships/hyperlink" Target="https://www.wildberries.ru/catalog/216493972/detail.aspx?size=345103632" TargetMode="External"/><Relationship Id="rId1472" Type="http://schemas.openxmlformats.org/officeDocument/2006/relationships/hyperlink" Target="https://wildberries.ru/catalog/155690767/detail.aspx" TargetMode="External"/><Relationship Id="rId702" Type="http://schemas.openxmlformats.org/officeDocument/2006/relationships/hyperlink" Target="https://www.wildberries.ru/catalog/182206980/detail.aspx?targetUrl=SN" TargetMode="External"/><Relationship Id="rId1125" Type="http://schemas.openxmlformats.org/officeDocument/2006/relationships/hyperlink" Target="https://ozon.ru/t/KzpQved" TargetMode="External"/><Relationship Id="rId1332" Type="http://schemas.openxmlformats.org/officeDocument/2006/relationships/hyperlink" Target="https://www.wildberries.ru/catalog/274437609/detail.aspx?size=423211170" TargetMode="External"/><Relationship Id="rId1777" Type="http://schemas.openxmlformats.org/officeDocument/2006/relationships/hyperlink" Target="https://www.wildberries.ru/catalog/165880384/detail.aspx?targetUrl=EX" TargetMode="External"/><Relationship Id="rId69" Type="http://schemas.openxmlformats.org/officeDocument/2006/relationships/hyperlink" Target="https://ozon.ru/t/M7knjMl" TargetMode="External"/><Relationship Id="rId1637" Type="http://schemas.openxmlformats.org/officeDocument/2006/relationships/hyperlink" Target="https://www.wildberries.ru/catalog/217950391/detail.aspx" TargetMode="External"/><Relationship Id="rId1704" Type="http://schemas.openxmlformats.org/officeDocument/2006/relationships/hyperlink" Target="https://www.wildberries.ru/catalog/13148938/detail.aspx?targetUrl=XS" TargetMode="External"/><Relationship Id="rId285" Type="http://schemas.openxmlformats.org/officeDocument/2006/relationships/hyperlink" Target="https://www.wildberries.ru/catalog/205658382/detail.aspx?targetUrl=SN" TargetMode="External"/><Relationship Id="rId492" Type="http://schemas.openxmlformats.org/officeDocument/2006/relationships/hyperlink" Target="https://ozon.ru/t/8RERALg" TargetMode="External"/><Relationship Id="rId797" Type="http://schemas.openxmlformats.org/officeDocument/2006/relationships/hyperlink" Target="https://www.ozon.ru/product/arifmetika-vychitanie-mnogorazovye-propisi-dlya-detey-ot-2-let-kirichek-elena-208629097/?utm_campaign=productpage_link&amp;utm_medium=share_button&amp;utm_source=smm" TargetMode="External"/><Relationship Id="rId145" Type="http://schemas.openxmlformats.org/officeDocument/2006/relationships/hyperlink" Target="https://ozon.ru/t/g8EDp4j" TargetMode="External"/><Relationship Id="rId352" Type="http://schemas.openxmlformats.org/officeDocument/2006/relationships/hyperlink" Target="https://ozon.ru/t/z0MLV3R" TargetMode="External"/><Relationship Id="rId1287" Type="http://schemas.openxmlformats.org/officeDocument/2006/relationships/hyperlink" Target="https://ozon.ru/t/gBNvRGL" TargetMode="External"/><Relationship Id="rId212" Type="http://schemas.openxmlformats.org/officeDocument/2006/relationships/hyperlink" Target="https://ozon.ru/t/66gbKqw" TargetMode="External"/><Relationship Id="rId657" Type="http://schemas.openxmlformats.org/officeDocument/2006/relationships/hyperlink" Target="https://wildberries.ru/catalog/246556332/detail.aspx" TargetMode="External"/><Relationship Id="rId864" Type="http://schemas.openxmlformats.org/officeDocument/2006/relationships/hyperlink" Target="https://www.wildberries.ru/catalog/264112527/detail.aspx" TargetMode="External"/><Relationship Id="rId1494" Type="http://schemas.openxmlformats.org/officeDocument/2006/relationships/hyperlink" Target="https://wildberries.ru/catalog/224967017/detail.aspx" TargetMode="External"/><Relationship Id="rId1799" Type="http://schemas.openxmlformats.org/officeDocument/2006/relationships/hyperlink" Target="https://www.wildberries.ru/catalog/152498981/detail.aspx" TargetMode="External"/><Relationship Id="rId517" Type="http://schemas.openxmlformats.org/officeDocument/2006/relationships/hyperlink" Target="https://ozon.ru/t/KKNBnBo" TargetMode="External"/><Relationship Id="rId724" Type="http://schemas.openxmlformats.org/officeDocument/2006/relationships/hyperlink" Target="https://ozon.ru/t/22kPaXj" TargetMode="External"/><Relationship Id="rId931" Type="http://schemas.openxmlformats.org/officeDocument/2006/relationships/hyperlink" Target="https://wildberries.ru/catalog/156226271/detail.aspx" TargetMode="External"/><Relationship Id="rId1147" Type="http://schemas.openxmlformats.org/officeDocument/2006/relationships/hyperlink" Target="https://wildberries.ru/catalog/206620793/detail.aspx" TargetMode="External"/><Relationship Id="rId1354" Type="http://schemas.openxmlformats.org/officeDocument/2006/relationships/hyperlink" Target="https://wildberries.ru/catalog/144315200/detail.aspx" TargetMode="External"/><Relationship Id="rId1561" Type="http://schemas.openxmlformats.org/officeDocument/2006/relationships/hyperlink" Target="https://wildberries.ru/catalog/53311210/detail.aspx" TargetMode="External"/><Relationship Id="rId60" Type="http://schemas.openxmlformats.org/officeDocument/2006/relationships/hyperlink" Target="https://www.wildberries.ru/catalog/142759385/detail.aspx" TargetMode="External"/><Relationship Id="rId1007" Type="http://schemas.openxmlformats.org/officeDocument/2006/relationships/hyperlink" Target="https://ozon.ru/t/5R7QOYE" TargetMode="External"/><Relationship Id="rId1214" Type="http://schemas.openxmlformats.org/officeDocument/2006/relationships/hyperlink" Target="https://ozon.ru/t/jQWeGGR" TargetMode="External"/><Relationship Id="rId1421" Type="http://schemas.openxmlformats.org/officeDocument/2006/relationships/hyperlink" Target="https://wildberries.ru/catalog/304639086/detail.aspx" TargetMode="External"/><Relationship Id="rId1659" Type="http://schemas.openxmlformats.org/officeDocument/2006/relationships/hyperlink" Target="https://www.wildberries.ru/catalog/15779652/detail.aspx" TargetMode="External"/><Relationship Id="rId1519" Type="http://schemas.openxmlformats.org/officeDocument/2006/relationships/hyperlink" Target="https://wildberries.ru/catalog/168166608/detail.aspx" TargetMode="External"/><Relationship Id="rId1726" Type="http://schemas.openxmlformats.org/officeDocument/2006/relationships/hyperlink" Target="https://wildberries.ru/catalog/217598288/detail.aspx" TargetMode="External"/><Relationship Id="rId18" Type="http://schemas.openxmlformats.org/officeDocument/2006/relationships/hyperlink" Target="https://www.ozon.ru/product/nabor-izmeritelnyh-aksessuarov-1453871478/?from=share_android&amp;utm_campaign=productpage_link&amp;utm_medium=share_button&amp;utm_source=smm" TargetMode="External"/><Relationship Id="rId167" Type="http://schemas.openxmlformats.org/officeDocument/2006/relationships/hyperlink" Target="https://www.wildberries.ru/catalog/148746035/detail.aspx?targetUrl=SN" TargetMode="External"/><Relationship Id="rId374" Type="http://schemas.openxmlformats.org/officeDocument/2006/relationships/hyperlink" Target="https://ozon.ru/t/zVqgoQM" TargetMode="External"/><Relationship Id="rId581" Type="http://schemas.openxmlformats.org/officeDocument/2006/relationships/hyperlink" Target="https://www.wildberries.ru/catalog/95011011/detail.aspx" TargetMode="External"/><Relationship Id="rId234" Type="http://schemas.openxmlformats.org/officeDocument/2006/relationships/hyperlink" Target="https://www.wildberries.ru/catalog/205064512/detail.aspx?targetUrl=SN" TargetMode="External"/><Relationship Id="rId679" Type="http://schemas.openxmlformats.org/officeDocument/2006/relationships/hyperlink" Target="https://ozon.ru/t/yJ1ZgzG" TargetMode="External"/><Relationship Id="rId886" Type="http://schemas.openxmlformats.org/officeDocument/2006/relationships/hyperlink" Target="https://www.wildberries.ru/catalog/268736004/detail.aspx?size=416080019" TargetMode="External"/><Relationship Id="rId2" Type="http://schemas.openxmlformats.org/officeDocument/2006/relationships/hyperlink" Target="https://www.wildberries.ru/catalog/18219971/detail.aspx" TargetMode="External"/><Relationship Id="rId441" Type="http://schemas.openxmlformats.org/officeDocument/2006/relationships/hyperlink" Target="https://ozon.ru/t/bZylKAo" TargetMode="External"/><Relationship Id="rId539" Type="http://schemas.openxmlformats.org/officeDocument/2006/relationships/hyperlink" Target="https://ozon.ru/t/KMpb2j4" TargetMode="External"/><Relationship Id="rId746" Type="http://schemas.openxmlformats.org/officeDocument/2006/relationships/hyperlink" Target="https://aliexpress.ru/item/1005004739397495.html?spm=a2g2x.detail.similar_rcmd.0.5d2174ad7KvfDT&amp;mixer_rcmd_bucket_id=aerabtestalgoRecommendAbV2_controlRu2&amp;pdp_trigger_item_id=0_1005007551935013&amp;ru_algo_pv_id=38eee0-61b690-c660a9-862426-1726585200&amp;scenario=aerSimilarItemPdpRcmd&amp;sku_id=12000030297909129&amp;traffic_source=recommendation&amp;type_rcmd=core" TargetMode="External"/><Relationship Id="rId1071" Type="http://schemas.openxmlformats.org/officeDocument/2006/relationships/hyperlink" Target="https://www.wildberries.ru/catalog/156563189/detail.aspx" TargetMode="External"/><Relationship Id="rId1169" Type="http://schemas.openxmlformats.org/officeDocument/2006/relationships/hyperlink" Target="https://www.wildberries.ru/catalog/214960980/detail.aspx?size=343025786" TargetMode="External"/><Relationship Id="rId1376" Type="http://schemas.openxmlformats.org/officeDocument/2006/relationships/hyperlink" Target="https://ozon.ru/t/ly15J8P" TargetMode="External"/><Relationship Id="rId1583" Type="http://schemas.openxmlformats.org/officeDocument/2006/relationships/hyperlink" Target="https://wildberries.ru/catalog/225408190/detail.aspx" TargetMode="External"/><Relationship Id="rId301" Type="http://schemas.openxmlformats.org/officeDocument/2006/relationships/hyperlink" Target="https://www.wildberries.ru/catalog/167376677/detail.aspx?targetUrl=SN" TargetMode="External"/><Relationship Id="rId953" Type="http://schemas.openxmlformats.org/officeDocument/2006/relationships/hyperlink" Target="https://ozon.ru/t/ja7GRYZ" TargetMode="External"/><Relationship Id="rId1029" Type="http://schemas.openxmlformats.org/officeDocument/2006/relationships/hyperlink" Target="https://www.wildberries.ru/catalog/212507258/detail.aspx?size=339778470" TargetMode="External"/><Relationship Id="rId1236" Type="http://schemas.openxmlformats.org/officeDocument/2006/relationships/hyperlink" Target="https://ozon.ru/t/dw7gdkm" TargetMode="External"/><Relationship Id="rId1790" Type="http://schemas.openxmlformats.org/officeDocument/2006/relationships/hyperlink" Target="https://www.wildberries.ru/catalog/148922187/detail.aspx" TargetMode="External"/><Relationship Id="rId82" Type="http://schemas.openxmlformats.org/officeDocument/2006/relationships/hyperlink" Target="https://ozon.ru/t/odkW74y" TargetMode="External"/><Relationship Id="rId606" Type="http://schemas.openxmlformats.org/officeDocument/2006/relationships/hyperlink" Target="https://www.wildberries.ru/catalog/196119918/detail.aspx?targetUrl=MS&amp;size=318430530" TargetMode="External"/><Relationship Id="rId813" Type="http://schemas.openxmlformats.org/officeDocument/2006/relationships/hyperlink" Target="https://wildberries.ru/catalog/173106369/detail.aspx" TargetMode="External"/><Relationship Id="rId1443" Type="http://schemas.openxmlformats.org/officeDocument/2006/relationships/hyperlink" Target="https://wildberries.ru/catalog/283555258/detail.aspx" TargetMode="External"/><Relationship Id="rId1650" Type="http://schemas.openxmlformats.org/officeDocument/2006/relationships/hyperlink" Target="https://www.wildberries.ru/catalog/259383991/detail.aspx?size=403362287" TargetMode="External"/><Relationship Id="rId1748" Type="http://schemas.openxmlformats.org/officeDocument/2006/relationships/hyperlink" Target="https://www.wildberries.ru/catalog/239927614/detail.aspx?size=377211019" TargetMode="External"/><Relationship Id="rId1303" Type="http://schemas.openxmlformats.org/officeDocument/2006/relationships/hyperlink" Target="https://www.wildberries.ru/catalog/253471763/detail.aspx?size=395607493" TargetMode="External"/><Relationship Id="rId1510" Type="http://schemas.openxmlformats.org/officeDocument/2006/relationships/hyperlink" Target="https://wildberries.ru/catalog/187403966/detail.aspx" TargetMode="External"/><Relationship Id="rId1608" Type="http://schemas.openxmlformats.org/officeDocument/2006/relationships/hyperlink" Target="https://www.ozon.ru/product/ginkgo-biloba-dlya-mozga-i-nervnoy-sistemy-dlya-pamyati-kontsentratsii-100-kapsul-1030193074/" TargetMode="External"/><Relationship Id="rId1815" Type="http://schemas.openxmlformats.org/officeDocument/2006/relationships/hyperlink" Target="https://ozon.ru/t/EvxXxWC" TargetMode="External"/><Relationship Id="rId189" Type="http://schemas.openxmlformats.org/officeDocument/2006/relationships/hyperlink" Target="https://ozon.ru/t/V4qLK0q" TargetMode="External"/><Relationship Id="rId396" Type="http://schemas.openxmlformats.org/officeDocument/2006/relationships/hyperlink" Target="https://wildberries.ru/catalog/192121651/detail.aspx" TargetMode="External"/><Relationship Id="rId256" Type="http://schemas.openxmlformats.org/officeDocument/2006/relationships/hyperlink" Target="https://ozon.ru/t/MVXLky" TargetMode="External"/><Relationship Id="rId463" Type="http://schemas.openxmlformats.org/officeDocument/2006/relationships/hyperlink" Target="https://ozon.ru/t/lG6KWEY" TargetMode="External"/><Relationship Id="rId670" Type="http://schemas.openxmlformats.org/officeDocument/2006/relationships/hyperlink" Target="https://www.wildberries.ru/catalog/150674784/detail.aspx?size=252573364" TargetMode="External"/><Relationship Id="rId1093" Type="http://schemas.openxmlformats.org/officeDocument/2006/relationships/hyperlink" Target="https://www.wildberries.ru/catalog/231560171/detail.aspx?size=365448720" TargetMode="External"/><Relationship Id="rId116" Type="http://schemas.openxmlformats.org/officeDocument/2006/relationships/hyperlink" Target="https://www.wildberries.ru/catalog/139683123/detail.aspx?targetUrl=SN" TargetMode="External"/><Relationship Id="rId323" Type="http://schemas.openxmlformats.org/officeDocument/2006/relationships/hyperlink" Target="https://www.wildberries.ru/catalog/16134611/detail.aspx?targetUrl=SN" TargetMode="External"/><Relationship Id="rId530" Type="http://schemas.openxmlformats.org/officeDocument/2006/relationships/hyperlink" Target="https://ozon.ru/t/Nw5yZW1" TargetMode="External"/><Relationship Id="rId768" Type="http://schemas.openxmlformats.org/officeDocument/2006/relationships/hyperlink" Target="https://ozon.ru/t/Pgk636V" TargetMode="External"/><Relationship Id="rId975" Type="http://schemas.openxmlformats.org/officeDocument/2006/relationships/hyperlink" Target="https://wildberries.ru/catalog/178384657/detail.aspx" TargetMode="External"/><Relationship Id="rId1160" Type="http://schemas.openxmlformats.org/officeDocument/2006/relationships/hyperlink" Target="https://www.wildberries.ru/catalog/246923953/detail.aspx" TargetMode="External"/><Relationship Id="rId1398" Type="http://schemas.openxmlformats.org/officeDocument/2006/relationships/hyperlink" Target="https://www.wildberries.ru/catalog/192170161/detail.aspx?targetUrl=MS&amp;size=313621797" TargetMode="External"/><Relationship Id="rId628" Type="http://schemas.openxmlformats.org/officeDocument/2006/relationships/hyperlink" Target="https://ozon.ru/t/1MMp9pj" TargetMode="External"/><Relationship Id="rId835" Type="http://schemas.openxmlformats.org/officeDocument/2006/relationships/hyperlink" Target="https://www.wildberries.ru/catalog/159498693/detail.aspx" TargetMode="External"/><Relationship Id="rId1258" Type="http://schemas.openxmlformats.org/officeDocument/2006/relationships/hyperlink" Target="https://www.wildberries.ru/catalog/112109965/detail.aspx" TargetMode="External"/><Relationship Id="rId1465" Type="http://schemas.openxmlformats.org/officeDocument/2006/relationships/hyperlink" Target="https://wildberries.ru/catalog/16839595/detail.aspx" TargetMode="External"/><Relationship Id="rId1672" Type="http://schemas.openxmlformats.org/officeDocument/2006/relationships/hyperlink" Target="https://ozon.ru/t/NBbdazX" TargetMode="External"/><Relationship Id="rId1020" Type="http://schemas.openxmlformats.org/officeDocument/2006/relationships/hyperlink" Target="https://wildberries.ru/catalog/165209789/detail.aspx" TargetMode="External"/><Relationship Id="rId1118" Type="http://schemas.openxmlformats.org/officeDocument/2006/relationships/hyperlink" Target="https://ozon.ru/t/J9oe1Pb" TargetMode="External"/><Relationship Id="rId1325" Type="http://schemas.openxmlformats.org/officeDocument/2006/relationships/hyperlink" Target="https://ozon.ru/t/LZn9AqJ" TargetMode="External"/><Relationship Id="rId1532" Type="http://schemas.openxmlformats.org/officeDocument/2006/relationships/hyperlink" Target="https://wildberries.ru/catalog/199985589/detail.aspx" TargetMode="External"/><Relationship Id="rId902" Type="http://schemas.openxmlformats.org/officeDocument/2006/relationships/hyperlink" Target="https://ozon.ru/t/x10ymme" TargetMode="External"/><Relationship Id="rId31" Type="http://schemas.openxmlformats.org/officeDocument/2006/relationships/hyperlink" Target="https://ozon.ru/t/qARVVGg" TargetMode="External"/><Relationship Id="rId180" Type="http://schemas.openxmlformats.org/officeDocument/2006/relationships/hyperlink" Target="https://www.wildberries.ru/catalog/64964223/detail.aspx?targetUrl=SN" TargetMode="External"/><Relationship Id="rId278" Type="http://schemas.openxmlformats.org/officeDocument/2006/relationships/hyperlink" Target="https://zyorna.ru/catalog/item/est-sila-blagodatnaya-107242" TargetMode="External"/><Relationship Id="rId485" Type="http://schemas.openxmlformats.org/officeDocument/2006/relationships/hyperlink" Target="https://www.wildberries.ru/catalog/212554794/detail.aspx?size=339843529" TargetMode="External"/><Relationship Id="rId692" Type="http://schemas.openxmlformats.org/officeDocument/2006/relationships/hyperlink" Target="https://www.wildberries.ru/catalog/241245890/detail.aspx" TargetMode="External"/><Relationship Id="rId138" Type="http://schemas.openxmlformats.org/officeDocument/2006/relationships/hyperlink" Target="https://ozon.ru/t/26WM0Na" TargetMode="External"/><Relationship Id="rId345" Type="http://schemas.openxmlformats.org/officeDocument/2006/relationships/hyperlink" Target="https://ozon.ru/t/a4XPbAZ" TargetMode="External"/><Relationship Id="rId552" Type="http://schemas.openxmlformats.org/officeDocument/2006/relationships/hyperlink" Target="https://wildberries.ru/catalog/239401277/detail.aspx" TargetMode="External"/><Relationship Id="rId997" Type="http://schemas.openxmlformats.org/officeDocument/2006/relationships/hyperlink" Target="https://www.wildberries.ru/catalog/254137512/detail.aspx" TargetMode="External"/><Relationship Id="rId1182" Type="http://schemas.openxmlformats.org/officeDocument/2006/relationships/hyperlink" Target="https://ozon.ru/t/lby9kZZ" TargetMode="External"/><Relationship Id="rId205" Type="http://schemas.openxmlformats.org/officeDocument/2006/relationships/hyperlink" Target="https://www.wildberries.ru/catalog/161075080/detail.aspx?targetUrl=SN" TargetMode="External"/><Relationship Id="rId412" Type="http://schemas.openxmlformats.org/officeDocument/2006/relationships/hyperlink" Target="https://www.wildberries.ru/catalog/229809876/detail.aspx?targetUrl=EX" TargetMode="External"/><Relationship Id="rId857" Type="http://schemas.openxmlformats.org/officeDocument/2006/relationships/hyperlink" Target="https://ozon.ru/t/RVv2oOY" TargetMode="External"/><Relationship Id="rId1042" Type="http://schemas.openxmlformats.org/officeDocument/2006/relationships/hyperlink" Target="https://www.wildberries.ru/catalog/114483711/detail.aspx" TargetMode="External"/><Relationship Id="rId1487" Type="http://schemas.openxmlformats.org/officeDocument/2006/relationships/hyperlink" Target="https://www.wildberries.ru/catalog/198084294/detail.aspx?targetUrl=MS&amp;size=321023275" TargetMode="External"/><Relationship Id="rId1694" Type="http://schemas.openxmlformats.org/officeDocument/2006/relationships/hyperlink" Target="https://www.wildberries.ru/catalog/235604132/detail.aspx?size=371215641" TargetMode="External"/><Relationship Id="rId717" Type="http://schemas.openxmlformats.org/officeDocument/2006/relationships/hyperlink" Target="https://wildberries.ru/catalog/207075737/detail.aspx" TargetMode="External"/><Relationship Id="rId924" Type="http://schemas.openxmlformats.org/officeDocument/2006/relationships/hyperlink" Target="https://wildberries.ru/catalog/221532135/detail.aspx" TargetMode="External"/><Relationship Id="rId1347" Type="http://schemas.openxmlformats.org/officeDocument/2006/relationships/hyperlink" Target="https://wildberries.ru/catalog/273425810/detail.aspx" TargetMode="External"/><Relationship Id="rId1554" Type="http://schemas.openxmlformats.org/officeDocument/2006/relationships/hyperlink" Target="https://ozon.ru/t/b17d2kE" TargetMode="External"/><Relationship Id="rId1761" Type="http://schemas.openxmlformats.org/officeDocument/2006/relationships/hyperlink" Target="https://www.wildberries.ru/catalog/170214145/detail.aspx" TargetMode="External"/><Relationship Id="rId53" Type="http://schemas.openxmlformats.org/officeDocument/2006/relationships/hyperlink" Target="https://ozon.ru/t/DlGZ0j4" TargetMode="External"/><Relationship Id="rId1207" Type="http://schemas.openxmlformats.org/officeDocument/2006/relationships/hyperlink" Target="https://www.wildberries.ru/catalog/174889631/detail.aspx?size=289903515" TargetMode="External"/><Relationship Id="rId1414" Type="http://schemas.openxmlformats.org/officeDocument/2006/relationships/hyperlink" Target="https://wildberries.ru/catalog/154566571/detail.aspx" TargetMode="External"/><Relationship Id="rId1621" Type="http://schemas.openxmlformats.org/officeDocument/2006/relationships/hyperlink" Target="https://wildberries.ru/catalog/302427039/detail.aspx" TargetMode="External"/><Relationship Id="rId1719" Type="http://schemas.openxmlformats.org/officeDocument/2006/relationships/hyperlink" Target="https://www.avito.ru/moskva/odezhda_obuv_aksessuary/kepka_jordan_rise_cap_original_3729047294" TargetMode="External"/><Relationship Id="rId367" Type="http://schemas.openxmlformats.org/officeDocument/2006/relationships/hyperlink" Target="https://www.avito.ru/krasnodar/knigi_i_zhurnaly/bukvar_1994g_3876101570" TargetMode="External"/><Relationship Id="rId574" Type="http://schemas.openxmlformats.org/officeDocument/2006/relationships/hyperlink" Target="https://www.wildberries.ru/catalog/7369116/detail.aspx" TargetMode="External"/><Relationship Id="rId227" Type="http://schemas.openxmlformats.org/officeDocument/2006/relationships/hyperlink" Target="https://www.wildberries.ru/catalog/215731927/detail.aspx?targetUrl=SN" TargetMode="External"/><Relationship Id="rId781" Type="http://schemas.openxmlformats.org/officeDocument/2006/relationships/hyperlink" Target="https://sretenie.com/book/element.php?ID=104884" TargetMode="External"/><Relationship Id="rId879" Type="http://schemas.openxmlformats.org/officeDocument/2006/relationships/hyperlink" Target="https://wildberries.ru/catalog/42679029/detail.aspx" TargetMode="External"/><Relationship Id="rId434" Type="http://schemas.openxmlformats.org/officeDocument/2006/relationships/hyperlink" Target="https://wildberries.ru/catalog/144663190/detail.aspx" TargetMode="External"/><Relationship Id="rId641" Type="http://schemas.openxmlformats.org/officeDocument/2006/relationships/hyperlink" Target="https://wildberries.ru/catalog/87562398/detail.aspx" TargetMode="External"/><Relationship Id="rId739" Type="http://schemas.openxmlformats.org/officeDocument/2006/relationships/hyperlink" Target="https://www.wildberries.ru/catalog/141004904/detail.aspx?size=238937715" TargetMode="External"/><Relationship Id="rId1064" Type="http://schemas.openxmlformats.org/officeDocument/2006/relationships/hyperlink" Target="https://ozon.ru/t/VMBpOoW" TargetMode="External"/><Relationship Id="rId1271" Type="http://schemas.openxmlformats.org/officeDocument/2006/relationships/hyperlink" Target="https://www.ozon.ru/product/tryapka-dlya-pola-iz-mikrofibry-superchist-50h60-sm-2sht-zelenaya-306369328/?asb2=QQI-vGzUM3ynoayld4w6s9Q1I_6pm18WkEH7n5iLnYyVClG4cvqYYosO2YoQJyNBUxX2_0S_xpCd3B9ZeFLBWNUXokoPJYq6Hnrac155lSNWszp8HeP3YMAel-2U-s7WD7KYd-kZeqPcOYHwrfSvjBPDp4nYFs2NZpwe1WtEpEc&amp;from_sku=306369328&amp;oos_search=false" TargetMode="External"/><Relationship Id="rId1369" Type="http://schemas.openxmlformats.org/officeDocument/2006/relationships/hyperlink" Target="https://wildberries.ru/catalog/178889734/detail.aspx" TargetMode="External"/><Relationship Id="rId1576" Type="http://schemas.openxmlformats.org/officeDocument/2006/relationships/hyperlink" Target="https://wildberries.ru/catalog/163781988/detail.aspx" TargetMode="External"/><Relationship Id="rId501" Type="http://schemas.openxmlformats.org/officeDocument/2006/relationships/hyperlink" Target="https://ozon.ru/t/R3z3JWL" TargetMode="External"/><Relationship Id="rId946" Type="http://schemas.openxmlformats.org/officeDocument/2006/relationships/hyperlink" Target="https://www.arfacar.ru/kryshki_srs_airbag/krishka-srs-airbag-nakladka-podushki-bezopasnosti-v-rul-honda-civic-10-amerika.html" TargetMode="External"/><Relationship Id="rId1131" Type="http://schemas.openxmlformats.org/officeDocument/2006/relationships/hyperlink" Target="https://ozon.ru/t/OZBl2Wy" TargetMode="External"/><Relationship Id="rId1229" Type="http://schemas.openxmlformats.org/officeDocument/2006/relationships/hyperlink" Target="https://wildberries.ru/catalog/168523504/detail.aspx" TargetMode="External"/><Relationship Id="rId1783" Type="http://schemas.openxmlformats.org/officeDocument/2006/relationships/hyperlink" Target="https://wildberries.ru/catalog/33672456/detail.aspx" TargetMode="External"/><Relationship Id="rId75" Type="http://schemas.openxmlformats.org/officeDocument/2006/relationships/hyperlink" Target="https://www.wildberries.ru/catalog/160292534/detail.aspx?size=266487516" TargetMode="External"/><Relationship Id="rId806" Type="http://schemas.openxmlformats.org/officeDocument/2006/relationships/hyperlink" Target="https://wildberries.ru/catalog/173659410/detail.aspx" TargetMode="External"/><Relationship Id="rId1436" Type="http://schemas.openxmlformats.org/officeDocument/2006/relationships/hyperlink" Target="https://wildberries.ru/catalog/272935828/detail.aspx" TargetMode="External"/><Relationship Id="rId1643" Type="http://schemas.openxmlformats.org/officeDocument/2006/relationships/hyperlink" Target="https://www.wildberries.ru/catalog/167993277/detail.aspx" TargetMode="External"/><Relationship Id="rId1503" Type="http://schemas.openxmlformats.org/officeDocument/2006/relationships/hyperlink" Target="https://wildberries.ru/catalog/247626390/detail.aspx" TargetMode="External"/><Relationship Id="rId1710" Type="http://schemas.openxmlformats.org/officeDocument/2006/relationships/hyperlink" Target="https://ozon.ru/t/wkVYmy7" TargetMode="External"/><Relationship Id="rId291" Type="http://schemas.openxmlformats.org/officeDocument/2006/relationships/hyperlink" Target="https://www.wildberries.ru/catalog/178151775/detail.aspx?targetUrl=SN" TargetMode="External"/><Relationship Id="rId1808" Type="http://schemas.openxmlformats.org/officeDocument/2006/relationships/hyperlink" Target="https://ozon.ru/t/lQWbEpU" TargetMode="External"/><Relationship Id="rId151" Type="http://schemas.openxmlformats.org/officeDocument/2006/relationships/hyperlink" Target="https://www.wildberries.ru/catalog/177348132/detail.aspx?targetUrl=SN" TargetMode="External"/><Relationship Id="rId389" Type="http://schemas.openxmlformats.org/officeDocument/2006/relationships/hyperlink" Target="https://ozon.ru/t/o1Vo3aE" TargetMode="External"/><Relationship Id="rId596" Type="http://schemas.openxmlformats.org/officeDocument/2006/relationships/hyperlink" Target="https://www.wildberries.ru/catalog/197654275/detail.aspx" TargetMode="External"/><Relationship Id="rId249" Type="http://schemas.openxmlformats.org/officeDocument/2006/relationships/hyperlink" Target="https://ozon.ru/t/jPE21G" TargetMode="External"/><Relationship Id="rId456" Type="http://schemas.openxmlformats.org/officeDocument/2006/relationships/hyperlink" Target="https://wildberries.ru/catalog/236023277/detail.aspx" TargetMode="External"/><Relationship Id="rId663" Type="http://schemas.openxmlformats.org/officeDocument/2006/relationships/hyperlink" Target="https://wildberries.ru/catalog/145115486/detail.aspx" TargetMode="External"/><Relationship Id="rId870" Type="http://schemas.openxmlformats.org/officeDocument/2006/relationships/hyperlink" Target="https://wildberries.ru/catalog/213566096/detail.aspx" TargetMode="External"/><Relationship Id="rId1086" Type="http://schemas.openxmlformats.org/officeDocument/2006/relationships/hyperlink" Target="https://www.wildberries.ru/catalog/149832349/detail.aspx" TargetMode="External"/><Relationship Id="rId1293" Type="http://schemas.openxmlformats.org/officeDocument/2006/relationships/hyperlink" Target="https://ozon.ru/t/vwRg79y" TargetMode="External"/><Relationship Id="rId109" Type="http://schemas.openxmlformats.org/officeDocument/2006/relationships/hyperlink" Target="https://www.wildberries.ru/catalog/139621156/detail.aspx" TargetMode="External"/><Relationship Id="rId316" Type="http://schemas.openxmlformats.org/officeDocument/2006/relationships/hyperlink" Target="https://www.detmir.ru/product/index/id/6255561/?variant_id=90477800" TargetMode="External"/><Relationship Id="rId523" Type="http://schemas.openxmlformats.org/officeDocument/2006/relationships/hyperlink" Target="https://ozon.ru/t/516prne" TargetMode="External"/><Relationship Id="rId968" Type="http://schemas.openxmlformats.org/officeDocument/2006/relationships/hyperlink" Target="https://wildberries.ru/catalog/139669610/detail.aspx" TargetMode="External"/><Relationship Id="rId1153" Type="http://schemas.openxmlformats.org/officeDocument/2006/relationships/hyperlink" Target="https://wildberries.ru/catalog/172995673/detail.aspx" TargetMode="External"/><Relationship Id="rId1598" Type="http://schemas.openxmlformats.org/officeDocument/2006/relationships/hyperlink" Target="https://wildberries.ru/catalog/271649732/detail.aspx" TargetMode="External"/><Relationship Id="rId97" Type="http://schemas.openxmlformats.org/officeDocument/2006/relationships/hyperlink" Target="https://ozon.ru/t/DlKnQJw" TargetMode="External"/><Relationship Id="rId730" Type="http://schemas.openxmlformats.org/officeDocument/2006/relationships/hyperlink" Target="https://www.wildberries.ru/catalog/229433452/detail.aspx?size=362532886" TargetMode="External"/><Relationship Id="rId828" Type="http://schemas.openxmlformats.org/officeDocument/2006/relationships/hyperlink" Target="https://www.wildberries.ru/catalog/254142841/detail.aspx" TargetMode="External"/><Relationship Id="rId1013" Type="http://schemas.openxmlformats.org/officeDocument/2006/relationships/hyperlink" Target="https://ozon.ru/t/7R4xVxd" TargetMode="External"/><Relationship Id="rId1360" Type="http://schemas.openxmlformats.org/officeDocument/2006/relationships/hyperlink" Target="https://www.wildberries.ru/catalog/243096336/detail.aspx?size=381561860" TargetMode="External"/><Relationship Id="rId1458" Type="http://schemas.openxmlformats.org/officeDocument/2006/relationships/hyperlink" Target="https://rostov-na-donu.uteka.ru/product/diskus-kompozitum-99679/" TargetMode="External"/><Relationship Id="rId1665" Type="http://schemas.openxmlformats.org/officeDocument/2006/relationships/hyperlink" Target="https://wildberries.ru/catalog/251790750/detail.aspx" TargetMode="External"/><Relationship Id="rId1220" Type="http://schemas.openxmlformats.org/officeDocument/2006/relationships/hyperlink" Target="https://www.wildberries.ru/catalog/21375006/detail.aspx" TargetMode="External"/><Relationship Id="rId1318" Type="http://schemas.openxmlformats.org/officeDocument/2006/relationships/hyperlink" Target="https://ozon.ru/t/zkXDDnx" TargetMode="External"/><Relationship Id="rId1525" Type="http://schemas.openxmlformats.org/officeDocument/2006/relationships/hyperlink" Target="https://ozon.ru/t/5YnzDy8" TargetMode="External"/><Relationship Id="rId1732" Type="http://schemas.openxmlformats.org/officeDocument/2006/relationships/hyperlink" Target="https://wildberries.ru/catalog/174704919/detail.aspx" TargetMode="External"/><Relationship Id="rId24" Type="http://schemas.openxmlformats.org/officeDocument/2006/relationships/hyperlink" Target="https://www.wildberries.ru/catalog/29669199/detail.aspx?size=66038573" TargetMode="External"/><Relationship Id="rId173" Type="http://schemas.openxmlformats.org/officeDocument/2006/relationships/hyperlink" Target="https://ozon.ru/t/Bl08W1V" TargetMode="External"/><Relationship Id="rId380" Type="http://schemas.openxmlformats.org/officeDocument/2006/relationships/hyperlink" Target="https://wildberries.ru/catalog/154862390/detail.aspx" TargetMode="External"/><Relationship Id="rId240" Type="http://schemas.openxmlformats.org/officeDocument/2006/relationships/hyperlink" Target="https://www.wildberries.ru/catalog/133665746/detail.aspx?targetUrl=SN" TargetMode="External"/><Relationship Id="rId478" Type="http://schemas.openxmlformats.org/officeDocument/2006/relationships/hyperlink" Target="https://ozon.ru/t/YYPwkKo" TargetMode="External"/><Relationship Id="rId685" Type="http://schemas.openxmlformats.org/officeDocument/2006/relationships/hyperlink" Target="https://www.wildberries.ru/catalog/11022145/detail.aspx?targetUrl=SN" TargetMode="External"/><Relationship Id="rId892" Type="http://schemas.openxmlformats.org/officeDocument/2006/relationships/hyperlink" Target="https://ozon.ru/t/5jQwGAg" TargetMode="External"/><Relationship Id="rId100" Type="http://schemas.openxmlformats.org/officeDocument/2006/relationships/hyperlink" Target="https://www.wildberries.ru/catalog/9735527/detail.aspx" TargetMode="External"/><Relationship Id="rId338" Type="http://schemas.openxmlformats.org/officeDocument/2006/relationships/hyperlink" Target="https://ozon.ru/t/oAW6g4E" TargetMode="External"/><Relationship Id="rId545" Type="http://schemas.openxmlformats.org/officeDocument/2006/relationships/hyperlink" Target="https://wildberries.ru/catalog/172019903/detail.aspx" TargetMode="External"/><Relationship Id="rId752" Type="http://schemas.openxmlformats.org/officeDocument/2006/relationships/hyperlink" Target="https://wildberries.ru/catalog/199754825/detail.aspx" TargetMode="External"/><Relationship Id="rId1175" Type="http://schemas.openxmlformats.org/officeDocument/2006/relationships/hyperlink" Target="https://ozon.ru/t/3lWKXLz" TargetMode="External"/><Relationship Id="rId1382" Type="http://schemas.openxmlformats.org/officeDocument/2006/relationships/hyperlink" Target="https://www.wildberries.ru/catalog/251457387/detail.aspx" TargetMode="External"/><Relationship Id="rId405" Type="http://schemas.openxmlformats.org/officeDocument/2006/relationships/hyperlink" Target="https://wildberries.ru/catalog/71733821/detail.aspx" TargetMode="External"/><Relationship Id="rId612" Type="http://schemas.openxmlformats.org/officeDocument/2006/relationships/hyperlink" Target="https://www.avito.ru/moskva/knigi_i_zhurnaly/entsiklopediya_dlya_malenkih_vunderkindov_2881476906" TargetMode="External"/><Relationship Id="rId1035" Type="http://schemas.openxmlformats.org/officeDocument/2006/relationships/hyperlink" Target="https://ozon.ru/t/25qGQBe" TargetMode="External"/><Relationship Id="rId1242" Type="http://schemas.openxmlformats.org/officeDocument/2006/relationships/hyperlink" Target="https://ozon.ru/t/Edmvd8M" TargetMode="External"/><Relationship Id="rId1687" Type="http://schemas.openxmlformats.org/officeDocument/2006/relationships/hyperlink" Target="https://wildberries.ru/catalog/41002668/detail.aspx" TargetMode="External"/><Relationship Id="rId917" Type="http://schemas.openxmlformats.org/officeDocument/2006/relationships/hyperlink" Target="https://www.wildberries.ru/catalog/15646670/detail.aspx?size=45269377" TargetMode="External"/><Relationship Id="rId1102" Type="http://schemas.openxmlformats.org/officeDocument/2006/relationships/hyperlink" Target="https://ozon.ru/t/d5rOmKz" TargetMode="External"/><Relationship Id="rId1547" Type="http://schemas.openxmlformats.org/officeDocument/2006/relationships/hyperlink" Target="https://ozon.ru/t/zBbpbJE" TargetMode="External"/><Relationship Id="rId1754" Type="http://schemas.openxmlformats.org/officeDocument/2006/relationships/hyperlink" Target="https://www.wildberries.ru/catalog/304660250/detail.aspx?size=462566825" TargetMode="External"/><Relationship Id="rId46" Type="http://schemas.openxmlformats.org/officeDocument/2006/relationships/hyperlink" Target="https://www.wildberries.ru/catalog/110382766/detail.aspx?targetUrl=SN" TargetMode="External"/><Relationship Id="rId1407" Type="http://schemas.openxmlformats.org/officeDocument/2006/relationships/hyperlink" Target="https://ozon.ru/t/goGgjx3" TargetMode="External"/><Relationship Id="rId1614" Type="http://schemas.openxmlformats.org/officeDocument/2006/relationships/hyperlink" Target="https://wildberries.ru/catalog/161263684/detail.aspx" TargetMode="External"/><Relationship Id="rId1821" Type="http://schemas.openxmlformats.org/officeDocument/2006/relationships/hyperlink" Target="https://www.wildberries.ru/catalog/257062067/detail.aspx" TargetMode="External"/><Relationship Id="rId195" Type="http://schemas.openxmlformats.org/officeDocument/2006/relationships/hyperlink" Target="https://ozon.ru/t/0qgZdjL" TargetMode="External"/><Relationship Id="rId262" Type="http://schemas.openxmlformats.org/officeDocument/2006/relationships/hyperlink" Target="https://ozon.ru/t/6P2NVk" TargetMode="External"/><Relationship Id="rId567" Type="http://schemas.openxmlformats.org/officeDocument/2006/relationships/hyperlink" Target="https://www.wildberries.ru/catalog/119794060/detail.aspx" TargetMode="External"/><Relationship Id="rId1197" Type="http://schemas.openxmlformats.org/officeDocument/2006/relationships/hyperlink" Target="https://www.wildberries.ru/catalog/210103542/detail.aspx?size=336328653" TargetMode="External"/><Relationship Id="rId122" Type="http://schemas.openxmlformats.org/officeDocument/2006/relationships/hyperlink" Target="https://www.avito.ru/moskva/zapchasti_i_aksessuary/blok_predohraniteley_dlya_peugeot-citroen_c5_1_3839720661" TargetMode="External"/><Relationship Id="rId774" Type="http://schemas.openxmlformats.org/officeDocument/2006/relationships/hyperlink" Target="https://ozon.ru/t/Zngrkdz" TargetMode="External"/><Relationship Id="rId981" Type="http://schemas.openxmlformats.org/officeDocument/2006/relationships/hyperlink" Target="https://wildberries.ru/catalog/221711548/detail.aspx" TargetMode="External"/><Relationship Id="rId1057" Type="http://schemas.openxmlformats.org/officeDocument/2006/relationships/hyperlink" Target="https://ozon.ru/t/Nmp78B" TargetMode="External"/><Relationship Id="rId427" Type="http://schemas.openxmlformats.org/officeDocument/2006/relationships/hyperlink" Target="https://www.wildberries.ru/catalog/23652703/detail.aspx" TargetMode="External"/><Relationship Id="rId634" Type="http://schemas.openxmlformats.org/officeDocument/2006/relationships/hyperlink" Target="https://ozon.ru/t/9KK8N07" TargetMode="External"/><Relationship Id="rId841" Type="http://schemas.openxmlformats.org/officeDocument/2006/relationships/hyperlink" Target="https://www.wildberries.ru/catalog/32550266/detail.aspx" TargetMode="External"/><Relationship Id="rId1264" Type="http://schemas.openxmlformats.org/officeDocument/2006/relationships/hyperlink" Target="https://www.wildberries.ru/catalog/177359621/detail.aspx?size=293694438" TargetMode="External"/><Relationship Id="rId1471" Type="http://schemas.openxmlformats.org/officeDocument/2006/relationships/hyperlink" Target="https://wildberries.ru/catalog/170054874/detail.aspx" TargetMode="External"/><Relationship Id="rId1569" Type="http://schemas.openxmlformats.org/officeDocument/2006/relationships/hyperlink" Target="https://wildberries.ru/catalog/18797056/detail.aspx" TargetMode="External"/><Relationship Id="rId701" Type="http://schemas.openxmlformats.org/officeDocument/2006/relationships/hyperlink" Target="https://www.wildberries.ru/catalog/183963861/detail.aspx?targetUrl=SN" TargetMode="External"/><Relationship Id="rId939" Type="http://schemas.openxmlformats.org/officeDocument/2006/relationships/hyperlink" Target="https://wildberries.ru/catalog/140992832/detail.aspx" TargetMode="External"/><Relationship Id="rId1124" Type="http://schemas.openxmlformats.org/officeDocument/2006/relationships/hyperlink" Target="https://ozon.ru/t/ZZZ2WN1" TargetMode="External"/><Relationship Id="rId1331" Type="http://schemas.openxmlformats.org/officeDocument/2006/relationships/hyperlink" Target="https://www.wildberries.ru/catalog/254560986/detail.aspx?size=397067060" TargetMode="External"/><Relationship Id="rId1776" Type="http://schemas.openxmlformats.org/officeDocument/2006/relationships/hyperlink" Target="https://ozon.ru/t/cBF0sNv" TargetMode="External"/><Relationship Id="rId68" Type="http://schemas.openxmlformats.org/officeDocument/2006/relationships/hyperlink" Target="https://ozon.ru/t/0qWX8qL" TargetMode="External"/><Relationship Id="rId1429" Type="http://schemas.openxmlformats.org/officeDocument/2006/relationships/hyperlink" Target="https://ozon.ru/t/ld6jNkn" TargetMode="External"/><Relationship Id="rId1636" Type="http://schemas.openxmlformats.org/officeDocument/2006/relationships/hyperlink" Target="https://www.wildberries.ru/catalog/292032566/detail.aspx" TargetMode="External"/><Relationship Id="rId1703" Type="http://schemas.openxmlformats.org/officeDocument/2006/relationships/hyperlink" Target="https://www.wildberries.ru/catalog/15070130/detail.aspx?targetUrl=XS" TargetMode="External"/><Relationship Id="rId284" Type="http://schemas.openxmlformats.org/officeDocument/2006/relationships/hyperlink" Target="https://www.wildberries.ru/catalog/223186484/detail.aspx?targetUrl=SN" TargetMode="External"/><Relationship Id="rId491" Type="http://schemas.openxmlformats.org/officeDocument/2006/relationships/hyperlink" Target="https://ozon.ru/t/W3N3E9q" TargetMode="External"/><Relationship Id="rId144" Type="http://schemas.openxmlformats.org/officeDocument/2006/relationships/hyperlink" Target="https://lillu.ru/kniga-detskaya-krotik-i-zontik-i-drugie-istorii-zdeneka-millera-seriya-detskaya-biblioteka-rosmen-novaya-rosmen-08352-8/" TargetMode="External"/><Relationship Id="rId589" Type="http://schemas.openxmlformats.org/officeDocument/2006/relationships/hyperlink" Target="https://ozon.ru/t/dwznKEV" TargetMode="External"/><Relationship Id="rId796" Type="http://schemas.openxmlformats.org/officeDocument/2006/relationships/hyperlink" Target="https://ozon.ru/t/daJrnrG" TargetMode="External"/><Relationship Id="rId351" Type="http://schemas.openxmlformats.org/officeDocument/2006/relationships/hyperlink" Target="https://www.wildberries.ru/catalog/164005437/detail.aspx?targetUrl=SN" TargetMode="External"/><Relationship Id="rId449" Type="http://schemas.openxmlformats.org/officeDocument/2006/relationships/hyperlink" Target="https://wildberries.ru/catalog/199752741/detail.aspx" TargetMode="External"/><Relationship Id="rId656" Type="http://schemas.openxmlformats.org/officeDocument/2006/relationships/hyperlink" Target="https://ozon.ru/t/4Ggp7Vl" TargetMode="External"/><Relationship Id="rId863" Type="http://schemas.openxmlformats.org/officeDocument/2006/relationships/hyperlink" Target="https://www.wildberries.ru/catalog/148351640/detail.aspx" TargetMode="External"/><Relationship Id="rId1079" Type="http://schemas.openxmlformats.org/officeDocument/2006/relationships/hyperlink" Target="https://wildberries.ru/catalog/64114822/detail.aspx" TargetMode="External"/><Relationship Id="rId1286" Type="http://schemas.openxmlformats.org/officeDocument/2006/relationships/hyperlink" Target="https://ozon.ru/t/elA3qqP" TargetMode="External"/><Relationship Id="rId1493" Type="http://schemas.openxmlformats.org/officeDocument/2006/relationships/hyperlink" Target="https://wildberries.ru/catalog/313108876/detail.aspx" TargetMode="External"/><Relationship Id="rId211" Type="http://schemas.openxmlformats.org/officeDocument/2006/relationships/hyperlink" Target="https://ozon.ru/t/X40XZLA" TargetMode="External"/><Relationship Id="rId309" Type="http://schemas.openxmlformats.org/officeDocument/2006/relationships/hyperlink" Target="https://ozon.ru/t/r4083D" TargetMode="External"/><Relationship Id="rId516" Type="http://schemas.openxmlformats.org/officeDocument/2006/relationships/hyperlink" Target="https://ozon.ru/t/aJ3B857" TargetMode="External"/><Relationship Id="rId1146" Type="http://schemas.openxmlformats.org/officeDocument/2006/relationships/hyperlink" Target="https://wildberries.ru/catalog/224873134/detail.aspx" TargetMode="External"/><Relationship Id="rId1798" Type="http://schemas.openxmlformats.org/officeDocument/2006/relationships/hyperlink" Target="https://www.wildberries.ru/catalog/373611029/detail.aspx" TargetMode="External"/><Relationship Id="rId723" Type="http://schemas.openxmlformats.org/officeDocument/2006/relationships/hyperlink" Target="https://wildberries.ru/catalog/250483104/detail.aspx" TargetMode="External"/><Relationship Id="rId930" Type="http://schemas.openxmlformats.org/officeDocument/2006/relationships/hyperlink" Target="https://wildberries.ru/catalog/204546309/detail.aspx" TargetMode="External"/><Relationship Id="rId1006" Type="http://schemas.openxmlformats.org/officeDocument/2006/relationships/hyperlink" Target="https://ozon.ru/t/3ZKlGJD" TargetMode="External"/><Relationship Id="rId1353" Type="http://schemas.openxmlformats.org/officeDocument/2006/relationships/hyperlink" Target="https://wildberries.ru/catalog/278922638/detail.aspx" TargetMode="External"/><Relationship Id="rId1560" Type="http://schemas.openxmlformats.org/officeDocument/2006/relationships/hyperlink" Target="https://wildberries.ru/catalog/291645367/detail.aspx" TargetMode="External"/><Relationship Id="rId1658" Type="http://schemas.openxmlformats.org/officeDocument/2006/relationships/hyperlink" Target="https://www.wildberries.ru/catalog/179424041/detail.aspx?size=296774822" TargetMode="External"/><Relationship Id="rId1213" Type="http://schemas.openxmlformats.org/officeDocument/2006/relationships/hyperlink" Target="https://ozon.ru/t/22wWkvv" TargetMode="External"/><Relationship Id="rId1420" Type="http://schemas.openxmlformats.org/officeDocument/2006/relationships/hyperlink" Target="https://wildberries.ru/catalog/238088013/detail.aspx" TargetMode="External"/><Relationship Id="rId1518" Type="http://schemas.openxmlformats.org/officeDocument/2006/relationships/hyperlink" Target="https://wildberries.ru/catalog/18068864/detail.aspx" TargetMode="External"/><Relationship Id="rId1725" Type="http://schemas.openxmlformats.org/officeDocument/2006/relationships/hyperlink" Target="https://www.wildberries.ru/catalog/158820338/detail.aspx" TargetMode="External"/><Relationship Id="rId17" Type="http://schemas.openxmlformats.org/officeDocument/2006/relationships/hyperlink" Target="https://www.ozon.ru/product/obd2-16pin-raspredelitelnyy-blok-avtomobilya-tester-ustranitel-neispravnostey-1323745109/?_fr=1710098963&amp;from=share_android&amp;sh=j5XP0E4rCQ&amp;utm_campaign=productpage_link&amp;utm_medium=share_button&amp;utm_source=smm" TargetMode="External"/><Relationship Id="rId166" Type="http://schemas.openxmlformats.org/officeDocument/2006/relationships/hyperlink" Target="https://www.wildberries.ru/catalog/167211820/detail.aspx?targetUrl=SN" TargetMode="External"/><Relationship Id="rId373" Type="http://schemas.openxmlformats.org/officeDocument/2006/relationships/hyperlink" Target="https://ozon.ru/t/e2GA4nB" TargetMode="External"/><Relationship Id="rId580" Type="http://schemas.openxmlformats.org/officeDocument/2006/relationships/hyperlink" Target="https://www.wildberries.ru/catalog/212664778/detail.aspx" TargetMode="External"/><Relationship Id="rId1" Type="http://schemas.openxmlformats.org/officeDocument/2006/relationships/hyperlink" Target="https://www.wildberries.ru/catalog/156345767/detail.aspx" TargetMode="External"/><Relationship Id="rId233" Type="http://schemas.openxmlformats.org/officeDocument/2006/relationships/hyperlink" Target="https://www.wildberries.ru/catalog/212082958/detail.aspx?targetUrl=SN" TargetMode="External"/><Relationship Id="rId440" Type="http://schemas.openxmlformats.org/officeDocument/2006/relationships/hyperlink" Target="https://ozon.ru/t/8p9E32e" TargetMode="External"/><Relationship Id="rId678" Type="http://schemas.openxmlformats.org/officeDocument/2006/relationships/hyperlink" Target="https://ozon.ru/t/Q3r3BbD" TargetMode="External"/><Relationship Id="rId885" Type="http://schemas.openxmlformats.org/officeDocument/2006/relationships/hyperlink" Target="https://www.wildberries.ru/catalog/189097106/detail.aspx?size=309634779" TargetMode="External"/><Relationship Id="rId1070" Type="http://schemas.openxmlformats.org/officeDocument/2006/relationships/hyperlink" Target="https://wildberries.ru/catalog/236061947/detail.aspx" TargetMode="External"/><Relationship Id="rId300" Type="http://schemas.openxmlformats.org/officeDocument/2006/relationships/hyperlink" Target="https://www.wildberries.ru/catalog/51205604/detail.aspx?targetUrl=SN" TargetMode="External"/><Relationship Id="rId538" Type="http://schemas.openxmlformats.org/officeDocument/2006/relationships/hyperlink" Target="https://ozon.ru/t/a9Y7ygp" TargetMode="External"/><Relationship Id="rId745" Type="http://schemas.openxmlformats.org/officeDocument/2006/relationships/hyperlink" Target="https://aliexpress.ru/item/1005004872356657.html?sku_id=12000030836913921&amp;spm=a2g2x.productlist.search_results.7.f5ea2728ysxuIj" TargetMode="External"/><Relationship Id="rId952" Type="http://schemas.openxmlformats.org/officeDocument/2006/relationships/hyperlink" Target="https://ozon.ru/t/32ePPle" TargetMode="External"/><Relationship Id="rId1168" Type="http://schemas.openxmlformats.org/officeDocument/2006/relationships/hyperlink" Target="https://www.wildberries.ru/catalog/269867592/detail.aspx?size=417459560" TargetMode="External"/><Relationship Id="rId1375" Type="http://schemas.openxmlformats.org/officeDocument/2006/relationships/hyperlink" Target="https://ozon.ru/t/7gz9y5j" TargetMode="External"/><Relationship Id="rId1582" Type="http://schemas.openxmlformats.org/officeDocument/2006/relationships/hyperlink" Target="https://wildberries.ru/catalog/259856011/detail.aspx" TargetMode="External"/><Relationship Id="rId81" Type="http://schemas.openxmlformats.org/officeDocument/2006/relationships/hyperlink" Target="https://www.wildberries.ru/catalog/148780921/detail.aspx?size=249833073" TargetMode="External"/><Relationship Id="rId605" Type="http://schemas.openxmlformats.org/officeDocument/2006/relationships/hyperlink" Target="https://www.wildberries.ru/catalog/156724554/detail.aspx?targetUrl=MS&amp;size=261397694" TargetMode="External"/><Relationship Id="rId812" Type="http://schemas.openxmlformats.org/officeDocument/2006/relationships/hyperlink" Target="https://wildberries.ru/catalog/96966150/detail.aspx" TargetMode="External"/><Relationship Id="rId1028" Type="http://schemas.openxmlformats.org/officeDocument/2006/relationships/hyperlink" Target="https://www.wildberries.ru/catalog/226369408/detail.aspx?size=358411323" TargetMode="External"/><Relationship Id="rId1235" Type="http://schemas.openxmlformats.org/officeDocument/2006/relationships/hyperlink" Target="https://wildberries.ru/catalog/42119854/detail.aspx" TargetMode="External"/><Relationship Id="rId1442" Type="http://schemas.openxmlformats.org/officeDocument/2006/relationships/hyperlink" Target="https://wildberries.ru/catalog/134581120/detail.aspx" TargetMode="External"/><Relationship Id="rId1302" Type="http://schemas.openxmlformats.org/officeDocument/2006/relationships/hyperlink" Target="https://wildberries.ru/catalog/70263187/detail.aspx" TargetMode="External"/><Relationship Id="rId1747" Type="http://schemas.openxmlformats.org/officeDocument/2006/relationships/hyperlink" Target="https://www.avito.ru/armavir/zapchasti_i_aksessuary/stend_dlya_svechey_zazhiganiya._220v_4207511529?utm_campaign=native&amp;utm_medium=item_page_android&amp;utm_source=soc_sharing" TargetMode="External"/><Relationship Id="rId39" Type="http://schemas.openxmlformats.org/officeDocument/2006/relationships/hyperlink" Target="https://ozon.ru/t/AR8g1yK" TargetMode="External"/><Relationship Id="rId1607" Type="http://schemas.openxmlformats.org/officeDocument/2006/relationships/hyperlink" Target="https://wildberries.ru/catalog/315156329/detail.aspx" TargetMode="External"/><Relationship Id="rId1814" Type="http://schemas.openxmlformats.org/officeDocument/2006/relationships/hyperlink" Target="https://ozon.ru/t/J2UMqHR" TargetMode="External"/><Relationship Id="rId188" Type="http://schemas.openxmlformats.org/officeDocument/2006/relationships/hyperlink" Target="https://www.ozon.ru/product/parad-shtor-komplekt-shtor-blekaut-melanzh-250h400sm-kapuchino-mednyy-1335260151/?utm_campaign=productpage_link&amp;utm_medium=share_button&amp;utm_source=smm" TargetMode="External"/><Relationship Id="rId395" Type="http://schemas.openxmlformats.org/officeDocument/2006/relationships/hyperlink" Target="https://www.wildberries.ru/catalog/202514479/detail.aspx?targetUrl=SN" TargetMode="External"/><Relationship Id="rId255" Type="http://schemas.openxmlformats.org/officeDocument/2006/relationships/hyperlink" Target="https://ozon.ru/t/QVrQl1" TargetMode="External"/><Relationship Id="rId462" Type="http://schemas.openxmlformats.org/officeDocument/2006/relationships/hyperlink" Target="https://www.wildberries.ru/catalog/232465967/detail.aspx?targetUrl=SN" TargetMode="External"/><Relationship Id="rId1092" Type="http://schemas.openxmlformats.org/officeDocument/2006/relationships/hyperlink" Target="https://ozon.ru/t/gLavdQG" TargetMode="External"/><Relationship Id="rId1397" Type="http://schemas.openxmlformats.org/officeDocument/2006/relationships/hyperlink" Target="https://www.wildberries.ru/catalog/247883871/detail.aspx?targetUrl=MS&amp;size=388271237" TargetMode="External"/><Relationship Id="rId115" Type="http://schemas.openxmlformats.org/officeDocument/2006/relationships/hyperlink" Target="https://www.wildberries.ru/catalog/203149243/detail.aspx?targetUrl=SN" TargetMode="External"/><Relationship Id="rId322" Type="http://schemas.openxmlformats.org/officeDocument/2006/relationships/hyperlink" Target="https://www.wildberries.ru/catalog/16134606/detail.aspx?targetUrl=SN\" TargetMode="External"/><Relationship Id="rId767" Type="http://schemas.openxmlformats.org/officeDocument/2006/relationships/hyperlink" Target="https://ozon.ru/t/kXW4q3w" TargetMode="External"/><Relationship Id="rId974" Type="http://schemas.openxmlformats.org/officeDocument/2006/relationships/hyperlink" Target="https://wildberries.ru/catalog/178384658/detail.aspx" TargetMode="External"/><Relationship Id="rId627" Type="http://schemas.openxmlformats.org/officeDocument/2006/relationships/hyperlink" Target="https://ozon.ru/t/9KK86Jz" TargetMode="External"/><Relationship Id="rId834" Type="http://schemas.openxmlformats.org/officeDocument/2006/relationships/hyperlink" Target="https://www.wildberries.ru/catalog/169332076/detail.aspx" TargetMode="External"/><Relationship Id="rId1257" Type="http://schemas.openxmlformats.org/officeDocument/2006/relationships/hyperlink" Target="https://www.wildberries.ru/catalog/251115426/detail.aspx" TargetMode="External"/><Relationship Id="rId1464" Type="http://schemas.openxmlformats.org/officeDocument/2006/relationships/hyperlink" Target="https://wildberries.ru/catalog/214203288/detail.aspx" TargetMode="External"/><Relationship Id="rId1671" Type="http://schemas.openxmlformats.org/officeDocument/2006/relationships/hyperlink" Target="https://ozon.ru/t/zXvJmZx" TargetMode="External"/><Relationship Id="rId901" Type="http://schemas.openxmlformats.org/officeDocument/2006/relationships/hyperlink" Target="https://ozon.ru/t/V3AoYnn" TargetMode="External"/><Relationship Id="rId1117" Type="http://schemas.openxmlformats.org/officeDocument/2006/relationships/hyperlink" Target="https://ozon.ru/t/vqPoxdo" TargetMode="External"/><Relationship Id="rId1324" Type="http://schemas.openxmlformats.org/officeDocument/2006/relationships/hyperlink" Target="https://ozon.ru/t/xKlVem6" TargetMode="External"/><Relationship Id="rId1531" Type="http://schemas.openxmlformats.org/officeDocument/2006/relationships/hyperlink" Target="https://wildberries.ru/catalog/239473143/detail.aspx" TargetMode="External"/><Relationship Id="rId1769" Type="http://schemas.openxmlformats.org/officeDocument/2006/relationships/hyperlink" Target="https://www.wildberries.ru/catalog/214875290/detail.aspx?targetUrl=GP&amp;size=342901110" TargetMode="External"/><Relationship Id="rId30" Type="http://schemas.openxmlformats.org/officeDocument/2006/relationships/hyperlink" Target="https://ozon.ru/t/oRayMEJ" TargetMode="External"/><Relationship Id="rId1629" Type="http://schemas.openxmlformats.org/officeDocument/2006/relationships/hyperlink" Target="https://www.wildberries.ru/catalog/155177036/detail.aspx?size=259109531" TargetMode="External"/><Relationship Id="rId277" Type="http://schemas.openxmlformats.org/officeDocument/2006/relationships/hyperlink" Target="http://slovo.net.ru/book/46851" TargetMode="External"/><Relationship Id="rId484" Type="http://schemas.openxmlformats.org/officeDocument/2006/relationships/hyperlink" Target="https://www.wildberries.ru/catalog/94571578/detail.aspx?targetUrl=SN" TargetMode="External"/><Relationship Id="rId137" Type="http://schemas.openxmlformats.org/officeDocument/2006/relationships/hyperlink" Target="https://www.wildberries.ru/catalog/34948115/detail.aspx?targetUrl=SN" TargetMode="External"/><Relationship Id="rId344" Type="http://schemas.openxmlformats.org/officeDocument/2006/relationships/hyperlink" Target="https://ozon.ru/t/DEgpnYa" TargetMode="External"/><Relationship Id="rId691" Type="http://schemas.openxmlformats.org/officeDocument/2006/relationships/hyperlink" Target="https://www.wildberries.ru/catalog/228486802/detail.aspx" TargetMode="External"/><Relationship Id="rId789" Type="http://schemas.openxmlformats.org/officeDocument/2006/relationships/hyperlink" Target="https://www.wildberries.ru/catalog/7210803/detail.aspx?targetUrl=SN" TargetMode="External"/><Relationship Id="rId996" Type="http://schemas.openxmlformats.org/officeDocument/2006/relationships/hyperlink" Target="https://www.wildberries.ru/catalog/233143804/detail.aspx" TargetMode="External"/><Relationship Id="rId551" Type="http://schemas.openxmlformats.org/officeDocument/2006/relationships/hyperlink" Target="https://wildberries.ru/catalog/172090696/detail.aspx" TargetMode="External"/><Relationship Id="rId649" Type="http://schemas.openxmlformats.org/officeDocument/2006/relationships/hyperlink" Target="https://ozon.ru/t/AKWWZDK" TargetMode="External"/><Relationship Id="rId856" Type="http://schemas.openxmlformats.org/officeDocument/2006/relationships/hyperlink" Target="https://ozon.ru/t/ke8jvbK" TargetMode="External"/><Relationship Id="rId1181" Type="http://schemas.openxmlformats.org/officeDocument/2006/relationships/hyperlink" Target="https://ozon.ru/t/GDyv1lA" TargetMode="External"/><Relationship Id="rId1279" Type="http://schemas.openxmlformats.org/officeDocument/2006/relationships/hyperlink" Target="https://ozon.ru/t/MvqpMK7" TargetMode="External"/><Relationship Id="rId1486" Type="http://schemas.openxmlformats.org/officeDocument/2006/relationships/hyperlink" Target="https://www.wildberries.ru/catalog/171705896/detail.aspx?targetUrl=GP&amp;size=284973839" TargetMode="External"/><Relationship Id="rId204" Type="http://schemas.openxmlformats.org/officeDocument/2006/relationships/hyperlink" Target="https://ozon.ru/t/86ZE70e" TargetMode="External"/><Relationship Id="rId411" Type="http://schemas.openxmlformats.org/officeDocument/2006/relationships/hyperlink" Target="https://www.wildberries.ru/catalog/231712217/detail.aspx" TargetMode="External"/><Relationship Id="rId509" Type="http://schemas.openxmlformats.org/officeDocument/2006/relationships/hyperlink" Target="https://www.ozon.ru/product/karmannye-kalendariki-sssr-multfilmy-8-shtuk-1578104704/" TargetMode="External"/><Relationship Id="rId1041" Type="http://schemas.openxmlformats.org/officeDocument/2006/relationships/hyperlink" Target="https://ozon.ru/t/57aGMZD" TargetMode="External"/><Relationship Id="rId1139" Type="http://schemas.openxmlformats.org/officeDocument/2006/relationships/hyperlink" Target="https://wildberries.ru/catalog/233747135/detail.aspx" TargetMode="External"/><Relationship Id="rId1346" Type="http://schemas.openxmlformats.org/officeDocument/2006/relationships/hyperlink" Target="https://wildberries.ru/catalog/274045579/detail.aspx" TargetMode="External"/><Relationship Id="rId1693" Type="http://schemas.openxmlformats.org/officeDocument/2006/relationships/hyperlink" Target="https://wildberries.ru/catalog/31978293/detail.aspx" TargetMode="External"/><Relationship Id="rId716" Type="http://schemas.openxmlformats.org/officeDocument/2006/relationships/hyperlink" Target="https://wildberries.ru/catalog/110114981/detail.aspx" TargetMode="External"/><Relationship Id="rId923" Type="http://schemas.openxmlformats.org/officeDocument/2006/relationships/hyperlink" Target="https://wildberries.ru/catalog/97908111/detail.aspx" TargetMode="External"/><Relationship Id="rId1553" Type="http://schemas.openxmlformats.org/officeDocument/2006/relationships/hyperlink" Target="https://ozon.ru/t/ooJ3r97" TargetMode="External"/><Relationship Id="rId1760" Type="http://schemas.openxmlformats.org/officeDocument/2006/relationships/hyperlink" Target="https://www.wildberries.ru/catalog/172648614/detail.aspx" TargetMode="External"/><Relationship Id="rId52" Type="http://schemas.openxmlformats.org/officeDocument/2006/relationships/hyperlink" Target="https://ozon.ru/t/BlZgMjJ" TargetMode="External"/><Relationship Id="rId1206" Type="http://schemas.openxmlformats.org/officeDocument/2006/relationships/hyperlink" Target="https://www.wildberries.ru/catalog/281980897/detail.aspx" TargetMode="External"/><Relationship Id="rId1413" Type="http://schemas.openxmlformats.org/officeDocument/2006/relationships/hyperlink" Target="https://www.wildberries.ru/catalog/232413684/detail.aspx" TargetMode="External"/><Relationship Id="rId1620" Type="http://schemas.openxmlformats.org/officeDocument/2006/relationships/hyperlink" Target="https://www.wildberries.ru/catalog/274040801/detail.aspx?size=422733701" TargetMode="External"/><Relationship Id="rId1718" Type="http://schemas.openxmlformats.org/officeDocument/2006/relationships/hyperlink" Target="https://zyorna.ru/catalog/item/yajco-derevyannoe-prazdnichnyj-kulich-ruchnaya-rospis-99340" TargetMode="External"/><Relationship Id="rId299" Type="http://schemas.openxmlformats.org/officeDocument/2006/relationships/hyperlink" Target="https://www.wildberries.ru/catalog/7658149/detail.aspx?targetUrl=SN" TargetMode="External"/><Relationship Id="rId159" Type="http://schemas.openxmlformats.org/officeDocument/2006/relationships/hyperlink" Target="https://ozon.ru/t/PgpwDbA" TargetMode="External"/><Relationship Id="rId366" Type="http://schemas.openxmlformats.org/officeDocument/2006/relationships/hyperlink" Target="https://www.wildberries.ru/catalog/156270659/detail.aspx?targetUrl=SN" TargetMode="External"/><Relationship Id="rId573" Type="http://schemas.openxmlformats.org/officeDocument/2006/relationships/hyperlink" Target="https://www.wildberries.ru/catalog/191338613/detail.aspx" TargetMode="External"/><Relationship Id="rId780" Type="http://schemas.openxmlformats.org/officeDocument/2006/relationships/hyperlink" Target="https://market.yandex.ru/cc/xtepuwr" TargetMode="External"/><Relationship Id="rId226" Type="http://schemas.openxmlformats.org/officeDocument/2006/relationships/hyperlink" Target="https://www.wildberries.ru/catalog/64746100/detail.aspx?targetUrl=SN" TargetMode="External"/><Relationship Id="rId433" Type="http://schemas.openxmlformats.org/officeDocument/2006/relationships/hyperlink" Target="https://wildberries.ru/catalog/173059406/detail.aspx" TargetMode="External"/><Relationship Id="rId878" Type="http://schemas.openxmlformats.org/officeDocument/2006/relationships/hyperlink" Target="https://www.wildberries.ru/catalog/227953886/detail.aspx?targetUrl=SN" TargetMode="External"/><Relationship Id="rId1063" Type="http://schemas.openxmlformats.org/officeDocument/2006/relationships/hyperlink" Target="https://ozon.ru/t/Jr9W596" TargetMode="External"/><Relationship Id="rId1270" Type="http://schemas.openxmlformats.org/officeDocument/2006/relationships/hyperlink" Target="https://www.wildberries.ru/catalog/198869548/detail.aspx?targetUrl=SG" TargetMode="External"/><Relationship Id="rId640" Type="http://schemas.openxmlformats.org/officeDocument/2006/relationships/hyperlink" Target="https://wildberries.ru/catalog/140870373/detail.aspx" TargetMode="External"/><Relationship Id="rId738" Type="http://schemas.openxmlformats.org/officeDocument/2006/relationships/hyperlink" Target="https://www.wildberries.ru/catalog/214446263/detail.aspx?size=342315560" TargetMode="External"/><Relationship Id="rId945" Type="http://schemas.openxmlformats.org/officeDocument/2006/relationships/hyperlink" Target="https://www.wildberries.ru/catalog/264470140/detail.aspx?size=410517108" TargetMode="External"/><Relationship Id="rId1368" Type="http://schemas.openxmlformats.org/officeDocument/2006/relationships/hyperlink" Target="https://wildberries.ru/catalog/72516900/detail.aspx" TargetMode="External"/><Relationship Id="rId1575" Type="http://schemas.openxmlformats.org/officeDocument/2006/relationships/hyperlink" Target="https://wildberries.ru/catalog/266029531/detail.aspx" TargetMode="External"/><Relationship Id="rId1782" Type="http://schemas.openxmlformats.org/officeDocument/2006/relationships/hyperlink" Target="https://wildberries.ru/catalog/349483502/detail.aspx" TargetMode="External"/><Relationship Id="rId74" Type="http://schemas.openxmlformats.org/officeDocument/2006/relationships/hyperlink" Target="https://www.wildberries.ru/catalog/111410162/detail.aspx?size=201792114" TargetMode="External"/><Relationship Id="rId500" Type="http://schemas.openxmlformats.org/officeDocument/2006/relationships/hyperlink" Target="https://ozon.ru/t/EGwBY8E" TargetMode="External"/><Relationship Id="rId805" Type="http://schemas.openxmlformats.org/officeDocument/2006/relationships/hyperlink" Target="https://ozon.ru/t/K668y6" TargetMode="External"/><Relationship Id="rId1130" Type="http://schemas.openxmlformats.org/officeDocument/2006/relationships/hyperlink" Target="https://ozon.ru/t/X18PdqL" TargetMode="External"/><Relationship Id="rId1228" Type="http://schemas.openxmlformats.org/officeDocument/2006/relationships/hyperlink" Target="https://wildberries.ru/catalog/207469572/detail.aspx" TargetMode="External"/><Relationship Id="rId1435" Type="http://schemas.openxmlformats.org/officeDocument/2006/relationships/hyperlink" Target="https://wildberries.ru/catalog/304409169/detail.aspx" TargetMode="External"/><Relationship Id="rId1642" Type="http://schemas.openxmlformats.org/officeDocument/2006/relationships/hyperlink" Target="https://www.wildberries.ru/catalog/165590681/detail.aspx?size=275713777" TargetMode="External"/><Relationship Id="rId1502" Type="http://schemas.openxmlformats.org/officeDocument/2006/relationships/hyperlink" Target="https://wildberries.ru/catalog/11141655/detail.aspx" TargetMode="External"/><Relationship Id="rId1807" Type="http://schemas.openxmlformats.org/officeDocument/2006/relationships/hyperlink" Target="https://ozon.ru/t/L4KEQ0w" TargetMode="External"/><Relationship Id="rId290" Type="http://schemas.openxmlformats.org/officeDocument/2006/relationships/hyperlink" Target="https://ozon.ru/t/lrnKXR" TargetMode="External"/><Relationship Id="rId388" Type="http://schemas.openxmlformats.org/officeDocument/2006/relationships/hyperlink" Target="https://www.wildberries.ru/catalog/85463461/detail.aspx?targetUrl=SN" TargetMode="External"/><Relationship Id="rId150" Type="http://schemas.openxmlformats.org/officeDocument/2006/relationships/hyperlink" Target="https://ozon.ru/t/Q2VLeyz" TargetMode="External"/><Relationship Id="rId595" Type="http://schemas.openxmlformats.org/officeDocument/2006/relationships/hyperlink" Target="https://www.wildberries.ru/catalog/50050067/detail.aspx" TargetMode="External"/><Relationship Id="rId248" Type="http://schemas.openxmlformats.org/officeDocument/2006/relationships/hyperlink" Target="https://ozon.ru/t/k81r0q" TargetMode="External"/><Relationship Id="rId455" Type="http://schemas.openxmlformats.org/officeDocument/2006/relationships/hyperlink" Target="https://wildberries.ru/catalog/14204554/detail.aspx" TargetMode="External"/><Relationship Id="rId662" Type="http://schemas.openxmlformats.org/officeDocument/2006/relationships/hyperlink" Target="https://wildberries.ru/catalog/227197610/detail.aspx" TargetMode="External"/><Relationship Id="rId1085" Type="http://schemas.openxmlformats.org/officeDocument/2006/relationships/hyperlink" Target="https://wildberries.ru/catalog/268331431/detail.aspx" TargetMode="External"/><Relationship Id="rId1292" Type="http://schemas.openxmlformats.org/officeDocument/2006/relationships/hyperlink" Target="https://wildberries.ru/catalog/9851918/detail.aspx" TargetMode="External"/><Relationship Id="rId108" Type="http://schemas.openxmlformats.org/officeDocument/2006/relationships/hyperlink" Target="https://www.wildberries.ru/catalog/167958093/detail.aspx?size=279265332" TargetMode="External"/><Relationship Id="rId315" Type="http://schemas.openxmlformats.org/officeDocument/2006/relationships/hyperlink" Target="https://ozon.ru/t/QjY88p" TargetMode="External"/><Relationship Id="rId522" Type="http://schemas.openxmlformats.org/officeDocument/2006/relationships/hyperlink" Target="https://ozon.ru/t/510PL1n" TargetMode="External"/><Relationship Id="rId967" Type="http://schemas.openxmlformats.org/officeDocument/2006/relationships/hyperlink" Target="https://wildberries.ru/catalog/82415843/detail.aspx" TargetMode="External"/><Relationship Id="rId1152" Type="http://schemas.openxmlformats.org/officeDocument/2006/relationships/hyperlink" Target="https://ozon.ru/t/b023m2" TargetMode="External"/><Relationship Id="rId1597" Type="http://schemas.openxmlformats.org/officeDocument/2006/relationships/hyperlink" Target="https://wildberries.ru/catalog/225908376/detail.aspx" TargetMode="External"/><Relationship Id="rId96" Type="http://schemas.openxmlformats.org/officeDocument/2006/relationships/hyperlink" Target="https://ozon.ru/t/jZkQbGw" TargetMode="External"/><Relationship Id="rId827" Type="http://schemas.openxmlformats.org/officeDocument/2006/relationships/hyperlink" Target="https://wildberries.ru/catalog/210238263/detail.aspx" TargetMode="External"/><Relationship Id="rId1012" Type="http://schemas.openxmlformats.org/officeDocument/2006/relationships/hyperlink" Target="https://ozon.ru/t/D3QkYB" TargetMode="External"/><Relationship Id="rId1457" Type="http://schemas.openxmlformats.org/officeDocument/2006/relationships/hyperlink" Target="https://www.wildberries.ru/catalog/192793885/detail.aspx" TargetMode="External"/><Relationship Id="rId1664" Type="http://schemas.openxmlformats.org/officeDocument/2006/relationships/hyperlink" Target="https://wildberries.ru/catalog/190213738/detail.aspx" TargetMode="External"/><Relationship Id="rId1317" Type="http://schemas.openxmlformats.org/officeDocument/2006/relationships/hyperlink" Target="https://zyorna.ru/catalog/item/magnitnyj-pazl-s-rozhdestvom-hristovym-snegir-82650" TargetMode="External"/><Relationship Id="rId1524" Type="http://schemas.openxmlformats.org/officeDocument/2006/relationships/hyperlink" Target="https://ozon.ru/t/rEN3KG3" TargetMode="External"/><Relationship Id="rId1731" Type="http://schemas.openxmlformats.org/officeDocument/2006/relationships/hyperlink" Target="https://wildberries.ru/catalog/126399371/detail.aspx" TargetMode="External"/><Relationship Id="rId23" Type="http://schemas.openxmlformats.org/officeDocument/2006/relationships/hyperlink" Target="https://www.wildberries.ru/catalog/12762409/detail.aspx?size=39317336" TargetMode="External"/><Relationship Id="rId1829" Type="http://schemas.openxmlformats.org/officeDocument/2006/relationships/table" Target="../tables/table3.xml"/><Relationship Id="rId172" Type="http://schemas.openxmlformats.org/officeDocument/2006/relationships/hyperlink" Target="https://ozon.ru/t/jZXRg4d" TargetMode="External"/><Relationship Id="rId477" Type="http://schemas.openxmlformats.org/officeDocument/2006/relationships/hyperlink" Target="https://ozon.ru/t/8plLJBG" TargetMode="External"/><Relationship Id="rId684" Type="http://schemas.openxmlformats.org/officeDocument/2006/relationships/hyperlink" Target="https://www.wildberries.ru/catalog/96175584/detail.aspx?targetUrl=SN" TargetMode="External"/><Relationship Id="rId337" Type="http://schemas.openxmlformats.org/officeDocument/2006/relationships/hyperlink" Target="https://www.wildberries.ru/catalog/35679429/detail.aspx?targetUrl=SN\" TargetMode="External"/><Relationship Id="rId891" Type="http://schemas.openxmlformats.org/officeDocument/2006/relationships/hyperlink" Target="https://ozon.ru/t/JDNQKQ5" TargetMode="External"/><Relationship Id="rId989" Type="http://schemas.openxmlformats.org/officeDocument/2006/relationships/hyperlink" Target="https://ozon.ru/t/ZWy2rnz" TargetMode="External"/><Relationship Id="rId544" Type="http://schemas.openxmlformats.org/officeDocument/2006/relationships/hyperlink" Target="https://wildberries.ru/catalog/205485058/detail.aspx" TargetMode="External"/><Relationship Id="rId751" Type="http://schemas.openxmlformats.org/officeDocument/2006/relationships/hyperlink" Target="https://wildberries.ru/catalog/249779684/detail.aspx" TargetMode="External"/><Relationship Id="rId849" Type="http://schemas.openxmlformats.org/officeDocument/2006/relationships/hyperlink" Target="https://wildberries.ru/catalog/49626885/detail.aspx" TargetMode="External"/><Relationship Id="rId1174" Type="http://schemas.openxmlformats.org/officeDocument/2006/relationships/hyperlink" Target="https://ozon.ru/t/oBEA84o" TargetMode="External"/><Relationship Id="rId1381" Type="http://schemas.openxmlformats.org/officeDocument/2006/relationships/hyperlink" Target="https://wildberries.ru/catalog/127568788/detail.aspx" TargetMode="External"/><Relationship Id="rId1479" Type="http://schemas.openxmlformats.org/officeDocument/2006/relationships/hyperlink" Target="https://wildberries.ru/catalog/277191159/detail.aspx" TargetMode="External"/><Relationship Id="rId1686" Type="http://schemas.openxmlformats.org/officeDocument/2006/relationships/hyperlink" Target="https://wildberries.ru/catalog/41002668/detail.aspx" TargetMode="External"/><Relationship Id="rId404" Type="http://schemas.openxmlformats.org/officeDocument/2006/relationships/hyperlink" Target="https://wildberries.ru/catalog/151962116/detail.aspx" TargetMode="External"/><Relationship Id="rId611" Type="http://schemas.openxmlformats.org/officeDocument/2006/relationships/hyperlink" Target="https://www.alib.ru/10day.php4?epost=flagman25%40mail.ru&amp;pass=1095fb133ac9dfac1b938f4833d01c82&amp;day=2460526" TargetMode="External"/><Relationship Id="rId1034" Type="http://schemas.openxmlformats.org/officeDocument/2006/relationships/hyperlink" Target="https://www.wildberries.ru/catalog/113454370/detail.aspx?size=204409432" TargetMode="External"/><Relationship Id="rId1241" Type="http://schemas.openxmlformats.org/officeDocument/2006/relationships/hyperlink" Target="https://ozon.ru/t/1Rbvk73" TargetMode="External"/><Relationship Id="rId1339" Type="http://schemas.openxmlformats.org/officeDocument/2006/relationships/hyperlink" Target="https://www.wildberries.ru/catalog/238080977/detail.aspx" TargetMode="External"/><Relationship Id="rId709" Type="http://schemas.openxmlformats.org/officeDocument/2006/relationships/hyperlink" Target="https://www.wildberries.ru/catalog/37877684/detail.aspx?targetUrl=MS&amp;size=77814602https://www.wildberries.ru/catalog/37877684/detail.aspx?targetUrl=MS&amp;size=77814602" TargetMode="External"/><Relationship Id="rId916" Type="http://schemas.openxmlformats.org/officeDocument/2006/relationships/hyperlink" Target="https://www.wildberries.ru/catalog/15646668/detail.aspx?size=45269375" TargetMode="External"/><Relationship Id="rId1101" Type="http://schemas.openxmlformats.org/officeDocument/2006/relationships/hyperlink" Target="https://ozon.ru/t/VYbwkXZ" TargetMode="External"/><Relationship Id="rId1546" Type="http://schemas.openxmlformats.org/officeDocument/2006/relationships/hyperlink" Target="https://ozon.ru/t/JyB79PK" TargetMode="External"/><Relationship Id="rId1753" Type="http://schemas.openxmlformats.org/officeDocument/2006/relationships/hyperlink" Target="https://www.wildberries.ru/catalog/243110187/detail.aspx?size=381579915" TargetMode="External"/><Relationship Id="rId45" Type="http://schemas.openxmlformats.org/officeDocument/2006/relationships/hyperlink" Target="https://www.wildberries.ru/catalog/168257661/detail.aspx?targetUrl=SN" TargetMode="External"/><Relationship Id="rId1406" Type="http://schemas.openxmlformats.org/officeDocument/2006/relationships/hyperlink" Target="https://ozon.ru/t/JVpo2pB" TargetMode="External"/><Relationship Id="rId1613" Type="http://schemas.openxmlformats.org/officeDocument/2006/relationships/hyperlink" Target="https://www.wildberries.ru/catalog/218893812/detail.aspx?targetUrl=SG" TargetMode="External"/><Relationship Id="rId1820" Type="http://schemas.openxmlformats.org/officeDocument/2006/relationships/hyperlink" Target="https://ozon.ru/t/7oAK7xY" TargetMode="External"/><Relationship Id="rId194" Type="http://schemas.openxmlformats.org/officeDocument/2006/relationships/hyperlink" Target="https://ozon.ru/t/daqAJoE" TargetMode="External"/><Relationship Id="rId261" Type="http://schemas.openxmlformats.org/officeDocument/2006/relationships/hyperlink" Target="https://www.wildberries.ru/catalog/166249855/detail.aspx?targetUrl=SN" TargetMode="External"/><Relationship Id="rId499" Type="http://schemas.openxmlformats.org/officeDocument/2006/relationships/hyperlink" Target="https://ozon.ru/t/7Xp50lb" TargetMode="External"/><Relationship Id="rId359" Type="http://schemas.openxmlformats.org/officeDocument/2006/relationships/hyperlink" Target="https://ozon.ru/t/ZZLnwyQ" TargetMode="External"/><Relationship Id="rId566" Type="http://schemas.openxmlformats.org/officeDocument/2006/relationships/hyperlink" Target="https://www.wildberries.ru/catalog/142562637/detail.aspx" TargetMode="External"/><Relationship Id="rId773" Type="http://schemas.openxmlformats.org/officeDocument/2006/relationships/hyperlink" Target="https://ozon.ru/t/q7X2YZZ" TargetMode="External"/><Relationship Id="rId1196" Type="http://schemas.openxmlformats.org/officeDocument/2006/relationships/hyperlink" Target="https://wildberries.ru/catalog/157431357/detail.aspx" TargetMode="External"/><Relationship Id="rId121" Type="http://schemas.openxmlformats.org/officeDocument/2006/relationships/hyperlink" Target="https://www.wildberries.ru/catalog/120772986/detail.aspx?targetUrl=SN" TargetMode="External"/><Relationship Id="rId219" Type="http://schemas.openxmlformats.org/officeDocument/2006/relationships/hyperlink" Target="https://ozon.ru/t/dar3RRV" TargetMode="External"/><Relationship Id="rId426" Type="http://schemas.openxmlformats.org/officeDocument/2006/relationships/hyperlink" Target="https://ozon.ru/t/eAy1Ar8" TargetMode="External"/><Relationship Id="rId633" Type="http://schemas.openxmlformats.org/officeDocument/2006/relationships/hyperlink" Target="https://ozon.ru/t/PYYW0Ry" TargetMode="External"/><Relationship Id="rId980" Type="http://schemas.openxmlformats.org/officeDocument/2006/relationships/hyperlink" Target="https://www.wildberries.ru/catalog/215721879/detail.aspx?targetUrl=SN" TargetMode="External"/><Relationship Id="rId1056" Type="http://schemas.openxmlformats.org/officeDocument/2006/relationships/hyperlink" Target="https://ozon.ru/t/JVeDOvV" TargetMode="External"/><Relationship Id="rId1263" Type="http://schemas.openxmlformats.org/officeDocument/2006/relationships/hyperlink" Target="https://ozon.ru/t/5V8b7NL" TargetMode="External"/><Relationship Id="rId840" Type="http://schemas.openxmlformats.org/officeDocument/2006/relationships/hyperlink" Target="https://www.wildberries.ru/catalog/219370427/detail.aspx" TargetMode="External"/><Relationship Id="rId938" Type="http://schemas.openxmlformats.org/officeDocument/2006/relationships/hyperlink" Target="https://www.wildberries.ru/catalog/235902976/detail.aspx?targetUrl=SN" TargetMode="External"/><Relationship Id="rId1470" Type="http://schemas.openxmlformats.org/officeDocument/2006/relationships/hyperlink" Target="https://wildberries.ru/catalog/151126700/detail.aspx" TargetMode="External"/><Relationship Id="rId1568" Type="http://schemas.openxmlformats.org/officeDocument/2006/relationships/hyperlink" Target="https://wildberries.ru/catalog/172337719/detail.aspx" TargetMode="External"/><Relationship Id="rId1775" Type="http://schemas.openxmlformats.org/officeDocument/2006/relationships/hyperlink" Target="https://ozon.ru/t/3lQhitb" TargetMode="External"/><Relationship Id="rId67" Type="http://schemas.openxmlformats.org/officeDocument/2006/relationships/hyperlink" Target="https://ozon.ru/t/X4gq3BD" TargetMode="External"/><Relationship Id="rId700" Type="http://schemas.openxmlformats.org/officeDocument/2006/relationships/hyperlink" Target="https://ozon.ru/t/54KB8K4" TargetMode="External"/><Relationship Id="rId1123" Type="http://schemas.openxmlformats.org/officeDocument/2006/relationships/hyperlink" Target="https://ozon.ru/t/BZvDPdL" TargetMode="External"/><Relationship Id="rId1330" Type="http://schemas.openxmlformats.org/officeDocument/2006/relationships/hyperlink" Target="https://www.avito.ru/usman/posuda_i_tovary_dlya_kuhni/kastryulya_emalirovannaya_40_litrov_3564441466" TargetMode="External"/><Relationship Id="rId1428" Type="http://schemas.openxmlformats.org/officeDocument/2006/relationships/hyperlink" Target="https://ozon.ru/t/db9BBle" TargetMode="External"/><Relationship Id="rId1635" Type="http://schemas.openxmlformats.org/officeDocument/2006/relationships/hyperlink" Target="https://www.wildberries.ru/catalog/185471733/detail.aspx" TargetMode="External"/><Relationship Id="rId1702" Type="http://schemas.openxmlformats.org/officeDocument/2006/relationships/hyperlink" Target="https://ozon.ru/t/40wZrnY" TargetMode="External"/><Relationship Id="rId283" Type="http://schemas.openxmlformats.org/officeDocument/2006/relationships/hyperlink" Target="https://www.wildberries.ru/catalog/48026311/detail.aspx?targetUrl=SN" TargetMode="External"/><Relationship Id="rId490" Type="http://schemas.openxmlformats.org/officeDocument/2006/relationships/hyperlink" Target="https://ozon.ru/t/lp4pQ1d" TargetMode="External"/><Relationship Id="rId143" Type="http://schemas.openxmlformats.org/officeDocument/2006/relationships/hyperlink" Target="https://lillu.ru/kniga-detskaya-krotik-i-shtanishki-i-drugie-istorii-seriya-detskaya-biblioteka-rosmen-novaya-rosmen-08353-5/" TargetMode="External"/><Relationship Id="rId350" Type="http://schemas.openxmlformats.org/officeDocument/2006/relationships/hyperlink" Target="https://www.wildberries.ru/catalog/81313349/detail.aspx?targetUrl=SN" TargetMode="External"/><Relationship Id="rId588" Type="http://schemas.openxmlformats.org/officeDocument/2006/relationships/hyperlink" Target="https://ozon.ru/t/yla2yW3" TargetMode="External"/><Relationship Id="rId795" Type="http://schemas.openxmlformats.org/officeDocument/2006/relationships/hyperlink" Target="https://ozon.ru/t/BldEWeP" TargetMode="External"/><Relationship Id="rId9" Type="http://schemas.openxmlformats.org/officeDocument/2006/relationships/hyperlink" Target="https://www.ozon.ru/product/deshedder-shetka-dlya-vychesyvaniya-shersti-puhoderka-chesalka-dlya-zhivotnyh-sobak-i-1202945542/?from=share_android&amp;utm_campaign=productpage_link&amp;utm_medium=share_button&amp;utm_source=smm" TargetMode="External"/><Relationship Id="rId210" Type="http://schemas.openxmlformats.org/officeDocument/2006/relationships/hyperlink" Target="https://ozon.ru/t/zzByX7D" TargetMode="External"/><Relationship Id="rId448" Type="http://schemas.openxmlformats.org/officeDocument/2006/relationships/hyperlink" Target="https://ozon.ru/t/d0Vje8r" TargetMode="External"/><Relationship Id="rId655" Type="http://schemas.openxmlformats.org/officeDocument/2006/relationships/hyperlink" Target="https://ozon.ru/t/0lBBL6j" TargetMode="External"/><Relationship Id="rId862" Type="http://schemas.openxmlformats.org/officeDocument/2006/relationships/hyperlink" Target="https://www.wildberries.ru/catalog/229188682/detail.aspx" TargetMode="External"/><Relationship Id="rId1078" Type="http://schemas.openxmlformats.org/officeDocument/2006/relationships/hyperlink" Target="https://wildberries.ru/catalog/21067254/detail.aspx" TargetMode="External"/><Relationship Id="rId1285" Type="http://schemas.openxmlformats.org/officeDocument/2006/relationships/hyperlink" Target="https://www.detmir.ru/product/index/id/3186666/" TargetMode="External"/><Relationship Id="rId1492" Type="http://schemas.openxmlformats.org/officeDocument/2006/relationships/hyperlink" Target="https://wildberries.ru/catalog/100049195/detail.aspx" TargetMode="External"/><Relationship Id="rId308" Type="http://schemas.openxmlformats.org/officeDocument/2006/relationships/hyperlink" Target="https://ozon.ru/t/2wNzoG/" TargetMode="External"/><Relationship Id="rId515" Type="http://schemas.openxmlformats.org/officeDocument/2006/relationships/hyperlink" Target="https://ozon.ru/t/JlVLBkj" TargetMode="External"/><Relationship Id="rId722" Type="http://schemas.openxmlformats.org/officeDocument/2006/relationships/hyperlink" Target="https://wildberries.ru/catalog/230730287/detail.aspx" TargetMode="External"/><Relationship Id="rId1145" Type="http://schemas.openxmlformats.org/officeDocument/2006/relationships/hyperlink" Target="https://wildberries.ru/catalog/226779853/detail.aspx" TargetMode="External"/><Relationship Id="rId1352" Type="http://schemas.openxmlformats.org/officeDocument/2006/relationships/hyperlink" Target="https://www.wildberries.ru/catalog/147761800/detail.aspx?size=248335550" TargetMode="External"/><Relationship Id="rId1797" Type="http://schemas.openxmlformats.org/officeDocument/2006/relationships/hyperlink" Target="https://www.wildberries.ru/catalog/293839373/detail.aspx?size=447951548" TargetMode="External"/><Relationship Id="rId89" Type="http://schemas.openxmlformats.org/officeDocument/2006/relationships/hyperlink" Target="https://www.wildberries.ru/catalog/179286412/detail.aspx" TargetMode="External"/><Relationship Id="rId1005" Type="http://schemas.openxmlformats.org/officeDocument/2006/relationships/hyperlink" Target="https://ozon.ru/t/mLzYE7V" TargetMode="External"/><Relationship Id="rId1212" Type="http://schemas.openxmlformats.org/officeDocument/2006/relationships/hyperlink" Target="https://www.wildberries.ru/catalog/210714793/detail.aspx?size=337096609" TargetMode="External"/><Relationship Id="rId1657" Type="http://schemas.openxmlformats.org/officeDocument/2006/relationships/hyperlink" Target="https://wildberries.ru/catalog/279108124/detail.aspx" TargetMode="External"/><Relationship Id="rId1517" Type="http://schemas.openxmlformats.org/officeDocument/2006/relationships/hyperlink" Target="https://wildberries.ru/catalog/311666389/detail.aspx" TargetMode="External"/><Relationship Id="rId1724" Type="http://schemas.openxmlformats.org/officeDocument/2006/relationships/hyperlink" Target="https://www.wildberries.ru/catalog/276512036/detail.aspx?size=425900462" TargetMode="External"/><Relationship Id="rId16" Type="http://schemas.openxmlformats.org/officeDocument/2006/relationships/hyperlink" Target="https://www.wildberries.ru/catalog/202886356/detail.aspx" TargetMode="External"/><Relationship Id="rId165" Type="http://schemas.openxmlformats.org/officeDocument/2006/relationships/hyperlink" Target="https://www.wildberries.ru/catalog/206059694/detail.aspx?targetUrl=SN" TargetMode="External"/><Relationship Id="rId372" Type="http://schemas.openxmlformats.org/officeDocument/2006/relationships/hyperlink" Target="https://ozon.ru/t/P49bQVJ" TargetMode="External"/><Relationship Id="rId677" Type="http://schemas.openxmlformats.org/officeDocument/2006/relationships/hyperlink" Target="https://ozon.ru/t/5wNw4Mn" TargetMode="External"/><Relationship Id="rId232" Type="http://schemas.openxmlformats.org/officeDocument/2006/relationships/hyperlink" Target="https://www.wildberries.ru/catalog/20835741/detail.aspx?targetUrl=SN" TargetMode="External"/><Relationship Id="rId884" Type="http://schemas.openxmlformats.org/officeDocument/2006/relationships/hyperlink" Target="https://www.wildberries.ru/catalog/171991175/detail.aspx?size=285425007" TargetMode="External"/><Relationship Id="rId537" Type="http://schemas.openxmlformats.org/officeDocument/2006/relationships/hyperlink" Target="https://ozon.ru/t/d5WWzZ8" TargetMode="External"/><Relationship Id="rId744" Type="http://schemas.openxmlformats.org/officeDocument/2006/relationships/hyperlink" Target="https://aliexpress.ru/item/32967650382.html?sku_id=66538983013" TargetMode="External"/><Relationship Id="rId951" Type="http://schemas.openxmlformats.org/officeDocument/2006/relationships/hyperlink" Target="https://ozon.ru/t/7867EAE" TargetMode="External"/><Relationship Id="rId1167" Type="http://schemas.openxmlformats.org/officeDocument/2006/relationships/hyperlink" Target="https://www.wildberries.ru/catalog/266155086/detail.aspx?size=412831966" TargetMode="External"/><Relationship Id="rId1374" Type="http://schemas.openxmlformats.org/officeDocument/2006/relationships/hyperlink" Target="https://ozon.ru/t/46NPMM9" TargetMode="External"/><Relationship Id="rId1581" Type="http://schemas.openxmlformats.org/officeDocument/2006/relationships/hyperlink" Target="https://wildberries.ru/catalog/189220227/detail.aspx" TargetMode="External"/><Relationship Id="rId1679" Type="http://schemas.openxmlformats.org/officeDocument/2006/relationships/hyperlink" Target="https://www.wildberries.ru/catalog/297703941/detail.aspx?targetUrl=SG&amp;size=452822761" TargetMode="External"/><Relationship Id="rId80" Type="http://schemas.openxmlformats.org/officeDocument/2006/relationships/hyperlink" Target="https://www.wildberries.ru/catalog/149004581/detail.aspx?size=250153065" TargetMode="External"/><Relationship Id="rId604" Type="http://schemas.openxmlformats.org/officeDocument/2006/relationships/hyperlink" Target="https://ozon.ru/t/Np75PzN" TargetMode="External"/><Relationship Id="rId811" Type="http://schemas.openxmlformats.org/officeDocument/2006/relationships/hyperlink" Target="https://wildberries.ru/catalog/28913497/detail.aspx" TargetMode="External"/><Relationship Id="rId1027" Type="http://schemas.openxmlformats.org/officeDocument/2006/relationships/hyperlink" Target="https://www.wildberries.ru/catalog/220794311/detail.aspx?size=350879587" TargetMode="External"/><Relationship Id="rId1234" Type="http://schemas.openxmlformats.org/officeDocument/2006/relationships/hyperlink" Target="https://wildberries.ru/catalog/266814877/detail.aspx" TargetMode="External"/><Relationship Id="rId1441" Type="http://schemas.openxmlformats.org/officeDocument/2006/relationships/hyperlink" Target="https://wildberries.ru/catalog/134581207/detail.aspx" TargetMode="External"/><Relationship Id="rId909" Type="http://schemas.openxmlformats.org/officeDocument/2006/relationships/hyperlink" Target="https://ozon.ru/t/0RNpvkZ/" TargetMode="External"/><Relationship Id="rId1301" Type="http://schemas.openxmlformats.org/officeDocument/2006/relationships/hyperlink" Target="https://www.wildberries.ru/catalog/98718321/detail.aspx" TargetMode="External"/><Relationship Id="rId1539" Type="http://schemas.openxmlformats.org/officeDocument/2006/relationships/hyperlink" Target="https://wildberries.ru/catalog/321337073/detail.aspx" TargetMode="External"/><Relationship Id="rId1746" Type="http://schemas.openxmlformats.org/officeDocument/2006/relationships/hyperlink" Target="https://ozon.ru/t/WffnXNO" TargetMode="External"/><Relationship Id="rId38" Type="http://schemas.openxmlformats.org/officeDocument/2006/relationships/hyperlink" Target="https://ozon.ru/t/akQMbwo" TargetMode="External"/><Relationship Id="rId1606" Type="http://schemas.openxmlformats.org/officeDocument/2006/relationships/hyperlink" Target="https://wildberries.ru/catalog/326397576/detail.aspx" TargetMode="External"/><Relationship Id="rId1813" Type="http://schemas.openxmlformats.org/officeDocument/2006/relationships/hyperlink" Target="https://ozon.ru/t/gaOqo8n" TargetMode="External"/><Relationship Id="rId187" Type="http://schemas.openxmlformats.org/officeDocument/2006/relationships/hyperlink" Target="https://www.wildberries.ru/catalog/182128008/detail.aspx?targetUrl=SN" TargetMode="External"/><Relationship Id="rId394" Type="http://schemas.openxmlformats.org/officeDocument/2006/relationships/hyperlink" Target="https://www.wildberries.ru/catalog/189413795/detail.aspx?targetUrl=SN" TargetMode="External"/><Relationship Id="rId254" Type="http://schemas.openxmlformats.org/officeDocument/2006/relationships/hyperlink" Target="https://ozon.ru/t/MV7Kjy" TargetMode="External"/><Relationship Id="rId699" Type="http://schemas.openxmlformats.org/officeDocument/2006/relationships/hyperlink" Target="https://wildberries.ru/catalog/204576970/detail.aspx" TargetMode="External"/><Relationship Id="rId1091" Type="http://schemas.openxmlformats.org/officeDocument/2006/relationships/hyperlink" Target="https://wildberries.ru/catalog/210061094/detail.aspx" TargetMode="External"/><Relationship Id="rId114" Type="http://schemas.openxmlformats.org/officeDocument/2006/relationships/hyperlink" Target="https://www.wildberries.ru/catalog/17694283/detail.aspx?targetUrl=SN" TargetMode="External"/><Relationship Id="rId461" Type="http://schemas.openxmlformats.org/officeDocument/2006/relationships/hyperlink" Target="https://wildberries.ru/catalog/232195241/detail.aspx" TargetMode="External"/><Relationship Id="rId559" Type="http://schemas.openxmlformats.org/officeDocument/2006/relationships/hyperlink" Target="https://ozon.ru/t/jk9Xogr" TargetMode="External"/><Relationship Id="rId766" Type="http://schemas.openxmlformats.org/officeDocument/2006/relationships/hyperlink" Target="https://wildberries.ru/catalog/206374451/detail.aspx" TargetMode="External"/><Relationship Id="rId1189" Type="http://schemas.openxmlformats.org/officeDocument/2006/relationships/hyperlink" Target="https://wildberries.ru/catalog/195451884/detail.aspx" TargetMode="External"/><Relationship Id="rId1396" Type="http://schemas.openxmlformats.org/officeDocument/2006/relationships/hyperlink" Target="https://www.wildberries.ru/catalog/218509822/detail.aspx?targetUrl=GP&amp;size=348691047" TargetMode="External"/><Relationship Id="rId321" Type="http://schemas.openxmlformats.org/officeDocument/2006/relationships/hyperlink" Target="https://wildberries.ru/catalog/206777673/detail.aspx" TargetMode="External"/><Relationship Id="rId419" Type="http://schemas.openxmlformats.org/officeDocument/2006/relationships/hyperlink" Target="https://www.wildberries.ru/catalog/63708377/detail.aspx?targetUrl=EX" TargetMode="External"/><Relationship Id="rId626" Type="http://schemas.openxmlformats.org/officeDocument/2006/relationships/hyperlink" Target="https://ozon.ru/t/9KK8PMr" TargetMode="External"/><Relationship Id="rId973" Type="http://schemas.openxmlformats.org/officeDocument/2006/relationships/hyperlink" Target="https://wildberries.ru/catalog/181455493/detail.aspx" TargetMode="External"/><Relationship Id="rId1049" Type="http://schemas.openxmlformats.org/officeDocument/2006/relationships/hyperlink" Target="https://www.wildberries.ru/catalog/236045589/detail.aspx" TargetMode="External"/><Relationship Id="rId1256" Type="http://schemas.openxmlformats.org/officeDocument/2006/relationships/hyperlink" Target="https://www.wildberries.ru/catalog/275338134/detail.aspx" TargetMode="External"/><Relationship Id="rId833" Type="http://schemas.openxmlformats.org/officeDocument/2006/relationships/hyperlink" Target="https://www.wildberries.ru/catalog/28748778/detail.aspx" TargetMode="External"/><Relationship Id="rId1116" Type="http://schemas.openxmlformats.org/officeDocument/2006/relationships/hyperlink" Target="https://ozon.ru/t/M81EEPx" TargetMode="External"/><Relationship Id="rId1463" Type="http://schemas.openxmlformats.org/officeDocument/2006/relationships/hyperlink" Target="https://www.wildberries.ru/catalog/246952087/detail.aspx?size=386898234" TargetMode="External"/><Relationship Id="rId1670" Type="http://schemas.openxmlformats.org/officeDocument/2006/relationships/hyperlink" Target="https://www.wildberries.ru/catalog/232572897/detail.aspx" TargetMode="External"/><Relationship Id="rId1768" Type="http://schemas.openxmlformats.org/officeDocument/2006/relationships/hyperlink" Target="https://www.wildberries.ru/catalog/225803771/detail.aspx?targetUrl=GP&amp;size=357642474" TargetMode="External"/><Relationship Id="rId900" Type="http://schemas.openxmlformats.org/officeDocument/2006/relationships/hyperlink" Target="https://ozon.ru/t/wk34Ll4" TargetMode="External"/><Relationship Id="rId1323" Type="http://schemas.openxmlformats.org/officeDocument/2006/relationships/hyperlink" Target="https://www.wildberries.ru/catalog/169442892/detail.aspx" TargetMode="External"/><Relationship Id="rId1530" Type="http://schemas.openxmlformats.org/officeDocument/2006/relationships/hyperlink" Target="https://wildberries.ru/catalog/196213658/detail.aspx" TargetMode="External"/><Relationship Id="rId1628" Type="http://schemas.openxmlformats.org/officeDocument/2006/relationships/hyperlink" Target="https://www.wildberries.ru/catalog/261597196/detail.aspx?size=406484743" TargetMode="External"/><Relationship Id="rId276" Type="http://schemas.openxmlformats.org/officeDocument/2006/relationships/hyperlink" Target="http://slovo.net.ru/book/108325" TargetMode="External"/><Relationship Id="rId483" Type="http://schemas.openxmlformats.org/officeDocument/2006/relationships/hyperlink" Target="https://avito.ru/2461113439" TargetMode="External"/><Relationship Id="rId690" Type="http://schemas.openxmlformats.org/officeDocument/2006/relationships/hyperlink" Target="https://www.wildberries.ru/catalog/25872024/detail.aspx" TargetMode="External"/><Relationship Id="rId136" Type="http://schemas.openxmlformats.org/officeDocument/2006/relationships/hyperlink" Target="https://ozon.ru/t/66JgeAw" TargetMode="External"/><Relationship Id="rId343" Type="http://schemas.openxmlformats.org/officeDocument/2006/relationships/hyperlink" Target="https://ozon.ru/t/n6RwJee" TargetMode="External"/><Relationship Id="rId550" Type="http://schemas.openxmlformats.org/officeDocument/2006/relationships/hyperlink" Target="https://wildberries.ru/catalog/28219125/detail.aspx" TargetMode="External"/><Relationship Id="rId788" Type="http://schemas.openxmlformats.org/officeDocument/2006/relationships/hyperlink" Target="https://www.wildberries.ru/catalog/2758527/detail.aspx?targetUrl=SN" TargetMode="External"/><Relationship Id="rId995" Type="http://schemas.openxmlformats.org/officeDocument/2006/relationships/hyperlink" Target="https://www.wildberries.ru/catalog/231615064/detail.aspx" TargetMode="External"/><Relationship Id="rId1180" Type="http://schemas.openxmlformats.org/officeDocument/2006/relationships/hyperlink" Target="https://ozon.ru/t/P7O8Yp" TargetMode="External"/><Relationship Id="rId203" Type="http://schemas.openxmlformats.org/officeDocument/2006/relationships/hyperlink" Target="https://ozon.ru/t/wXr68Wg" TargetMode="External"/><Relationship Id="rId648" Type="http://schemas.openxmlformats.org/officeDocument/2006/relationships/hyperlink" Target="https://www.wildberries.ru/catalog/214970343/detail.aspx" TargetMode="External"/><Relationship Id="rId855" Type="http://schemas.openxmlformats.org/officeDocument/2006/relationships/hyperlink" Target="https://wildberries.ru/catalog/248168226/detail.aspx" TargetMode="External"/><Relationship Id="rId1040" Type="http://schemas.openxmlformats.org/officeDocument/2006/relationships/hyperlink" Target="https://ozon.ru/t/2eLknnK" TargetMode="External"/><Relationship Id="rId1278" Type="http://schemas.openxmlformats.org/officeDocument/2006/relationships/hyperlink" Target="https://ozon.ru/t/9pAeyOP" TargetMode="External"/><Relationship Id="rId1485" Type="http://schemas.openxmlformats.org/officeDocument/2006/relationships/hyperlink" Target="https://www.wildberries.ru/catalog/267834450/detail.aspx?targetUrl=GP&amp;size=414961090" TargetMode="External"/><Relationship Id="rId1692" Type="http://schemas.openxmlformats.org/officeDocument/2006/relationships/hyperlink" Target="https://wildberries.ru/catalog/218330800/detail.aspx" TargetMode="External"/><Relationship Id="rId410" Type="http://schemas.openxmlformats.org/officeDocument/2006/relationships/hyperlink" Target="https://www.wildberries.ru/catalog/149491524/detail.aspx" TargetMode="External"/><Relationship Id="rId508" Type="http://schemas.openxmlformats.org/officeDocument/2006/relationships/hyperlink" Target="https://www.wildberries.ru/catalog/15296787/detail.aspx" TargetMode="External"/><Relationship Id="rId715" Type="http://schemas.openxmlformats.org/officeDocument/2006/relationships/hyperlink" Target="https://wildberries.ru/catalog/87562398/detail.aspx" TargetMode="External"/><Relationship Id="rId922" Type="http://schemas.openxmlformats.org/officeDocument/2006/relationships/hyperlink" Target="https://wildberries.ru/catalog/248932654/detail.aspx" TargetMode="External"/><Relationship Id="rId1138" Type="http://schemas.openxmlformats.org/officeDocument/2006/relationships/hyperlink" Target="https://wildberries.ru/catalog/249237458/detail.aspx" TargetMode="External"/><Relationship Id="rId1345" Type="http://schemas.openxmlformats.org/officeDocument/2006/relationships/hyperlink" Target="https://wildberries.ru/catalog/278835978/detail.aspx" TargetMode="External"/><Relationship Id="rId1552" Type="http://schemas.openxmlformats.org/officeDocument/2006/relationships/hyperlink" Target="https://ozon.ru/t/wPM7Pop" TargetMode="External"/><Relationship Id="rId1205" Type="http://schemas.openxmlformats.org/officeDocument/2006/relationships/hyperlink" Target="https://wildberries.ru/catalog/47189662/detail.aspx" TargetMode="External"/><Relationship Id="rId51" Type="http://schemas.openxmlformats.org/officeDocument/2006/relationships/hyperlink" Target="https://ozon.ru/t/pa40p0b" TargetMode="External"/><Relationship Id="rId1412" Type="http://schemas.openxmlformats.org/officeDocument/2006/relationships/hyperlink" Target="https://www.wildberries.ru/catalog/207187214/detail.aspx" TargetMode="External"/><Relationship Id="rId1717" Type="http://schemas.openxmlformats.org/officeDocument/2006/relationships/hyperlink" Target="https://ozon.ru/t/0XllmQk" TargetMode="External"/><Relationship Id="rId298" Type="http://schemas.openxmlformats.org/officeDocument/2006/relationships/hyperlink" Target="https://www.wildberries.ru/catalog/88143084/detail.aspx?targetUrl=SN" TargetMode="External"/><Relationship Id="rId158" Type="http://schemas.openxmlformats.org/officeDocument/2006/relationships/hyperlink" Target="https://ozon.ru/t/aoLQA2Z" TargetMode="External"/><Relationship Id="rId365" Type="http://schemas.openxmlformats.org/officeDocument/2006/relationships/hyperlink" Target="https://ozon.ru/t/P4Yeo1V" TargetMode="External"/><Relationship Id="rId572" Type="http://schemas.openxmlformats.org/officeDocument/2006/relationships/hyperlink" Target="https://www.wildberries.ru/catalog/8403992/detail.aspx" TargetMode="External"/><Relationship Id="rId225" Type="http://schemas.openxmlformats.org/officeDocument/2006/relationships/hyperlink" Target="https://www.wildberries.ru/catalog/156241225/detail.aspx?targetUrl=SN" TargetMode="External"/><Relationship Id="rId432" Type="http://schemas.openxmlformats.org/officeDocument/2006/relationships/hyperlink" Target="https://wildberries.ru/catalog/191163171/detail.aspx" TargetMode="External"/><Relationship Id="rId877" Type="http://schemas.openxmlformats.org/officeDocument/2006/relationships/hyperlink" Target="https://wildberries.ru/catalog/9448035/detail.aspx" TargetMode="External"/><Relationship Id="rId1062" Type="http://schemas.openxmlformats.org/officeDocument/2006/relationships/hyperlink" Target="https://ozon.ru/t/on5K22g" TargetMode="External"/><Relationship Id="rId737" Type="http://schemas.openxmlformats.org/officeDocument/2006/relationships/hyperlink" Target="https://www.wildberries.ru/catalog/255342379/detail.aspx?size=398059271" TargetMode="External"/><Relationship Id="rId944" Type="http://schemas.openxmlformats.org/officeDocument/2006/relationships/hyperlink" Target="https://www.wildberries.ru/catalog/162538023/detail.aspx?size=270115480" TargetMode="External"/><Relationship Id="rId1367" Type="http://schemas.openxmlformats.org/officeDocument/2006/relationships/hyperlink" Target="https://wildberries.ru/catalog/302905756/detail.aspx" TargetMode="External"/><Relationship Id="rId1574" Type="http://schemas.openxmlformats.org/officeDocument/2006/relationships/hyperlink" Target="https://wildberries.ru/catalog/270851575/detail.aspx" TargetMode="External"/><Relationship Id="rId1781" Type="http://schemas.openxmlformats.org/officeDocument/2006/relationships/hyperlink" Target="https://wildberries.ru/catalog/252664818/detail.aspx" TargetMode="External"/><Relationship Id="rId73" Type="http://schemas.openxmlformats.org/officeDocument/2006/relationships/hyperlink" Target="https://www.ozon.ru/product/instrumenty-instrumenty-dlya-remonta-i-stroitelstva-svarka-1281921709/" TargetMode="External"/><Relationship Id="rId804" Type="http://schemas.openxmlformats.org/officeDocument/2006/relationships/hyperlink" Target="https://ozon.ru/t/3zM3qz" TargetMode="External"/><Relationship Id="rId1227" Type="http://schemas.openxmlformats.org/officeDocument/2006/relationships/hyperlink" Target="https://wildberries.ru/catalog/137659229/detail.aspx" TargetMode="External"/><Relationship Id="rId1434" Type="http://schemas.openxmlformats.org/officeDocument/2006/relationships/hyperlink" Target="https://www.wildberries.ru/catalog/235258244/detail.aspx" TargetMode="External"/><Relationship Id="rId1641" Type="http://schemas.openxmlformats.org/officeDocument/2006/relationships/hyperlink" Target="https://www.avito.ru/sankt-peterburg/knigi_i_zhurnaly/bibliya_v_gravyurah_gyustava_dore_4696576676" TargetMode="External"/><Relationship Id="rId1501" Type="http://schemas.openxmlformats.org/officeDocument/2006/relationships/hyperlink" Target="https://wildberries.ru/catalog/160977083/detail.aspx" TargetMode="External"/><Relationship Id="rId1739" Type="http://schemas.openxmlformats.org/officeDocument/2006/relationships/hyperlink" Target="https://wildberries.ru/catalog/17416634/detail.aspx" TargetMode="External"/><Relationship Id="rId1806" Type="http://schemas.openxmlformats.org/officeDocument/2006/relationships/hyperlink" Target="https://ozon.ru/t/L4KEhFo" TargetMode="External"/><Relationship Id="rId387" Type="http://schemas.openxmlformats.org/officeDocument/2006/relationships/hyperlink" Target="https://ozon.ru/t/e2DGR7N" TargetMode="External"/><Relationship Id="rId594" Type="http://schemas.openxmlformats.org/officeDocument/2006/relationships/hyperlink" Target="https://www.wildberries.ru/catalog/169390694/detail.aspx/" TargetMode="External"/><Relationship Id="rId247" Type="http://schemas.openxmlformats.org/officeDocument/2006/relationships/hyperlink" Target="https://ozon.ru/t/5LwaNR" TargetMode="External"/><Relationship Id="rId899" Type="http://schemas.openxmlformats.org/officeDocument/2006/relationships/hyperlink" Target="https://ozon.ru/t/0P57b73" TargetMode="External"/><Relationship Id="rId1084" Type="http://schemas.openxmlformats.org/officeDocument/2006/relationships/hyperlink" Target="https://wildberries.ru/catalog/254559653/detail.aspx" TargetMode="External"/><Relationship Id="rId107" Type="http://schemas.openxmlformats.org/officeDocument/2006/relationships/hyperlink" Target="https://www.wildberries.ru/catalog/34129545/detail.aspx" TargetMode="External"/><Relationship Id="rId454" Type="http://schemas.openxmlformats.org/officeDocument/2006/relationships/hyperlink" Target="https://wildberries.ru/catalog/164221352/detail.aspx" TargetMode="External"/><Relationship Id="rId661" Type="http://schemas.openxmlformats.org/officeDocument/2006/relationships/hyperlink" Target="https://wildberries.ru/catalog/91569575/detail.aspx" TargetMode="External"/><Relationship Id="rId759" Type="http://schemas.openxmlformats.org/officeDocument/2006/relationships/hyperlink" Target="https://www.wildberries.ru/catalog/234116001/detail.aspx?size=368980659" TargetMode="External"/><Relationship Id="rId966" Type="http://schemas.openxmlformats.org/officeDocument/2006/relationships/hyperlink" Target="https://www.wildberries.ru/catalog/141947113/detail.aspx" TargetMode="External"/><Relationship Id="rId1291" Type="http://schemas.openxmlformats.org/officeDocument/2006/relationships/hyperlink" Target="https://wildberries.ru/catalog/182627497/detail.aspx" TargetMode="External"/><Relationship Id="rId1389" Type="http://schemas.openxmlformats.org/officeDocument/2006/relationships/hyperlink" Target="https://www.wildberries.ru/catalog/62971904/detail.aspx?targetUrl=SN" TargetMode="External"/><Relationship Id="rId1596" Type="http://schemas.openxmlformats.org/officeDocument/2006/relationships/hyperlink" Target="https://wildberries.ru/catalog/197652105/detail.aspx" TargetMode="External"/><Relationship Id="rId314" Type="http://schemas.openxmlformats.org/officeDocument/2006/relationships/hyperlink" Target="https://ozon.ru/t/7QgayV" TargetMode="External"/><Relationship Id="rId521" Type="http://schemas.openxmlformats.org/officeDocument/2006/relationships/hyperlink" Target="https://ozon.ru/t/DJAl0Aq" TargetMode="External"/><Relationship Id="rId619" Type="http://schemas.openxmlformats.org/officeDocument/2006/relationships/hyperlink" Target="https://www.wildberries.ru/catalog/171224849/detail.aspx?size=284214493" TargetMode="External"/><Relationship Id="rId1151" Type="http://schemas.openxmlformats.org/officeDocument/2006/relationships/hyperlink" Target="https://wildberries.ru/catalog/184518997/detail.aspx" TargetMode="External"/><Relationship Id="rId1249" Type="http://schemas.openxmlformats.org/officeDocument/2006/relationships/hyperlink" Target="https://ozon.ru/t/54KAnxE" TargetMode="External"/><Relationship Id="rId95" Type="http://schemas.openxmlformats.org/officeDocument/2006/relationships/hyperlink" Target="https://ozon.ru/t/RZK548e" TargetMode="External"/><Relationship Id="rId826" Type="http://schemas.openxmlformats.org/officeDocument/2006/relationships/hyperlink" Target="https://ozon.ru/t/elDdnY1" TargetMode="External"/><Relationship Id="rId1011" Type="http://schemas.openxmlformats.org/officeDocument/2006/relationships/hyperlink" Target="https://www.wildberries.ru/catalog/37051387/detail.aspx?size=76691359" TargetMode="External"/><Relationship Id="rId1109" Type="http://schemas.openxmlformats.org/officeDocument/2006/relationships/hyperlink" Target="https://www.wildberries.ru/catalog/228707373/detail.aspx" TargetMode="External"/><Relationship Id="rId1456" Type="http://schemas.openxmlformats.org/officeDocument/2006/relationships/hyperlink" Target="https://www.wildberries.ru/catalog/148989880/detail.aspx" TargetMode="External"/><Relationship Id="rId1663" Type="http://schemas.openxmlformats.org/officeDocument/2006/relationships/hyperlink" Target="https://www.wildberries.ru/catalog/51269629/detail.aspx?size=96976023" TargetMode="External"/><Relationship Id="rId1316" Type="http://schemas.openxmlformats.org/officeDocument/2006/relationships/hyperlink" Target="https://zyorna.ru/catalog/item/magnit-s-rozhdestvom-volhvy-i-bogorodica-91254" TargetMode="External"/><Relationship Id="rId1523" Type="http://schemas.openxmlformats.org/officeDocument/2006/relationships/hyperlink" Target="https://wildberries.ru/catalog/163395850/detail.aspx" TargetMode="External"/><Relationship Id="rId1730" Type="http://schemas.openxmlformats.org/officeDocument/2006/relationships/hyperlink" Target="https://wildberries.ru/catalog/361870646/detail.aspx" TargetMode="External"/><Relationship Id="rId22" Type="http://schemas.openxmlformats.org/officeDocument/2006/relationships/hyperlink" Target="https://www.wildberries.ru/catalog/203578983/detail.aspx?targetUrl=SP&amp;size=327859832" TargetMode="External"/><Relationship Id="rId1828" Type="http://schemas.openxmlformats.org/officeDocument/2006/relationships/vmlDrawing" Target="../drawings/vmlDrawing1.vml"/><Relationship Id="rId171" Type="http://schemas.openxmlformats.org/officeDocument/2006/relationships/hyperlink" Target="https://ozon.ru/t/Y4r05Ew" TargetMode="External"/><Relationship Id="rId269" Type="http://schemas.openxmlformats.org/officeDocument/2006/relationships/hyperlink" Target="https://www.wildberries.ru/catalog/173183107/detail.aspx?targetUrl=SN" TargetMode="External"/><Relationship Id="rId476" Type="http://schemas.openxmlformats.org/officeDocument/2006/relationships/hyperlink" Target="https://ozon.ru/t/3G4rAVA" TargetMode="External"/><Relationship Id="rId683" Type="http://schemas.openxmlformats.org/officeDocument/2006/relationships/hyperlink" Target="https://book24.ru/amp/product/izbrannye-obrabotki-narodnykh-pesen-svetskie-i-dukhovnye-proizvedeniya-dlya-sme-6473299/" TargetMode="External"/><Relationship Id="rId890" Type="http://schemas.openxmlformats.org/officeDocument/2006/relationships/hyperlink" Target="https://ozon.ru/t/l1nv6m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google.com/?daddr=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68B1-1D36-452E-8E3F-9BDDFD785E2E}">
  <sheetPr codeName="Лист1"/>
  <dimension ref="A1:F271"/>
  <sheetViews>
    <sheetView zoomScaleNormal="100" workbookViewId="0">
      <pane ySplit="1" topLeftCell="A2" activePane="bottomLeft" state="frozen"/>
      <selection activeCell="E1" sqref="E1"/>
      <selection pane="bottomLeft" activeCell="A31" sqref="A31"/>
    </sheetView>
  </sheetViews>
  <sheetFormatPr defaultRowHeight="15" x14ac:dyDescent="0.25"/>
  <cols>
    <col min="1" max="1" width="26.140625" customWidth="1"/>
    <col min="2" max="2" width="29.7109375" bestFit="1" customWidth="1"/>
    <col min="3" max="3" width="29.28515625" customWidth="1"/>
    <col min="4" max="4" width="28.28515625" bestFit="1" customWidth="1"/>
    <col min="5" max="5" width="17.28515625" bestFit="1" customWidth="1"/>
  </cols>
  <sheetData>
    <row r="1" spans="1:6" s="2" customFormat="1" x14ac:dyDescent="0.25">
      <c r="A1" s="86" t="s">
        <v>0</v>
      </c>
      <c r="B1" s="103" t="s">
        <v>2798</v>
      </c>
      <c r="C1" s="87" t="s">
        <v>1</v>
      </c>
      <c r="D1" s="88" t="s">
        <v>2</v>
      </c>
      <c r="E1" s="88" t="s">
        <v>2792</v>
      </c>
      <c r="F1" s="88" t="s">
        <v>2797</v>
      </c>
    </row>
    <row r="2" spans="1:6" x14ac:dyDescent="0.25">
      <c r="A2" s="81" t="s">
        <v>2793</v>
      </c>
      <c r="B2" s="22" t="s">
        <v>2800</v>
      </c>
      <c r="C2" s="23"/>
      <c r="D2" s="22"/>
      <c r="E2" s="22"/>
      <c r="F2" s="24">
        <v>15</v>
      </c>
    </row>
    <row r="3" spans="1:6" ht="15" customHeight="1" x14ac:dyDescent="0.25">
      <c r="A3" s="73" t="s">
        <v>4</v>
      </c>
      <c r="B3" s="22" t="s">
        <v>2801</v>
      </c>
      <c r="C3" s="10" t="s">
        <v>5</v>
      </c>
      <c r="D3" s="3" t="s">
        <v>6</v>
      </c>
      <c r="E3" s="3"/>
      <c r="F3" s="4">
        <v>15</v>
      </c>
    </row>
    <row r="4" spans="1:6" x14ac:dyDescent="0.25">
      <c r="A4" s="73" t="s">
        <v>7</v>
      </c>
      <c r="B4" s="22" t="s">
        <v>2802</v>
      </c>
      <c r="C4" s="10" t="s">
        <v>8</v>
      </c>
      <c r="D4" s="3" t="s">
        <v>9</v>
      </c>
      <c r="E4" s="3" t="s">
        <v>10</v>
      </c>
      <c r="F4" s="4">
        <v>15</v>
      </c>
    </row>
    <row r="5" spans="1:6" x14ac:dyDescent="0.25">
      <c r="A5" s="82" t="s">
        <v>11</v>
      </c>
      <c r="B5" s="101" t="s">
        <v>2803</v>
      </c>
      <c r="C5" s="10" t="s">
        <v>12</v>
      </c>
      <c r="D5" s="3" t="s">
        <v>9</v>
      </c>
      <c r="E5" s="3" t="s">
        <v>10</v>
      </c>
      <c r="F5" s="4">
        <v>15</v>
      </c>
    </row>
    <row r="6" spans="1:6" x14ac:dyDescent="0.25">
      <c r="A6" s="83" t="s">
        <v>519</v>
      </c>
      <c r="B6" s="102" t="s">
        <v>2804</v>
      </c>
      <c r="C6" s="10" t="s">
        <v>14</v>
      </c>
      <c r="D6" s="3" t="s">
        <v>15</v>
      </c>
      <c r="E6" s="3" t="s">
        <v>16</v>
      </c>
      <c r="F6" s="4">
        <v>15</v>
      </c>
    </row>
    <row r="7" spans="1:6" x14ac:dyDescent="0.25">
      <c r="A7" s="73" t="s">
        <v>17</v>
      </c>
      <c r="B7" s="22" t="s">
        <v>2805</v>
      </c>
      <c r="C7" s="10" t="s">
        <v>18</v>
      </c>
      <c r="D7" s="3" t="s">
        <v>19</v>
      </c>
      <c r="E7" s="3"/>
      <c r="F7" s="4">
        <v>15</v>
      </c>
    </row>
    <row r="8" spans="1:6" x14ac:dyDescent="0.25">
      <c r="A8" s="73" t="s">
        <v>20</v>
      </c>
      <c r="B8" s="22" t="s">
        <v>2806</v>
      </c>
      <c r="C8" s="10" t="s">
        <v>21</v>
      </c>
      <c r="D8" s="3" t="s">
        <v>22</v>
      </c>
      <c r="E8" s="3" t="s">
        <v>23</v>
      </c>
      <c r="F8" s="4">
        <v>15</v>
      </c>
    </row>
    <row r="9" spans="1:6" x14ac:dyDescent="0.25">
      <c r="A9" s="73" t="s">
        <v>24</v>
      </c>
      <c r="B9" s="22" t="s">
        <v>2807</v>
      </c>
      <c r="C9" s="10" t="s">
        <v>25</v>
      </c>
      <c r="D9" s="3" t="s">
        <v>26</v>
      </c>
      <c r="E9" s="3"/>
      <c r="F9" s="4">
        <v>15</v>
      </c>
    </row>
    <row r="10" spans="1:6" x14ac:dyDescent="0.25">
      <c r="A10" s="73" t="s">
        <v>27</v>
      </c>
      <c r="B10" s="22" t="s">
        <v>2808</v>
      </c>
      <c r="C10" s="10" t="s">
        <v>28</v>
      </c>
      <c r="D10" s="3" t="s">
        <v>29</v>
      </c>
      <c r="E10" s="3"/>
      <c r="F10" s="4">
        <v>15</v>
      </c>
    </row>
    <row r="11" spans="1:6" x14ac:dyDescent="0.25">
      <c r="A11" s="73" t="s">
        <v>30</v>
      </c>
      <c r="B11" s="22" t="s">
        <v>2809</v>
      </c>
      <c r="C11" s="10" t="s">
        <v>31</v>
      </c>
      <c r="D11" s="3"/>
      <c r="E11" s="3"/>
      <c r="F11" s="4">
        <v>15</v>
      </c>
    </row>
    <row r="12" spans="1:6" x14ac:dyDescent="0.25">
      <c r="A12" s="73" t="s">
        <v>33</v>
      </c>
      <c r="B12" s="22" t="s">
        <v>2810</v>
      </c>
      <c r="C12" s="10" t="s">
        <v>34</v>
      </c>
      <c r="D12" s="3" t="s">
        <v>1950</v>
      </c>
      <c r="E12" s="3" t="s">
        <v>35</v>
      </c>
      <c r="F12" s="4">
        <v>15</v>
      </c>
    </row>
    <row r="13" spans="1:6" x14ac:dyDescent="0.25">
      <c r="A13" s="73" t="s">
        <v>36</v>
      </c>
      <c r="B13" s="22" t="s">
        <v>2811</v>
      </c>
      <c r="C13" s="10" t="s">
        <v>37</v>
      </c>
      <c r="D13" s="3" t="s">
        <v>38</v>
      </c>
      <c r="E13" s="3"/>
      <c r="F13" s="4">
        <v>15</v>
      </c>
    </row>
    <row r="14" spans="1:6" x14ac:dyDescent="0.25">
      <c r="A14" s="73" t="s">
        <v>39</v>
      </c>
      <c r="B14" s="22" t="s">
        <v>2812</v>
      </c>
      <c r="C14" s="10" t="s">
        <v>40</v>
      </c>
      <c r="D14" s="3" t="s">
        <v>41</v>
      </c>
      <c r="E14" s="3" t="s">
        <v>42</v>
      </c>
      <c r="F14" s="4">
        <v>15</v>
      </c>
    </row>
    <row r="15" spans="1:6" x14ac:dyDescent="0.25">
      <c r="A15" s="73" t="s">
        <v>43</v>
      </c>
      <c r="B15" s="22" t="s">
        <v>2813</v>
      </c>
      <c r="C15" s="10" t="s">
        <v>44</v>
      </c>
      <c r="D15" s="3" t="s">
        <v>45</v>
      </c>
      <c r="E15" s="3"/>
      <c r="F15" s="4">
        <v>15</v>
      </c>
    </row>
    <row r="16" spans="1:6" x14ac:dyDescent="0.25">
      <c r="A16" s="73" t="s">
        <v>46</v>
      </c>
      <c r="B16" s="22" t="s">
        <v>2814</v>
      </c>
      <c r="C16" s="10" t="s">
        <v>47</v>
      </c>
      <c r="D16" s="3" t="s">
        <v>48</v>
      </c>
      <c r="E16" s="3"/>
      <c r="F16" s="4">
        <v>15</v>
      </c>
    </row>
    <row r="17" spans="1:6" x14ac:dyDescent="0.25">
      <c r="A17" s="73" t="s">
        <v>49</v>
      </c>
      <c r="B17" s="22" t="s">
        <v>2815</v>
      </c>
      <c r="C17" s="10" t="s">
        <v>50</v>
      </c>
      <c r="D17" s="3" t="s">
        <v>51</v>
      </c>
      <c r="E17" s="3"/>
      <c r="F17" s="4">
        <v>15</v>
      </c>
    </row>
    <row r="18" spans="1:6" x14ac:dyDescent="0.25">
      <c r="A18" s="73" t="s">
        <v>52</v>
      </c>
      <c r="B18" s="22" t="s">
        <v>2816</v>
      </c>
      <c r="C18" s="10" t="s">
        <v>53</v>
      </c>
      <c r="D18" s="3" t="s">
        <v>45</v>
      </c>
      <c r="E18" s="3" t="s">
        <v>54</v>
      </c>
      <c r="F18" s="4">
        <v>15</v>
      </c>
    </row>
    <row r="19" spans="1:6" x14ac:dyDescent="0.25">
      <c r="A19" s="73" t="s">
        <v>55</v>
      </c>
      <c r="B19" s="22" t="s">
        <v>2817</v>
      </c>
      <c r="C19" s="10" t="s">
        <v>56</v>
      </c>
      <c r="D19" s="3" t="s">
        <v>57</v>
      </c>
      <c r="E19" s="3"/>
      <c r="F19" s="4">
        <v>15</v>
      </c>
    </row>
    <row r="20" spans="1:6" x14ac:dyDescent="0.25">
      <c r="A20" s="73" t="s">
        <v>58</v>
      </c>
      <c r="B20" s="22" t="s">
        <v>2818</v>
      </c>
      <c r="C20" s="10" t="s">
        <v>59</v>
      </c>
      <c r="D20" s="3" t="s">
        <v>60</v>
      </c>
      <c r="E20" s="3"/>
      <c r="F20" s="4">
        <v>15</v>
      </c>
    </row>
    <row r="21" spans="1:6" x14ac:dyDescent="0.25">
      <c r="A21" s="73" t="s">
        <v>61</v>
      </c>
      <c r="B21" s="22" t="s">
        <v>2819</v>
      </c>
      <c r="C21" s="10" t="s">
        <v>62</v>
      </c>
      <c r="D21" s="3" t="s">
        <v>63</v>
      </c>
      <c r="E21" s="3"/>
      <c r="F21" s="4">
        <v>15</v>
      </c>
    </row>
    <row r="22" spans="1:6" x14ac:dyDescent="0.25">
      <c r="A22" s="73" t="s">
        <v>64</v>
      </c>
      <c r="B22" s="22" t="s">
        <v>2820</v>
      </c>
      <c r="C22" s="10" t="s">
        <v>65</v>
      </c>
      <c r="D22" s="3" t="s">
        <v>66</v>
      </c>
      <c r="E22" s="3"/>
      <c r="F22" s="4">
        <v>15</v>
      </c>
    </row>
    <row r="23" spans="1:6" x14ac:dyDescent="0.25">
      <c r="A23" s="73" t="s">
        <v>67</v>
      </c>
      <c r="B23" s="22" t="s">
        <v>2821</v>
      </c>
      <c r="C23" s="10" t="s">
        <v>68</v>
      </c>
      <c r="D23" s="3" t="s">
        <v>69</v>
      </c>
      <c r="E23" s="3" t="s">
        <v>70</v>
      </c>
      <c r="F23" s="4">
        <v>15</v>
      </c>
    </row>
    <row r="24" spans="1:6" x14ac:dyDescent="0.25">
      <c r="A24" s="73" t="s">
        <v>71</v>
      </c>
      <c r="B24" s="22" t="s">
        <v>2822</v>
      </c>
      <c r="C24" s="10" t="s">
        <v>72</v>
      </c>
      <c r="D24" s="3" t="s">
        <v>73</v>
      </c>
      <c r="E24" s="3"/>
      <c r="F24" s="4">
        <v>15</v>
      </c>
    </row>
    <row r="25" spans="1:6" x14ac:dyDescent="0.25">
      <c r="A25" s="73" t="s">
        <v>74</v>
      </c>
      <c r="B25" s="22" t="s">
        <v>2823</v>
      </c>
      <c r="C25" s="10" t="s">
        <v>75</v>
      </c>
      <c r="D25" s="3" t="s">
        <v>76</v>
      </c>
      <c r="E25" s="3"/>
      <c r="F25" s="4">
        <v>15</v>
      </c>
    </row>
    <row r="26" spans="1:6" x14ac:dyDescent="0.25">
      <c r="A26" s="73" t="s">
        <v>77</v>
      </c>
      <c r="B26" s="22" t="s">
        <v>2824</v>
      </c>
      <c r="C26" s="10" t="s">
        <v>75</v>
      </c>
      <c r="D26" s="3" t="s">
        <v>78</v>
      </c>
      <c r="E26" s="3"/>
      <c r="F26" s="4">
        <v>15</v>
      </c>
    </row>
    <row r="27" spans="1:6" x14ac:dyDescent="0.25">
      <c r="A27" s="73" t="s">
        <v>79</v>
      </c>
      <c r="B27" s="22" t="s">
        <v>2825</v>
      </c>
      <c r="C27" s="10" t="s">
        <v>80</v>
      </c>
      <c r="D27" s="3" t="s">
        <v>81</v>
      </c>
      <c r="E27" s="3"/>
      <c r="F27" s="4">
        <v>15</v>
      </c>
    </row>
    <row r="28" spans="1:6" x14ac:dyDescent="0.25">
      <c r="A28" s="73" t="s">
        <v>83</v>
      </c>
      <c r="B28" s="22" t="s">
        <v>2826</v>
      </c>
      <c r="C28" s="10" t="s">
        <v>84</v>
      </c>
      <c r="D28" s="3" t="s">
        <v>45</v>
      </c>
      <c r="E28" s="3"/>
      <c r="F28" s="4">
        <v>15</v>
      </c>
    </row>
    <row r="29" spans="1:6" x14ac:dyDescent="0.25">
      <c r="A29" s="73" t="s">
        <v>85</v>
      </c>
      <c r="B29" s="22" t="s">
        <v>2827</v>
      </c>
      <c r="C29" s="10" t="s">
        <v>86</v>
      </c>
      <c r="D29" s="3" t="s">
        <v>87</v>
      </c>
      <c r="E29" s="3"/>
      <c r="F29" s="4">
        <v>15</v>
      </c>
    </row>
    <row r="30" spans="1:6" x14ac:dyDescent="0.25">
      <c r="A30" s="73" t="s">
        <v>88</v>
      </c>
      <c r="B30" s="22" t="s">
        <v>2828</v>
      </c>
      <c r="C30" s="11" t="s">
        <v>89</v>
      </c>
      <c r="D30" s="3" t="s">
        <v>90</v>
      </c>
      <c r="E30" s="3"/>
      <c r="F30" s="5">
        <v>15</v>
      </c>
    </row>
    <row r="31" spans="1:6" x14ac:dyDescent="0.25">
      <c r="A31" s="73" t="s">
        <v>1502</v>
      </c>
      <c r="B31" s="22" t="s">
        <v>2829</v>
      </c>
      <c r="C31" s="11" t="s">
        <v>92</v>
      </c>
      <c r="D31" s="3" t="s">
        <v>51</v>
      </c>
      <c r="E31" s="3" t="s">
        <v>93</v>
      </c>
      <c r="F31" s="5">
        <v>15</v>
      </c>
    </row>
    <row r="32" spans="1:6" x14ac:dyDescent="0.25">
      <c r="A32" s="73" t="s">
        <v>94</v>
      </c>
      <c r="B32" s="22" t="s">
        <v>2830</v>
      </c>
      <c r="C32" s="11" t="s">
        <v>95</v>
      </c>
      <c r="D32" s="3" t="s">
        <v>96</v>
      </c>
      <c r="E32" s="3"/>
      <c r="F32" s="5">
        <v>15</v>
      </c>
    </row>
    <row r="33" spans="1:6" x14ac:dyDescent="0.25">
      <c r="A33" s="73" t="s">
        <v>97</v>
      </c>
      <c r="B33" s="22" t="s">
        <v>2831</v>
      </c>
      <c r="C33" s="11" t="s">
        <v>98</v>
      </c>
      <c r="D33" s="3" t="s">
        <v>226</v>
      </c>
      <c r="E33" s="3" t="s">
        <v>1513</v>
      </c>
      <c r="F33" s="5">
        <v>10</v>
      </c>
    </row>
    <row r="34" spans="1:6" x14ac:dyDescent="0.25">
      <c r="A34" s="73" t="s">
        <v>99</v>
      </c>
      <c r="B34" s="22" t="s">
        <v>2832</v>
      </c>
      <c r="C34" s="11" t="s">
        <v>100</v>
      </c>
      <c r="D34" s="3" t="s">
        <v>101</v>
      </c>
      <c r="E34" s="3"/>
      <c r="F34" s="5">
        <v>10</v>
      </c>
    </row>
    <row r="35" spans="1:6" x14ac:dyDescent="0.25">
      <c r="A35" s="73" t="s">
        <v>102</v>
      </c>
      <c r="B35" s="22" t="s">
        <v>2833</v>
      </c>
      <c r="C35" s="11" t="s">
        <v>18</v>
      </c>
      <c r="D35" s="3" t="s">
        <v>103</v>
      </c>
      <c r="E35" s="3"/>
      <c r="F35" s="5">
        <v>15</v>
      </c>
    </row>
    <row r="36" spans="1:6" x14ac:dyDescent="0.25">
      <c r="A36" s="73" t="s">
        <v>104</v>
      </c>
      <c r="B36" s="22" t="s">
        <v>2834</v>
      </c>
      <c r="C36" s="11" t="s">
        <v>105</v>
      </c>
      <c r="D36" s="3" t="s">
        <v>106</v>
      </c>
      <c r="E36" s="3" t="s">
        <v>107</v>
      </c>
      <c r="F36" s="5">
        <v>10</v>
      </c>
    </row>
    <row r="37" spans="1:6" x14ac:dyDescent="0.25">
      <c r="A37" s="73" t="s">
        <v>108</v>
      </c>
      <c r="B37" s="22" t="s">
        <v>2835</v>
      </c>
      <c r="C37" s="11" t="s">
        <v>109</v>
      </c>
      <c r="D37" s="3" t="s">
        <v>110</v>
      </c>
      <c r="E37" s="3" t="s">
        <v>111</v>
      </c>
      <c r="F37" s="5">
        <v>15</v>
      </c>
    </row>
    <row r="38" spans="1:6" x14ac:dyDescent="0.25">
      <c r="A38" s="73" t="s">
        <v>112</v>
      </c>
      <c r="B38" s="22" t="s">
        <v>2836</v>
      </c>
      <c r="C38" s="11" t="s">
        <v>113</v>
      </c>
      <c r="D38" s="3" t="s">
        <v>114</v>
      </c>
      <c r="E38" s="3" t="s">
        <v>115</v>
      </c>
      <c r="F38" s="5">
        <v>15</v>
      </c>
    </row>
    <row r="39" spans="1:6" x14ac:dyDescent="0.25">
      <c r="A39" s="73" t="s">
        <v>116</v>
      </c>
      <c r="B39" s="22" t="s">
        <v>2837</v>
      </c>
      <c r="C39" s="11" t="s">
        <v>117</v>
      </c>
      <c r="D39" s="3" t="s">
        <v>118</v>
      </c>
      <c r="E39" s="3" t="s">
        <v>119</v>
      </c>
      <c r="F39" s="5">
        <v>15</v>
      </c>
    </row>
    <row r="40" spans="1:6" x14ac:dyDescent="0.25">
      <c r="A40" s="73" t="s">
        <v>120</v>
      </c>
      <c r="B40" s="22" t="s">
        <v>2838</v>
      </c>
      <c r="C40" s="11" t="s">
        <v>121</v>
      </c>
      <c r="D40" s="3" t="s">
        <v>122</v>
      </c>
      <c r="E40" s="3"/>
      <c r="F40" s="5">
        <v>10</v>
      </c>
    </row>
    <row r="41" spans="1:6" x14ac:dyDescent="0.25">
      <c r="A41" s="73" t="s">
        <v>123</v>
      </c>
      <c r="B41" s="22" t="s">
        <v>2839</v>
      </c>
      <c r="C41" s="11" t="s">
        <v>124</v>
      </c>
      <c r="D41" s="3" t="s">
        <v>125</v>
      </c>
      <c r="E41" s="3" t="s">
        <v>126</v>
      </c>
      <c r="F41" s="5">
        <v>15</v>
      </c>
    </row>
    <row r="42" spans="1:6" x14ac:dyDescent="0.25">
      <c r="A42" s="73" t="s">
        <v>127</v>
      </c>
      <c r="B42" s="22" t="s">
        <v>2840</v>
      </c>
      <c r="C42" s="11" t="s">
        <v>124</v>
      </c>
      <c r="D42" s="3" t="s">
        <v>128</v>
      </c>
      <c r="E42" s="3" t="s">
        <v>129</v>
      </c>
      <c r="F42" s="5">
        <v>15</v>
      </c>
    </row>
    <row r="43" spans="1:6" x14ac:dyDescent="0.25">
      <c r="A43" s="73" t="s">
        <v>130</v>
      </c>
      <c r="B43" s="22" t="s">
        <v>2841</v>
      </c>
      <c r="C43" s="11" t="s">
        <v>131</v>
      </c>
      <c r="D43" s="3" t="s">
        <v>132</v>
      </c>
      <c r="E43" s="3"/>
      <c r="F43" s="5">
        <v>15</v>
      </c>
    </row>
    <row r="44" spans="1:6" x14ac:dyDescent="0.25">
      <c r="A44" s="73" t="s">
        <v>133</v>
      </c>
      <c r="B44" s="22" t="s">
        <v>2842</v>
      </c>
      <c r="C44" s="11" t="s">
        <v>134</v>
      </c>
      <c r="D44" s="3" t="s">
        <v>135</v>
      </c>
      <c r="E44" s="3"/>
      <c r="F44" s="5">
        <v>15</v>
      </c>
    </row>
    <row r="45" spans="1:6" x14ac:dyDescent="0.25">
      <c r="A45" s="73" t="s">
        <v>136</v>
      </c>
      <c r="B45" s="22" t="s">
        <v>2843</v>
      </c>
      <c r="C45" s="11" t="s">
        <v>31</v>
      </c>
      <c r="D45" s="3"/>
      <c r="E45" s="3"/>
      <c r="F45" s="5">
        <v>15</v>
      </c>
    </row>
    <row r="46" spans="1:6" x14ac:dyDescent="0.25">
      <c r="A46" s="73" t="s">
        <v>137</v>
      </c>
      <c r="B46" s="22" t="s">
        <v>2844</v>
      </c>
      <c r="C46" s="11" t="s">
        <v>138</v>
      </c>
      <c r="D46" s="3" t="s">
        <v>2295</v>
      </c>
      <c r="E46" s="3" t="s">
        <v>2296</v>
      </c>
      <c r="F46" s="5">
        <v>15</v>
      </c>
    </row>
    <row r="47" spans="1:6" x14ac:dyDescent="0.25">
      <c r="A47" s="73" t="s">
        <v>139</v>
      </c>
      <c r="B47" s="22" t="s">
        <v>2845</v>
      </c>
      <c r="C47" s="11" t="s">
        <v>140</v>
      </c>
      <c r="D47" s="3" t="s">
        <v>141</v>
      </c>
      <c r="E47" s="3" t="s">
        <v>142</v>
      </c>
      <c r="F47" s="5">
        <v>15</v>
      </c>
    </row>
    <row r="48" spans="1:6" x14ac:dyDescent="0.25">
      <c r="A48" s="73" t="s">
        <v>143</v>
      </c>
      <c r="B48" s="22" t="s">
        <v>2846</v>
      </c>
      <c r="C48" s="11" t="s">
        <v>144</v>
      </c>
      <c r="D48" s="3" t="s">
        <v>145</v>
      </c>
      <c r="E48" s="3"/>
      <c r="F48" s="5">
        <v>15</v>
      </c>
    </row>
    <row r="49" spans="1:6" x14ac:dyDescent="0.25">
      <c r="A49" s="73" t="s">
        <v>146</v>
      </c>
      <c r="B49" s="22" t="s">
        <v>2847</v>
      </c>
      <c r="C49" s="11" t="s">
        <v>147</v>
      </c>
      <c r="D49" s="3" t="s">
        <v>96</v>
      </c>
      <c r="E49" s="3"/>
      <c r="F49" s="5">
        <v>15</v>
      </c>
    </row>
    <row r="50" spans="1:6" x14ac:dyDescent="0.25">
      <c r="A50" s="73" t="s">
        <v>148</v>
      </c>
      <c r="B50" s="22" t="s">
        <v>2848</v>
      </c>
      <c r="C50" s="11" t="s">
        <v>149</v>
      </c>
      <c r="D50" s="3" t="s">
        <v>150</v>
      </c>
      <c r="E50" s="3" t="s">
        <v>2338</v>
      </c>
      <c r="F50" s="5">
        <v>15</v>
      </c>
    </row>
    <row r="51" spans="1:6" x14ac:dyDescent="0.25">
      <c r="A51" s="73" t="s">
        <v>151</v>
      </c>
      <c r="B51" s="22" t="s">
        <v>2849</v>
      </c>
      <c r="C51" s="11" t="s">
        <v>152</v>
      </c>
      <c r="D51" s="3" t="s">
        <v>31</v>
      </c>
      <c r="E51" s="3"/>
      <c r="F51" s="5">
        <v>15</v>
      </c>
    </row>
    <row r="52" spans="1:6" x14ac:dyDescent="0.25">
      <c r="A52" s="73" t="s">
        <v>153</v>
      </c>
      <c r="B52" s="22" t="s">
        <v>2850</v>
      </c>
      <c r="C52" s="11" t="s">
        <v>75</v>
      </c>
      <c r="D52" s="3" t="s">
        <v>154</v>
      </c>
      <c r="E52" s="3"/>
      <c r="F52" s="5">
        <v>15</v>
      </c>
    </row>
    <row r="53" spans="1:6" x14ac:dyDescent="0.25">
      <c r="A53" s="73" t="s">
        <v>155</v>
      </c>
      <c r="B53" s="22" t="s">
        <v>2851</v>
      </c>
      <c r="C53" s="11" t="s">
        <v>156</v>
      </c>
      <c r="D53" s="3" t="s">
        <v>157</v>
      </c>
      <c r="E53" s="3"/>
      <c r="F53" s="5">
        <v>15</v>
      </c>
    </row>
    <row r="54" spans="1:6" x14ac:dyDescent="0.25">
      <c r="A54" s="73" t="s">
        <v>158</v>
      </c>
      <c r="B54" s="22" t="s">
        <v>2852</v>
      </c>
      <c r="C54" s="11" t="s">
        <v>159</v>
      </c>
      <c r="D54" s="3" t="s">
        <v>160</v>
      </c>
      <c r="E54" s="3"/>
      <c r="F54" s="5">
        <v>15</v>
      </c>
    </row>
    <row r="55" spans="1:6" x14ac:dyDescent="0.25">
      <c r="A55" s="73" t="s">
        <v>161</v>
      </c>
      <c r="B55" s="22" t="s">
        <v>2853</v>
      </c>
      <c r="C55" s="11" t="s">
        <v>75</v>
      </c>
      <c r="D55" s="3" t="s">
        <v>162</v>
      </c>
      <c r="E55" s="3"/>
      <c r="F55" s="5">
        <v>15</v>
      </c>
    </row>
    <row r="56" spans="1:6" x14ac:dyDescent="0.25">
      <c r="A56" s="73" t="s">
        <v>163</v>
      </c>
      <c r="B56" s="22" t="s">
        <v>2854</v>
      </c>
      <c r="C56" s="11" t="s">
        <v>164</v>
      </c>
      <c r="D56" s="3" t="s">
        <v>165</v>
      </c>
      <c r="E56" s="3"/>
      <c r="F56" s="5">
        <v>15</v>
      </c>
    </row>
    <row r="57" spans="1:6" x14ac:dyDescent="0.25">
      <c r="A57" s="73" t="s">
        <v>166</v>
      </c>
      <c r="B57" s="22" t="s">
        <v>2855</v>
      </c>
      <c r="C57" s="11" t="s">
        <v>167</v>
      </c>
      <c r="D57" s="3" t="s">
        <v>168</v>
      </c>
      <c r="E57" s="3"/>
      <c r="F57" s="5">
        <v>15</v>
      </c>
    </row>
    <row r="58" spans="1:6" x14ac:dyDescent="0.25">
      <c r="A58" s="73" t="s">
        <v>169</v>
      </c>
      <c r="B58" s="22" t="s">
        <v>2856</v>
      </c>
      <c r="C58" s="11" t="s">
        <v>170</v>
      </c>
      <c r="D58" s="3" t="s">
        <v>171</v>
      </c>
      <c r="E58" s="3"/>
      <c r="F58" s="5">
        <v>15</v>
      </c>
    </row>
    <row r="59" spans="1:6" x14ac:dyDescent="0.25">
      <c r="A59" s="73" t="s">
        <v>172</v>
      </c>
      <c r="B59" s="22" t="s">
        <v>2857</v>
      </c>
      <c r="C59" s="11" t="s">
        <v>75</v>
      </c>
      <c r="D59" s="3" t="s">
        <v>168</v>
      </c>
      <c r="E59" s="3"/>
      <c r="F59" s="5">
        <v>10</v>
      </c>
    </row>
    <row r="60" spans="1:6" x14ac:dyDescent="0.25">
      <c r="A60" s="73" t="s">
        <v>173</v>
      </c>
      <c r="B60" s="22" t="s">
        <v>2858</v>
      </c>
      <c r="C60" s="11" t="s">
        <v>75</v>
      </c>
      <c r="D60" s="3" t="s">
        <v>174</v>
      </c>
      <c r="E60" s="3"/>
      <c r="F60" s="5">
        <v>15</v>
      </c>
    </row>
    <row r="61" spans="1:6" x14ac:dyDescent="0.25">
      <c r="A61" s="73" t="s">
        <v>175</v>
      </c>
      <c r="B61" s="22" t="s">
        <v>2859</v>
      </c>
      <c r="C61" s="11" t="s">
        <v>176</v>
      </c>
      <c r="D61" s="3" t="s">
        <v>177</v>
      </c>
      <c r="E61" s="3"/>
      <c r="F61" s="5">
        <v>15</v>
      </c>
    </row>
    <row r="62" spans="1:6" x14ac:dyDescent="0.25">
      <c r="A62" s="73" t="s">
        <v>178</v>
      </c>
      <c r="B62" s="22" t="s">
        <v>2860</v>
      </c>
      <c r="C62" s="11" t="s">
        <v>179</v>
      </c>
      <c r="D62" s="3" t="s">
        <v>180</v>
      </c>
      <c r="E62" s="3"/>
      <c r="F62" s="5">
        <v>10</v>
      </c>
    </row>
    <row r="63" spans="1:6" x14ac:dyDescent="0.25">
      <c r="A63" s="73" t="s">
        <v>181</v>
      </c>
      <c r="B63" s="22" t="s">
        <v>2861</v>
      </c>
      <c r="C63" s="11" t="s">
        <v>182</v>
      </c>
      <c r="D63" s="3" t="s">
        <v>183</v>
      </c>
      <c r="E63" s="3"/>
      <c r="F63" s="5">
        <v>10</v>
      </c>
    </row>
    <row r="64" spans="1:6" x14ac:dyDescent="0.25">
      <c r="A64" s="73" t="s">
        <v>184</v>
      </c>
      <c r="B64" s="22" t="s">
        <v>2862</v>
      </c>
      <c r="C64" s="11" t="s">
        <v>75</v>
      </c>
      <c r="D64" s="3" t="s">
        <v>185</v>
      </c>
      <c r="E64" s="3"/>
      <c r="F64" s="5">
        <v>10</v>
      </c>
    </row>
    <row r="65" spans="1:6" x14ac:dyDescent="0.25">
      <c r="A65" s="73" t="s">
        <v>186</v>
      </c>
      <c r="B65" s="22" t="s">
        <v>2863</v>
      </c>
      <c r="C65" s="11" t="s">
        <v>187</v>
      </c>
      <c r="D65" s="3" t="s">
        <v>188</v>
      </c>
      <c r="E65" s="3"/>
      <c r="F65" s="5">
        <v>10</v>
      </c>
    </row>
    <row r="66" spans="1:6" x14ac:dyDescent="0.25">
      <c r="A66" s="73" t="s">
        <v>189</v>
      </c>
      <c r="B66" s="22" t="s">
        <v>2864</v>
      </c>
      <c r="C66" s="11" t="s">
        <v>190</v>
      </c>
      <c r="D66" s="3" t="s">
        <v>191</v>
      </c>
      <c r="E66" s="3"/>
      <c r="F66" s="5">
        <v>15</v>
      </c>
    </row>
    <row r="67" spans="1:6" x14ac:dyDescent="0.25">
      <c r="A67" s="73" t="s">
        <v>192</v>
      </c>
      <c r="B67" s="22" t="s">
        <v>2865</v>
      </c>
      <c r="C67" s="11" t="s">
        <v>193</v>
      </c>
      <c r="D67" s="3" t="s">
        <v>194</v>
      </c>
      <c r="E67" s="3"/>
      <c r="F67" s="5">
        <v>15</v>
      </c>
    </row>
    <row r="68" spans="1:6" x14ac:dyDescent="0.25">
      <c r="A68" s="73" t="s">
        <v>195</v>
      </c>
      <c r="B68" s="22" t="s">
        <v>2866</v>
      </c>
      <c r="C68" s="11" t="s">
        <v>196</v>
      </c>
      <c r="D68" s="3" t="s">
        <v>197</v>
      </c>
      <c r="E68" s="3"/>
      <c r="F68" s="5">
        <v>15</v>
      </c>
    </row>
    <row r="69" spans="1:6" x14ac:dyDescent="0.25">
      <c r="A69" s="73" t="s">
        <v>198</v>
      </c>
      <c r="B69" s="22" t="s">
        <v>2867</v>
      </c>
      <c r="C69" s="11" t="s">
        <v>199</v>
      </c>
      <c r="D69" s="3" t="s">
        <v>200</v>
      </c>
      <c r="E69" s="3"/>
      <c r="F69" s="5">
        <v>15</v>
      </c>
    </row>
    <row r="70" spans="1:6" x14ac:dyDescent="0.25">
      <c r="A70" s="73" t="s">
        <v>201</v>
      </c>
      <c r="B70" s="22" t="s">
        <v>2868</v>
      </c>
      <c r="C70" s="11" t="s">
        <v>202</v>
      </c>
      <c r="D70" s="3" t="s">
        <v>203</v>
      </c>
      <c r="E70" s="3"/>
      <c r="F70" s="5">
        <v>15</v>
      </c>
    </row>
    <row r="71" spans="1:6" x14ac:dyDescent="0.25">
      <c r="A71" s="73" t="s">
        <v>204</v>
      </c>
      <c r="B71" s="22" t="s">
        <v>2869</v>
      </c>
      <c r="C71" s="11" t="s">
        <v>205</v>
      </c>
      <c r="D71" s="3" t="s">
        <v>206</v>
      </c>
      <c r="E71" s="3" t="s">
        <v>207</v>
      </c>
      <c r="F71" s="5">
        <v>10</v>
      </c>
    </row>
    <row r="72" spans="1:6" x14ac:dyDescent="0.25">
      <c r="A72" s="73" t="s">
        <v>208</v>
      </c>
      <c r="B72" s="22" t="s">
        <v>2870</v>
      </c>
      <c r="C72" s="11" t="s">
        <v>75</v>
      </c>
      <c r="D72" s="3" t="s">
        <v>209</v>
      </c>
      <c r="E72" s="3"/>
      <c r="F72" s="5">
        <v>15</v>
      </c>
    </row>
    <row r="73" spans="1:6" x14ac:dyDescent="0.25">
      <c r="A73" s="73" t="s">
        <v>210</v>
      </c>
      <c r="B73" s="22" t="s">
        <v>2871</v>
      </c>
      <c r="C73" s="11" t="s">
        <v>2298</v>
      </c>
      <c r="D73" s="3" t="s">
        <v>2051</v>
      </c>
      <c r="E73" s="3" t="s">
        <v>142</v>
      </c>
      <c r="F73" s="5">
        <v>15</v>
      </c>
    </row>
    <row r="74" spans="1:6" x14ac:dyDescent="0.25">
      <c r="A74" s="73" t="s">
        <v>211</v>
      </c>
      <c r="B74" s="22" t="s">
        <v>2872</v>
      </c>
      <c r="C74" s="11" t="s">
        <v>212</v>
      </c>
      <c r="D74" s="3" t="s">
        <v>213</v>
      </c>
      <c r="E74" s="3" t="s">
        <v>214</v>
      </c>
      <c r="F74" s="5">
        <v>15</v>
      </c>
    </row>
    <row r="75" spans="1:6" x14ac:dyDescent="0.25">
      <c r="A75" s="73" t="s">
        <v>215</v>
      </c>
      <c r="B75" s="22" t="s">
        <v>2873</v>
      </c>
      <c r="C75" s="11" t="s">
        <v>216</v>
      </c>
      <c r="D75" s="3" t="s">
        <v>217</v>
      </c>
      <c r="E75" s="3" t="s">
        <v>218</v>
      </c>
      <c r="F75" s="5">
        <v>15</v>
      </c>
    </row>
    <row r="76" spans="1:6" x14ac:dyDescent="0.25">
      <c r="A76" s="73" t="s">
        <v>219</v>
      </c>
      <c r="B76" s="22" t="s">
        <v>2874</v>
      </c>
      <c r="C76" s="11" t="s">
        <v>220</v>
      </c>
      <c r="D76" s="3" t="s">
        <v>221</v>
      </c>
      <c r="E76" s="3" t="s">
        <v>222</v>
      </c>
      <c r="F76" s="5">
        <v>15</v>
      </c>
    </row>
    <row r="77" spans="1:6" x14ac:dyDescent="0.25">
      <c r="A77" s="73" t="s">
        <v>223</v>
      </c>
      <c r="B77" s="22" t="s">
        <v>2875</v>
      </c>
      <c r="C77" s="11"/>
      <c r="D77" s="3"/>
      <c r="E77" s="3"/>
      <c r="F77" s="5">
        <v>15</v>
      </c>
    </row>
    <row r="78" spans="1:6" x14ac:dyDescent="0.25">
      <c r="A78" s="73" t="s">
        <v>224</v>
      </c>
      <c r="B78" s="22" t="s">
        <v>2876</v>
      </c>
      <c r="C78" s="11" t="s">
        <v>225</v>
      </c>
      <c r="D78" s="3" t="s">
        <v>226</v>
      </c>
      <c r="E78" s="3" t="s">
        <v>227</v>
      </c>
      <c r="F78" s="5">
        <v>10</v>
      </c>
    </row>
    <row r="79" spans="1:6" x14ac:dyDescent="0.25">
      <c r="A79" s="73" t="s">
        <v>228</v>
      </c>
      <c r="B79" s="22" t="s">
        <v>2877</v>
      </c>
      <c r="C79" s="11" t="s">
        <v>229</v>
      </c>
      <c r="D79" s="3" t="s">
        <v>230</v>
      </c>
      <c r="E79" s="3"/>
      <c r="F79" s="5">
        <v>15</v>
      </c>
    </row>
    <row r="80" spans="1:6" x14ac:dyDescent="0.25">
      <c r="A80" s="73" t="s">
        <v>231</v>
      </c>
      <c r="B80" s="22" t="s">
        <v>2878</v>
      </c>
      <c r="C80" s="11" t="s">
        <v>232</v>
      </c>
      <c r="D80" s="3" t="s">
        <v>233</v>
      </c>
      <c r="E80" s="3" t="s">
        <v>234</v>
      </c>
      <c r="F80" s="5">
        <v>15</v>
      </c>
    </row>
    <row r="81" spans="1:6" x14ac:dyDescent="0.25">
      <c r="A81" s="73" t="s">
        <v>235</v>
      </c>
      <c r="B81" s="22" t="s">
        <v>2879</v>
      </c>
      <c r="C81" s="11" t="s">
        <v>236</v>
      </c>
      <c r="D81" s="3" t="s">
        <v>110</v>
      </c>
      <c r="E81" s="3"/>
      <c r="F81" s="5">
        <v>15</v>
      </c>
    </row>
    <row r="82" spans="1:6" x14ac:dyDescent="0.25">
      <c r="A82" s="73" t="s">
        <v>237</v>
      </c>
      <c r="B82" s="22" t="s">
        <v>2880</v>
      </c>
      <c r="C82" s="11" t="s">
        <v>238</v>
      </c>
      <c r="D82" s="3" t="s">
        <v>239</v>
      </c>
      <c r="E82" s="3" t="s">
        <v>240</v>
      </c>
      <c r="F82" s="5">
        <v>10</v>
      </c>
    </row>
    <row r="83" spans="1:6" x14ac:dyDescent="0.25">
      <c r="A83" s="73" t="s">
        <v>241</v>
      </c>
      <c r="B83" s="22" t="s">
        <v>2881</v>
      </c>
      <c r="C83" s="11" t="s">
        <v>242</v>
      </c>
      <c r="D83" s="3" t="s">
        <v>243</v>
      </c>
      <c r="E83" s="3" t="s">
        <v>244</v>
      </c>
      <c r="F83" s="5">
        <v>15</v>
      </c>
    </row>
    <row r="84" spans="1:6" x14ac:dyDescent="0.25">
      <c r="A84" s="73" t="s">
        <v>245</v>
      </c>
      <c r="B84" s="22" t="s">
        <v>2882</v>
      </c>
      <c r="C84" s="11" t="s">
        <v>246</v>
      </c>
      <c r="D84" s="3" t="s">
        <v>247</v>
      </c>
      <c r="E84" s="3" t="s">
        <v>248</v>
      </c>
      <c r="F84" s="5">
        <v>15</v>
      </c>
    </row>
    <row r="85" spans="1:6" x14ac:dyDescent="0.25">
      <c r="A85" s="73" t="s">
        <v>249</v>
      </c>
      <c r="B85" s="22" t="s">
        <v>2883</v>
      </c>
      <c r="C85" s="11" t="s">
        <v>250</v>
      </c>
      <c r="D85" s="3" t="s">
        <v>251</v>
      </c>
      <c r="E85" s="3" t="s">
        <v>252</v>
      </c>
      <c r="F85" s="5">
        <v>15</v>
      </c>
    </row>
    <row r="86" spans="1:6" x14ac:dyDescent="0.25">
      <c r="A86" s="73" t="s">
        <v>253</v>
      </c>
      <c r="B86" s="22" t="s">
        <v>2884</v>
      </c>
      <c r="C86" s="11" t="s">
        <v>254</v>
      </c>
      <c r="D86" s="3" t="s">
        <v>255</v>
      </c>
      <c r="E86" s="3"/>
      <c r="F86" s="5">
        <v>15</v>
      </c>
    </row>
    <row r="87" spans="1:6" x14ac:dyDescent="0.25">
      <c r="A87" s="73" t="s">
        <v>256</v>
      </c>
      <c r="B87" s="22" t="s">
        <v>2885</v>
      </c>
      <c r="C87" s="11" t="s">
        <v>257</v>
      </c>
      <c r="D87" s="3" t="s">
        <v>258</v>
      </c>
      <c r="E87" s="3"/>
      <c r="F87" s="5">
        <v>15</v>
      </c>
    </row>
    <row r="88" spans="1:6" x14ac:dyDescent="0.25">
      <c r="A88" s="73" t="s">
        <v>259</v>
      </c>
      <c r="B88" s="22" t="s">
        <v>2886</v>
      </c>
      <c r="C88" s="11" t="s">
        <v>260</v>
      </c>
      <c r="D88" s="3" t="s">
        <v>261</v>
      </c>
      <c r="E88" s="3" t="s">
        <v>262</v>
      </c>
      <c r="F88" s="5">
        <v>15</v>
      </c>
    </row>
    <row r="89" spans="1:6" x14ac:dyDescent="0.25">
      <c r="A89" s="73" t="s">
        <v>263</v>
      </c>
      <c r="B89" s="22" t="s">
        <v>2887</v>
      </c>
      <c r="C89" s="11" t="s">
        <v>264</v>
      </c>
      <c r="D89" s="3" t="s">
        <v>265</v>
      </c>
      <c r="E89" s="3" t="s">
        <v>266</v>
      </c>
      <c r="F89" s="5">
        <v>15</v>
      </c>
    </row>
    <row r="90" spans="1:6" x14ac:dyDescent="0.25">
      <c r="A90" s="73" t="s">
        <v>267</v>
      </c>
      <c r="B90" s="22" t="s">
        <v>2888</v>
      </c>
      <c r="C90" s="11" t="s">
        <v>268</v>
      </c>
      <c r="D90" s="3" t="s">
        <v>269</v>
      </c>
      <c r="E90" s="3" t="s">
        <v>270</v>
      </c>
      <c r="F90" s="5">
        <v>15</v>
      </c>
    </row>
    <row r="91" spans="1:6" x14ac:dyDescent="0.25">
      <c r="A91" s="73" t="s">
        <v>271</v>
      </c>
      <c r="B91" s="22" t="s">
        <v>2889</v>
      </c>
      <c r="C91" s="11" t="s">
        <v>272</v>
      </c>
      <c r="D91" s="3" t="s">
        <v>273</v>
      </c>
      <c r="E91" s="3" t="s">
        <v>274</v>
      </c>
      <c r="F91" s="5">
        <v>15</v>
      </c>
    </row>
    <row r="92" spans="1:6" x14ac:dyDescent="0.25">
      <c r="A92" s="73" t="s">
        <v>275</v>
      </c>
      <c r="B92" s="22" t="s">
        <v>2890</v>
      </c>
      <c r="C92" s="11" t="s">
        <v>276</v>
      </c>
      <c r="D92" s="3" t="s">
        <v>277</v>
      </c>
      <c r="E92" s="3" t="s">
        <v>278</v>
      </c>
      <c r="F92" s="5">
        <v>15</v>
      </c>
    </row>
    <row r="93" spans="1:6" x14ac:dyDescent="0.25">
      <c r="A93" s="73" t="s">
        <v>279</v>
      </c>
      <c r="B93" s="22" t="s">
        <v>2891</v>
      </c>
      <c r="C93" s="11" t="s">
        <v>280</v>
      </c>
      <c r="D93" s="3" t="s">
        <v>281</v>
      </c>
      <c r="E93" s="3" t="s">
        <v>282</v>
      </c>
      <c r="F93" s="5">
        <v>15</v>
      </c>
    </row>
    <row r="94" spans="1:6" x14ac:dyDescent="0.25">
      <c r="A94" s="73" t="s">
        <v>283</v>
      </c>
      <c r="B94" s="22" t="s">
        <v>2892</v>
      </c>
      <c r="C94" s="11" t="s">
        <v>284</v>
      </c>
      <c r="D94" s="3" t="s">
        <v>285</v>
      </c>
      <c r="E94" s="3" t="s">
        <v>286</v>
      </c>
      <c r="F94" s="5">
        <v>15</v>
      </c>
    </row>
    <row r="95" spans="1:6" x14ac:dyDescent="0.25">
      <c r="A95" s="73" t="s">
        <v>287</v>
      </c>
      <c r="B95" s="22" t="s">
        <v>2893</v>
      </c>
      <c r="C95" s="11" t="s">
        <v>288</v>
      </c>
      <c r="D95" s="3" t="s">
        <v>289</v>
      </c>
      <c r="E95" s="3" t="s">
        <v>290</v>
      </c>
      <c r="F95" s="5">
        <v>15</v>
      </c>
    </row>
    <row r="96" spans="1:6" x14ac:dyDescent="0.25">
      <c r="A96" s="73" t="s">
        <v>291</v>
      </c>
      <c r="B96" s="22" t="s">
        <v>2894</v>
      </c>
      <c r="C96" s="11"/>
      <c r="D96" s="3"/>
      <c r="E96" s="3"/>
      <c r="F96" s="5">
        <v>15</v>
      </c>
    </row>
    <row r="97" spans="1:6" x14ac:dyDescent="0.25">
      <c r="A97" s="73" t="s">
        <v>292</v>
      </c>
      <c r="B97" s="22" t="s">
        <v>2895</v>
      </c>
      <c r="C97" s="11" t="s">
        <v>293</v>
      </c>
      <c r="D97" s="3" t="s">
        <v>150</v>
      </c>
      <c r="E97" s="3" t="s">
        <v>294</v>
      </c>
      <c r="F97" s="5">
        <v>15</v>
      </c>
    </row>
    <row r="98" spans="1:6" x14ac:dyDescent="0.25">
      <c r="A98" s="73" t="s">
        <v>295</v>
      </c>
      <c r="B98" s="22" t="s">
        <v>2896</v>
      </c>
      <c r="C98" s="11" t="s">
        <v>296</v>
      </c>
      <c r="D98" s="3" t="s">
        <v>297</v>
      </c>
      <c r="E98" s="3" t="s">
        <v>298</v>
      </c>
      <c r="F98" s="5">
        <v>15</v>
      </c>
    </row>
    <row r="99" spans="1:6" x14ac:dyDescent="0.25">
      <c r="A99" s="73" t="s">
        <v>299</v>
      </c>
      <c r="B99" s="22" t="s">
        <v>2897</v>
      </c>
      <c r="C99" s="11" t="s">
        <v>300</v>
      </c>
      <c r="D99" s="3" t="s">
        <v>301</v>
      </c>
      <c r="E99" s="3" t="s">
        <v>302</v>
      </c>
      <c r="F99" s="5">
        <v>15</v>
      </c>
    </row>
    <row r="100" spans="1:6" x14ac:dyDescent="0.25">
      <c r="A100" s="73" t="s">
        <v>303</v>
      </c>
      <c r="B100" s="22" t="s">
        <v>2898</v>
      </c>
      <c r="C100" s="11" t="s">
        <v>304</v>
      </c>
      <c r="D100" s="3" t="s">
        <v>305</v>
      </c>
      <c r="E100" s="3" t="s">
        <v>306</v>
      </c>
      <c r="F100" s="5">
        <v>15</v>
      </c>
    </row>
    <row r="101" spans="1:6" x14ac:dyDescent="0.25">
      <c r="A101" s="73" t="s">
        <v>307</v>
      </c>
      <c r="B101" s="22" t="s">
        <v>2899</v>
      </c>
      <c r="C101" s="11"/>
      <c r="D101" s="3"/>
      <c r="E101" s="3"/>
      <c r="F101" s="5">
        <v>15</v>
      </c>
    </row>
    <row r="102" spans="1:6" x14ac:dyDescent="0.25">
      <c r="A102" s="73" t="s">
        <v>2122</v>
      </c>
      <c r="B102" s="22" t="s">
        <v>2900</v>
      </c>
      <c r="C102" s="11" t="s">
        <v>309</v>
      </c>
      <c r="D102" s="3" t="s">
        <v>310</v>
      </c>
      <c r="E102" s="3" t="s">
        <v>311</v>
      </c>
      <c r="F102" s="5">
        <v>15</v>
      </c>
    </row>
    <row r="103" spans="1:6" x14ac:dyDescent="0.25">
      <c r="A103" s="73" t="s">
        <v>312</v>
      </c>
      <c r="B103" s="22" t="s">
        <v>2901</v>
      </c>
      <c r="C103" s="11" t="s">
        <v>313</v>
      </c>
      <c r="D103" s="3" t="s">
        <v>314</v>
      </c>
      <c r="E103" s="3" t="s">
        <v>315</v>
      </c>
      <c r="F103" s="5">
        <v>15</v>
      </c>
    </row>
    <row r="104" spans="1:6" x14ac:dyDescent="0.25">
      <c r="A104" s="73" t="s">
        <v>316</v>
      </c>
      <c r="B104" s="22" t="s">
        <v>2902</v>
      </c>
      <c r="C104" s="11"/>
      <c r="D104" s="3"/>
      <c r="E104" s="3"/>
      <c r="F104" s="5">
        <v>15</v>
      </c>
    </row>
    <row r="105" spans="1:6" x14ac:dyDescent="0.25">
      <c r="A105" s="73" t="s">
        <v>317</v>
      </c>
      <c r="B105" s="22" t="s">
        <v>2903</v>
      </c>
      <c r="C105" s="11" t="s">
        <v>318</v>
      </c>
      <c r="D105" s="3" t="s">
        <v>319</v>
      </c>
      <c r="E105" s="3" t="s">
        <v>320</v>
      </c>
      <c r="F105" s="5">
        <v>15</v>
      </c>
    </row>
    <row r="106" spans="1:6" x14ac:dyDescent="0.25">
      <c r="A106" s="73" t="s">
        <v>321</v>
      </c>
      <c r="B106" s="22" t="s">
        <v>2904</v>
      </c>
      <c r="C106" s="11" t="s">
        <v>322</v>
      </c>
      <c r="D106" s="3" t="s">
        <v>323</v>
      </c>
      <c r="E106" s="3" t="s">
        <v>324</v>
      </c>
      <c r="F106" s="5">
        <v>15</v>
      </c>
    </row>
    <row r="107" spans="1:6" x14ac:dyDescent="0.25">
      <c r="A107" s="73" t="s">
        <v>325</v>
      </c>
      <c r="B107" s="22" t="s">
        <v>2905</v>
      </c>
      <c r="C107" s="11" t="s">
        <v>326</v>
      </c>
      <c r="D107" s="3" t="s">
        <v>327</v>
      </c>
      <c r="E107" s="3" t="s">
        <v>328</v>
      </c>
      <c r="F107" s="5">
        <v>15</v>
      </c>
    </row>
    <row r="108" spans="1:6" x14ac:dyDescent="0.25">
      <c r="A108" s="73" t="s">
        <v>329</v>
      </c>
      <c r="B108" s="22" t="s">
        <v>2906</v>
      </c>
      <c r="C108" s="11" t="s">
        <v>330</v>
      </c>
      <c r="D108" s="3" t="s">
        <v>331</v>
      </c>
      <c r="E108" s="3" t="s">
        <v>332</v>
      </c>
      <c r="F108" s="5">
        <v>15</v>
      </c>
    </row>
    <row r="109" spans="1:6" x14ac:dyDescent="0.25">
      <c r="A109" s="73" t="s">
        <v>333</v>
      </c>
      <c r="B109" s="22" t="s">
        <v>2907</v>
      </c>
      <c r="C109" s="11"/>
      <c r="D109" s="3"/>
      <c r="E109" s="3"/>
      <c r="F109" s="5">
        <v>15</v>
      </c>
    </row>
    <row r="110" spans="1:6" x14ac:dyDescent="0.25">
      <c r="A110" s="73" t="s">
        <v>334</v>
      </c>
      <c r="B110" s="22" t="s">
        <v>2908</v>
      </c>
      <c r="C110" s="11" t="s">
        <v>335</v>
      </c>
      <c r="D110" s="3" t="s">
        <v>336</v>
      </c>
      <c r="E110" s="3" t="s">
        <v>337</v>
      </c>
      <c r="F110" s="5">
        <v>15</v>
      </c>
    </row>
    <row r="111" spans="1:6" x14ac:dyDescent="0.25">
      <c r="A111" s="73" t="s">
        <v>338</v>
      </c>
      <c r="B111" s="22" t="s">
        <v>2909</v>
      </c>
      <c r="C111" s="11" t="s">
        <v>339</v>
      </c>
      <c r="D111" s="3" t="s">
        <v>340</v>
      </c>
      <c r="E111" s="3" t="s">
        <v>341</v>
      </c>
      <c r="F111" s="5">
        <v>15</v>
      </c>
    </row>
    <row r="112" spans="1:6" x14ac:dyDescent="0.25">
      <c r="A112" s="73" t="s">
        <v>342</v>
      </c>
      <c r="B112" s="22" t="s">
        <v>2910</v>
      </c>
      <c r="C112" s="11" t="s">
        <v>343</v>
      </c>
      <c r="D112" s="3" t="s">
        <v>344</v>
      </c>
      <c r="E112" s="3" t="s">
        <v>345</v>
      </c>
      <c r="F112" s="5">
        <v>15</v>
      </c>
    </row>
    <row r="113" spans="1:6" x14ac:dyDescent="0.25">
      <c r="A113" s="73" t="s">
        <v>346</v>
      </c>
      <c r="B113" s="22" t="s">
        <v>2911</v>
      </c>
      <c r="C113" s="11" t="s">
        <v>347</v>
      </c>
      <c r="D113" s="3" t="s">
        <v>348</v>
      </c>
      <c r="E113" s="3" t="s">
        <v>349</v>
      </c>
      <c r="F113" s="5">
        <v>15</v>
      </c>
    </row>
    <row r="114" spans="1:6" x14ac:dyDescent="0.25">
      <c r="A114" s="73" t="s">
        <v>350</v>
      </c>
      <c r="B114" s="22" t="s">
        <v>2912</v>
      </c>
      <c r="C114" s="11" t="s">
        <v>351</v>
      </c>
      <c r="D114" s="3" t="s">
        <v>352</v>
      </c>
      <c r="E114" s="3"/>
      <c r="F114" s="5">
        <v>15</v>
      </c>
    </row>
    <row r="115" spans="1:6" x14ac:dyDescent="0.25">
      <c r="A115" s="73" t="s">
        <v>353</v>
      </c>
      <c r="B115" s="22" t="s">
        <v>2913</v>
      </c>
      <c r="C115" s="11" t="s">
        <v>354</v>
      </c>
      <c r="D115" s="3" t="s">
        <v>355</v>
      </c>
      <c r="E115" s="3" t="s">
        <v>356</v>
      </c>
      <c r="F115" s="5">
        <v>15</v>
      </c>
    </row>
    <row r="116" spans="1:6" x14ac:dyDescent="0.25">
      <c r="A116" s="73" t="s">
        <v>357</v>
      </c>
      <c r="B116" s="22" t="s">
        <v>2914</v>
      </c>
      <c r="C116" s="11" t="s">
        <v>358</v>
      </c>
      <c r="D116" s="3" t="s">
        <v>1681</v>
      </c>
      <c r="E116" s="3" t="s">
        <v>1682</v>
      </c>
      <c r="F116" s="5">
        <v>15</v>
      </c>
    </row>
    <row r="117" spans="1:6" x14ac:dyDescent="0.25">
      <c r="A117" s="73" t="s">
        <v>359</v>
      </c>
      <c r="B117" s="22" t="s">
        <v>2915</v>
      </c>
      <c r="C117" s="11" t="s">
        <v>360</v>
      </c>
      <c r="D117" s="3" t="s">
        <v>361</v>
      </c>
      <c r="E117" s="3" t="s">
        <v>362</v>
      </c>
      <c r="F117" s="5">
        <v>15</v>
      </c>
    </row>
    <row r="118" spans="1:6" x14ac:dyDescent="0.25">
      <c r="A118" s="73" t="s">
        <v>363</v>
      </c>
      <c r="B118" s="22" t="s">
        <v>2916</v>
      </c>
      <c r="C118" s="11" t="s">
        <v>364</v>
      </c>
      <c r="D118" s="3" t="s">
        <v>352</v>
      </c>
      <c r="E118" s="3" t="s">
        <v>365</v>
      </c>
      <c r="F118" s="5">
        <v>15</v>
      </c>
    </row>
    <row r="119" spans="1:6" x14ac:dyDescent="0.25">
      <c r="A119" s="73" t="s">
        <v>366</v>
      </c>
      <c r="B119" s="22" t="s">
        <v>2917</v>
      </c>
      <c r="C119" s="11" t="s">
        <v>367</v>
      </c>
      <c r="D119" s="3" t="s">
        <v>368</v>
      </c>
      <c r="E119" s="3" t="s">
        <v>369</v>
      </c>
      <c r="F119" s="5">
        <v>15</v>
      </c>
    </row>
    <row r="120" spans="1:6" x14ac:dyDescent="0.25">
      <c r="A120" s="73" t="s">
        <v>370</v>
      </c>
      <c r="B120" s="22" t="s">
        <v>2918</v>
      </c>
      <c r="C120" s="11"/>
      <c r="D120" s="3" t="s">
        <v>371</v>
      </c>
      <c r="E120" s="3" t="s">
        <v>372</v>
      </c>
      <c r="F120" s="5">
        <v>15</v>
      </c>
    </row>
    <row r="121" spans="1:6" x14ac:dyDescent="0.25">
      <c r="A121" s="73" t="s">
        <v>373</v>
      </c>
      <c r="B121" s="22" t="s">
        <v>2919</v>
      </c>
      <c r="C121" s="11" t="s">
        <v>374</v>
      </c>
      <c r="D121" s="3" t="s">
        <v>375</v>
      </c>
      <c r="E121" s="3" t="s">
        <v>376</v>
      </c>
      <c r="F121" s="5">
        <v>15</v>
      </c>
    </row>
    <row r="122" spans="1:6" x14ac:dyDescent="0.25">
      <c r="A122" s="73" t="s">
        <v>377</v>
      </c>
      <c r="B122" s="22" t="s">
        <v>2920</v>
      </c>
      <c r="C122" s="11" t="s">
        <v>378</v>
      </c>
      <c r="D122" s="3" t="s">
        <v>379</v>
      </c>
      <c r="E122" s="3" t="s">
        <v>380</v>
      </c>
      <c r="F122" s="5">
        <v>15</v>
      </c>
    </row>
    <row r="123" spans="1:6" x14ac:dyDescent="0.25">
      <c r="A123" s="73" t="s">
        <v>381</v>
      </c>
      <c r="B123" s="22" t="s">
        <v>2921</v>
      </c>
      <c r="C123" s="11" t="s">
        <v>382</v>
      </c>
      <c r="D123" s="3" t="s">
        <v>383</v>
      </c>
      <c r="E123" s="3" t="s">
        <v>384</v>
      </c>
      <c r="F123" s="5">
        <v>15</v>
      </c>
    </row>
    <row r="124" spans="1:6" x14ac:dyDescent="0.25">
      <c r="A124" s="73" t="s">
        <v>385</v>
      </c>
      <c r="B124" s="22" t="s">
        <v>2922</v>
      </c>
      <c r="C124" s="11" t="s">
        <v>386</v>
      </c>
      <c r="D124" s="3" t="s">
        <v>387</v>
      </c>
      <c r="E124" s="3" t="s">
        <v>388</v>
      </c>
      <c r="F124" s="5">
        <v>15</v>
      </c>
    </row>
    <row r="125" spans="1:6" x14ac:dyDescent="0.25">
      <c r="A125" s="73" t="s">
        <v>389</v>
      </c>
      <c r="B125" s="22" t="s">
        <v>2923</v>
      </c>
      <c r="C125" s="11"/>
      <c r="D125" s="3"/>
      <c r="E125" s="3"/>
      <c r="F125" s="5">
        <v>15</v>
      </c>
    </row>
    <row r="126" spans="1:6" x14ac:dyDescent="0.25">
      <c r="A126" s="73" t="s">
        <v>390</v>
      </c>
      <c r="B126" s="22" t="s">
        <v>2924</v>
      </c>
      <c r="C126" s="11" t="s">
        <v>391</v>
      </c>
      <c r="D126" s="3"/>
      <c r="E126" s="3"/>
      <c r="F126" s="5">
        <v>15</v>
      </c>
    </row>
    <row r="127" spans="1:6" x14ac:dyDescent="0.25">
      <c r="A127" s="73" t="s">
        <v>392</v>
      </c>
      <c r="B127" s="22" t="s">
        <v>2925</v>
      </c>
      <c r="C127" s="11" t="s">
        <v>393</v>
      </c>
      <c r="D127" s="3" t="s">
        <v>394</v>
      </c>
      <c r="E127" s="3" t="s">
        <v>395</v>
      </c>
      <c r="F127" s="5">
        <v>15</v>
      </c>
    </row>
    <row r="128" spans="1:6" x14ac:dyDescent="0.25">
      <c r="A128" s="73" t="s">
        <v>396</v>
      </c>
      <c r="B128" s="22" t="s">
        <v>2926</v>
      </c>
      <c r="C128" s="11" t="s">
        <v>397</v>
      </c>
      <c r="D128" s="3" t="s">
        <v>398</v>
      </c>
      <c r="E128" s="3" t="s">
        <v>399</v>
      </c>
      <c r="F128" s="5">
        <v>15</v>
      </c>
    </row>
    <row r="129" spans="1:6" x14ac:dyDescent="0.25">
      <c r="A129" s="73" t="s">
        <v>400</v>
      </c>
      <c r="B129" s="22" t="s">
        <v>2927</v>
      </c>
      <c r="C129" s="11" t="s">
        <v>401</v>
      </c>
      <c r="D129" s="3" t="s">
        <v>402</v>
      </c>
      <c r="E129" s="3" t="s">
        <v>403</v>
      </c>
      <c r="F129" s="5">
        <v>15</v>
      </c>
    </row>
    <row r="130" spans="1:6" x14ac:dyDescent="0.25">
      <c r="A130" s="73" t="s">
        <v>404</v>
      </c>
      <c r="B130" s="22" t="s">
        <v>2928</v>
      </c>
      <c r="C130" s="11" t="s">
        <v>405</v>
      </c>
      <c r="D130" s="3" t="s">
        <v>406</v>
      </c>
      <c r="E130" s="3" t="s">
        <v>407</v>
      </c>
      <c r="F130" s="5">
        <v>15</v>
      </c>
    </row>
    <row r="131" spans="1:6" x14ac:dyDescent="0.25">
      <c r="A131" s="73" t="s">
        <v>408</v>
      </c>
      <c r="B131" s="22" t="s">
        <v>2929</v>
      </c>
      <c r="C131" s="11" t="s">
        <v>409</v>
      </c>
      <c r="D131" s="3" t="s">
        <v>410</v>
      </c>
      <c r="E131" s="3" t="s">
        <v>411</v>
      </c>
      <c r="F131" s="5">
        <v>15</v>
      </c>
    </row>
    <row r="132" spans="1:6" x14ac:dyDescent="0.25">
      <c r="A132" s="73" t="s">
        <v>412</v>
      </c>
      <c r="B132" s="22" t="s">
        <v>2930</v>
      </c>
      <c r="C132" s="17" t="s">
        <v>413</v>
      </c>
      <c r="D132" s="3"/>
      <c r="E132" s="3"/>
      <c r="F132" s="5">
        <v>15</v>
      </c>
    </row>
    <row r="133" spans="1:6" x14ac:dyDescent="0.25">
      <c r="A133" s="73" t="s">
        <v>414</v>
      </c>
      <c r="B133" s="22" t="s">
        <v>2931</v>
      </c>
      <c r="C133" s="11" t="s">
        <v>415</v>
      </c>
      <c r="D133" s="3" t="s">
        <v>416</v>
      </c>
      <c r="E133" s="3" t="s">
        <v>417</v>
      </c>
      <c r="F133" s="5">
        <v>15</v>
      </c>
    </row>
    <row r="134" spans="1:6" x14ac:dyDescent="0.25">
      <c r="A134" s="73" t="s">
        <v>418</v>
      </c>
      <c r="B134" s="22" t="s">
        <v>2932</v>
      </c>
      <c r="C134" s="11" t="s">
        <v>419</v>
      </c>
      <c r="D134" s="3" t="s">
        <v>420</v>
      </c>
      <c r="E134" s="3" t="s">
        <v>421</v>
      </c>
      <c r="F134" s="5">
        <v>15</v>
      </c>
    </row>
    <row r="135" spans="1:6" x14ac:dyDescent="0.25">
      <c r="A135" s="73" t="s">
        <v>422</v>
      </c>
      <c r="B135" s="22" t="s">
        <v>2933</v>
      </c>
      <c r="C135" s="11" t="s">
        <v>423</v>
      </c>
      <c r="D135" s="3" t="s">
        <v>424</v>
      </c>
      <c r="E135" s="3" t="s">
        <v>425</v>
      </c>
      <c r="F135" s="5">
        <v>15</v>
      </c>
    </row>
    <row r="136" spans="1:6" x14ac:dyDescent="0.25">
      <c r="A136" s="73" t="s">
        <v>426</v>
      </c>
      <c r="B136" s="22" t="s">
        <v>2934</v>
      </c>
      <c r="C136" s="11" t="s">
        <v>427</v>
      </c>
      <c r="D136" s="3" t="s">
        <v>428</v>
      </c>
      <c r="E136" s="3" t="s">
        <v>429</v>
      </c>
      <c r="F136" s="5">
        <v>15</v>
      </c>
    </row>
    <row r="137" spans="1:6" x14ac:dyDescent="0.25">
      <c r="A137" s="73" t="s">
        <v>430</v>
      </c>
      <c r="B137" s="22" t="s">
        <v>2935</v>
      </c>
      <c r="C137" s="11" t="s">
        <v>431</v>
      </c>
      <c r="D137" s="3" t="s">
        <v>432</v>
      </c>
      <c r="E137" s="3" t="s">
        <v>433</v>
      </c>
      <c r="F137" s="5">
        <v>15</v>
      </c>
    </row>
    <row r="138" spans="1:6" x14ac:dyDescent="0.25">
      <c r="A138" s="73" t="s">
        <v>434</v>
      </c>
      <c r="B138" s="22" t="s">
        <v>2936</v>
      </c>
      <c r="C138" s="11"/>
      <c r="D138" s="3" t="s">
        <v>435</v>
      </c>
      <c r="E138" s="3" t="s">
        <v>436</v>
      </c>
      <c r="F138" s="5">
        <v>15</v>
      </c>
    </row>
    <row r="139" spans="1:6" x14ac:dyDescent="0.25">
      <c r="A139" s="73" t="s">
        <v>437</v>
      </c>
      <c r="B139" s="22" t="s">
        <v>2937</v>
      </c>
      <c r="C139" s="11" t="s">
        <v>438</v>
      </c>
      <c r="D139" s="3" t="s">
        <v>439</v>
      </c>
      <c r="E139" s="3" t="s">
        <v>440</v>
      </c>
      <c r="F139" s="5">
        <v>15</v>
      </c>
    </row>
    <row r="140" spans="1:6" x14ac:dyDescent="0.25">
      <c r="A140" s="73" t="s">
        <v>441</v>
      </c>
      <c r="B140" s="22" t="s">
        <v>2938</v>
      </c>
      <c r="C140" s="11" t="s">
        <v>442</v>
      </c>
      <c r="D140" s="3" t="s">
        <v>443</v>
      </c>
      <c r="E140" s="3" t="s">
        <v>444</v>
      </c>
      <c r="F140" s="5">
        <v>15</v>
      </c>
    </row>
    <row r="141" spans="1:6" x14ac:dyDescent="0.25">
      <c r="A141" s="73" t="s">
        <v>445</v>
      </c>
      <c r="B141" s="22" t="s">
        <v>2939</v>
      </c>
      <c r="C141" s="11" t="s">
        <v>446</v>
      </c>
      <c r="D141" s="3" t="s">
        <v>447</v>
      </c>
      <c r="E141" s="3" t="s">
        <v>126</v>
      </c>
      <c r="F141" s="5">
        <v>15</v>
      </c>
    </row>
    <row r="142" spans="1:6" x14ac:dyDescent="0.25">
      <c r="A142" s="73" t="s">
        <v>448</v>
      </c>
      <c r="B142" s="22" t="s">
        <v>2940</v>
      </c>
      <c r="C142" s="11" t="s">
        <v>449</v>
      </c>
      <c r="D142" s="3" t="s">
        <v>450</v>
      </c>
      <c r="E142" s="3" t="s">
        <v>451</v>
      </c>
      <c r="F142" s="5">
        <v>15</v>
      </c>
    </row>
    <row r="143" spans="1:6" x14ac:dyDescent="0.25">
      <c r="A143" s="73" t="s">
        <v>452</v>
      </c>
      <c r="B143" s="22" t="s">
        <v>2941</v>
      </c>
      <c r="C143" s="11" t="s">
        <v>453</v>
      </c>
      <c r="D143" s="3" t="s">
        <v>454</v>
      </c>
      <c r="E143" s="3" t="s">
        <v>455</v>
      </c>
      <c r="F143" s="5">
        <v>15</v>
      </c>
    </row>
    <row r="144" spans="1:6" x14ac:dyDescent="0.25">
      <c r="A144" s="73" t="s">
        <v>456</v>
      </c>
      <c r="B144" s="22" t="s">
        <v>2942</v>
      </c>
      <c r="C144" s="11" t="s">
        <v>457</v>
      </c>
      <c r="D144" s="3" t="s">
        <v>1490</v>
      </c>
      <c r="E144" s="3" t="s">
        <v>458</v>
      </c>
      <c r="F144" s="5">
        <v>15</v>
      </c>
    </row>
    <row r="145" spans="1:6" x14ac:dyDescent="0.25">
      <c r="A145" s="73" t="s">
        <v>459</v>
      </c>
      <c r="B145" s="22" t="s">
        <v>2943</v>
      </c>
      <c r="C145" s="11" t="s">
        <v>460</v>
      </c>
      <c r="D145" s="3" t="s">
        <v>461</v>
      </c>
      <c r="E145" s="3" t="s">
        <v>462</v>
      </c>
      <c r="F145" s="5">
        <v>15</v>
      </c>
    </row>
    <row r="146" spans="1:6" x14ac:dyDescent="0.25">
      <c r="A146" s="73" t="s">
        <v>463</v>
      </c>
      <c r="B146" s="22" t="s">
        <v>2944</v>
      </c>
      <c r="C146" s="11" t="s">
        <v>464</v>
      </c>
      <c r="D146" s="3" t="s">
        <v>465</v>
      </c>
      <c r="E146" s="3" t="s">
        <v>466</v>
      </c>
      <c r="F146" s="5">
        <v>15</v>
      </c>
    </row>
    <row r="147" spans="1:6" x14ac:dyDescent="0.25">
      <c r="A147" s="73" t="s">
        <v>1664</v>
      </c>
      <c r="B147" s="22" t="s">
        <v>2945</v>
      </c>
      <c r="C147" s="11" t="s">
        <v>343</v>
      </c>
      <c r="D147" s="3" t="s">
        <v>468</v>
      </c>
      <c r="E147" s="3" t="s">
        <v>341</v>
      </c>
      <c r="F147" s="5">
        <v>15</v>
      </c>
    </row>
    <row r="148" spans="1:6" x14ac:dyDescent="0.25">
      <c r="A148" s="73" t="s">
        <v>469</v>
      </c>
      <c r="B148" s="22" t="s">
        <v>2946</v>
      </c>
      <c r="C148" s="11" t="s">
        <v>470</v>
      </c>
      <c r="D148" s="3" t="s">
        <v>471</v>
      </c>
      <c r="E148" s="3" t="s">
        <v>472</v>
      </c>
      <c r="F148" s="5">
        <v>15</v>
      </c>
    </row>
    <row r="149" spans="1:6" x14ac:dyDescent="0.25">
      <c r="A149" s="73" t="s">
        <v>473</v>
      </c>
      <c r="B149" s="22" t="s">
        <v>2947</v>
      </c>
      <c r="C149" s="11" t="s">
        <v>474</v>
      </c>
      <c r="D149" s="3" t="s">
        <v>475</v>
      </c>
      <c r="E149" s="3" t="s">
        <v>476</v>
      </c>
      <c r="F149" s="5">
        <v>15</v>
      </c>
    </row>
    <row r="150" spans="1:6" x14ac:dyDescent="0.25">
      <c r="A150" s="73" t="s">
        <v>477</v>
      </c>
      <c r="B150" s="22" t="s">
        <v>2948</v>
      </c>
      <c r="C150" s="11" t="s">
        <v>478</v>
      </c>
      <c r="D150" s="3" t="s">
        <v>479</v>
      </c>
      <c r="E150" s="3" t="s">
        <v>480</v>
      </c>
      <c r="F150" s="5">
        <v>15</v>
      </c>
    </row>
    <row r="151" spans="1:6" x14ac:dyDescent="0.25">
      <c r="A151" s="73" t="s">
        <v>481</v>
      </c>
      <c r="B151" s="22" t="s">
        <v>2949</v>
      </c>
      <c r="C151" s="11" t="s">
        <v>482</v>
      </c>
      <c r="D151" s="3" t="s">
        <v>483</v>
      </c>
      <c r="E151" s="3" t="s">
        <v>484</v>
      </c>
      <c r="F151" s="5">
        <v>15</v>
      </c>
    </row>
    <row r="152" spans="1:6" x14ac:dyDescent="0.25">
      <c r="A152" s="73" t="s">
        <v>485</v>
      </c>
      <c r="B152" s="22" t="s">
        <v>2950</v>
      </c>
      <c r="C152" s="11" t="s">
        <v>486</v>
      </c>
      <c r="D152" s="3" t="s">
        <v>487</v>
      </c>
      <c r="E152" s="3" t="s">
        <v>488</v>
      </c>
      <c r="F152" s="5">
        <v>15</v>
      </c>
    </row>
    <row r="153" spans="1:6" x14ac:dyDescent="0.25">
      <c r="A153" s="73" t="s">
        <v>489</v>
      </c>
      <c r="B153" s="22" t="s">
        <v>2951</v>
      </c>
      <c r="C153" s="11" t="s">
        <v>343</v>
      </c>
      <c r="D153" s="3" t="s">
        <v>490</v>
      </c>
      <c r="E153" s="3" t="s">
        <v>491</v>
      </c>
      <c r="F153" s="5">
        <v>15</v>
      </c>
    </row>
    <row r="154" spans="1:6" x14ac:dyDescent="0.25">
      <c r="A154" s="73" t="s">
        <v>492</v>
      </c>
      <c r="B154" s="22" t="s">
        <v>2952</v>
      </c>
      <c r="C154" s="11" t="s">
        <v>343</v>
      </c>
      <c r="D154" s="3" t="s">
        <v>468</v>
      </c>
      <c r="E154" s="3" t="s">
        <v>341</v>
      </c>
      <c r="F154" s="5">
        <v>15</v>
      </c>
    </row>
    <row r="155" spans="1:6" x14ac:dyDescent="0.25">
      <c r="A155" s="73" t="s">
        <v>493</v>
      </c>
      <c r="B155" s="22" t="s">
        <v>2953</v>
      </c>
      <c r="C155" s="11" t="s">
        <v>494</v>
      </c>
      <c r="D155" s="3" t="s">
        <v>495</v>
      </c>
      <c r="E155" s="3" t="s">
        <v>496</v>
      </c>
      <c r="F155" s="5">
        <v>15</v>
      </c>
    </row>
    <row r="156" spans="1:6" x14ac:dyDescent="0.25">
      <c r="A156" s="73" t="s">
        <v>497</v>
      </c>
      <c r="B156" s="22" t="s">
        <v>2954</v>
      </c>
      <c r="C156" s="11" t="s">
        <v>498</v>
      </c>
      <c r="D156" s="3" t="s">
        <v>2344</v>
      </c>
      <c r="E156" s="3" t="s">
        <v>499</v>
      </c>
      <c r="F156" s="5">
        <v>15</v>
      </c>
    </row>
    <row r="157" spans="1:6" x14ac:dyDescent="0.25">
      <c r="A157" s="73" t="s">
        <v>500</v>
      </c>
      <c r="B157" s="22" t="s">
        <v>2955</v>
      </c>
      <c r="C157" s="11" t="s">
        <v>501</v>
      </c>
      <c r="D157" s="3" t="s">
        <v>502</v>
      </c>
      <c r="E157" s="3" t="s">
        <v>503</v>
      </c>
      <c r="F157" s="5">
        <v>15</v>
      </c>
    </row>
    <row r="158" spans="1:6" x14ac:dyDescent="0.25">
      <c r="A158" s="73" t="s">
        <v>504</v>
      </c>
      <c r="B158" s="22" t="s">
        <v>2956</v>
      </c>
      <c r="C158" s="11" t="s">
        <v>505</v>
      </c>
      <c r="D158" s="3" t="s">
        <v>506</v>
      </c>
      <c r="E158" s="3" t="s">
        <v>507</v>
      </c>
      <c r="F158" s="5">
        <v>15</v>
      </c>
    </row>
    <row r="159" spans="1:6" x14ac:dyDescent="0.25">
      <c r="A159" s="73" t="s">
        <v>508</v>
      </c>
      <c r="B159" s="22" t="s">
        <v>2957</v>
      </c>
      <c r="C159" s="11" t="s">
        <v>509</v>
      </c>
      <c r="D159" s="3" t="s">
        <v>510</v>
      </c>
      <c r="E159" s="3" t="s">
        <v>511</v>
      </c>
      <c r="F159" s="5">
        <v>15</v>
      </c>
    </row>
    <row r="160" spans="1:6" x14ac:dyDescent="0.25">
      <c r="A160" s="73" t="s">
        <v>1351</v>
      </c>
      <c r="B160" s="22" t="s">
        <v>2958</v>
      </c>
      <c r="C160" s="11" t="s">
        <v>1353</v>
      </c>
      <c r="D160" s="3" t="s">
        <v>265</v>
      </c>
      <c r="E160" s="3" t="s">
        <v>266</v>
      </c>
      <c r="F160" s="5">
        <v>15</v>
      </c>
    </row>
    <row r="161" spans="1:6" x14ac:dyDescent="0.25">
      <c r="A161" s="73" t="s">
        <v>1377</v>
      </c>
      <c r="B161" s="22" t="s">
        <v>2959</v>
      </c>
      <c r="C161" s="11" t="s">
        <v>1380</v>
      </c>
      <c r="D161" s="3" t="s">
        <v>1378</v>
      </c>
      <c r="E161" s="3" t="s">
        <v>1379</v>
      </c>
      <c r="F161" s="5">
        <v>15</v>
      </c>
    </row>
    <row r="162" spans="1:6" x14ac:dyDescent="0.25">
      <c r="A162" s="73" t="s">
        <v>1381</v>
      </c>
      <c r="B162" s="22" t="s">
        <v>2960</v>
      </c>
      <c r="C162" s="11" t="s">
        <v>1382</v>
      </c>
      <c r="D162" s="3" t="s">
        <v>1399</v>
      </c>
      <c r="E162" s="3" t="s">
        <v>1400</v>
      </c>
      <c r="F162" s="5">
        <v>15</v>
      </c>
    </row>
    <row r="163" spans="1:6" x14ac:dyDescent="0.25">
      <c r="A163" s="73" t="s">
        <v>1383</v>
      </c>
      <c r="B163" s="22" t="s">
        <v>2961</v>
      </c>
      <c r="C163" s="11" t="s">
        <v>1384</v>
      </c>
      <c r="D163" s="3" t="s">
        <v>1385</v>
      </c>
      <c r="E163" s="3" t="s">
        <v>1386</v>
      </c>
      <c r="F163" s="5">
        <v>15</v>
      </c>
    </row>
    <row r="164" spans="1:6" x14ac:dyDescent="0.25">
      <c r="A164" s="73" t="s">
        <v>1387</v>
      </c>
      <c r="B164" s="22" t="s">
        <v>2962</v>
      </c>
      <c r="C164" s="11" t="s">
        <v>1388</v>
      </c>
      <c r="D164" s="3" t="s">
        <v>1389</v>
      </c>
      <c r="E164" s="3" t="s">
        <v>1390</v>
      </c>
      <c r="F164" s="5">
        <v>15</v>
      </c>
    </row>
    <row r="165" spans="1:6" x14ac:dyDescent="0.25">
      <c r="A165" s="73" t="s">
        <v>1391</v>
      </c>
      <c r="B165" s="22" t="s">
        <v>2963</v>
      </c>
      <c r="C165" s="11" t="s">
        <v>1393</v>
      </c>
      <c r="D165" s="3" t="s">
        <v>1392</v>
      </c>
      <c r="E165" s="3" t="s">
        <v>1394</v>
      </c>
      <c r="F165" s="5">
        <v>15</v>
      </c>
    </row>
    <row r="166" spans="1:6" x14ac:dyDescent="0.25">
      <c r="A166" s="73" t="s">
        <v>1395</v>
      </c>
      <c r="B166" s="22" t="s">
        <v>2964</v>
      </c>
      <c r="C166" s="11" t="s">
        <v>1398</v>
      </c>
      <c r="D166" s="3" t="s">
        <v>1396</v>
      </c>
      <c r="E166" s="3" t="s">
        <v>1397</v>
      </c>
      <c r="F166" s="5">
        <v>15</v>
      </c>
    </row>
    <row r="167" spans="1:6" x14ac:dyDescent="0.25">
      <c r="A167" s="73" t="s">
        <v>1424</v>
      </c>
      <c r="B167" s="22" t="s">
        <v>2965</v>
      </c>
      <c r="C167" s="11" t="s">
        <v>1425</v>
      </c>
      <c r="D167" s="3" t="s">
        <v>1439</v>
      </c>
      <c r="E167" s="3" t="s">
        <v>1440</v>
      </c>
      <c r="F167" s="5">
        <v>15</v>
      </c>
    </row>
    <row r="168" spans="1:6" x14ac:dyDescent="0.25">
      <c r="A168" s="73" t="s">
        <v>1432</v>
      </c>
      <c r="B168" s="22" t="s">
        <v>2966</v>
      </c>
      <c r="C168" s="11" t="s">
        <v>1431</v>
      </c>
      <c r="D168" s="3" t="s">
        <v>1433</v>
      </c>
      <c r="E168" s="3" t="s">
        <v>1434</v>
      </c>
      <c r="F168" s="5">
        <v>15</v>
      </c>
    </row>
    <row r="169" spans="1:6" x14ac:dyDescent="0.25">
      <c r="A169" s="81" t="s">
        <v>1435</v>
      </c>
      <c r="B169" s="22" t="s">
        <v>2967</v>
      </c>
      <c r="C169" s="23" t="s">
        <v>1437</v>
      </c>
      <c r="D169" s="22" t="s">
        <v>1436</v>
      </c>
      <c r="E169" s="22" t="s">
        <v>1438</v>
      </c>
      <c r="F169" s="5">
        <v>15</v>
      </c>
    </row>
    <row r="170" spans="1:6" x14ac:dyDescent="0.25">
      <c r="A170" s="81" t="s">
        <v>1441</v>
      </c>
      <c r="B170" s="22" t="s">
        <v>2968</v>
      </c>
      <c r="C170" s="23" t="s">
        <v>1446</v>
      </c>
      <c r="D170" s="22" t="s">
        <v>1281</v>
      </c>
      <c r="E170" s="22" t="s">
        <v>1282</v>
      </c>
      <c r="F170" s="5">
        <v>15</v>
      </c>
    </row>
    <row r="171" spans="1:6" x14ac:dyDescent="0.25">
      <c r="A171" s="81" t="s">
        <v>1442</v>
      </c>
      <c r="B171" s="22" t="s">
        <v>2969</v>
      </c>
      <c r="C171" s="23" t="s">
        <v>1443</v>
      </c>
      <c r="D171" s="22" t="s">
        <v>1444</v>
      </c>
      <c r="E171" s="22" t="s">
        <v>1445</v>
      </c>
      <c r="F171" s="5">
        <v>15</v>
      </c>
    </row>
    <row r="172" spans="1:6" x14ac:dyDescent="0.25">
      <c r="A172" s="81" t="s">
        <v>1447</v>
      </c>
      <c r="B172" s="22" t="s">
        <v>2970</v>
      </c>
      <c r="C172" s="23" t="s">
        <v>1449</v>
      </c>
      <c r="D172" s="22" t="s">
        <v>1674</v>
      </c>
      <c r="E172" s="22" t="s">
        <v>1448</v>
      </c>
      <c r="F172" s="5">
        <v>15</v>
      </c>
    </row>
    <row r="173" spans="1:6" x14ac:dyDescent="0.25">
      <c r="A173" s="81" t="s">
        <v>1463</v>
      </c>
      <c r="B173" s="22" t="s">
        <v>2971</v>
      </c>
      <c r="C173" s="23"/>
      <c r="D173" s="22" t="s">
        <v>1464</v>
      </c>
      <c r="E173" s="22" t="s">
        <v>1459</v>
      </c>
      <c r="F173" s="5">
        <v>15</v>
      </c>
    </row>
    <row r="174" spans="1:6" x14ac:dyDescent="0.25">
      <c r="A174" s="81" t="s">
        <v>1482</v>
      </c>
      <c r="B174" s="22" t="s">
        <v>2972</v>
      </c>
      <c r="C174" s="23" t="s">
        <v>1483</v>
      </c>
      <c r="D174" s="22" t="s">
        <v>1484</v>
      </c>
      <c r="E174" s="22" t="s">
        <v>1485</v>
      </c>
      <c r="F174" s="5">
        <v>15</v>
      </c>
    </row>
    <row r="175" spans="1:6" x14ac:dyDescent="0.25">
      <c r="A175" s="81" t="s">
        <v>1488</v>
      </c>
      <c r="B175" s="22" t="s">
        <v>2973</v>
      </c>
      <c r="C175" s="23" t="s">
        <v>2113</v>
      </c>
      <c r="D175" s="22" t="s">
        <v>1487</v>
      </c>
      <c r="E175" s="22" t="s">
        <v>1489</v>
      </c>
      <c r="F175" s="5">
        <v>15</v>
      </c>
    </row>
    <row r="176" spans="1:6" x14ac:dyDescent="0.25">
      <c r="A176" s="81" t="s">
        <v>1497</v>
      </c>
      <c r="B176" s="22" t="s">
        <v>2974</v>
      </c>
      <c r="C176" s="23" t="s">
        <v>1498</v>
      </c>
      <c r="D176" s="22" t="s">
        <v>1499</v>
      </c>
      <c r="E176" s="22" t="s">
        <v>1500</v>
      </c>
      <c r="F176" s="5">
        <v>15</v>
      </c>
    </row>
    <row r="177" spans="1:6" x14ac:dyDescent="0.25">
      <c r="A177" s="81" t="s">
        <v>1509</v>
      </c>
      <c r="B177" s="22" t="s">
        <v>2975</v>
      </c>
      <c r="C177" s="23" t="s">
        <v>1510</v>
      </c>
      <c r="D177" s="22" t="s">
        <v>1511</v>
      </c>
      <c r="E177" s="22" t="s">
        <v>1512</v>
      </c>
      <c r="F177" s="5">
        <v>15</v>
      </c>
    </row>
    <row r="178" spans="1:6" x14ac:dyDescent="0.25">
      <c r="A178" s="81" t="s">
        <v>1523</v>
      </c>
      <c r="B178" s="22" t="s">
        <v>2976</v>
      </c>
      <c r="C178" s="23" t="s">
        <v>1520</v>
      </c>
      <c r="D178" s="22" t="s">
        <v>1521</v>
      </c>
      <c r="E178" s="22" t="s">
        <v>1522</v>
      </c>
      <c r="F178" s="5">
        <v>10</v>
      </c>
    </row>
    <row r="179" spans="1:6" x14ac:dyDescent="0.25">
      <c r="A179" s="81" t="s">
        <v>1580</v>
      </c>
      <c r="B179" s="22" t="s">
        <v>2977</v>
      </c>
      <c r="C179" s="23" t="s">
        <v>1579</v>
      </c>
      <c r="D179" s="22" t="s">
        <v>1581</v>
      </c>
      <c r="E179" s="22" t="s">
        <v>1584</v>
      </c>
      <c r="F179" s="5">
        <v>15</v>
      </c>
    </row>
    <row r="180" spans="1:6" x14ac:dyDescent="0.25">
      <c r="A180" s="81" t="s">
        <v>1590</v>
      </c>
      <c r="B180" s="22" t="s">
        <v>2978</v>
      </c>
      <c r="C180" s="23" t="s">
        <v>1591</v>
      </c>
      <c r="D180" s="22" t="s">
        <v>1592</v>
      </c>
      <c r="E180" s="22" t="s">
        <v>1593</v>
      </c>
      <c r="F180" s="5">
        <v>15</v>
      </c>
    </row>
    <row r="181" spans="1:6" x14ac:dyDescent="0.25">
      <c r="A181" s="81" t="s">
        <v>1596</v>
      </c>
      <c r="B181" s="22" t="s">
        <v>2979</v>
      </c>
      <c r="C181" s="23" t="s">
        <v>1597</v>
      </c>
      <c r="D181" s="22" t="s">
        <v>1599</v>
      </c>
      <c r="E181" s="22" t="s">
        <v>1598</v>
      </c>
      <c r="F181" s="5">
        <v>15</v>
      </c>
    </row>
    <row r="182" spans="1:6" x14ac:dyDescent="0.25">
      <c r="A182" s="81" t="s">
        <v>1626</v>
      </c>
      <c r="B182" s="22" t="s">
        <v>2980</v>
      </c>
      <c r="C182" s="23" t="s">
        <v>1627</v>
      </c>
      <c r="D182" s="22"/>
      <c r="E182" s="22"/>
      <c r="F182" s="5">
        <v>15</v>
      </c>
    </row>
    <row r="183" spans="1:6" x14ac:dyDescent="0.25">
      <c r="A183" s="81" t="s">
        <v>1629</v>
      </c>
      <c r="B183" s="22" t="s">
        <v>2981</v>
      </c>
      <c r="C183" s="23" t="s">
        <v>1631</v>
      </c>
      <c r="D183" s="22" t="s">
        <v>1630</v>
      </c>
      <c r="E183" s="22" t="s">
        <v>1632</v>
      </c>
      <c r="F183" s="5">
        <v>15</v>
      </c>
    </row>
    <row r="184" spans="1:6" x14ac:dyDescent="0.25">
      <c r="A184" s="81" t="s">
        <v>1633</v>
      </c>
      <c r="B184" s="22" t="s">
        <v>2982</v>
      </c>
      <c r="C184" s="23" t="s">
        <v>1634</v>
      </c>
      <c r="D184" s="22" t="s">
        <v>1635</v>
      </c>
      <c r="E184" s="22" t="s">
        <v>1636</v>
      </c>
      <c r="F184" s="5">
        <v>15</v>
      </c>
    </row>
    <row r="185" spans="1:6" x14ac:dyDescent="0.25">
      <c r="A185" s="81" t="s">
        <v>1646</v>
      </c>
      <c r="B185" s="22" t="s">
        <v>2983</v>
      </c>
      <c r="C185" s="23" t="s">
        <v>1647</v>
      </c>
      <c r="D185" s="22" t="s">
        <v>1678</v>
      </c>
      <c r="E185" s="22" t="s">
        <v>1679</v>
      </c>
      <c r="F185" s="5">
        <v>15</v>
      </c>
    </row>
    <row r="186" spans="1:6" x14ac:dyDescent="0.25">
      <c r="A186" s="81" t="s">
        <v>1726</v>
      </c>
      <c r="B186" s="22" t="s">
        <v>2984</v>
      </c>
      <c r="C186" s="23" t="s">
        <v>1727</v>
      </c>
      <c r="D186" s="22" t="s">
        <v>1777</v>
      </c>
      <c r="E186" s="22" t="s">
        <v>1785</v>
      </c>
      <c r="F186" s="5">
        <v>15</v>
      </c>
    </row>
    <row r="187" spans="1:6" x14ac:dyDescent="0.25">
      <c r="A187" s="81" t="s">
        <v>1731</v>
      </c>
      <c r="B187" s="22" t="s">
        <v>2985</v>
      </c>
      <c r="C187" s="23" t="s">
        <v>1732</v>
      </c>
      <c r="D187" s="22" t="s">
        <v>1733</v>
      </c>
      <c r="E187" s="22" t="s">
        <v>1734</v>
      </c>
      <c r="F187" s="5">
        <v>15</v>
      </c>
    </row>
    <row r="188" spans="1:6" x14ac:dyDescent="0.25">
      <c r="A188" s="81" t="s">
        <v>1735</v>
      </c>
      <c r="B188" s="22" t="s">
        <v>2986</v>
      </c>
      <c r="C188" s="23" t="s">
        <v>1736</v>
      </c>
      <c r="D188" s="22" t="s">
        <v>1737</v>
      </c>
      <c r="E188" s="22" t="s">
        <v>1738</v>
      </c>
      <c r="F188" s="5">
        <v>15</v>
      </c>
    </row>
    <row r="189" spans="1:6" x14ac:dyDescent="0.25">
      <c r="A189" s="81" t="s">
        <v>1771</v>
      </c>
      <c r="B189" s="22" t="s">
        <v>2987</v>
      </c>
      <c r="C189" s="23" t="s">
        <v>1775</v>
      </c>
      <c r="D189" s="22" t="s">
        <v>1776</v>
      </c>
      <c r="E189" s="22" t="s">
        <v>1827</v>
      </c>
      <c r="F189" s="5">
        <v>15</v>
      </c>
    </row>
    <row r="190" spans="1:6" x14ac:dyDescent="0.25">
      <c r="A190" s="81" t="s">
        <v>1797</v>
      </c>
      <c r="B190" s="22" t="s">
        <v>2988</v>
      </c>
      <c r="C190" s="23" t="s">
        <v>1798</v>
      </c>
      <c r="D190" s="22" t="s">
        <v>1838</v>
      </c>
      <c r="E190" s="22" t="s">
        <v>1839</v>
      </c>
      <c r="F190" s="5">
        <v>15</v>
      </c>
    </row>
    <row r="191" spans="1:6" x14ac:dyDescent="0.25">
      <c r="A191" s="81" t="s">
        <v>1808</v>
      </c>
      <c r="B191" s="22" t="s">
        <v>2989</v>
      </c>
      <c r="C191" s="23" t="s">
        <v>1809</v>
      </c>
      <c r="D191" s="22" t="s">
        <v>1819</v>
      </c>
      <c r="E191" s="22" t="s">
        <v>1820</v>
      </c>
      <c r="F191" s="5">
        <v>15</v>
      </c>
    </row>
    <row r="192" spans="1:6" x14ac:dyDescent="0.25">
      <c r="A192" s="81" t="s">
        <v>1818</v>
      </c>
      <c r="B192" s="22" t="s">
        <v>2990</v>
      </c>
      <c r="C192" s="23" t="s">
        <v>82</v>
      </c>
      <c r="D192" s="22" t="s">
        <v>1832</v>
      </c>
      <c r="E192" s="22" t="s">
        <v>1833</v>
      </c>
      <c r="F192" s="5">
        <v>15</v>
      </c>
    </row>
    <row r="193" spans="1:6" x14ac:dyDescent="0.25">
      <c r="A193" s="81" t="s">
        <v>1828</v>
      </c>
      <c r="B193" s="22" t="s">
        <v>2991</v>
      </c>
      <c r="C193" s="23" t="s">
        <v>1829</v>
      </c>
      <c r="D193" s="22" t="s">
        <v>1830</v>
      </c>
      <c r="E193" s="22" t="s">
        <v>1831</v>
      </c>
      <c r="F193" s="5">
        <v>15</v>
      </c>
    </row>
    <row r="194" spans="1:6" x14ac:dyDescent="0.25">
      <c r="A194" s="81" t="s">
        <v>1834</v>
      </c>
      <c r="B194" s="22" t="s">
        <v>2992</v>
      </c>
      <c r="C194" s="23" t="s">
        <v>1835</v>
      </c>
      <c r="D194" s="22" t="s">
        <v>1837</v>
      </c>
      <c r="E194" s="22" t="s">
        <v>1836</v>
      </c>
      <c r="F194" s="5">
        <v>15</v>
      </c>
    </row>
    <row r="195" spans="1:6" x14ac:dyDescent="0.25">
      <c r="A195" s="81" t="s">
        <v>1890</v>
      </c>
      <c r="B195" s="22" t="s">
        <v>2993</v>
      </c>
      <c r="C195" s="23" t="s">
        <v>1891</v>
      </c>
      <c r="D195" s="22" t="s">
        <v>1898</v>
      </c>
      <c r="E195" s="22" t="s">
        <v>1899</v>
      </c>
      <c r="F195" s="5">
        <v>15</v>
      </c>
    </row>
    <row r="196" spans="1:6" x14ac:dyDescent="0.25">
      <c r="A196" s="81" t="s">
        <v>1900</v>
      </c>
      <c r="B196" s="22" t="s">
        <v>2994</v>
      </c>
      <c r="C196" s="23" t="s">
        <v>1895</v>
      </c>
      <c r="D196" s="22" t="s">
        <v>1896</v>
      </c>
      <c r="E196" s="22" t="s">
        <v>1897</v>
      </c>
      <c r="F196" s="5">
        <v>15</v>
      </c>
    </row>
    <row r="197" spans="1:6" x14ac:dyDescent="0.25">
      <c r="A197" s="81" t="s">
        <v>1908</v>
      </c>
      <c r="B197" s="22" t="s">
        <v>2995</v>
      </c>
      <c r="C197" s="23" t="s">
        <v>1909</v>
      </c>
      <c r="D197" s="22" t="s">
        <v>1910</v>
      </c>
      <c r="E197" s="22" t="s">
        <v>1911</v>
      </c>
      <c r="F197" s="5">
        <v>15</v>
      </c>
    </row>
    <row r="198" spans="1:6" x14ac:dyDescent="0.25">
      <c r="A198" s="81" t="s">
        <v>1927</v>
      </c>
      <c r="B198" s="22" t="s">
        <v>2996</v>
      </c>
      <c r="C198" s="23" t="s">
        <v>1928</v>
      </c>
      <c r="D198" s="22" t="s">
        <v>2108</v>
      </c>
      <c r="E198" s="22" t="s">
        <v>2107</v>
      </c>
      <c r="F198" s="5">
        <v>15</v>
      </c>
    </row>
    <row r="199" spans="1:6" x14ac:dyDescent="0.25">
      <c r="A199" s="81" t="s">
        <v>1934</v>
      </c>
      <c r="B199" s="22" t="s">
        <v>2997</v>
      </c>
      <c r="C199" s="23" t="s">
        <v>1937</v>
      </c>
      <c r="D199" s="22" t="s">
        <v>1935</v>
      </c>
      <c r="E199" s="22" t="s">
        <v>1936</v>
      </c>
      <c r="F199" s="5">
        <v>15</v>
      </c>
    </row>
    <row r="200" spans="1:6" x14ac:dyDescent="0.25">
      <c r="A200" s="81" t="s">
        <v>1938</v>
      </c>
      <c r="B200" s="22" t="s">
        <v>2998</v>
      </c>
      <c r="C200" s="23" t="s">
        <v>1939</v>
      </c>
      <c r="D200" s="22" t="s">
        <v>1940</v>
      </c>
      <c r="E200" s="22" t="s">
        <v>1941</v>
      </c>
      <c r="F200" s="5">
        <v>15</v>
      </c>
    </row>
    <row r="201" spans="1:6" x14ac:dyDescent="0.25">
      <c r="A201" s="81" t="s">
        <v>1942</v>
      </c>
      <c r="B201" s="22" t="s">
        <v>2999</v>
      </c>
      <c r="C201" s="23" t="s">
        <v>1943</v>
      </c>
      <c r="D201" s="22" t="s">
        <v>1944</v>
      </c>
      <c r="E201" s="22" t="s">
        <v>1945</v>
      </c>
      <c r="F201" s="5">
        <v>15</v>
      </c>
    </row>
    <row r="202" spans="1:6" x14ac:dyDescent="0.25">
      <c r="A202" s="81" t="s">
        <v>1946</v>
      </c>
      <c r="B202" s="22" t="s">
        <v>3000</v>
      </c>
      <c r="C202" s="23" t="s">
        <v>1947</v>
      </c>
      <c r="D202" s="22" t="s">
        <v>1948</v>
      </c>
      <c r="E202" s="22" t="s">
        <v>1949</v>
      </c>
      <c r="F202" s="5">
        <v>15</v>
      </c>
    </row>
    <row r="203" spans="1:6" x14ac:dyDescent="0.25">
      <c r="A203" s="81" t="s">
        <v>1964</v>
      </c>
      <c r="B203" s="22" t="s">
        <v>3001</v>
      </c>
      <c r="C203" s="23" t="s">
        <v>1965</v>
      </c>
      <c r="D203" s="22" t="s">
        <v>1966</v>
      </c>
      <c r="E203" s="22" t="s">
        <v>1967</v>
      </c>
      <c r="F203" s="5">
        <v>15</v>
      </c>
    </row>
    <row r="204" spans="1:6" x14ac:dyDescent="0.25">
      <c r="A204" s="81" t="s">
        <v>1974</v>
      </c>
      <c r="B204" s="22" t="s">
        <v>3002</v>
      </c>
      <c r="C204" s="23" t="s">
        <v>1975</v>
      </c>
      <c r="D204" s="22" t="s">
        <v>1977</v>
      </c>
      <c r="E204" s="22" t="s">
        <v>1976</v>
      </c>
      <c r="F204" s="5">
        <v>15</v>
      </c>
    </row>
    <row r="205" spans="1:6" x14ac:dyDescent="0.25">
      <c r="A205" s="81" t="s">
        <v>1991</v>
      </c>
      <c r="B205" s="22" t="s">
        <v>3003</v>
      </c>
      <c r="C205" s="23" t="s">
        <v>1988</v>
      </c>
      <c r="D205" s="22" t="s">
        <v>1989</v>
      </c>
      <c r="E205" s="22" t="s">
        <v>1990</v>
      </c>
      <c r="F205" s="5">
        <v>15</v>
      </c>
    </row>
    <row r="206" spans="1:6" x14ac:dyDescent="0.25">
      <c r="A206" s="81" t="s">
        <v>1995</v>
      </c>
      <c r="B206" s="22" t="s">
        <v>3004</v>
      </c>
      <c r="C206" s="23" t="s">
        <v>1994</v>
      </c>
      <c r="D206" s="22" t="s">
        <v>1992</v>
      </c>
      <c r="E206" s="22" t="s">
        <v>1993</v>
      </c>
      <c r="F206" s="5">
        <v>15</v>
      </c>
    </row>
    <row r="207" spans="1:6" x14ac:dyDescent="0.25">
      <c r="A207" s="81" t="s">
        <v>1996</v>
      </c>
      <c r="B207" s="22" t="s">
        <v>3005</v>
      </c>
      <c r="C207" s="23" t="s">
        <v>1997</v>
      </c>
      <c r="D207" s="22" t="s">
        <v>1999</v>
      </c>
      <c r="E207" s="22" t="s">
        <v>1998</v>
      </c>
      <c r="F207" s="5">
        <v>15</v>
      </c>
    </row>
    <row r="208" spans="1:6" x14ac:dyDescent="0.25">
      <c r="A208" s="81" t="s">
        <v>2050</v>
      </c>
      <c r="B208" s="22" t="s">
        <v>3006</v>
      </c>
      <c r="C208" s="23" t="s">
        <v>2052</v>
      </c>
      <c r="D208" s="22" t="s">
        <v>2051</v>
      </c>
      <c r="E208" s="22" t="s">
        <v>142</v>
      </c>
      <c r="F208" s="5">
        <v>15</v>
      </c>
    </row>
    <row r="209" spans="1:6" x14ac:dyDescent="0.25">
      <c r="A209" s="81" t="s">
        <v>2114</v>
      </c>
      <c r="B209" s="22" t="s">
        <v>3007</v>
      </c>
      <c r="C209" s="23" t="s">
        <v>2119</v>
      </c>
      <c r="D209" s="22" t="s">
        <v>2115</v>
      </c>
      <c r="E209" s="22" t="s">
        <v>2116</v>
      </c>
      <c r="F209" s="5">
        <v>15</v>
      </c>
    </row>
    <row r="210" spans="1:6" x14ac:dyDescent="0.25">
      <c r="A210" s="81" t="s">
        <v>2118</v>
      </c>
      <c r="B210" s="22" t="s">
        <v>3008</v>
      </c>
      <c r="C210" s="23" t="s">
        <v>2121</v>
      </c>
      <c r="D210" s="22" t="s">
        <v>2117</v>
      </c>
      <c r="E210" s="22" t="s">
        <v>2120</v>
      </c>
      <c r="F210" s="5">
        <v>15</v>
      </c>
    </row>
    <row r="211" spans="1:6" x14ac:dyDescent="0.25">
      <c r="A211" s="81" t="s">
        <v>2146</v>
      </c>
      <c r="B211" s="22" t="s">
        <v>3009</v>
      </c>
      <c r="C211" s="23"/>
      <c r="D211" s="22"/>
      <c r="E211" s="22"/>
      <c r="F211" s="5">
        <v>15</v>
      </c>
    </row>
    <row r="212" spans="1:6" x14ac:dyDescent="0.25">
      <c r="A212" s="81" t="s">
        <v>2155</v>
      </c>
      <c r="B212" s="22" t="s">
        <v>3010</v>
      </c>
      <c r="C212" s="23" t="s">
        <v>2156</v>
      </c>
      <c r="D212" s="22" t="s">
        <v>2158</v>
      </c>
      <c r="E212" s="22" t="s">
        <v>2157</v>
      </c>
      <c r="F212" s="5">
        <v>10</v>
      </c>
    </row>
    <row r="213" spans="1:6" x14ac:dyDescent="0.25">
      <c r="A213" s="81" t="s">
        <v>2162</v>
      </c>
      <c r="B213" s="22" t="s">
        <v>3011</v>
      </c>
      <c r="C213" s="23" t="s">
        <v>2163</v>
      </c>
      <c r="D213" s="22" t="s">
        <v>2165</v>
      </c>
      <c r="E213" s="22" t="s">
        <v>2164</v>
      </c>
      <c r="F213" s="5">
        <v>10</v>
      </c>
    </row>
    <row r="214" spans="1:6" x14ac:dyDescent="0.25">
      <c r="A214" s="81" t="s">
        <v>2167</v>
      </c>
      <c r="B214" s="22" t="s">
        <v>3012</v>
      </c>
      <c r="C214" s="23" t="s">
        <v>2176</v>
      </c>
      <c r="D214" s="22" t="s">
        <v>2199</v>
      </c>
      <c r="E214" s="22" t="s">
        <v>2200</v>
      </c>
      <c r="F214" s="5">
        <v>15</v>
      </c>
    </row>
    <row r="215" spans="1:6" x14ac:dyDescent="0.25">
      <c r="A215" s="81" t="s">
        <v>2195</v>
      </c>
      <c r="B215" s="22" t="s">
        <v>3013</v>
      </c>
      <c r="C215" s="23"/>
      <c r="D215" s="22" t="s">
        <v>2196</v>
      </c>
      <c r="E215" s="22" t="s">
        <v>2197</v>
      </c>
      <c r="F215" s="24">
        <v>15</v>
      </c>
    </row>
    <row r="216" spans="1:6" x14ac:dyDescent="0.25">
      <c r="A216" s="81" t="s">
        <v>2201</v>
      </c>
      <c r="B216" s="22" t="s">
        <v>3014</v>
      </c>
      <c r="C216" s="23" t="s">
        <v>2204</v>
      </c>
      <c r="D216" s="22" t="s">
        <v>2202</v>
      </c>
      <c r="E216" s="22" t="s">
        <v>2203</v>
      </c>
      <c r="F216" s="24">
        <v>15</v>
      </c>
    </row>
    <row r="217" spans="1:6" x14ac:dyDescent="0.25">
      <c r="A217" s="81" t="s">
        <v>2209</v>
      </c>
      <c r="B217" s="22" t="s">
        <v>3015</v>
      </c>
      <c r="C217" s="23" t="s">
        <v>2210</v>
      </c>
      <c r="D217" s="22" t="s">
        <v>2208</v>
      </c>
      <c r="E217" s="22" t="s">
        <v>2211</v>
      </c>
      <c r="F217" s="24">
        <v>15</v>
      </c>
    </row>
    <row r="218" spans="1:6" x14ac:dyDescent="0.25">
      <c r="A218" s="81" t="s">
        <v>2253</v>
      </c>
      <c r="B218" s="22" t="s">
        <v>3016</v>
      </c>
      <c r="C218" s="23" t="s">
        <v>2252</v>
      </c>
      <c r="D218" s="22" t="s">
        <v>2251</v>
      </c>
      <c r="E218" s="22" t="s">
        <v>93</v>
      </c>
      <c r="F218" s="24">
        <v>15</v>
      </c>
    </row>
    <row r="219" spans="1:6" x14ac:dyDescent="0.25">
      <c r="A219" s="81" t="s">
        <v>2258</v>
      </c>
      <c r="B219" s="22" t="s">
        <v>3017</v>
      </c>
      <c r="C219" s="23" t="s">
        <v>2261</v>
      </c>
      <c r="D219" s="22" t="s">
        <v>2256</v>
      </c>
      <c r="E219" s="22" t="s">
        <v>2257</v>
      </c>
      <c r="F219" s="24">
        <v>15</v>
      </c>
    </row>
    <row r="220" spans="1:6" x14ac:dyDescent="0.25">
      <c r="A220" s="81" t="s">
        <v>2262</v>
      </c>
      <c r="B220" s="22" t="s">
        <v>3018</v>
      </c>
      <c r="C220" s="23" t="s">
        <v>2264</v>
      </c>
      <c r="D220" s="22" t="s">
        <v>2263</v>
      </c>
      <c r="E220" s="22" t="s">
        <v>2265</v>
      </c>
      <c r="F220" s="24">
        <v>15</v>
      </c>
    </row>
    <row r="221" spans="1:6" x14ac:dyDescent="0.25">
      <c r="A221" s="81" t="s">
        <v>2276</v>
      </c>
      <c r="B221" s="22" t="s">
        <v>3019</v>
      </c>
      <c r="C221" s="23" t="s">
        <v>2277</v>
      </c>
      <c r="D221" s="22" t="s">
        <v>2278</v>
      </c>
      <c r="E221" s="22" t="s">
        <v>2279</v>
      </c>
      <c r="F221" s="24">
        <v>15</v>
      </c>
    </row>
    <row r="222" spans="1:6" x14ac:dyDescent="0.25">
      <c r="A222" s="81" t="s">
        <v>2299</v>
      </c>
      <c r="B222" s="22" t="s">
        <v>3020</v>
      </c>
      <c r="C222" s="23" t="s">
        <v>2308</v>
      </c>
      <c r="D222" s="22" t="s">
        <v>2300</v>
      </c>
      <c r="E222" s="22" t="s">
        <v>2301</v>
      </c>
      <c r="F222" s="24">
        <v>15</v>
      </c>
    </row>
    <row r="223" spans="1:6" x14ac:dyDescent="0.25">
      <c r="A223" s="81" t="s">
        <v>2303</v>
      </c>
      <c r="B223" s="22" t="s">
        <v>3021</v>
      </c>
      <c r="C223" s="23" t="s">
        <v>2304</v>
      </c>
      <c r="D223" s="22" t="s">
        <v>2307</v>
      </c>
      <c r="E223" s="22" t="s">
        <v>2306</v>
      </c>
      <c r="F223" s="24">
        <v>15</v>
      </c>
    </row>
    <row r="224" spans="1:6" x14ac:dyDescent="0.25">
      <c r="A224" s="81" t="s">
        <v>2312</v>
      </c>
      <c r="B224" s="22" t="s">
        <v>3022</v>
      </c>
      <c r="C224" s="23" t="s">
        <v>2313</v>
      </c>
      <c r="D224" s="22" t="s">
        <v>2333</v>
      </c>
      <c r="E224" s="22" t="s">
        <v>2334</v>
      </c>
      <c r="F224" s="24">
        <v>15</v>
      </c>
    </row>
    <row r="225" spans="1:6" x14ac:dyDescent="0.25">
      <c r="A225" s="81" t="s">
        <v>2325</v>
      </c>
      <c r="B225" s="22" t="s">
        <v>3023</v>
      </c>
      <c r="C225" s="23" t="s">
        <v>2324</v>
      </c>
      <c r="D225" s="22" t="s">
        <v>1521</v>
      </c>
      <c r="E225" s="22" t="s">
        <v>451</v>
      </c>
      <c r="F225" s="24">
        <v>15</v>
      </c>
    </row>
    <row r="226" spans="1:6" x14ac:dyDescent="0.25">
      <c r="A226" s="81" t="s">
        <v>2328</v>
      </c>
      <c r="B226" s="22" t="s">
        <v>3024</v>
      </c>
      <c r="C226" s="23" t="s">
        <v>2329</v>
      </c>
      <c r="D226" s="22" t="s">
        <v>2330</v>
      </c>
      <c r="E226" s="22" t="s">
        <v>234</v>
      </c>
      <c r="F226" s="24">
        <v>15</v>
      </c>
    </row>
    <row r="227" spans="1:6" x14ac:dyDescent="0.25">
      <c r="A227" s="81" t="s">
        <v>2341</v>
      </c>
      <c r="B227" s="22" t="s">
        <v>3025</v>
      </c>
      <c r="C227" s="23" t="s">
        <v>2340</v>
      </c>
      <c r="D227" s="22" t="s">
        <v>2347</v>
      </c>
      <c r="E227" s="22" t="s">
        <v>2343</v>
      </c>
      <c r="F227" s="24">
        <v>15</v>
      </c>
    </row>
    <row r="228" spans="1:6" x14ac:dyDescent="0.25">
      <c r="A228" s="81" t="s">
        <v>2375</v>
      </c>
      <c r="B228" s="22" t="s">
        <v>3026</v>
      </c>
      <c r="C228" s="23" t="s">
        <v>2376</v>
      </c>
      <c r="D228" s="22" t="s">
        <v>2307</v>
      </c>
      <c r="E228" s="22" t="s">
        <v>2381</v>
      </c>
      <c r="F228" s="24">
        <v>15</v>
      </c>
    </row>
    <row r="229" spans="1:6" x14ac:dyDescent="0.25">
      <c r="A229" s="81" t="s">
        <v>2377</v>
      </c>
      <c r="B229" s="22" t="s">
        <v>3027</v>
      </c>
      <c r="C229" s="23" t="s">
        <v>2380</v>
      </c>
      <c r="D229" s="22" t="s">
        <v>2378</v>
      </c>
      <c r="E229" s="22" t="s">
        <v>2379</v>
      </c>
      <c r="F229" s="24">
        <v>15</v>
      </c>
    </row>
    <row r="230" spans="1:6" x14ac:dyDescent="0.25">
      <c r="A230" s="81" t="s">
        <v>2393</v>
      </c>
      <c r="B230" s="22" t="s">
        <v>3028</v>
      </c>
      <c r="C230" s="23" t="s">
        <v>2394</v>
      </c>
      <c r="D230" s="22"/>
      <c r="E230" s="22"/>
      <c r="F230" s="24">
        <v>15</v>
      </c>
    </row>
    <row r="231" spans="1:6" x14ac:dyDescent="0.25">
      <c r="A231" s="81" t="s">
        <v>2402</v>
      </c>
      <c r="B231" s="22" t="s">
        <v>3029</v>
      </c>
      <c r="C231" s="23" t="s">
        <v>2403</v>
      </c>
      <c r="D231" s="22" t="s">
        <v>2404</v>
      </c>
      <c r="E231" s="22" t="s">
        <v>2405</v>
      </c>
      <c r="F231" s="24">
        <v>15</v>
      </c>
    </row>
    <row r="232" spans="1:6" x14ac:dyDescent="0.25">
      <c r="A232" s="81" t="s">
        <v>2428</v>
      </c>
      <c r="B232" s="22" t="s">
        <v>3030</v>
      </c>
      <c r="C232" s="23" t="s">
        <v>2429</v>
      </c>
      <c r="D232" s="22" t="s">
        <v>2430</v>
      </c>
      <c r="E232" s="22" t="s">
        <v>2431</v>
      </c>
      <c r="F232" s="24">
        <v>15</v>
      </c>
    </row>
    <row r="233" spans="1:6" x14ac:dyDescent="0.25">
      <c r="A233" s="81" t="s">
        <v>2433</v>
      </c>
      <c r="B233" s="22" t="s">
        <v>3031</v>
      </c>
      <c r="C233" s="23" t="s">
        <v>2432</v>
      </c>
      <c r="D233" s="22" t="s">
        <v>450</v>
      </c>
      <c r="E233" s="3" t="s">
        <v>451</v>
      </c>
      <c r="F233" s="24">
        <v>15</v>
      </c>
    </row>
    <row r="234" spans="1:6" x14ac:dyDescent="0.25">
      <c r="A234" s="81" t="s">
        <v>2437</v>
      </c>
      <c r="B234" s="22" t="s">
        <v>3032</v>
      </c>
      <c r="C234" s="23" t="s">
        <v>1582</v>
      </c>
      <c r="D234" s="22" t="s">
        <v>2438</v>
      </c>
      <c r="E234" s="22" t="s">
        <v>2439</v>
      </c>
      <c r="F234" s="24">
        <v>15</v>
      </c>
    </row>
    <row r="235" spans="1:6" x14ac:dyDescent="0.25">
      <c r="A235" s="81" t="s">
        <v>2447</v>
      </c>
      <c r="B235" s="22" t="s">
        <v>3033</v>
      </c>
      <c r="C235" s="23" t="s">
        <v>491</v>
      </c>
      <c r="D235" s="23" t="s">
        <v>491</v>
      </c>
      <c r="E235" s="23" t="s">
        <v>491</v>
      </c>
      <c r="F235" s="24">
        <v>15</v>
      </c>
    </row>
    <row r="236" spans="1:6" x14ac:dyDescent="0.25">
      <c r="A236" s="81" t="s">
        <v>2448</v>
      </c>
      <c r="B236" s="22" t="s">
        <v>3034</v>
      </c>
      <c r="C236" s="23" t="s">
        <v>2449</v>
      </c>
      <c r="D236" s="22" t="s">
        <v>2450</v>
      </c>
      <c r="E236" s="22" t="s">
        <v>1841</v>
      </c>
      <c r="F236" s="24">
        <v>15</v>
      </c>
    </row>
    <row r="237" spans="1:6" x14ac:dyDescent="0.25">
      <c r="A237" s="81" t="s">
        <v>2470</v>
      </c>
      <c r="B237" s="22" t="s">
        <v>3035</v>
      </c>
      <c r="C237" s="23" t="s">
        <v>2472</v>
      </c>
      <c r="D237" s="22" t="s">
        <v>2309</v>
      </c>
      <c r="E237" s="22" t="s">
        <v>2471</v>
      </c>
      <c r="F237" s="24">
        <v>15</v>
      </c>
    </row>
    <row r="238" spans="1:6" x14ac:dyDescent="0.25">
      <c r="A238" s="81" t="s">
        <v>2480</v>
      </c>
      <c r="B238" s="22" t="s">
        <v>3036</v>
      </c>
      <c r="C238" s="23" t="s">
        <v>2482</v>
      </c>
      <c r="D238" s="22" t="s">
        <v>2481</v>
      </c>
      <c r="E238" s="22" t="s">
        <v>2488</v>
      </c>
      <c r="F238" s="24">
        <v>15</v>
      </c>
    </row>
    <row r="239" spans="1:6" x14ac:dyDescent="0.25">
      <c r="A239" s="81" t="s">
        <v>2479</v>
      </c>
      <c r="B239" s="22" t="s">
        <v>3037</v>
      </c>
      <c r="C239" s="23" t="s">
        <v>2486</v>
      </c>
      <c r="D239" s="22" t="s">
        <v>502</v>
      </c>
      <c r="E239" s="22" t="s">
        <v>2487</v>
      </c>
      <c r="F239" s="24">
        <v>15</v>
      </c>
    </row>
    <row r="240" spans="1:6" x14ac:dyDescent="0.25">
      <c r="A240" s="81" t="s">
        <v>2505</v>
      </c>
      <c r="B240" s="22" t="s">
        <v>3038</v>
      </c>
      <c r="C240" s="23" t="s">
        <v>2506</v>
      </c>
      <c r="D240" s="22" t="s">
        <v>2509</v>
      </c>
      <c r="E240" s="22" t="s">
        <v>2510</v>
      </c>
      <c r="F240" s="24">
        <v>15</v>
      </c>
    </row>
    <row r="241" spans="1:6" x14ac:dyDescent="0.25">
      <c r="A241" s="81" t="s">
        <v>2513</v>
      </c>
      <c r="B241" s="22" t="s">
        <v>3039</v>
      </c>
      <c r="C241" s="23" t="s">
        <v>1965</v>
      </c>
      <c r="D241" s="22" t="s">
        <v>2511</v>
      </c>
      <c r="E241" s="22" t="s">
        <v>2512</v>
      </c>
      <c r="F241" s="24">
        <v>15</v>
      </c>
    </row>
    <row r="242" spans="1:6" x14ac:dyDescent="0.25">
      <c r="A242" s="81" t="s">
        <v>2517</v>
      </c>
      <c r="B242" s="22" t="s">
        <v>3040</v>
      </c>
      <c r="C242" s="23" t="s">
        <v>2518</v>
      </c>
      <c r="D242" s="22" t="s">
        <v>2519</v>
      </c>
      <c r="E242" s="22" t="s">
        <v>2520</v>
      </c>
      <c r="F242" s="24">
        <v>15</v>
      </c>
    </row>
    <row r="243" spans="1:6" x14ac:dyDescent="0.25">
      <c r="A243" s="81" t="s">
        <v>2578</v>
      </c>
      <c r="B243" s="22" t="s">
        <v>3041</v>
      </c>
      <c r="C243" s="23" t="s">
        <v>2540</v>
      </c>
      <c r="D243" s="22" t="s">
        <v>2541</v>
      </c>
      <c r="E243" s="22" t="s">
        <v>2574</v>
      </c>
      <c r="F243" s="24">
        <v>15</v>
      </c>
    </row>
    <row r="244" spans="1:6" x14ac:dyDescent="0.25">
      <c r="A244" s="81" t="s">
        <v>2566</v>
      </c>
      <c r="B244" s="22" t="s">
        <v>3042</v>
      </c>
      <c r="C244" s="23" t="s">
        <v>2567</v>
      </c>
      <c r="D244" s="22" t="s">
        <v>2569</v>
      </c>
      <c r="E244" s="22" t="s">
        <v>2568</v>
      </c>
      <c r="F244" s="24">
        <v>15</v>
      </c>
    </row>
    <row r="245" spans="1:6" x14ac:dyDescent="0.25">
      <c r="A245" s="81" t="s">
        <v>2571</v>
      </c>
      <c r="B245" s="22" t="s">
        <v>3043</v>
      </c>
      <c r="C245" s="23" t="s">
        <v>2570</v>
      </c>
      <c r="D245" s="22" t="s">
        <v>2572</v>
      </c>
      <c r="E245" s="22" t="s">
        <v>2573</v>
      </c>
      <c r="F245" s="24">
        <v>15</v>
      </c>
    </row>
    <row r="246" spans="1:6" x14ac:dyDescent="0.25">
      <c r="A246" s="81" t="s">
        <v>2584</v>
      </c>
      <c r="B246" s="22" t="s">
        <v>3044</v>
      </c>
      <c r="C246" s="23" t="s">
        <v>2585</v>
      </c>
      <c r="D246" s="22"/>
      <c r="E246" s="22"/>
      <c r="F246" s="24">
        <v>15</v>
      </c>
    </row>
    <row r="247" spans="1:6" x14ac:dyDescent="0.25">
      <c r="A247" s="81" t="s">
        <v>2591</v>
      </c>
      <c r="B247" s="22" t="s">
        <v>3045</v>
      </c>
      <c r="C247" s="23" t="s">
        <v>2592</v>
      </c>
      <c r="D247" s="22"/>
      <c r="E247" s="22"/>
      <c r="F247" s="24">
        <v>15</v>
      </c>
    </row>
    <row r="248" spans="1:6" x14ac:dyDescent="0.25">
      <c r="A248" s="81" t="s">
        <v>2688</v>
      </c>
      <c r="B248" s="22" t="s">
        <v>3046</v>
      </c>
      <c r="C248" s="23" t="s">
        <v>2687</v>
      </c>
      <c r="D248" s="22" t="s">
        <v>2689</v>
      </c>
      <c r="E248" s="22" t="s">
        <v>2684</v>
      </c>
      <c r="F248" s="24">
        <v>15</v>
      </c>
    </row>
    <row r="249" spans="1:6" x14ac:dyDescent="0.25">
      <c r="A249" s="81" t="s">
        <v>2699</v>
      </c>
      <c r="B249" s="22" t="s">
        <v>3047</v>
      </c>
      <c r="C249" s="23" t="s">
        <v>2700</v>
      </c>
      <c r="D249" s="22" t="s">
        <v>2701</v>
      </c>
      <c r="E249" s="22" t="s">
        <v>1522</v>
      </c>
      <c r="F249" s="24">
        <v>15</v>
      </c>
    </row>
    <row r="250" spans="1:6" x14ac:dyDescent="0.25">
      <c r="A250" s="81" t="s">
        <v>2717</v>
      </c>
      <c r="B250" s="22" t="s">
        <v>3048</v>
      </c>
      <c r="C250" s="23" t="s">
        <v>2732</v>
      </c>
      <c r="D250" s="22" t="s">
        <v>2718</v>
      </c>
      <c r="E250" s="22" t="s">
        <v>1322</v>
      </c>
      <c r="F250" s="24">
        <v>15</v>
      </c>
    </row>
    <row r="251" spans="1:6" x14ac:dyDescent="0.25">
      <c r="A251" s="81" t="s">
        <v>2741</v>
      </c>
      <c r="B251" s="22" t="s">
        <v>3049</v>
      </c>
      <c r="C251" s="23" t="s">
        <v>2740</v>
      </c>
      <c r="D251" s="22" t="s">
        <v>2739</v>
      </c>
      <c r="E251" s="22" t="s">
        <v>2782</v>
      </c>
      <c r="F251" s="24">
        <v>15</v>
      </c>
    </row>
    <row r="252" spans="1:6" x14ac:dyDescent="0.25">
      <c r="A252" s="81" t="s">
        <v>2745</v>
      </c>
      <c r="B252" s="22" t="s">
        <v>3050</v>
      </c>
      <c r="C252" s="23" t="s">
        <v>2744</v>
      </c>
      <c r="D252" s="22" t="s">
        <v>2746</v>
      </c>
      <c r="E252" s="22"/>
      <c r="F252" s="24">
        <v>15</v>
      </c>
    </row>
    <row r="253" spans="1:6" x14ac:dyDescent="0.25">
      <c r="A253" s="81" t="s">
        <v>2747</v>
      </c>
      <c r="B253" s="22" t="s">
        <v>3051</v>
      </c>
      <c r="C253" s="23" t="s">
        <v>2749</v>
      </c>
      <c r="D253" s="22" t="s">
        <v>2748</v>
      </c>
      <c r="E253" s="22" t="s">
        <v>2750</v>
      </c>
      <c r="F253" s="24">
        <v>15</v>
      </c>
    </row>
    <row r="254" spans="1:6" x14ac:dyDescent="0.25">
      <c r="A254" s="81" t="s">
        <v>2751</v>
      </c>
      <c r="B254" s="22" t="s">
        <v>3052</v>
      </c>
      <c r="C254" s="23" t="s">
        <v>3094</v>
      </c>
      <c r="D254" s="22" t="s">
        <v>2752</v>
      </c>
      <c r="E254" s="22" t="s">
        <v>2753</v>
      </c>
      <c r="F254" s="24">
        <v>15</v>
      </c>
    </row>
    <row r="255" spans="1:6" x14ac:dyDescent="0.25">
      <c r="A255" s="81" t="s">
        <v>2754</v>
      </c>
      <c r="B255" s="22" t="s">
        <v>3053</v>
      </c>
      <c r="C255" s="23" t="s">
        <v>2755</v>
      </c>
      <c r="D255" s="22" t="s">
        <v>2756</v>
      </c>
      <c r="E255" s="22" t="s">
        <v>2757</v>
      </c>
      <c r="F255" s="24">
        <v>15</v>
      </c>
    </row>
    <row r="256" spans="1:6" x14ac:dyDescent="0.25">
      <c r="A256" s="81" t="s">
        <v>2759</v>
      </c>
      <c r="B256" s="22" t="s">
        <v>3054</v>
      </c>
      <c r="C256" s="23" t="s">
        <v>2758</v>
      </c>
      <c r="D256" s="22" t="s">
        <v>1674</v>
      </c>
      <c r="E256" s="22" t="s">
        <v>1448</v>
      </c>
      <c r="F256" s="24">
        <v>15</v>
      </c>
    </row>
    <row r="257" spans="1:6" x14ac:dyDescent="0.25">
      <c r="A257" s="81" t="s">
        <v>2762</v>
      </c>
      <c r="B257" s="22" t="s">
        <v>3055</v>
      </c>
      <c r="C257" s="23" t="s">
        <v>2760</v>
      </c>
      <c r="D257" s="22" t="s">
        <v>2761</v>
      </c>
      <c r="E257" s="22" t="s">
        <v>2763</v>
      </c>
      <c r="F257" s="24">
        <v>15</v>
      </c>
    </row>
    <row r="258" spans="1:6" x14ac:dyDescent="0.25">
      <c r="A258" s="81" t="s">
        <v>2773</v>
      </c>
      <c r="B258" s="22" t="s">
        <v>3056</v>
      </c>
      <c r="C258" s="23" t="s">
        <v>2774</v>
      </c>
      <c r="D258" s="22" t="s">
        <v>2775</v>
      </c>
      <c r="E258" s="22" t="s">
        <v>2776</v>
      </c>
      <c r="F258" s="24">
        <v>15</v>
      </c>
    </row>
    <row r="259" spans="1:6" x14ac:dyDescent="0.25">
      <c r="A259" s="81" t="s">
        <v>3069</v>
      </c>
      <c r="B259" s="22"/>
      <c r="C259" s="23" t="s">
        <v>3070</v>
      </c>
      <c r="D259" s="22" t="s">
        <v>3071</v>
      </c>
      <c r="E259" s="22" t="s">
        <v>3072</v>
      </c>
      <c r="F259" s="24">
        <v>15</v>
      </c>
    </row>
    <row r="260" spans="1:6" x14ac:dyDescent="0.25">
      <c r="A260" s="81" t="s">
        <v>3081</v>
      </c>
      <c r="B260" s="104"/>
      <c r="C260" s="23" t="s">
        <v>3080</v>
      </c>
      <c r="D260" s="22" t="s">
        <v>3082</v>
      </c>
      <c r="E260" s="22" t="s">
        <v>3083</v>
      </c>
      <c r="F260" s="24">
        <v>15</v>
      </c>
    </row>
    <row r="261" spans="1:6" x14ac:dyDescent="0.25">
      <c r="A261" s="81" t="s">
        <v>3085</v>
      </c>
      <c r="B261" s="104"/>
      <c r="C261" s="23" t="s">
        <v>3084</v>
      </c>
      <c r="D261" s="22" t="s">
        <v>3087</v>
      </c>
      <c r="E261" s="22" t="s">
        <v>3086</v>
      </c>
      <c r="F261" s="24"/>
    </row>
    <row r="262" spans="1:6" x14ac:dyDescent="0.25">
      <c r="A262" s="81"/>
      <c r="B262" s="104"/>
      <c r="C262" s="23"/>
      <c r="D262" s="22"/>
      <c r="E262" s="22"/>
      <c r="F262" s="24"/>
    </row>
    <row r="263" spans="1:6" x14ac:dyDescent="0.25">
      <c r="A263" s="81"/>
      <c r="B263" s="104"/>
      <c r="C263" s="23"/>
      <c r="D263" s="22"/>
      <c r="E263" s="22"/>
      <c r="F263" s="24"/>
    </row>
    <row r="264" spans="1:6" x14ac:dyDescent="0.25">
      <c r="A264" s="81"/>
      <c r="B264" s="104"/>
      <c r="C264" s="23"/>
      <c r="D264" s="22"/>
      <c r="E264" s="22"/>
      <c r="F264" s="24"/>
    </row>
    <row r="265" spans="1:6" x14ac:dyDescent="0.25">
      <c r="A265" s="81"/>
      <c r="B265" s="104"/>
      <c r="C265" s="23"/>
      <c r="D265" s="22"/>
      <c r="E265" s="22"/>
      <c r="F265" s="24"/>
    </row>
    <row r="266" spans="1:6" x14ac:dyDescent="0.25">
      <c r="A266" s="81"/>
      <c r="B266" s="104"/>
      <c r="C266" s="23"/>
      <c r="D266" s="22"/>
      <c r="E266" s="22"/>
      <c r="F266" s="24"/>
    </row>
    <row r="267" spans="1:6" x14ac:dyDescent="0.25">
      <c r="A267" s="81"/>
      <c r="B267" s="104"/>
      <c r="C267" s="23"/>
      <c r="D267" s="22"/>
      <c r="E267" s="22"/>
      <c r="F267" s="24"/>
    </row>
    <row r="268" spans="1:6" x14ac:dyDescent="0.25">
      <c r="A268" s="81"/>
      <c r="B268" s="104"/>
      <c r="C268" s="23"/>
      <c r="D268" s="22"/>
      <c r="E268" s="22"/>
      <c r="F268" s="24"/>
    </row>
    <row r="269" spans="1:6" x14ac:dyDescent="0.25">
      <c r="A269" s="81"/>
      <c r="B269" s="104"/>
      <c r="C269" s="23"/>
      <c r="D269" s="22"/>
      <c r="E269" s="22"/>
      <c r="F269" s="24"/>
    </row>
    <row r="270" spans="1:6" x14ac:dyDescent="0.25">
      <c r="A270" s="81"/>
      <c r="B270" s="104"/>
      <c r="C270" s="23"/>
      <c r="D270" s="22"/>
      <c r="E270" s="22"/>
      <c r="F270" s="24"/>
    </row>
    <row r="271" spans="1:6" x14ac:dyDescent="0.25">
      <c r="A271" s="81"/>
      <c r="B271" s="104"/>
      <c r="C271" s="23"/>
      <c r="D271" s="22"/>
      <c r="E271" s="22"/>
      <c r="F271" s="24"/>
    </row>
  </sheetData>
  <conditionalFormatting sqref="A2:B271">
    <cfRule type="expression" dxfId="17" priority="4">
      <formula>COUNTIF($A:$A,A2)&gt;1</formula>
    </cfRule>
  </conditionalFormatting>
  <conditionalFormatting sqref="C2:C271 D235:E235">
    <cfRule type="expression" dxfId="16" priority="3">
      <formula>AND(C2&lt;&gt;"",COUNTIF($B:$B,C2)&gt;1)</formula>
    </cfRule>
  </conditionalFormatting>
  <hyperlinks>
    <hyperlink ref="A5" r:id="rId1" xr:uid="{9EF145C3-3EC2-4A0F-A563-C3306DEFCF96}"/>
    <hyperlink ref="A6" r:id="rId2" display="маричка" xr:uid="{03E8CFBD-270D-4C5D-B40C-1FE59DE46F8E}"/>
    <hyperlink ref="C132" r:id="rId3" xr:uid="{9C0A6348-3E79-4242-92EA-06DD108068D0}"/>
  </hyperlinks>
  <pageMargins left="0.7" right="0.7" top="0.75" bottom="0.75" header="0.3" footer="0.3"/>
  <pageSetup paperSize="9"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C869-7238-4CBD-AF9C-2A49F849585B}">
  <sheetPr codeName="Лист2"/>
  <dimension ref="A1:O608"/>
  <sheetViews>
    <sheetView zoomScale="85" zoomScaleNormal="85" workbookViewId="0">
      <pane ySplit="1" topLeftCell="A405" activePane="bottomLeft" state="frozen"/>
      <selection activeCell="C1" sqref="C1"/>
      <selection pane="bottomLeft" activeCell="C436" sqref="C436"/>
    </sheetView>
  </sheetViews>
  <sheetFormatPr defaultRowHeight="15" x14ac:dyDescent="0.25"/>
  <cols>
    <col min="1" max="1" width="10.140625" bestFit="1" customWidth="1"/>
    <col min="2" max="2" width="12.5703125" style="106" bestFit="1" customWidth="1"/>
    <col min="3" max="4" width="17.42578125" customWidth="1"/>
    <col min="6" max="6" width="9.140625" customWidth="1"/>
    <col min="7" max="7" width="7.85546875" customWidth="1"/>
    <col min="8" max="8" width="9.7109375" bestFit="1" customWidth="1"/>
    <col min="10" max="10" width="10.28515625" bestFit="1" customWidth="1"/>
  </cols>
  <sheetData>
    <row r="1" spans="1:9" x14ac:dyDescent="0.25">
      <c r="A1" s="9" t="s">
        <v>512</v>
      </c>
      <c r="B1" s="105" t="s">
        <v>513</v>
      </c>
      <c r="C1" s="9" t="s">
        <v>514</v>
      </c>
      <c r="D1" s="9" t="s">
        <v>3057</v>
      </c>
      <c r="E1" t="s">
        <v>2797</v>
      </c>
      <c r="F1" s="18" t="s">
        <v>515</v>
      </c>
      <c r="G1" s="18" t="s">
        <v>516</v>
      </c>
      <c r="H1" s="18" t="s">
        <v>517</v>
      </c>
      <c r="I1" s="18" t="s">
        <v>518</v>
      </c>
    </row>
    <row r="2" spans="1:9" x14ac:dyDescent="0.25">
      <c r="A2">
        <v>1</v>
      </c>
      <c r="B2" s="1">
        <v>45361</v>
      </c>
      <c r="C2" t="s">
        <v>11</v>
      </c>
      <c r="D2" t="str">
        <f>VLOOKUP(ТабЗаказы[[#This Row],[client]],ТабКлиенты[[name]:[_id]],2,0)</f>
        <v>67f56eca575fff8fe23c7a0e</v>
      </c>
      <c r="E2">
        <f>IFERROR(IF(ТабЗаказы[[#This Row],[orderSumm]]&gt;10000,10,VLOOKUP(ТабЗаказы[[#This Row],[client]],ТабКлиенты[[name]:[percent]],MATCH(E$1,ТабКлиенты[#Headers],0),0)),"")</f>
        <v>15</v>
      </c>
      <c r="F2" s="18">
        <f>IFERROR(SUMIF(ТабПозиции[orderNum],ТабЗаказы[[#This Row],[orderNum]],ТабПозиции[orderSumm]),"")</f>
        <v>3197</v>
      </c>
      <c r="G2" s="18">
        <f>SUMIF(ТабПозиции[orderNum],ТабЗаказы[[#This Row],[orderNum]],ТабПозиции[deliverySumm])</f>
        <v>479</v>
      </c>
      <c r="H2" s="18">
        <f>SUMIF(ТабПозиции[orderNum],ТабЗаказы[[#This Row],[orderNum]],ТабПозиции[totalSumm])</f>
        <v>3676</v>
      </c>
      <c r="I2" s="18" t="str">
        <f>IFERROR(VLOOKUP(ТабЗаказы[[#This Row],[orderNum]],ТабПозиции[#Data],22,0),"")</f>
        <v>true</v>
      </c>
    </row>
    <row r="3" spans="1:9" x14ac:dyDescent="0.25">
      <c r="A3">
        <f t="shared" ref="A3:A50" si="0">A2+1</f>
        <v>2</v>
      </c>
      <c r="B3" s="1">
        <v>45361</v>
      </c>
      <c r="C3" t="s">
        <v>204</v>
      </c>
      <c r="D3" t="str">
        <f>VLOOKUP(ТабЗаказы[[#This Row],[client]],ТабКлиенты[[name]:[_id]],2,0)</f>
        <v>67f56eca575fff8fe23c7a50</v>
      </c>
      <c r="E3">
        <f>IFERROR(IF(ТабЗаказы[[#This Row],[orderSumm]]&gt;10000,10,VLOOKUP(ТабЗаказы[[#This Row],[client]],ТабКлиенты[[name]:[percent]],MATCH(E$1,ТабКлиенты[#Headers],0),0)),"")</f>
        <v>10</v>
      </c>
      <c r="F3" s="18">
        <f>IFERROR(SUMIF(ТабПозиции[orderNum],ТабЗаказы[[#This Row],[orderNum]],ТабПозиции[orderSumm]),"")</f>
        <v>2534</v>
      </c>
      <c r="G3" s="18">
        <f>SUMIF(ТабПозиции[orderNum],ТабЗаказы[[#This Row],[orderNum]],ТабПозиции[deliverySumm])</f>
        <v>254</v>
      </c>
      <c r="H3" s="18">
        <f>SUMIF(ТабПозиции[orderNum],ТабЗаказы[[#This Row],[orderNum]],ТабПозиции[totalSumm])</f>
        <v>2788</v>
      </c>
      <c r="I3" s="18" t="str">
        <f>IFERROR(VLOOKUP(ТабЗаказы[[#This Row],[orderNum]],ТабПозиции[#Data],22,0),"")</f>
        <v>true</v>
      </c>
    </row>
    <row r="4" spans="1:9" x14ac:dyDescent="0.25">
      <c r="A4">
        <f t="shared" si="0"/>
        <v>3</v>
      </c>
      <c r="B4" s="1">
        <v>45361</v>
      </c>
      <c r="C4" t="s">
        <v>519</v>
      </c>
      <c r="D4" t="str">
        <f>VLOOKUP(ТабЗаказы[[#This Row],[client]],ТабКлиенты[[name]:[_id]],2,0)</f>
        <v>67f56eca575fff8fe23c7a0f</v>
      </c>
      <c r="E4">
        <f>IFERROR(IF(ТабЗаказы[[#This Row],[orderSumm]]&gt;10000,10,VLOOKUP(ТабЗаказы[[#This Row],[client]],ТабКлиенты[[name]:[percent]],MATCH(E$1,ТабКлиенты[#Headers],0),0)),"")</f>
        <v>15</v>
      </c>
      <c r="F4" s="18">
        <f>IFERROR(SUMIF(ТабПозиции[orderNum],ТабЗаказы[[#This Row],[orderNum]],ТабПозиции[orderSumm]),"")</f>
        <v>4512</v>
      </c>
      <c r="G4" s="18">
        <f>SUMIF(ТабПозиции[orderNum],ТабЗаказы[[#This Row],[orderNum]],ТабПозиции[deliverySumm])</f>
        <v>676</v>
      </c>
      <c r="H4" s="18">
        <f>SUMIF(ТабПозиции[orderNum],ТабЗаказы[[#This Row],[orderNum]],ТабПозиции[totalSumm])</f>
        <v>5188</v>
      </c>
      <c r="I4" s="18" t="str">
        <f>IFERROR(VLOOKUP(ТабЗаказы[[#This Row],[orderNum]],ТабПозиции[#Data],22,0),"")</f>
        <v>true</v>
      </c>
    </row>
    <row r="5" spans="1:9" x14ac:dyDescent="0.25">
      <c r="A5">
        <f t="shared" si="0"/>
        <v>4</v>
      </c>
      <c r="B5" s="1">
        <v>45361</v>
      </c>
      <c r="C5" t="s">
        <v>112</v>
      </c>
      <c r="D5" t="str">
        <f>VLOOKUP(ТабЗаказы[[#This Row],[client]],ТабКлиенты[[name]:[_id]],2,0)</f>
        <v>67f56eca575fff8fe23c7a2f</v>
      </c>
      <c r="E5">
        <f>IFERROR(IF(ТабЗаказы[[#This Row],[orderSumm]]&gt;10000,10,VLOOKUP(ТабЗаказы[[#This Row],[client]],ТабКлиенты[[name]:[percent]],MATCH(E$1,ТабКлиенты[#Headers],0),0)),"")</f>
        <v>15</v>
      </c>
      <c r="F5" s="18">
        <f>IFERROR(SUMIF(ТабПозиции[orderNum],ТабЗаказы[[#This Row],[orderNum]],ТабПозиции[orderSumm]),"")</f>
        <v>3251</v>
      </c>
      <c r="G5" s="18">
        <f>SUMIF(ТабПозиции[orderNum],ТабЗаказы[[#This Row],[orderNum]],ТабПозиции[deliverySumm])</f>
        <v>487</v>
      </c>
      <c r="H5" s="18">
        <f>SUMIF(ТабПозиции[orderNum],ТабЗаказы[[#This Row],[orderNum]],ТабПозиции[totalSumm])</f>
        <v>3738</v>
      </c>
      <c r="I5" s="18" t="str">
        <f>IFERROR(VLOOKUP(ТабЗаказы[[#This Row],[orderNum]],ТабПозиции[#Data],22,0),"")</f>
        <v>true</v>
      </c>
    </row>
    <row r="6" spans="1:9" x14ac:dyDescent="0.25">
      <c r="A6">
        <f t="shared" si="0"/>
        <v>5</v>
      </c>
      <c r="B6" s="1">
        <v>45365</v>
      </c>
      <c r="C6" t="s">
        <v>7</v>
      </c>
      <c r="D6" t="str">
        <f>VLOOKUP(ТабЗаказы[[#This Row],[client]],ТабКлиенты[[name]:[_id]],2,0)</f>
        <v>67f56eca575fff8fe23c7a0d</v>
      </c>
      <c r="E6">
        <f>IFERROR(IF(ТабЗаказы[[#This Row],[orderSumm]]&gt;10000,10,VLOOKUP(ТабЗаказы[[#This Row],[client]],ТабКлиенты[[name]:[percent]],MATCH(E$1,ТабКлиенты[#Headers],0),0)),"")</f>
        <v>15</v>
      </c>
      <c r="F6" s="18">
        <f>IFERROR(SUMIF(ТабПозиции[orderNum],ТабЗаказы[[#This Row],[orderNum]],ТабПозиции[orderSumm]),"")</f>
        <v>1190</v>
      </c>
      <c r="G6" s="18">
        <f>SUMIF(ТабПозиции[orderNum],ТабЗаказы[[#This Row],[orderNum]],ТабПозиции[deliverySumm])</f>
        <v>200</v>
      </c>
      <c r="H6" s="18">
        <f>SUMIF(ТабПозиции[orderNum],ТабЗаказы[[#This Row],[orderNum]],ТабПозиции[totalSumm])</f>
        <v>1390</v>
      </c>
      <c r="I6" s="18" t="str">
        <f>IFERROR(VLOOKUP(ТабЗаказы[[#This Row],[orderNum]],ТабПозиции[#Data],22,0),"")</f>
        <v>true</v>
      </c>
    </row>
    <row r="7" spans="1:9" x14ac:dyDescent="0.25">
      <c r="A7">
        <f t="shared" si="0"/>
        <v>6</v>
      </c>
      <c r="B7" s="1">
        <v>45365</v>
      </c>
      <c r="C7" t="s">
        <v>58</v>
      </c>
      <c r="D7" t="str">
        <f>VLOOKUP(ТабЗаказы[[#This Row],[client]],ТабКлиенты[[name]:[_id]],2,0)</f>
        <v>67f56eca575fff8fe23c7a1d</v>
      </c>
      <c r="E7">
        <f>IFERROR(IF(ТабЗаказы[[#This Row],[orderSumm]]&gt;10000,10,VLOOKUP(ТабЗаказы[[#This Row],[client]],ТабКлиенты[[name]:[percent]],MATCH(E$1,ТабКлиенты[#Headers],0),0)),"")</f>
        <v>15</v>
      </c>
      <c r="F7" s="18">
        <f>IFERROR(SUMIF(ТабПозиции[orderNum],ТабЗаказы[[#This Row],[orderNum]],ТабПозиции[orderSumm]),"")</f>
        <v>2135</v>
      </c>
      <c r="G7" s="18">
        <f>SUMIF(ТабПозиции[orderNum],ТабЗаказы[[#This Row],[orderNum]],ТабПозиции[deliverySumm])</f>
        <v>320</v>
      </c>
      <c r="H7" s="18">
        <f>SUMIF(ТабПозиции[orderNum],ТабЗаказы[[#This Row],[orderNum]],ТабПозиции[totalSumm])</f>
        <v>2455</v>
      </c>
      <c r="I7" s="18" t="str">
        <f>IFERROR(VLOOKUP(ТабЗаказы[[#This Row],[orderNum]],ТабПозиции[#Data],22,0),"")</f>
        <v>true</v>
      </c>
    </row>
    <row r="8" spans="1:9" x14ac:dyDescent="0.25">
      <c r="A8">
        <f t="shared" si="0"/>
        <v>7</v>
      </c>
      <c r="B8" s="1">
        <v>45367</v>
      </c>
      <c r="C8" t="s">
        <v>208</v>
      </c>
      <c r="D8" t="str">
        <f>VLOOKUP(ТабЗаказы[[#This Row],[client]],ТабКлиенты[[name]:[_id]],2,0)</f>
        <v>67f56eca575fff8fe23c7a51</v>
      </c>
      <c r="E8">
        <f>IFERROR(IF(ТабЗаказы[[#This Row],[orderSumm]]&gt;10000,10,VLOOKUP(ТабЗаказы[[#This Row],[client]],ТабКлиенты[[name]:[percent]],MATCH(E$1,ТабКлиенты[#Headers],0),0)),"")</f>
        <v>15</v>
      </c>
      <c r="F8" s="18">
        <f>IFERROR(SUMIF(ТабПозиции[orderNum],ТабЗаказы[[#This Row],[orderNum]],ТабПозиции[orderSumm]),"")</f>
        <v>3549</v>
      </c>
      <c r="G8" s="18">
        <f>SUMIF(ТабПозиции[orderNum],ТабЗаказы[[#This Row],[orderNum]],ТабПозиции[deliverySumm])</f>
        <v>532</v>
      </c>
      <c r="H8" s="18">
        <f>SUMIF(ТабПозиции[orderNum],ТабЗаказы[[#This Row],[orderNum]],ТабПозиции[totalSumm])</f>
        <v>4081</v>
      </c>
      <c r="I8" s="18" t="str">
        <f>IFERROR(VLOOKUP(ТабЗаказы[[#This Row],[orderNum]],ТабПозиции[#Data],22,0),"")</f>
        <v>true</v>
      </c>
    </row>
    <row r="9" spans="1:9" x14ac:dyDescent="0.25">
      <c r="A9">
        <f t="shared" si="0"/>
        <v>8</v>
      </c>
      <c r="B9" s="1">
        <v>45367</v>
      </c>
      <c r="C9" t="s">
        <v>46</v>
      </c>
      <c r="D9" t="str">
        <f>VLOOKUP(ТабЗаказы[[#This Row],[client]],ТабКлиенты[[name]:[_id]],2,0)</f>
        <v>67f56eca575fff8fe23c7a19</v>
      </c>
      <c r="E9">
        <f>IFERROR(IF(ТабЗаказы[[#This Row],[orderSumm]]&gt;10000,10,VLOOKUP(ТабЗаказы[[#This Row],[client]],ТабКлиенты[[name]:[percent]],MATCH(E$1,ТабКлиенты[#Headers],0),0)),"")</f>
        <v>15</v>
      </c>
      <c r="F9" s="18">
        <f>IFERROR(SUMIF(ТабПозиции[orderNum],ТабЗаказы[[#This Row],[orderNum]],ТабПозиции[orderSumm]),"")</f>
        <v>2100</v>
      </c>
      <c r="G9" s="18">
        <f>SUMIF(ТабПозиции[orderNum],ТабЗаказы[[#This Row],[orderNum]],ТабПозиции[deliverySumm])</f>
        <v>315</v>
      </c>
      <c r="H9" s="18">
        <f>SUMIF(ТабПозиции[orderNum],ТабЗаказы[[#This Row],[orderNum]],ТабПозиции[totalSumm])</f>
        <v>2415</v>
      </c>
      <c r="I9" s="18" t="str">
        <f>IFERROR(VLOOKUP(ТабЗаказы[[#This Row],[orderNum]],ТабПозиции[#Data],22,0),"")</f>
        <v>true</v>
      </c>
    </row>
    <row r="10" spans="1:9" x14ac:dyDescent="0.25">
      <c r="A10">
        <f t="shared" si="0"/>
        <v>9</v>
      </c>
      <c r="B10" s="1">
        <v>45367</v>
      </c>
      <c r="C10" t="s">
        <v>11</v>
      </c>
      <c r="D10" t="str">
        <f>VLOOKUP(ТабЗаказы[[#This Row],[client]],ТабКлиенты[[name]:[_id]],2,0)</f>
        <v>67f56eca575fff8fe23c7a0e</v>
      </c>
      <c r="E10">
        <f>IFERROR(IF(ТабЗаказы[[#This Row],[orderSumm]]&gt;10000,10,VLOOKUP(ТабЗаказы[[#This Row],[client]],ТабКлиенты[[name]:[percent]],MATCH(E$1,ТабКлиенты[#Headers],0),0)),"")</f>
        <v>15</v>
      </c>
      <c r="F10" s="18">
        <f>IFERROR(SUMIF(ТабПозиции[orderNum],ТабЗаказы[[#This Row],[orderNum]],ТабПозиции[orderSumm]),"")</f>
        <v>2171</v>
      </c>
      <c r="G10" s="18">
        <f>SUMIF(ТабПозиции[orderNum],ТабЗаказы[[#This Row],[orderNum]],ТабПозиции[deliverySumm])</f>
        <v>326</v>
      </c>
      <c r="H10" s="18">
        <f>SUMIF(ТабПозиции[orderNum],ТабЗаказы[[#This Row],[orderNum]],ТабПозиции[totalSumm])</f>
        <v>2497</v>
      </c>
      <c r="I10" s="18" t="str">
        <f>IFERROR(VLOOKUP(ТабЗаказы[[#This Row],[orderNum]],ТабПозиции[#Data],22,0),"")</f>
        <v>true</v>
      </c>
    </row>
    <row r="11" spans="1:9" x14ac:dyDescent="0.25">
      <c r="A11">
        <f t="shared" si="0"/>
        <v>10</v>
      </c>
      <c r="B11" s="1">
        <v>45368</v>
      </c>
      <c r="C11" t="s">
        <v>208</v>
      </c>
      <c r="D11" t="str">
        <f>VLOOKUP(ТабЗаказы[[#This Row],[client]],ТабКлиенты[[name]:[_id]],2,0)</f>
        <v>67f56eca575fff8fe23c7a51</v>
      </c>
      <c r="E11">
        <f>IFERROR(IF(ТабЗаказы[[#This Row],[orderSumm]]&gt;10000,10,VLOOKUP(ТабЗаказы[[#This Row],[client]],ТабКлиенты[[name]:[percent]],MATCH(E$1,ТабКлиенты[#Headers],0),0)),"")</f>
        <v>15</v>
      </c>
      <c r="F11" s="18">
        <f>IFERROR(SUMIF(ТабПозиции[orderNum],ТабЗаказы[[#This Row],[orderNum]],ТабПозиции[orderSumm]),"")</f>
        <v>2189</v>
      </c>
      <c r="G11" s="18">
        <f>SUMIF(ТабПозиции[orderNum],ТабЗаказы[[#This Row],[orderNum]],ТабПозиции[deliverySumm])</f>
        <v>328</v>
      </c>
      <c r="H11" s="18">
        <f>SUMIF(ТабПозиции[orderNum],ТабЗаказы[[#This Row],[orderNum]],ТабПозиции[totalSumm])</f>
        <v>2517</v>
      </c>
      <c r="I11" s="18" t="str">
        <f>IFERROR(VLOOKUP(ТабЗаказы[[#This Row],[orderNum]],ТабПозиции[#Data],22,0),"")</f>
        <v>true</v>
      </c>
    </row>
    <row r="12" spans="1:9" x14ac:dyDescent="0.25">
      <c r="A12">
        <f t="shared" si="0"/>
        <v>11</v>
      </c>
      <c r="B12" s="1">
        <v>45368</v>
      </c>
      <c r="C12" t="s">
        <v>139</v>
      </c>
      <c r="D12" t="str">
        <f>VLOOKUP(ТабЗаказы[[#This Row],[client]],ТабКлиенты[[name]:[_id]],2,0)</f>
        <v>67f56eca575fff8fe23c7a38</v>
      </c>
      <c r="E12">
        <f>IFERROR(IF(ТабЗаказы[[#This Row],[orderSumm]]&gt;10000,10,VLOOKUP(ТабЗаказы[[#This Row],[client]],ТабКлиенты[[name]:[percent]],MATCH(E$1,ТабКлиенты[#Headers],0),0)),"")</f>
        <v>15</v>
      </c>
      <c r="F12" s="18">
        <f>IFERROR(SUMIF(ТабПозиции[orderNum],ТабЗаказы[[#This Row],[orderNum]],ТабПозиции[orderSumm]),"")</f>
        <v>1301</v>
      </c>
      <c r="G12" s="18">
        <f>SUMIF(ТабПозиции[orderNum],ТабЗаказы[[#This Row],[orderNum]],ТабПозиции[deliverySumm])</f>
        <v>200</v>
      </c>
      <c r="H12" s="18">
        <f>SUMIF(ТабПозиции[orderNum],ТабЗаказы[[#This Row],[orderNum]],ТабПозиции[totalSumm])</f>
        <v>1501</v>
      </c>
      <c r="I12" s="18" t="str">
        <f>IFERROR(VLOOKUP(ТабЗаказы[[#This Row],[orderNum]],ТабПозиции[#Data],22,0),"")</f>
        <v>true</v>
      </c>
    </row>
    <row r="13" spans="1:9" x14ac:dyDescent="0.25">
      <c r="A13">
        <f t="shared" si="0"/>
        <v>12</v>
      </c>
      <c r="B13" s="1">
        <v>45368</v>
      </c>
      <c r="C13" t="s">
        <v>123</v>
      </c>
      <c r="D13" t="str">
        <f>VLOOKUP(ТабЗаказы[[#This Row],[client]],ТабКлиенты[[name]:[_id]],2,0)</f>
        <v>67f56eca575fff8fe23c7a32</v>
      </c>
      <c r="E13">
        <f>IFERROR(IF(ТабЗаказы[[#This Row],[orderSumm]]&gt;10000,10,VLOOKUP(ТабЗаказы[[#This Row],[client]],ТабКлиенты[[name]:[percent]],MATCH(E$1,ТабКлиенты[#Headers],0),0)),"")</f>
        <v>15</v>
      </c>
      <c r="F13" s="18">
        <f>IFERROR(SUMIF(ТабПозиции[orderNum],ТабЗаказы[[#This Row],[orderNum]],ТабПозиции[orderSumm]),"")</f>
        <v>2661</v>
      </c>
      <c r="G13" s="18">
        <f>SUMIF(ТабПозиции[orderNum],ТабЗаказы[[#This Row],[orderNum]],ТабПозиции[deliverySumm])</f>
        <v>400</v>
      </c>
      <c r="H13" s="18">
        <f>SUMIF(ТабПозиции[orderNum],ТабЗаказы[[#This Row],[orderNum]],ТабПозиции[totalSumm])</f>
        <v>3061</v>
      </c>
      <c r="I13" s="18" t="str">
        <f>IFERROR(VLOOKUP(ТабЗаказы[[#This Row],[orderNum]],ТабПозиции[#Data],22,0),"")</f>
        <v>true</v>
      </c>
    </row>
    <row r="14" spans="1:9" x14ac:dyDescent="0.25">
      <c r="A14">
        <f t="shared" si="0"/>
        <v>13</v>
      </c>
      <c r="B14" s="1">
        <v>45369</v>
      </c>
      <c r="C14" t="s">
        <v>519</v>
      </c>
      <c r="D14" t="str">
        <f>VLOOKUP(ТабЗаказы[[#This Row],[client]],ТабКлиенты[[name]:[_id]],2,0)</f>
        <v>67f56eca575fff8fe23c7a0f</v>
      </c>
      <c r="E14">
        <f>IFERROR(IF(ТабЗаказы[[#This Row],[orderSumm]]&gt;10000,10,VLOOKUP(ТабЗаказы[[#This Row],[client]],ТабКлиенты[[name]:[percent]],MATCH(E$1,ТабКлиенты[#Headers],0),0)),"")</f>
        <v>10</v>
      </c>
      <c r="F14" s="18">
        <f>IFERROR(SUMIF(ТабПозиции[orderNum],ТабЗаказы[[#This Row],[orderNum]],ТабПозиции[orderSumm]),"")</f>
        <v>29961</v>
      </c>
      <c r="G14" s="18">
        <f>SUMIF(ТабПозиции[orderNum],ТабЗаказы[[#This Row],[orderNum]],ТабПозиции[deliverySumm])</f>
        <v>2996</v>
      </c>
      <c r="H14" s="18">
        <f>SUMIF(ТабПозиции[orderNum],ТабЗаказы[[#This Row],[orderNum]],ТабПозиции[totalSumm])</f>
        <v>34440</v>
      </c>
      <c r="I14" s="18" t="str">
        <f>IFERROR(VLOOKUP(ТабЗаказы[[#This Row],[orderNum]],ТабПозиции[#Data],22,0),"")</f>
        <v>true</v>
      </c>
    </row>
    <row r="15" spans="1:9" x14ac:dyDescent="0.25">
      <c r="A15">
        <f t="shared" si="0"/>
        <v>14</v>
      </c>
      <c r="B15" s="1">
        <v>45369</v>
      </c>
      <c r="C15" t="s">
        <v>210</v>
      </c>
      <c r="D15" t="str">
        <f>VLOOKUP(ТабЗаказы[[#This Row],[client]],ТабКлиенты[[name]:[_id]],2,0)</f>
        <v>67f56eca575fff8fe23c7a52</v>
      </c>
      <c r="E15">
        <f>IFERROR(IF(ТабЗаказы[[#This Row],[orderSumm]]&gt;10000,10,VLOOKUP(ТабЗаказы[[#This Row],[client]],ТабКлиенты[[name]:[percent]],MATCH(E$1,ТабКлиенты[#Headers],0),0)),"")</f>
        <v>15</v>
      </c>
      <c r="F15" s="18">
        <f>IFERROR(SUMIF(ТабПозиции[orderNum],ТабЗаказы[[#This Row],[orderNum]],ТабПозиции[orderSumm]),"")</f>
        <v>425</v>
      </c>
      <c r="G15" s="18">
        <f>SUMIF(ТабПозиции[orderNum],ТабЗаказы[[#This Row],[orderNum]],ТабПозиции[deliverySumm])</f>
        <v>200</v>
      </c>
      <c r="H15" s="18">
        <f>SUMIF(ТабПозиции[orderNum],ТабЗаказы[[#This Row],[orderNum]],ТабПозиции[totalSumm])</f>
        <v>625</v>
      </c>
      <c r="I15" s="18" t="str">
        <f>IFERROR(VLOOKUP(ТабЗаказы[[#This Row],[orderNum]],ТабПозиции[#Data],22,0),"")</f>
        <v>true</v>
      </c>
    </row>
    <row r="16" spans="1:9" x14ac:dyDescent="0.25">
      <c r="A16">
        <f t="shared" si="0"/>
        <v>15</v>
      </c>
      <c r="B16" s="1">
        <v>45370</v>
      </c>
      <c r="C16" t="s">
        <v>211</v>
      </c>
      <c r="D16" t="str">
        <f>VLOOKUP(ТабЗаказы[[#This Row],[client]],ТабКлиенты[[name]:[_id]],2,0)</f>
        <v>67f56eca575fff8fe23c7a53</v>
      </c>
      <c r="E16">
        <f>IFERROR(IF(ТабЗаказы[[#This Row],[orderSumm]]&gt;10000,10,VLOOKUP(ТабЗаказы[[#This Row],[client]],ТабКлиенты[[name]:[percent]],MATCH(E$1,ТабКлиенты[#Headers],0),0)),"")</f>
        <v>15</v>
      </c>
      <c r="F16" s="18">
        <f>IFERROR(SUMIF(ТабПозиции[orderNum],ТабЗаказы[[#This Row],[orderNum]],ТабПозиции[orderSumm]),"")</f>
        <v>4575</v>
      </c>
      <c r="G16" s="18">
        <f>SUMIF(ТабПозиции[orderNum],ТабЗаказы[[#This Row],[orderNum]],ТабПозиции[deliverySumm])</f>
        <v>687</v>
      </c>
      <c r="H16" s="18">
        <f>SUMIF(ТабПозиции[orderNum],ТабЗаказы[[#This Row],[orderNum]],ТабПозиции[totalSumm])</f>
        <v>5262</v>
      </c>
      <c r="I16" s="18" t="str">
        <f>IFERROR(VLOOKUP(ТабЗаказы[[#This Row],[orderNum]],ТабПозиции[#Data],22,0),"")</f>
        <v>true</v>
      </c>
    </row>
    <row r="17" spans="1:15" x14ac:dyDescent="0.25">
      <c r="A17">
        <f t="shared" si="0"/>
        <v>16</v>
      </c>
      <c r="B17" s="1">
        <v>45371</v>
      </c>
      <c r="C17" t="s">
        <v>204</v>
      </c>
      <c r="D17" t="str">
        <f>VLOOKUP(ТабЗаказы[[#This Row],[client]],ТабКлиенты[[name]:[_id]],2,0)</f>
        <v>67f56eca575fff8fe23c7a50</v>
      </c>
      <c r="E17">
        <f>IFERROR(IF(ТабЗаказы[[#This Row],[orderSumm]]&gt;10000,10,VLOOKUP(ТабЗаказы[[#This Row],[client]],ТабКлиенты[[name]:[percent]],MATCH(E$1,ТабКлиенты[#Headers],0),0)),"")</f>
        <v>10</v>
      </c>
      <c r="F17" s="18">
        <f>IFERROR(SUMIF(ТабПозиции[orderNum],ТабЗаказы[[#This Row],[orderNum]],ТабПозиции[orderSumm]),"")</f>
        <v>3359</v>
      </c>
      <c r="G17" s="18">
        <f>SUMIF(ТабПозиции[orderNum],ТабЗаказы[[#This Row],[orderNum]],ТабПозиции[deliverySumm])</f>
        <v>335</v>
      </c>
      <c r="H17" s="18">
        <f>SUMIF(ТабПозиции[orderNum],ТабЗаказы[[#This Row],[orderNum]],ТабПозиции[totalSumm])</f>
        <v>3694</v>
      </c>
      <c r="I17" s="18" t="str">
        <f>IFERROR(VLOOKUP(ТабЗаказы[[#This Row],[orderNum]],ТабПозиции[#Data],22,0),"")</f>
        <v>true</v>
      </c>
    </row>
    <row r="18" spans="1:15" x14ac:dyDescent="0.25">
      <c r="A18">
        <f t="shared" si="0"/>
        <v>17</v>
      </c>
      <c r="B18" s="1">
        <v>45434</v>
      </c>
      <c r="C18" t="s">
        <v>112</v>
      </c>
      <c r="D18" t="str">
        <f>VLOOKUP(ТабЗаказы[[#This Row],[client]],ТабКлиенты[[name]:[_id]],2,0)</f>
        <v>67f56eca575fff8fe23c7a2f</v>
      </c>
      <c r="E18">
        <f>IFERROR(IF(ТабЗаказы[[#This Row],[orderSumm]]&gt;10000,10,VLOOKUP(ТабЗаказы[[#This Row],[client]],ТабКлиенты[[name]:[percent]],MATCH(E$1,ТабКлиенты[#Headers],0),0)),"")</f>
        <v>15</v>
      </c>
      <c r="F18" s="18">
        <f>IFERROR(SUMIF(ТабПозиции[orderNum],ТабЗаказы[[#This Row],[orderNum]],ТабПозиции[orderSumm]),"")</f>
        <v>1662</v>
      </c>
      <c r="G18" s="18">
        <f>SUMIF(ТабПозиции[orderNum],ТабЗаказы[[#This Row],[orderNum]],ТабПозиции[deliverySumm])</f>
        <v>249</v>
      </c>
      <c r="H18" s="18">
        <f>SUMIF(ТабПозиции[orderNum],ТабЗаказы[[#This Row],[orderNum]],ТабПозиции[totalSumm])</f>
        <v>1911</v>
      </c>
      <c r="I18" s="18" t="str">
        <f>IFERROR(VLOOKUP(ТабЗаказы[[#This Row],[orderNum]],ТабПозиции[#Data],22,0),"")</f>
        <v>true</v>
      </c>
    </row>
    <row r="19" spans="1:15" x14ac:dyDescent="0.25">
      <c r="A19">
        <f t="shared" si="0"/>
        <v>18</v>
      </c>
      <c r="B19" s="1">
        <v>45374</v>
      </c>
      <c r="C19" t="s">
        <v>36</v>
      </c>
      <c r="D19" t="str">
        <f>VLOOKUP(ТабЗаказы[[#This Row],[client]],ТабКлиенты[[name]:[_id]],2,0)</f>
        <v>67f56eca575fff8fe23c7a16</v>
      </c>
      <c r="E19">
        <f>IFERROR(IF(ТабЗаказы[[#This Row],[orderSumm]]&gt;10000,10,VLOOKUP(ТабЗаказы[[#This Row],[client]],ТабКлиенты[[name]:[percent]],MATCH(E$1,ТабКлиенты[#Headers],0),0)),"")</f>
        <v>15</v>
      </c>
      <c r="F19" s="18">
        <f>IFERROR(SUMIF(ТабПозиции[orderNum],ТабЗаказы[[#This Row],[orderNum]],ТабПозиции[orderSumm]),"")</f>
        <v>484</v>
      </c>
      <c r="G19" s="18">
        <f>SUMIF(ТабПозиции[orderNum],ТабЗаказы[[#This Row],[orderNum]],ТабПозиции[deliverySumm])</f>
        <v>200</v>
      </c>
      <c r="H19" s="18">
        <f>SUMIF(ТабПозиции[orderNum],ТабЗаказы[[#This Row],[orderNum]],ТабПозиции[totalSumm])</f>
        <v>684</v>
      </c>
      <c r="I19" s="18" t="str">
        <f>IFERROR(VLOOKUP(ТабЗаказы[[#This Row],[orderNum]],ТабПозиции[#Data],22,0),"")</f>
        <v>true</v>
      </c>
    </row>
    <row r="20" spans="1:15" x14ac:dyDescent="0.25">
      <c r="A20">
        <f t="shared" si="0"/>
        <v>19</v>
      </c>
      <c r="B20" s="1">
        <v>45374</v>
      </c>
      <c r="C20" t="s">
        <v>52</v>
      </c>
      <c r="D20" t="str">
        <f>VLOOKUP(ТабЗаказы[[#This Row],[client]],ТабКлиенты[[name]:[_id]],2,0)</f>
        <v>67f56eca575fff8fe23c7a1b</v>
      </c>
      <c r="E20">
        <f>IFERROR(IF(ТабЗаказы[[#This Row],[orderSumm]]&gt;10000,10,VLOOKUP(ТабЗаказы[[#This Row],[client]],ТабКлиенты[[name]:[percent]],MATCH(E$1,ТабКлиенты[#Headers],0),0)),"")</f>
        <v>15</v>
      </c>
      <c r="F20" s="18">
        <f>IFERROR(SUMIF(ТабПозиции[orderNum],ТабЗаказы[[#This Row],[orderNum]],ТабПозиции[orderSumm]),"")</f>
        <v>2453</v>
      </c>
      <c r="G20" s="18">
        <f>SUMIF(ТабПозиции[orderNum],ТабЗаказы[[#This Row],[orderNum]],ТабПозиции[deliverySumm])</f>
        <v>368</v>
      </c>
      <c r="H20" s="18">
        <f>SUMIF(ТабПозиции[orderNum],ТабЗаказы[[#This Row],[orderNum]],ТабПозиции[totalSumm])</f>
        <v>2821</v>
      </c>
      <c r="I20" s="18" t="str">
        <f>IFERROR(VLOOKUP(ТабЗаказы[[#This Row],[orderNum]],ТабПозиции[#Data],22,0),"")</f>
        <v>true</v>
      </c>
    </row>
    <row r="21" spans="1:15" x14ac:dyDescent="0.25">
      <c r="A21">
        <f t="shared" si="0"/>
        <v>20</v>
      </c>
      <c r="B21" s="1">
        <v>45436</v>
      </c>
      <c r="C21" t="s">
        <v>33</v>
      </c>
      <c r="D21" t="str">
        <f>VLOOKUP(ТабЗаказы[[#This Row],[client]],ТабКлиенты[[name]:[_id]],2,0)</f>
        <v>67f56eca575fff8fe23c7a15</v>
      </c>
      <c r="E21">
        <f>IFERROR(IF(ТабЗаказы[[#This Row],[orderSumm]]&gt;10000,10,VLOOKUP(ТабЗаказы[[#This Row],[client]],ТабКлиенты[[name]:[percent]],MATCH(E$1,ТабКлиенты[#Headers],0),0)),"")</f>
        <v>15</v>
      </c>
      <c r="F21" s="18">
        <f>IFERROR(SUMIF(ТабПозиции[orderNum],ТабЗаказы[[#This Row],[orderNum]],ТабПозиции[orderSumm]),"")</f>
        <v>5566</v>
      </c>
      <c r="G21" s="18">
        <f>SUMIF(ТабПозиции[orderNum],ТабЗаказы[[#This Row],[orderNum]],ТабПозиции[deliverySumm])</f>
        <v>835</v>
      </c>
      <c r="H21" s="18">
        <f>SUMIF(ТабПозиции[orderNum],ТабЗаказы[[#This Row],[orderNum]],ТабПозиции[totalSumm])</f>
        <v>6401</v>
      </c>
      <c r="I21" s="18" t="str">
        <f>IFERROR(VLOOKUP(ТабЗаказы[[#This Row],[orderNum]],ТабПозиции[#Data],22,0),"")</f>
        <v>true</v>
      </c>
      <c r="O21" s="6"/>
    </row>
    <row r="22" spans="1:15" x14ac:dyDescent="0.25">
      <c r="A22">
        <f t="shared" si="0"/>
        <v>21</v>
      </c>
      <c r="B22" s="1">
        <v>45375</v>
      </c>
      <c r="C22" t="s">
        <v>215</v>
      </c>
      <c r="D22" t="str">
        <f>VLOOKUP(ТабЗаказы[[#This Row],[client]],ТабКлиенты[[name]:[_id]],2,0)</f>
        <v>67f56eca575fff8fe23c7a54</v>
      </c>
      <c r="E22">
        <f>IFERROR(IF(ТабЗаказы[[#This Row],[orderSumm]]&gt;10000,10,VLOOKUP(ТабЗаказы[[#This Row],[client]],ТабКлиенты[[name]:[percent]],MATCH(E$1,ТабКлиенты[#Headers],0),0)),"")</f>
        <v>15</v>
      </c>
      <c r="F22" s="18">
        <f>IFERROR(SUMIF(ТабПозиции[orderNum],ТабЗаказы[[#This Row],[orderNum]],ТабПозиции[orderSumm]),"")</f>
        <v>4740</v>
      </c>
      <c r="G22" s="18">
        <f>SUMIF(ТабПозиции[orderNum],ТабЗаказы[[#This Row],[orderNum]],ТабПозиции[deliverySumm])</f>
        <v>711</v>
      </c>
      <c r="H22" s="18">
        <f>SUMIF(ТабПозиции[orderNum],ТабЗаказы[[#This Row],[orderNum]],ТабПозиции[totalSumm])</f>
        <v>5451</v>
      </c>
      <c r="I22" s="18" t="str">
        <f>IFERROR(VLOOKUP(ТабЗаказы[[#This Row],[orderNum]],ТабПозиции[#Data],22,0),"")</f>
        <v>true</v>
      </c>
    </row>
    <row r="23" spans="1:15" x14ac:dyDescent="0.25">
      <c r="A23">
        <f t="shared" si="0"/>
        <v>22</v>
      </c>
      <c r="B23" s="1">
        <v>45376</v>
      </c>
      <c r="C23" t="s">
        <v>108</v>
      </c>
      <c r="D23" t="str">
        <f>VLOOKUP(ТабЗаказы[[#This Row],[client]],ТабКлиенты[[name]:[_id]],2,0)</f>
        <v>67f56eca575fff8fe23c7a2e</v>
      </c>
      <c r="E23">
        <f>IFERROR(IF(ТабЗаказы[[#This Row],[orderSumm]]&gt;10000,10,VLOOKUP(ТабЗаказы[[#This Row],[client]],ТабКлиенты[[name]:[percent]],MATCH(E$1,ТабКлиенты[#Headers],0),0)),"")</f>
        <v>15</v>
      </c>
      <c r="F23" s="18">
        <f>IFERROR(SUMIF(ТабПозиции[orderNum],ТабЗаказы[[#This Row],[orderNum]],ТабПозиции[orderSumm]),"")</f>
        <v>8769</v>
      </c>
      <c r="G23" s="18">
        <f>SUMIF(ТабПозиции[orderNum],ТабЗаказы[[#This Row],[orderNum]],ТабПозиции[deliverySumm])</f>
        <v>1315</v>
      </c>
      <c r="H23" s="18">
        <f>SUMIF(ТабПозиции[orderNum],ТабЗаказы[[#This Row],[orderNum]],ТабПозиции[totalSumm])</f>
        <v>10084</v>
      </c>
      <c r="I23" s="18" t="str">
        <f>IFERROR(VLOOKUP(ТабЗаказы[[#This Row],[orderNum]],ТабПозиции[#Data],22,0),"")</f>
        <v>true</v>
      </c>
    </row>
    <row r="24" spans="1:15" x14ac:dyDescent="0.25">
      <c r="A24">
        <f t="shared" si="0"/>
        <v>23</v>
      </c>
      <c r="B24" s="1">
        <v>45376</v>
      </c>
      <c r="C24" t="s">
        <v>116</v>
      </c>
      <c r="D24" t="str">
        <f>VLOOKUP(ТабЗаказы[[#This Row],[client]],ТабКлиенты[[name]:[_id]],2,0)</f>
        <v>67f56eca575fff8fe23c7a30</v>
      </c>
      <c r="E24">
        <f>IFERROR(IF(ТабЗаказы[[#This Row],[orderSumm]]&gt;10000,10,VLOOKUP(ТабЗаказы[[#This Row],[client]],ТабКлиенты[[name]:[percent]],MATCH(E$1,ТабКлиенты[#Headers],0),0)),"")</f>
        <v>15</v>
      </c>
      <c r="F24" s="18">
        <f>IFERROR(SUMIF(ТабПозиции[orderNum],ТабЗаказы[[#This Row],[orderNum]],ТабПозиции[orderSumm]),"")</f>
        <v>5537</v>
      </c>
      <c r="G24" s="18">
        <f>SUMIF(ТабПозиции[orderNum],ТабЗаказы[[#This Row],[orderNum]],ТабПозиции[deliverySumm])</f>
        <v>830</v>
      </c>
      <c r="H24" s="18">
        <f>SUMIF(ТабПозиции[orderNum],ТабЗаказы[[#This Row],[orderNum]],ТабПозиции[totalSumm])</f>
        <v>6367</v>
      </c>
      <c r="I24" s="18" t="str">
        <f>IFERROR(VLOOKUP(ТабЗаказы[[#This Row],[orderNum]],ТабПозиции[#Data],22,0),"")</f>
        <v>true</v>
      </c>
    </row>
    <row r="25" spans="1:15" x14ac:dyDescent="0.25">
      <c r="A25">
        <f t="shared" si="0"/>
        <v>24</v>
      </c>
      <c r="B25" s="1">
        <v>45376</v>
      </c>
      <c r="C25" t="s">
        <v>11</v>
      </c>
      <c r="D25" t="str">
        <f>VLOOKUP(ТабЗаказы[[#This Row],[client]],ТабКлиенты[[name]:[_id]],2,0)</f>
        <v>67f56eca575fff8fe23c7a0e</v>
      </c>
      <c r="E25">
        <f>IFERROR(IF(ТабЗаказы[[#This Row],[orderSumm]]&gt;10000,10,VLOOKUP(ТабЗаказы[[#This Row],[client]],ТабКлиенты[[name]:[percent]],MATCH(E$1,ТабКлиенты[#Headers],0),0)),"")</f>
        <v>15</v>
      </c>
      <c r="F25" s="18">
        <f>IFERROR(SUMIF(ТабПозиции[orderNum],ТабЗаказы[[#This Row],[orderNum]],ТабПозиции[orderSumm]),"")</f>
        <v>4766</v>
      </c>
      <c r="G25" s="18">
        <f>SUMIF(ТабПозиции[orderNum],ТабЗаказы[[#This Row],[orderNum]],ТабПозиции[deliverySumm])</f>
        <v>717</v>
      </c>
      <c r="H25" s="18">
        <f>SUMIF(ТабПозиции[orderNum],ТабЗаказы[[#This Row],[orderNum]],ТабПозиции[totalSumm])</f>
        <v>4838</v>
      </c>
      <c r="I25" s="18" t="str">
        <f>IFERROR(VLOOKUP(ТабЗаказы[[#This Row],[orderNum]],ТабПозиции[#Data],22,0),"")</f>
        <v>true</v>
      </c>
    </row>
    <row r="26" spans="1:15" x14ac:dyDescent="0.25">
      <c r="A26">
        <f t="shared" si="0"/>
        <v>25</v>
      </c>
      <c r="B26" s="1">
        <v>45376</v>
      </c>
      <c r="C26" t="s">
        <v>231</v>
      </c>
      <c r="D26" t="str">
        <f>VLOOKUP(ТабЗаказы[[#This Row],[client]],ТабКлиенты[[name]:[_id]],2,0)</f>
        <v>67f56eca575fff8fe23c7a59</v>
      </c>
      <c r="E26">
        <f>IFERROR(IF(ТабЗаказы[[#This Row],[orderSumm]]&gt;10000,10,VLOOKUP(ТабЗаказы[[#This Row],[client]],ТабКлиенты[[name]:[percent]],MATCH(E$1,ТабКлиенты[#Headers],0),0)),"")</f>
        <v>15</v>
      </c>
      <c r="F26" s="18">
        <f>IFERROR(SUMIF(ТабПозиции[orderNum],ТабЗаказы[[#This Row],[orderNum]],ТабПозиции[orderSumm]),"")</f>
        <v>1649</v>
      </c>
      <c r="G26" s="18">
        <f>SUMIF(ТабПозиции[orderNum],ТабЗаказы[[#This Row],[orderNum]],ТабПозиции[deliverySumm])</f>
        <v>247</v>
      </c>
      <c r="H26" s="18">
        <f>SUMIF(ТабПозиции[orderNum],ТабЗаказы[[#This Row],[orderNum]],ТабПозиции[totalSumm])</f>
        <v>1896</v>
      </c>
      <c r="I26" s="18" t="str">
        <f>IFERROR(VLOOKUP(ТабЗаказы[[#This Row],[orderNum]],ТабПозиции[#Data],22,0),"")</f>
        <v>true</v>
      </c>
    </row>
    <row r="27" spans="1:15" x14ac:dyDescent="0.25">
      <c r="A27">
        <f t="shared" si="0"/>
        <v>26</v>
      </c>
      <c r="B27" s="1">
        <v>45374</v>
      </c>
      <c r="C27" t="s">
        <v>24</v>
      </c>
      <c r="D27" t="str">
        <f>VLOOKUP(ТабЗаказы[[#This Row],[client]],ТабКлиенты[[name]:[_id]],2,0)</f>
        <v>67f56eca575fff8fe23c7a12</v>
      </c>
      <c r="E27">
        <f>IFERROR(IF(ТабЗаказы[[#This Row],[orderSumm]]&gt;10000,10,VLOOKUP(ТабЗаказы[[#This Row],[client]],ТабКлиенты[[name]:[percent]],MATCH(E$1,ТабКлиенты[#Headers],0),0)),"")</f>
        <v>15</v>
      </c>
      <c r="F27" s="18">
        <f>IFERROR(SUMIF(ТабПозиции[orderNum],ТабЗаказы[[#This Row],[orderNum]],ТабПозиции[orderSumm]),"")</f>
        <v>3414</v>
      </c>
      <c r="G27" s="18">
        <f>SUMIF(ТабПозиции[orderNum],ТабЗаказы[[#This Row],[orderNum]],ТабПозиции[deliverySumm])</f>
        <v>512</v>
      </c>
      <c r="H27" s="18">
        <f>SUMIF(ТабПозиции[orderNum],ТабЗаказы[[#This Row],[orderNum]],ТабПозиции[totalSumm])</f>
        <v>512</v>
      </c>
      <c r="I27" s="18" t="str">
        <f>IFERROR(VLOOKUP(ТабЗаказы[[#This Row],[orderNum]],ТабПозиции[#Data],22,0),"")</f>
        <v>true</v>
      </c>
    </row>
    <row r="28" spans="1:15" x14ac:dyDescent="0.25">
      <c r="A28">
        <f t="shared" si="0"/>
        <v>27</v>
      </c>
      <c r="B28" s="1">
        <v>45374</v>
      </c>
      <c r="C28" t="s">
        <v>186</v>
      </c>
      <c r="D28" t="str">
        <f>VLOOKUP(ТабЗаказы[[#This Row],[client]],ТабКлиенты[[name]:[_id]],2,0)</f>
        <v>67f56eca575fff8fe23c7a4a</v>
      </c>
      <c r="E28">
        <f>IFERROR(IF(ТабЗаказы[[#This Row],[orderSumm]]&gt;10000,10,VLOOKUP(ТабЗаказы[[#This Row],[client]],ТабКлиенты[[name]:[percent]],MATCH(E$1,ТабКлиенты[#Headers],0),0)),"")</f>
        <v>10</v>
      </c>
      <c r="F28" s="18">
        <f>IFERROR(SUMIF(ТабПозиции[orderNum],ТабЗаказы[[#This Row],[orderNum]],ТабПозиции[orderSumm]),"")</f>
        <v>10000</v>
      </c>
      <c r="G28" s="18">
        <f>SUMIF(ТабПозиции[orderNum],ТабЗаказы[[#This Row],[orderNum]],ТабПозиции[deliverySumm])</f>
        <v>1000</v>
      </c>
      <c r="H28" s="18">
        <f>SUMIF(ТабПозиции[orderNum],ТабЗаказы[[#This Row],[orderNum]],ТабПозиции[totalSumm])</f>
        <v>1000</v>
      </c>
      <c r="I28" s="18" t="str">
        <f>IFERROR(VLOOKUP(ТабЗаказы[[#This Row],[orderNum]],ТабПозиции[#Data],22,0),"")</f>
        <v>true</v>
      </c>
    </row>
    <row r="29" spans="1:15" x14ac:dyDescent="0.25">
      <c r="A29">
        <f t="shared" si="0"/>
        <v>28</v>
      </c>
      <c r="B29" s="1">
        <v>45376</v>
      </c>
      <c r="C29" t="s">
        <v>219</v>
      </c>
      <c r="D29" t="str">
        <f>VLOOKUP(ТабЗаказы[[#This Row],[client]],ТабКлиенты[[name]:[_id]],2,0)</f>
        <v>67f56eca575fff8fe23c7a55</v>
      </c>
      <c r="E29">
        <f>IFERROR(IF(ТабЗаказы[[#This Row],[orderSumm]]&gt;10000,10,VLOOKUP(ТабЗаказы[[#This Row],[client]],ТабКлиенты[[name]:[percent]],MATCH(E$1,ТабКлиенты[#Headers],0),0)),"")</f>
        <v>15</v>
      </c>
      <c r="F29" s="18">
        <f>IFERROR(SUMIF(ТабПозиции[orderNum],ТабЗаказы[[#This Row],[orderNum]],ТабПозиции[orderSumm]),"")</f>
        <v>0</v>
      </c>
      <c r="G29" s="18">
        <f>SUMIF(ТабПозиции[orderNum],ТабЗаказы[[#This Row],[orderNum]],ТабПозиции[deliverySumm])</f>
        <v>200</v>
      </c>
      <c r="H29" s="18">
        <f>SUMIF(ТабПозиции[orderNum],ТабЗаказы[[#This Row],[orderNum]],ТабПозиции[totalSumm])</f>
        <v>600</v>
      </c>
      <c r="I29" s="18" t="str">
        <f>IFERROR(VLOOKUP(ТабЗаказы[[#This Row],[orderNum]],ТабПозиции[#Data],22,0),"")</f>
        <v>true</v>
      </c>
    </row>
    <row r="30" spans="1:15" x14ac:dyDescent="0.25">
      <c r="A30">
        <f t="shared" si="0"/>
        <v>29</v>
      </c>
      <c r="B30" s="1">
        <v>45377</v>
      </c>
      <c r="C30" t="s">
        <v>52</v>
      </c>
      <c r="D30" t="str">
        <f>VLOOKUP(ТабЗаказы[[#This Row],[client]],ТабКлиенты[[name]:[_id]],2,0)</f>
        <v>67f56eca575fff8fe23c7a1b</v>
      </c>
      <c r="E30">
        <f>IFERROR(IF(ТабЗаказы[[#This Row],[orderSumm]]&gt;10000,10,VLOOKUP(ТабЗаказы[[#This Row],[client]],ТабКлиенты[[name]:[percent]],MATCH(E$1,ТабКлиенты[#Headers],0),0)),"")</f>
        <v>15</v>
      </c>
      <c r="F30" s="18">
        <f>IFERROR(SUMIF(ТабПозиции[orderNum],ТабЗаказы[[#This Row],[orderNum]],ТабПозиции[orderSumm]),"")</f>
        <v>1454</v>
      </c>
      <c r="G30" s="18">
        <f>SUMIF(ТабПозиции[orderNum],ТабЗаказы[[#This Row],[orderNum]],ТабПозиции[deliverySumm])</f>
        <v>200</v>
      </c>
      <c r="H30" s="18">
        <f>SUMIF(ТабПозиции[orderNum],ТабЗаказы[[#This Row],[orderNum]],ТабПозиции[totalSumm])</f>
        <v>1672</v>
      </c>
      <c r="I30" s="18" t="str">
        <f>IFERROR(VLOOKUP(ТабЗаказы[[#This Row],[orderNum]],ТабПозиции[#Data],22,0),"")</f>
        <v>true</v>
      </c>
    </row>
    <row r="31" spans="1:15" x14ac:dyDescent="0.25">
      <c r="A31">
        <f t="shared" si="0"/>
        <v>30</v>
      </c>
      <c r="B31" s="1">
        <v>45376</v>
      </c>
      <c r="C31" t="s">
        <v>223</v>
      </c>
      <c r="D31" t="str">
        <f>VLOOKUP(ТабЗаказы[[#This Row],[client]],ТабКлиенты[[name]:[_id]],2,0)</f>
        <v>67f56eca575fff8fe23c7a56</v>
      </c>
      <c r="E31">
        <f>IFERROR(IF(ТабЗаказы[[#This Row],[orderSumm]]&gt;10000,10,VLOOKUP(ТабЗаказы[[#This Row],[client]],ТабКлиенты[[name]:[percent]],MATCH(E$1,ТабКлиенты[#Headers],0),0)),"")</f>
        <v>15</v>
      </c>
      <c r="F31" s="18">
        <f>IFERROR(SUMIF(ТабПозиции[orderNum],ТабЗаказы[[#This Row],[orderNum]],ТабПозиции[orderSumm]),"")</f>
        <v>0</v>
      </c>
      <c r="G31" s="18">
        <f>SUMIF(ТабПозиции[orderNum],ТабЗаказы[[#This Row],[orderNum]],ТабПозиции[deliverySumm])</f>
        <v>200</v>
      </c>
      <c r="H31" s="18">
        <f>SUMIF(ТабПозиции[orderNum],ТабЗаказы[[#This Row],[orderNum]],ТабПозиции[totalSumm])</f>
        <v>200</v>
      </c>
      <c r="I31" s="18" t="str">
        <f>IFERROR(VLOOKUP(ТабЗаказы[[#This Row],[orderNum]],ТабПозиции[#Data],22,0),"")</f>
        <v>true</v>
      </c>
    </row>
    <row r="32" spans="1:15" x14ac:dyDescent="0.25">
      <c r="A32">
        <f t="shared" si="0"/>
        <v>31</v>
      </c>
      <c r="B32" s="1">
        <v>45378</v>
      </c>
      <c r="C32" t="s">
        <v>108</v>
      </c>
      <c r="D32" t="str">
        <f>VLOOKUP(ТабЗаказы[[#This Row],[client]],ТабКлиенты[[name]:[_id]],2,0)</f>
        <v>67f56eca575fff8fe23c7a2e</v>
      </c>
      <c r="E32">
        <f>IFERROR(IF(ТабЗаказы[[#This Row],[orderSumm]]&gt;10000,10,VLOOKUP(ТабЗаказы[[#This Row],[client]],ТабКлиенты[[name]:[percent]],MATCH(E$1,ТабКлиенты[#Headers],0),0)),"")</f>
        <v>15</v>
      </c>
      <c r="F32" s="18">
        <f>IFERROR(SUMIF(ТабПозиции[orderNum],ТабЗаказы[[#This Row],[orderNum]],ТабПозиции[orderSumm]),"")</f>
        <v>6481</v>
      </c>
      <c r="G32" s="18">
        <f>SUMIF(ТабПозиции[orderNum],ТабЗаказы[[#This Row],[orderNum]],ТабПозиции[deliverySumm])</f>
        <v>972</v>
      </c>
      <c r="H32" s="18">
        <f>SUMIF(ТабПозиции[orderNum],ТабЗаказы[[#This Row],[orderNum]],ТабПозиции[totalSumm])</f>
        <v>6120</v>
      </c>
      <c r="I32" s="18" t="str">
        <f>IFERROR(VLOOKUP(ТабЗаказы[[#This Row],[orderNum]],ТабПозиции[#Data],22,0),"")</f>
        <v>true</v>
      </c>
    </row>
    <row r="33" spans="1:9" x14ac:dyDescent="0.25">
      <c r="A33">
        <f t="shared" si="0"/>
        <v>32</v>
      </c>
      <c r="B33" s="1">
        <v>45379</v>
      </c>
      <c r="C33" t="s">
        <v>228</v>
      </c>
      <c r="D33" t="str">
        <f>VLOOKUP(ТабЗаказы[[#This Row],[client]],ТабКлиенты[[name]:[_id]],2,0)</f>
        <v>67f56eca575fff8fe23c7a58</v>
      </c>
      <c r="E33">
        <f>IFERROR(IF(ТабЗаказы[[#This Row],[orderSumm]]&gt;10000,10,VLOOKUP(ТабЗаказы[[#This Row],[client]],ТабКлиенты[[name]:[percent]],MATCH(E$1,ТабКлиенты[#Headers],0),0)),"")</f>
        <v>15</v>
      </c>
      <c r="F33" s="18">
        <f>IFERROR(SUMIF(ТабПозиции[orderNum],ТабЗаказы[[#This Row],[orderNum]],ТабПозиции[orderSumm]),"")</f>
        <v>0</v>
      </c>
      <c r="G33" s="18">
        <f>SUMIF(ТабПозиции[orderNum],ТабЗаказы[[#This Row],[orderNum]],ТабПозиции[deliverySumm])</f>
        <v>200</v>
      </c>
      <c r="H33" s="18">
        <f>SUMIF(ТабПозиции[orderNum],ТабЗаказы[[#This Row],[orderNum]],ТабПозиции[totalSumm])</f>
        <v>200</v>
      </c>
      <c r="I33" s="18" t="str">
        <f>IFERROR(VLOOKUP(ТабЗаказы[[#This Row],[orderNum]],ТабПозиции[#Data],22,0),"")</f>
        <v>true</v>
      </c>
    </row>
    <row r="34" spans="1:9" x14ac:dyDescent="0.25">
      <c r="A34">
        <f t="shared" si="0"/>
        <v>33</v>
      </c>
      <c r="B34" s="1">
        <v>45379</v>
      </c>
      <c r="C34" t="s">
        <v>204</v>
      </c>
      <c r="D34" t="str">
        <f>VLOOKUP(ТабЗаказы[[#This Row],[client]],ТабКлиенты[[name]:[_id]],2,0)</f>
        <v>67f56eca575fff8fe23c7a50</v>
      </c>
      <c r="E34">
        <f>IFERROR(IF(ТабЗаказы[[#This Row],[orderSumm]]&gt;10000,10,VLOOKUP(ТабЗаказы[[#This Row],[client]],ТабКлиенты[[name]:[percent]],MATCH(E$1,ТабКлиенты[#Headers],0),0)),"")</f>
        <v>10</v>
      </c>
      <c r="F34" s="18">
        <f>IFERROR(SUMIF(ТабПозиции[orderNum],ТабЗаказы[[#This Row],[orderNum]],ТабПозиции[orderSumm]),"")</f>
        <v>271</v>
      </c>
      <c r="G34" s="18">
        <f>SUMIF(ТабПозиции[orderNum],ТабЗаказы[[#This Row],[orderNum]],ТабПозиции[deliverySumm])</f>
        <v>200</v>
      </c>
      <c r="H34" s="18">
        <f>SUMIF(ТабПозиции[orderNum],ТабЗаказы[[#This Row],[orderNum]],ТабПозиции[totalSumm])</f>
        <v>471</v>
      </c>
      <c r="I34" s="18" t="str">
        <f>IFERROR(VLOOKUP(ТабЗаказы[[#This Row],[orderNum]],ТабПозиции[#Data],22,0),"")</f>
        <v>true</v>
      </c>
    </row>
    <row r="35" spans="1:9" x14ac:dyDescent="0.25">
      <c r="A35">
        <f t="shared" si="0"/>
        <v>34</v>
      </c>
      <c r="B35" s="1">
        <v>45382</v>
      </c>
      <c r="C35" t="s">
        <v>7</v>
      </c>
      <c r="D35" t="str">
        <f>VLOOKUP(ТабЗаказы[[#This Row],[client]],ТабКлиенты[[name]:[_id]],2,0)</f>
        <v>67f56eca575fff8fe23c7a0d</v>
      </c>
      <c r="E35">
        <f>IFERROR(IF(ТабЗаказы[[#This Row],[orderSumm]]&gt;10000,10,VLOOKUP(ТабЗаказы[[#This Row],[client]],ТабКлиенты[[name]:[percent]],MATCH(E$1,ТабКлиенты[#Headers],0),0)),"")</f>
        <v>15</v>
      </c>
      <c r="F35" s="18">
        <f>IFERROR(SUMIF(ТабПозиции[orderNum],ТабЗаказы[[#This Row],[orderNum]],ТабПозиции[orderSumm]),"")</f>
        <v>3397</v>
      </c>
      <c r="G35" s="18">
        <f>SUMIF(ТабПозиции[orderNum],ТабЗаказы[[#This Row],[orderNum]],ТабПозиции[deliverySumm])</f>
        <v>510</v>
      </c>
      <c r="H35" s="18">
        <f>SUMIF(ТабПозиции[orderNum],ТабЗаказы[[#This Row],[orderNum]],ТабПозиции[totalSumm])</f>
        <v>3907</v>
      </c>
      <c r="I35" s="18" t="str">
        <f>IFERROR(VLOOKUP(ТабЗаказы[[#This Row],[orderNum]],ТабПозиции[#Data],22,0),"")</f>
        <v>true</v>
      </c>
    </row>
    <row r="36" spans="1:9" x14ac:dyDescent="0.25">
      <c r="A36">
        <f>A35+1</f>
        <v>35</v>
      </c>
      <c r="B36" s="1">
        <v>45380</v>
      </c>
      <c r="C36" t="s">
        <v>224</v>
      </c>
      <c r="D36" t="str">
        <f>VLOOKUP(ТабЗаказы[[#This Row],[client]],ТабКлиенты[[name]:[_id]],2,0)</f>
        <v>67f56eca575fff8fe23c7a57</v>
      </c>
      <c r="E36">
        <f>IFERROR(IF(ТабЗаказы[[#This Row],[orderSumm]]&gt;10000,10,VLOOKUP(ТабЗаказы[[#This Row],[client]],ТабКлиенты[[name]:[percent]],MATCH(E$1,ТабКлиенты[#Headers],0),0)),"")</f>
        <v>10</v>
      </c>
      <c r="F36" s="18">
        <f>IFERROR(SUMIF(ТабПозиции[orderNum],ТабЗаказы[[#This Row],[orderNum]],ТабПозиции[orderSumm]),"")</f>
        <v>3932</v>
      </c>
      <c r="G36" s="18">
        <f>SUMIF(ТабПозиции[orderNum],ТабЗаказы[[#This Row],[orderNum]],ТабПозиции[deliverySumm])</f>
        <v>393</v>
      </c>
      <c r="H36" s="18">
        <f>SUMIF(ТабПозиции[orderNum],ТабЗаказы[[#This Row],[orderNum]],ТабПозиции[totalSumm])</f>
        <v>393</v>
      </c>
      <c r="I36" s="18" t="str">
        <f>IFERROR(VLOOKUP(ТабЗаказы[[#This Row],[orderNum]],ТабПозиции[#Data],22,0),"")</f>
        <v>true</v>
      </c>
    </row>
    <row r="37" spans="1:9" x14ac:dyDescent="0.25">
      <c r="A37">
        <f t="shared" si="0"/>
        <v>36</v>
      </c>
      <c r="B37" s="1">
        <v>45380</v>
      </c>
      <c r="C37" t="s">
        <v>108</v>
      </c>
      <c r="D37" t="str">
        <f>VLOOKUP(ТабЗаказы[[#This Row],[client]],ТабКлиенты[[name]:[_id]],2,0)</f>
        <v>67f56eca575fff8fe23c7a2e</v>
      </c>
      <c r="E37">
        <f>IFERROR(IF(ТабЗаказы[[#This Row],[orderSumm]]&gt;10000,10,VLOOKUP(ТабЗаказы[[#This Row],[client]],ТабКлиенты[[name]:[percent]],MATCH(E$1,ТабКлиенты[#Headers],0),0)),"")</f>
        <v>15</v>
      </c>
      <c r="F37" s="18">
        <f>IFERROR(SUMIF(ТабПозиции[orderNum],ТабЗаказы[[#This Row],[orderNum]],ТабПозиции[orderSumm]),"")</f>
        <v>2951</v>
      </c>
      <c r="G37" s="18">
        <f>SUMIF(ТабПозиции[orderNum],ТабЗаказы[[#This Row],[orderNum]],ТабПозиции[deliverySumm])</f>
        <v>443</v>
      </c>
      <c r="H37" s="18">
        <f>SUMIF(ТабПозиции[orderNum],ТабЗаказы[[#This Row],[orderNum]],ТабПозиции[totalSumm])</f>
        <v>443</v>
      </c>
      <c r="I37" s="18" t="str">
        <f>IFERROR(VLOOKUP(ТабЗаказы[[#This Row],[orderNum]],ТабПозиции[#Data],22,0),"")</f>
        <v>true</v>
      </c>
    </row>
    <row r="38" spans="1:9" x14ac:dyDescent="0.25">
      <c r="A38">
        <f t="shared" si="0"/>
        <v>37</v>
      </c>
      <c r="B38" s="1">
        <v>45381</v>
      </c>
      <c r="C38" t="s">
        <v>519</v>
      </c>
      <c r="D38" t="str">
        <f>VLOOKUP(ТабЗаказы[[#This Row],[client]],ТабКлиенты[[name]:[_id]],2,0)</f>
        <v>67f56eca575fff8fe23c7a0f</v>
      </c>
      <c r="E38">
        <f>IFERROR(IF(ТабЗаказы[[#This Row],[orderSumm]]&gt;10000,10,VLOOKUP(ТабЗаказы[[#This Row],[client]],ТабКлиенты[[name]:[percent]],MATCH(E$1,ТабКлиенты[#Headers],0),0)),"")</f>
        <v>15</v>
      </c>
      <c r="F38" s="18">
        <f>IFERROR(SUMIF(ТабПозиции[orderNum],ТабЗаказы[[#This Row],[orderNum]],ТабПозиции[orderSumm]),"")</f>
        <v>0</v>
      </c>
      <c r="G38" s="18">
        <f>SUMIF(ТабПозиции[orderNum],ТабЗаказы[[#This Row],[orderNum]],ТабПозиции[deliverySumm])</f>
        <v>200</v>
      </c>
      <c r="H38" s="18">
        <f>SUMIF(ТабПозиции[orderNum],ТабЗаказы[[#This Row],[orderNum]],ТабПозиции[totalSumm])</f>
        <v>200</v>
      </c>
      <c r="I38" s="18" t="str">
        <f>IFERROR(VLOOKUP(ТабЗаказы[[#This Row],[orderNum]],ТабПозиции[#Data],22,0),"")</f>
        <v>true</v>
      </c>
    </row>
    <row r="39" spans="1:9" x14ac:dyDescent="0.25">
      <c r="A39">
        <f t="shared" si="0"/>
        <v>38</v>
      </c>
      <c r="B39" s="1">
        <v>45381</v>
      </c>
      <c r="C39" t="s">
        <v>219</v>
      </c>
      <c r="D39" t="str">
        <f>VLOOKUP(ТабЗаказы[[#This Row],[client]],ТабКлиенты[[name]:[_id]],2,0)</f>
        <v>67f56eca575fff8fe23c7a55</v>
      </c>
      <c r="E39">
        <f>IFERROR(IF(ТабЗаказы[[#This Row],[orderSumm]]&gt;10000,10,VLOOKUP(ТабЗаказы[[#This Row],[client]],ТабКлиенты[[name]:[percent]],MATCH(E$1,ТабКлиенты[#Headers],0),0)),"")</f>
        <v>15</v>
      </c>
      <c r="F39" s="18">
        <f>IFERROR(SUMIF(ТабПозиции[orderNum],ТабЗаказы[[#This Row],[orderNum]],ТабПозиции[orderSumm]),"")</f>
        <v>0</v>
      </c>
      <c r="G39" s="18">
        <f>SUMIF(ТабПозиции[orderNum],ТабЗаказы[[#This Row],[orderNum]],ТабПозиции[deliverySumm])</f>
        <v>200</v>
      </c>
      <c r="H39" s="18">
        <f>SUMIF(ТабПозиции[orderNum],ТабЗаказы[[#This Row],[orderNum]],ТабПозиции[totalSumm])</f>
        <v>600</v>
      </c>
      <c r="I39" s="18" t="str">
        <f>IFERROR(VLOOKUP(ТабЗаказы[[#This Row],[orderNum]],ТабПозиции[#Data],22,0),"")</f>
        <v>true</v>
      </c>
    </row>
    <row r="40" spans="1:9" x14ac:dyDescent="0.25">
      <c r="A40">
        <f t="shared" si="0"/>
        <v>39</v>
      </c>
      <c r="B40" s="1">
        <v>45381</v>
      </c>
      <c r="C40" t="s">
        <v>231</v>
      </c>
      <c r="D40" t="str">
        <f>VLOOKUP(ТабЗаказы[[#This Row],[client]],ТабКлиенты[[name]:[_id]],2,0)</f>
        <v>67f56eca575fff8fe23c7a59</v>
      </c>
      <c r="E40">
        <f>IFERROR(IF(ТабЗаказы[[#This Row],[orderSumm]]&gt;10000,10,VLOOKUP(ТабЗаказы[[#This Row],[client]],ТабКлиенты[[name]:[percent]],MATCH(E$1,ТабКлиенты[#Headers],0),0)),"")</f>
        <v>15</v>
      </c>
      <c r="F40" s="18">
        <f>IFERROR(SUMIF(ТабПозиции[orderNum],ТабЗаказы[[#This Row],[orderNum]],ТабПозиции[orderSumm]),"")</f>
        <v>7891</v>
      </c>
      <c r="G40" s="18">
        <f>SUMIF(ТабПозиции[orderNum],ТабЗаказы[[#This Row],[orderNum]],ТабПозиции[deliverySumm])</f>
        <v>1184</v>
      </c>
      <c r="H40" s="18">
        <f>SUMIF(ТабПозиции[orderNum],ТабЗаказы[[#This Row],[orderNum]],ТабПозиции[totalSumm])</f>
        <v>9075</v>
      </c>
      <c r="I40" s="18" t="str">
        <f>IFERROR(VLOOKUP(ТабЗаказы[[#This Row],[orderNum]],ТабПозиции[#Data],22,0),"")</f>
        <v>true</v>
      </c>
    </row>
    <row r="41" spans="1:9" x14ac:dyDescent="0.25">
      <c r="A41">
        <f t="shared" si="0"/>
        <v>40</v>
      </c>
      <c r="B41" s="1">
        <v>45381</v>
      </c>
      <c r="C41" t="s">
        <v>33</v>
      </c>
      <c r="D41" t="str">
        <f>VLOOKUP(ТабЗаказы[[#This Row],[client]],ТабКлиенты[[name]:[_id]],2,0)</f>
        <v>67f56eca575fff8fe23c7a15</v>
      </c>
      <c r="E41">
        <f>IFERROR(IF(ТабЗаказы[[#This Row],[orderSumm]]&gt;10000,10,VLOOKUP(ТабЗаказы[[#This Row],[client]],ТабКлиенты[[name]:[percent]],MATCH(E$1,ТабКлиенты[#Headers],0),0)),"")</f>
        <v>10</v>
      </c>
      <c r="F41" s="18">
        <f>IFERROR(SUMIF(ТабПозиции[orderNum],ТабЗаказы[[#This Row],[orderNum]],ТабПозиции[orderSumm]),"")</f>
        <v>17123</v>
      </c>
      <c r="G41" s="18">
        <f>SUMIF(ТабПозиции[orderNum],ТабЗаказы[[#This Row],[orderNum]],ТабПозиции[deliverySumm])</f>
        <v>1712</v>
      </c>
      <c r="H41" s="18">
        <f>SUMIF(ТабПозиции[orderNum],ТабЗаказы[[#This Row],[orderNum]],ТабПозиции[totalSumm])</f>
        <v>19692</v>
      </c>
      <c r="I41" s="18" t="str">
        <f>IFERROR(VLOOKUP(ТабЗаказы[[#This Row],[orderNum]],ТабПозиции[#Data],22,0),"")</f>
        <v>true</v>
      </c>
    </row>
    <row r="42" spans="1:9" x14ac:dyDescent="0.25">
      <c r="A42">
        <f t="shared" si="0"/>
        <v>41</v>
      </c>
      <c r="B42" s="1">
        <v>45381</v>
      </c>
      <c r="C42" t="s">
        <v>123</v>
      </c>
      <c r="D42" t="str">
        <f>VLOOKUP(ТабЗаказы[[#This Row],[client]],ТабКлиенты[[name]:[_id]],2,0)</f>
        <v>67f56eca575fff8fe23c7a32</v>
      </c>
      <c r="E42">
        <f>IFERROR(IF(ТабЗаказы[[#This Row],[orderSumm]]&gt;10000,10,VLOOKUP(ТабЗаказы[[#This Row],[client]],ТабКлиенты[[name]:[percent]],MATCH(E$1,ТабКлиенты[#Headers],0),0)),"")</f>
        <v>15</v>
      </c>
      <c r="F42" s="18">
        <f>IFERROR(SUMIF(ТабПозиции[orderNum],ТабЗаказы[[#This Row],[orderNum]],ТабПозиции[orderSumm]),"")</f>
        <v>2854</v>
      </c>
      <c r="G42" s="18">
        <f>SUMIF(ТабПозиции[orderNum],ТабЗаказы[[#This Row],[orderNum]],ТабПозиции[deliverySumm])</f>
        <v>428</v>
      </c>
      <c r="H42" s="18">
        <f>SUMIF(ТабПозиции[orderNum],ТабЗаказы[[#This Row],[orderNum]],ТабПозиции[totalSumm])</f>
        <v>3282</v>
      </c>
      <c r="I42" s="18" t="str">
        <f>IFERROR(VLOOKUP(ТабЗаказы[[#This Row],[orderNum]],ТабПозиции[#Data],22,0),"")</f>
        <v>true</v>
      </c>
    </row>
    <row r="43" spans="1:9" x14ac:dyDescent="0.25">
      <c r="A43">
        <f t="shared" si="0"/>
        <v>42</v>
      </c>
      <c r="B43" s="1">
        <v>45381</v>
      </c>
      <c r="C43" t="s">
        <v>204</v>
      </c>
      <c r="D43" t="str">
        <f>VLOOKUP(ТабЗаказы[[#This Row],[client]],ТабКлиенты[[name]:[_id]],2,0)</f>
        <v>67f56eca575fff8fe23c7a50</v>
      </c>
      <c r="E43">
        <f>IFERROR(IF(ТабЗаказы[[#This Row],[orderSumm]]&gt;10000,10,VLOOKUP(ТабЗаказы[[#This Row],[client]],ТабКлиенты[[name]:[percent]],MATCH(E$1,ТабКлиенты[#Headers],0),0)),"")</f>
        <v>10</v>
      </c>
      <c r="F43" s="18">
        <f>IFERROR(SUMIF(ТабПозиции[orderNum],ТабЗаказы[[#This Row],[orderNum]],ТабПозиции[orderSumm]),"")</f>
        <v>2504</v>
      </c>
      <c r="G43" s="18">
        <f>SUMIF(ТабПозиции[orderNum],ТабЗаказы[[#This Row],[orderNum]],ТабПозиции[deliverySumm])</f>
        <v>250</v>
      </c>
      <c r="H43" s="18">
        <f>SUMIF(ТабПозиции[orderNum],ТабЗаказы[[#This Row],[orderNum]],ТабПозиции[totalSumm])</f>
        <v>2754</v>
      </c>
      <c r="I43" s="18" t="str">
        <f>IFERROR(VLOOKUP(ТабЗаказы[[#This Row],[orderNum]],ТабПозиции[#Data],22,0),"")</f>
        <v>true</v>
      </c>
    </row>
    <row r="44" spans="1:9" x14ac:dyDescent="0.25">
      <c r="A44">
        <f t="shared" si="0"/>
        <v>43</v>
      </c>
      <c r="B44" s="1">
        <v>45383</v>
      </c>
      <c r="C44" t="s">
        <v>283</v>
      </c>
      <c r="D44" t="str">
        <f>VLOOKUP(ТабЗаказы[[#This Row],[client]],ТабКлиенты[[name]:[_id]],2,0)</f>
        <v>67f56eca575fff8fe23c7a67</v>
      </c>
      <c r="E44">
        <f>IFERROR(IF(ТабЗаказы[[#This Row],[orderSumm]]&gt;10000,10,VLOOKUP(ТабЗаказы[[#This Row],[client]],ТабКлиенты[[name]:[percent]],MATCH(E$1,ТабКлиенты[#Headers],0),0)),"")</f>
        <v>15</v>
      </c>
      <c r="F44" s="18">
        <f>IFERROR(SUMIF(ТабПозиции[orderNum],ТабЗаказы[[#This Row],[orderNum]],ТабПозиции[orderSumm]),"")</f>
        <v>2373</v>
      </c>
      <c r="G44" s="18">
        <f>SUMIF(ТабПозиции[orderNum],ТабЗаказы[[#This Row],[orderNum]],ТабПозиции[deliverySumm])</f>
        <v>356</v>
      </c>
      <c r="H44" s="18">
        <f>SUMIF(ТабПозиции[orderNum],ТабЗаказы[[#This Row],[orderNum]],ТабПозиции[totalSumm])</f>
        <v>2729</v>
      </c>
      <c r="I44" s="18" t="str">
        <f>IFERROR(VLOOKUP(ТабЗаказы[[#This Row],[orderNum]],ТабПозиции[#Data],22,0),"")</f>
        <v>true</v>
      </c>
    </row>
    <row r="45" spans="1:9" x14ac:dyDescent="0.25">
      <c r="A45">
        <f t="shared" si="0"/>
        <v>44</v>
      </c>
      <c r="B45" s="1">
        <v>45387</v>
      </c>
      <c r="C45" t="s">
        <v>67</v>
      </c>
      <c r="D45" t="str">
        <f>VLOOKUP(ТабЗаказы[[#This Row],[client]],ТабКлиенты[[name]:[_id]],2,0)</f>
        <v>67f56eca575fff8fe23c7a20</v>
      </c>
      <c r="E45">
        <f>IFERROR(IF(ТабЗаказы[[#This Row],[orderSumm]]&gt;10000,10,VLOOKUP(ТабЗаказы[[#This Row],[client]],ТабКлиенты[[name]:[percent]],MATCH(E$1,ТабКлиенты[#Headers],0),0)),"")</f>
        <v>15</v>
      </c>
      <c r="F45" s="18">
        <f>IFERROR(SUMIF(ТабПозиции[orderNum],ТабЗаказы[[#This Row],[orderNum]],ТабПозиции[orderSumm]),"")</f>
        <v>0</v>
      </c>
      <c r="G45" s="18">
        <f>SUMIF(ТабПозиции[orderNum],ТабЗаказы[[#This Row],[orderNum]],ТабПозиции[deliverySumm])</f>
        <v>200</v>
      </c>
      <c r="H45" s="18">
        <f>SUMIF(ТабПозиции[orderNum],ТабЗаказы[[#This Row],[orderNum]],ТабПозиции[totalSumm])</f>
        <v>200</v>
      </c>
      <c r="I45" s="18" t="str">
        <f>IFERROR(VLOOKUP(ТабЗаказы[[#This Row],[orderNum]],ТабПозиции[#Data],22,0),"")</f>
        <v>true</v>
      </c>
    </row>
    <row r="46" spans="1:9" x14ac:dyDescent="0.25">
      <c r="A46">
        <f t="shared" si="0"/>
        <v>45</v>
      </c>
      <c r="B46" s="1">
        <v>45387</v>
      </c>
      <c r="C46" t="s">
        <v>519</v>
      </c>
      <c r="D46" t="str">
        <f>VLOOKUP(ТабЗаказы[[#This Row],[client]],ТабКлиенты[[name]:[_id]],2,0)</f>
        <v>67f56eca575fff8fe23c7a0f</v>
      </c>
      <c r="E46">
        <f>IFERROR(IF(ТабЗаказы[[#This Row],[orderSumm]]&gt;10000,10,VLOOKUP(ТабЗаказы[[#This Row],[client]],ТабКлиенты[[name]:[percent]],MATCH(E$1,ТабКлиенты[#Headers],0),0)),"")</f>
        <v>15</v>
      </c>
      <c r="F46" s="18">
        <f>IFERROR(SUMIF(ТабПозиции[orderNum],ТабЗаказы[[#This Row],[orderNum]],ТабПозиции[orderSumm]),"")</f>
        <v>2117</v>
      </c>
      <c r="G46" s="18">
        <f>SUMIF(ТабПозиции[orderNum],ТабЗаказы[[#This Row],[orderNum]],ТабПозиции[deliverySumm])</f>
        <v>318</v>
      </c>
      <c r="H46" s="18">
        <f>SUMIF(ТабПозиции[orderNum],ТабЗаказы[[#This Row],[orderNum]],ТабПозиции[totalSumm])</f>
        <v>318</v>
      </c>
      <c r="I46" s="18" t="str">
        <f>IFERROR(VLOOKUP(ТабЗаказы[[#This Row],[orderNum]],ТабПозиции[#Data],22,0),"")</f>
        <v>true</v>
      </c>
    </row>
    <row r="47" spans="1:9" x14ac:dyDescent="0.25">
      <c r="A47">
        <f t="shared" si="0"/>
        <v>46</v>
      </c>
      <c r="B47" s="1">
        <v>45387</v>
      </c>
      <c r="C47" t="s">
        <v>104</v>
      </c>
      <c r="D47" t="str">
        <f>VLOOKUP(ТабЗаказы[[#This Row],[client]],ТабКлиенты[[name]:[_id]],2,0)</f>
        <v>67f56eca575fff8fe23c7a2d</v>
      </c>
      <c r="E47">
        <f>IFERROR(IF(ТабЗаказы[[#This Row],[orderSumm]]&gt;10000,10,VLOOKUP(ТабЗаказы[[#This Row],[client]],ТабКлиенты[[name]:[percent]],MATCH(E$1,ТабКлиенты[#Headers],0),0)),"")</f>
        <v>10</v>
      </c>
      <c r="F47" s="18">
        <f>IFERROR(SUMIF(ТабПозиции[orderNum],ТабЗаказы[[#This Row],[orderNum]],ТабПозиции[orderSumm]),"")</f>
        <v>33601</v>
      </c>
      <c r="G47" s="18">
        <f>SUMIF(ТабПозиции[orderNum],ТабЗаказы[[#This Row],[orderNum]],ТабПозиции[deliverySumm])</f>
        <v>3360</v>
      </c>
      <c r="H47" s="18">
        <f>SUMIF(ТабПозиции[orderNum],ТабЗаказы[[#This Row],[orderNum]],ТабПозиции[totalSumm])</f>
        <v>3360</v>
      </c>
      <c r="I47" s="18" t="str">
        <f>IFERROR(VLOOKUP(ТабЗаказы[[#This Row],[orderNum]],ТабПозиции[#Data],22,0),"")</f>
        <v>true</v>
      </c>
    </row>
    <row r="48" spans="1:9" x14ac:dyDescent="0.25">
      <c r="A48">
        <f t="shared" si="0"/>
        <v>47</v>
      </c>
      <c r="B48" s="1">
        <v>45387</v>
      </c>
      <c r="C48" t="s">
        <v>97</v>
      </c>
      <c r="D48" t="str">
        <f>VLOOKUP(ТабЗаказы[[#This Row],[client]],ТабКлиенты[[name]:[_id]],2,0)</f>
        <v>67f56eca575fff8fe23c7a2a</v>
      </c>
      <c r="E48">
        <f>IFERROR(IF(ТабЗаказы[[#This Row],[orderSumm]]&gt;10000,10,VLOOKUP(ТабЗаказы[[#This Row],[client]],ТабКлиенты[[name]:[percent]],MATCH(E$1,ТабКлиенты[#Headers],0),0)),"")</f>
        <v>10</v>
      </c>
      <c r="F48" s="18">
        <f>IFERROR(SUMIF(ТабПозиции[orderNum],ТабЗаказы[[#This Row],[orderNum]],ТабПозиции[orderSumm]),"")</f>
        <v>1856</v>
      </c>
      <c r="G48" s="18">
        <f>SUMIF(ТабПозиции[orderNum],ТабЗаказы[[#This Row],[orderNum]],ТабПозиции[deliverySumm])</f>
        <v>186</v>
      </c>
      <c r="H48" s="18">
        <f>SUMIF(ТабПозиции[orderNum],ТабЗаказы[[#This Row],[orderNum]],ТабПозиции[totalSumm])</f>
        <v>186</v>
      </c>
      <c r="I48" s="18" t="str">
        <f>IFERROR(VLOOKUP(ТабЗаказы[[#This Row],[orderNum]],ТабПозиции[#Data],22,0),"")</f>
        <v>true</v>
      </c>
    </row>
    <row r="49" spans="1:9" x14ac:dyDescent="0.25">
      <c r="A49">
        <f t="shared" si="0"/>
        <v>48</v>
      </c>
      <c r="B49" s="1">
        <v>45387</v>
      </c>
      <c r="C49" t="s">
        <v>224</v>
      </c>
      <c r="D49" t="str">
        <f>VLOOKUP(ТабЗаказы[[#This Row],[client]],ТабКлиенты[[name]:[_id]],2,0)</f>
        <v>67f56eca575fff8fe23c7a57</v>
      </c>
      <c r="E49">
        <f>IFERROR(IF(ТабЗаказы[[#This Row],[orderSumm]]&gt;10000,10,VLOOKUP(ТабЗаказы[[#This Row],[client]],ТабКлиенты[[name]:[percent]],MATCH(E$1,ТабКлиенты[#Headers],0),0)),"")</f>
        <v>10</v>
      </c>
      <c r="F49" s="18">
        <f>IFERROR(SUMIF(ТабПозиции[orderNum],ТабЗаказы[[#This Row],[orderNum]],ТабПозиции[orderSumm]),"")</f>
        <v>35500</v>
      </c>
      <c r="G49" s="18">
        <f>SUMIF(ТабПозиции[orderNum],ТабЗаказы[[#This Row],[orderNum]],ТабПозиции[deliverySumm])</f>
        <v>3550</v>
      </c>
      <c r="H49" s="18">
        <f>SUMIF(ТабПозиции[orderNum],ТабЗаказы[[#This Row],[orderNum]],ТабПозиции[totalSumm])</f>
        <v>3550</v>
      </c>
      <c r="I49" s="18" t="str">
        <f>IFERROR(VLOOKUP(ТабЗаказы[[#This Row],[orderNum]],ТабПозиции[#Data],22,0),"")</f>
        <v>true</v>
      </c>
    </row>
    <row r="50" spans="1:9" x14ac:dyDescent="0.25">
      <c r="A50">
        <f t="shared" si="0"/>
        <v>49</v>
      </c>
      <c r="B50" s="1">
        <v>45388</v>
      </c>
      <c r="C50" t="s">
        <v>231</v>
      </c>
      <c r="D50" t="str">
        <f>VLOOKUP(ТабЗаказы[[#This Row],[client]],ТабКлиенты[[name]:[_id]],2,0)</f>
        <v>67f56eca575fff8fe23c7a59</v>
      </c>
      <c r="E50">
        <f>IFERROR(IF(ТабЗаказы[[#This Row],[orderSumm]]&gt;10000,10,VLOOKUP(ТабЗаказы[[#This Row],[client]],ТабКлиенты[[name]:[percent]],MATCH(E$1,ТабКлиенты[#Headers],0),0)),"")</f>
        <v>15</v>
      </c>
      <c r="F50" s="18">
        <f>IFERROR(SUMIF(ТабПозиции[orderNum],ТабЗаказы[[#This Row],[orderNum]],ТабПозиции[orderSumm]),"")</f>
        <v>4138</v>
      </c>
      <c r="G50" s="18">
        <f>SUMIF(ТабПозиции[orderNum],ТабЗаказы[[#This Row],[orderNum]],ТабПозиции[deliverySumm])</f>
        <v>622</v>
      </c>
      <c r="H50" s="18">
        <f>SUMIF(ТабПозиции[orderNum],ТабЗаказы[[#This Row],[orderNum]],ТабПозиции[totalSumm])</f>
        <v>4760</v>
      </c>
      <c r="I50" s="18" t="str">
        <f>IFERROR(VLOOKUP(ТабЗаказы[[#This Row],[orderNum]],ТабПозиции[#Data],22,0),"")</f>
        <v>true</v>
      </c>
    </row>
    <row r="51" spans="1:9" x14ac:dyDescent="0.25">
      <c r="A51">
        <f>A50+1</f>
        <v>50</v>
      </c>
      <c r="B51" s="1">
        <v>45388</v>
      </c>
      <c r="C51" t="s">
        <v>112</v>
      </c>
      <c r="D51" t="str">
        <f>VLOOKUP(ТабЗаказы[[#This Row],[client]],ТабКлиенты[[name]:[_id]],2,0)</f>
        <v>67f56eca575fff8fe23c7a2f</v>
      </c>
      <c r="E51">
        <f>IFERROR(IF(ТабЗаказы[[#This Row],[orderSumm]]&gt;10000,10,VLOOKUP(ТабЗаказы[[#This Row],[client]],ТабКлиенты[[name]:[percent]],MATCH(E$1,ТабКлиенты[#Headers],0),0)),"")</f>
        <v>15</v>
      </c>
      <c r="F51" s="18">
        <f>IFERROR(SUMIF(ТабПозиции[orderNum],ТабЗаказы[[#This Row],[orderNum]],ТабПозиции[orderSumm]),"")</f>
        <v>4255</v>
      </c>
      <c r="G51" s="18">
        <f>SUMIF(ТабПозиции[orderNum],ТабЗаказы[[#This Row],[orderNum]],ТабПозиции[deliverySumm])</f>
        <v>638</v>
      </c>
      <c r="H51" s="18">
        <f>SUMIF(ТабПозиции[orderNum],ТабЗаказы[[#This Row],[orderNum]],ТабПозиции[totalSumm])</f>
        <v>5712</v>
      </c>
      <c r="I51" s="18" t="str">
        <f>IFERROR(VLOOKUP(ТабЗаказы[[#This Row],[orderNum]],ТабПозиции[#Data],22,0),"")</f>
        <v>true</v>
      </c>
    </row>
    <row r="52" spans="1:9" x14ac:dyDescent="0.25">
      <c r="A52">
        <f t="shared" ref="A52:A115" si="1">A51+1</f>
        <v>51</v>
      </c>
      <c r="B52" s="1">
        <v>45388</v>
      </c>
      <c r="C52" t="s">
        <v>204</v>
      </c>
      <c r="D52" t="str">
        <f>VLOOKUP(ТабЗаказы[[#This Row],[client]],ТабКлиенты[[name]:[_id]],2,0)</f>
        <v>67f56eca575fff8fe23c7a50</v>
      </c>
      <c r="E52">
        <f>IFERROR(IF(ТабЗаказы[[#This Row],[orderSumm]]&gt;10000,10,VLOOKUP(ТабЗаказы[[#This Row],[client]],ТабКлиенты[[name]:[percent]],MATCH(E$1,ТабКлиенты[#Headers],0),0)),"")</f>
        <v>10</v>
      </c>
      <c r="F52" s="18">
        <f>IFERROR(SUMIF(ТабПозиции[orderNum],ТабЗаказы[[#This Row],[orderNum]],ТабПозиции[orderSumm]),"")</f>
        <v>3911</v>
      </c>
      <c r="G52" s="18">
        <f>SUMIF(ТабПозиции[orderNum],ТабЗаказы[[#This Row],[orderNum]],ТабПозиции[deliverySumm])</f>
        <v>391</v>
      </c>
      <c r="H52" s="18">
        <f>SUMIF(ТабПозиции[orderNum],ТабЗаказы[[#This Row],[orderNum]],ТабПозиции[totalSumm])</f>
        <v>4302</v>
      </c>
      <c r="I52" s="18" t="str">
        <f>IFERROR(VLOOKUP(ТабЗаказы[[#This Row],[orderNum]],ТабПозиции[#Data],22,0),"")</f>
        <v>true</v>
      </c>
    </row>
    <row r="53" spans="1:9" x14ac:dyDescent="0.25">
      <c r="A53">
        <f t="shared" si="1"/>
        <v>52</v>
      </c>
      <c r="B53" s="1">
        <v>45390</v>
      </c>
      <c r="C53" t="s">
        <v>123</v>
      </c>
      <c r="D53" t="str">
        <f>VLOOKUP(ТабЗаказы[[#This Row],[client]],ТабКлиенты[[name]:[_id]],2,0)</f>
        <v>67f56eca575fff8fe23c7a32</v>
      </c>
      <c r="E53">
        <f>IFERROR(IF(ТабЗаказы[[#This Row],[orderSumm]]&gt;10000,10,VLOOKUP(ТабЗаказы[[#This Row],[client]],ТабКлиенты[[name]:[percent]],MATCH(E$1,ТабКлиенты[#Headers],0),0)),"")</f>
        <v>15</v>
      </c>
      <c r="F53" s="18">
        <f>IFERROR(SUMIF(ТабПозиции[orderNum],ТабЗаказы[[#This Row],[orderNum]],ТабПозиции[orderSumm]),"")</f>
        <v>1963</v>
      </c>
      <c r="G53" s="18">
        <f>SUMIF(ТабПозиции[orderNum],ТабЗаказы[[#This Row],[orderNum]],ТабПозиции[deliverySumm])</f>
        <v>295</v>
      </c>
      <c r="H53" s="18">
        <f>SUMIF(ТабПозиции[orderNum],ТабЗаказы[[#This Row],[orderNum]],ТабПозиции[totalSumm])</f>
        <v>2258</v>
      </c>
      <c r="I53" s="18" t="str">
        <f>IFERROR(VLOOKUP(ТабЗаказы[[#This Row],[orderNum]],ТабПозиции[#Data],22,0),"")</f>
        <v>true</v>
      </c>
    </row>
    <row r="54" spans="1:9" x14ac:dyDescent="0.25">
      <c r="A54">
        <f t="shared" si="1"/>
        <v>53</v>
      </c>
      <c r="B54" s="1">
        <v>45390</v>
      </c>
      <c r="C54" t="s">
        <v>33</v>
      </c>
      <c r="D54" t="str">
        <f>VLOOKUP(ТабЗаказы[[#This Row],[client]],ТабКлиенты[[name]:[_id]],2,0)</f>
        <v>67f56eca575fff8fe23c7a15</v>
      </c>
      <c r="E54">
        <f>IFERROR(IF(ТабЗаказы[[#This Row],[orderSumm]]&gt;10000,10,VLOOKUP(ТабЗаказы[[#This Row],[client]],ТабКлиенты[[name]:[percent]],MATCH(E$1,ТабКлиенты[#Headers],0),0)),"")</f>
        <v>15</v>
      </c>
      <c r="F54" s="18">
        <f>IFERROR(SUMIF(ТабПозиции[orderNum],ТабЗаказы[[#This Row],[orderNum]],ТабПозиции[orderSumm]),"")</f>
        <v>4798</v>
      </c>
      <c r="G54" s="18">
        <f>SUMIF(ТабПозиции[orderNum],ТабЗаказы[[#This Row],[orderNum]],ТабПозиции[deliverySumm])</f>
        <v>720</v>
      </c>
      <c r="H54" s="18">
        <f>SUMIF(ТабПозиции[orderNum],ТабЗаказы[[#This Row],[orderNum]],ТабПозиции[totalSumm])</f>
        <v>6196</v>
      </c>
      <c r="I54" s="18" t="str">
        <f>IFERROR(VLOOKUP(ТабЗаказы[[#This Row],[orderNum]],ТабПозиции[#Data],22,0),"")</f>
        <v>true</v>
      </c>
    </row>
    <row r="55" spans="1:9" x14ac:dyDescent="0.25">
      <c r="A55">
        <f t="shared" si="1"/>
        <v>54</v>
      </c>
      <c r="B55" s="1">
        <v>45391</v>
      </c>
      <c r="C55" t="s">
        <v>231</v>
      </c>
      <c r="D55" t="str">
        <f>VLOOKUP(ТабЗаказы[[#This Row],[client]],ТабКлиенты[[name]:[_id]],2,0)</f>
        <v>67f56eca575fff8fe23c7a59</v>
      </c>
      <c r="E55">
        <f>IFERROR(IF(ТабЗаказы[[#This Row],[orderSumm]]&gt;10000,10,VLOOKUP(ТабЗаказы[[#This Row],[client]],ТабКлиенты[[name]:[percent]],MATCH(E$1,ТабКлиенты[#Headers],0),0)),"")</f>
        <v>15</v>
      </c>
      <c r="F55" s="18">
        <f>IFERROR(SUMIF(ТабПозиции[orderNum],ТабЗаказы[[#This Row],[orderNum]],ТабПозиции[orderSumm]),"")</f>
        <v>5579</v>
      </c>
      <c r="G55" s="18">
        <f>SUMIF(ТабПозиции[orderNum],ТабЗаказы[[#This Row],[orderNum]],ТабПозиции[deliverySumm])</f>
        <v>838</v>
      </c>
      <c r="H55" s="18">
        <f>SUMIF(ТабПозиции[orderNum],ТабЗаказы[[#This Row],[orderNum]],ТабПозиции[totalSumm])</f>
        <v>6417</v>
      </c>
      <c r="I55" s="18" t="str">
        <f>IFERROR(VLOOKUP(ТабЗаказы[[#This Row],[orderNum]],ТабПозиции[#Data],22,0),"")</f>
        <v>true</v>
      </c>
    </row>
    <row r="56" spans="1:9" x14ac:dyDescent="0.25">
      <c r="A56">
        <f t="shared" si="1"/>
        <v>55</v>
      </c>
      <c r="B56" s="1">
        <v>45391</v>
      </c>
      <c r="C56" t="s">
        <v>253</v>
      </c>
      <c r="D56" t="str">
        <f>VLOOKUP(ТабЗаказы[[#This Row],[client]],ТабКлиенты[[name]:[_id]],2,0)</f>
        <v>67f56eca575fff8fe23c7a5f</v>
      </c>
      <c r="E56">
        <f>IFERROR(IF(ТабЗаказы[[#This Row],[orderSumm]]&gt;10000,10,VLOOKUP(ТабЗаказы[[#This Row],[client]],ТабКлиенты[[name]:[percent]],MATCH(E$1,ТабКлиенты[#Headers],0),0)),"")</f>
        <v>15</v>
      </c>
      <c r="F56" s="18">
        <f>IFERROR(SUMIF(ТабПозиции[orderNum],ТабЗаказы[[#This Row],[orderNum]],ТабПозиции[orderSumm]),"")</f>
        <v>2700</v>
      </c>
      <c r="G56" s="18">
        <f>SUMIF(ТабПозиции[orderNum],ТабЗаказы[[#This Row],[orderNum]],ТабПозиции[deliverySumm])</f>
        <v>405</v>
      </c>
      <c r="H56" s="18">
        <f>SUMIF(ТабПозиции[orderNum],ТабЗаказы[[#This Row],[orderNum]],ТабПозиции[totalSumm])</f>
        <v>405</v>
      </c>
      <c r="I56" s="18" t="str">
        <f>IFERROR(VLOOKUP(ТабЗаказы[[#This Row],[orderNum]],ТабПозиции[#Data],22,0),"")</f>
        <v>true</v>
      </c>
    </row>
    <row r="57" spans="1:9" x14ac:dyDescent="0.25">
      <c r="A57">
        <f t="shared" si="1"/>
        <v>56</v>
      </c>
      <c r="B57" s="1">
        <v>45392</v>
      </c>
      <c r="C57" t="s">
        <v>33</v>
      </c>
      <c r="D57" t="str">
        <f>VLOOKUP(ТабЗаказы[[#This Row],[client]],ТабКлиенты[[name]:[_id]],2,0)</f>
        <v>67f56eca575fff8fe23c7a15</v>
      </c>
      <c r="E57">
        <f>IFERROR(IF(ТабЗаказы[[#This Row],[orderSumm]]&gt;10000,10,VLOOKUP(ТабЗаказы[[#This Row],[client]],ТабКлиенты[[name]:[percent]],MATCH(E$1,ТабКлиенты[#Headers],0),0)),"")</f>
        <v>15</v>
      </c>
      <c r="F57" s="18">
        <f>IFERROR(SUMIF(ТабПозиции[orderNum],ТабЗаказы[[#This Row],[orderNum]],ТабПозиции[orderSumm]),"")</f>
        <v>6253</v>
      </c>
      <c r="G57" s="18">
        <f>SUMIF(ТабПозиции[orderNum],ТабЗаказы[[#This Row],[orderNum]],ТабПозиции[deliverySumm])</f>
        <v>939</v>
      </c>
      <c r="H57" s="18">
        <f>SUMIF(ТабПозиции[orderNum],ТабЗаказы[[#This Row],[orderNum]],ТабПозиции[totalSumm])</f>
        <v>7666.16</v>
      </c>
      <c r="I57" s="18" t="str">
        <f>IFERROR(VLOOKUP(ТабЗаказы[[#This Row],[orderNum]],ТабПозиции[#Data],22,0),"")</f>
        <v>true</v>
      </c>
    </row>
    <row r="58" spans="1:9" x14ac:dyDescent="0.25">
      <c r="A58">
        <f t="shared" si="1"/>
        <v>57</v>
      </c>
      <c r="B58" s="1">
        <v>45392</v>
      </c>
      <c r="C58" t="s">
        <v>112</v>
      </c>
      <c r="D58" t="str">
        <f>VLOOKUP(ТабЗаказы[[#This Row],[client]],ТабКлиенты[[name]:[_id]],2,0)</f>
        <v>67f56eca575fff8fe23c7a2f</v>
      </c>
      <c r="E58">
        <f>IFERROR(IF(ТабЗаказы[[#This Row],[orderSumm]]&gt;10000,10,VLOOKUP(ТабЗаказы[[#This Row],[client]],ТабКлиенты[[name]:[percent]],MATCH(E$1,ТабКлиенты[#Headers],0),0)),"")</f>
        <v>15</v>
      </c>
      <c r="F58" s="18">
        <f>IFERROR(SUMIF(ТабПозиции[orderNum],ТабЗаказы[[#This Row],[orderNum]],ТабПозиции[orderSumm]),"")</f>
        <v>6423</v>
      </c>
      <c r="G58" s="18">
        <f>SUMIF(ТабПозиции[orderNum],ТабЗаказы[[#This Row],[orderNum]],ТабПозиции[deliverySumm])</f>
        <v>964</v>
      </c>
      <c r="H58" s="18">
        <f>SUMIF(ТабПозиции[orderNum],ТабЗаказы[[#This Row],[orderNum]],ТабПозиции[totalSumm])</f>
        <v>7387</v>
      </c>
      <c r="I58" s="18" t="str">
        <f>IFERROR(VLOOKUP(ТабЗаказы[[#This Row],[orderNum]],ТабПозиции[#Data],22,0),"")</f>
        <v>true</v>
      </c>
    </row>
    <row r="59" spans="1:9" x14ac:dyDescent="0.25">
      <c r="A59">
        <f t="shared" si="1"/>
        <v>58</v>
      </c>
      <c r="B59" s="1">
        <v>45393</v>
      </c>
      <c r="C59" t="s">
        <v>231</v>
      </c>
      <c r="D59" t="str">
        <f>VLOOKUP(ТабЗаказы[[#This Row],[client]],ТабКлиенты[[name]:[_id]],2,0)</f>
        <v>67f56eca575fff8fe23c7a59</v>
      </c>
      <c r="E59">
        <f>IFERROR(IF(ТабЗаказы[[#This Row],[orderSumm]]&gt;10000,10,VLOOKUP(ТабЗаказы[[#This Row],[client]],ТабКлиенты[[name]:[percent]],MATCH(E$1,ТабКлиенты[#Headers],0),0)),"")</f>
        <v>10</v>
      </c>
      <c r="F59" s="18">
        <f>IFERROR(SUMIF(ТабПозиции[orderNum],ТабЗаказы[[#This Row],[orderNum]],ТабПозиции[orderSumm]),"")</f>
        <v>13590</v>
      </c>
      <c r="G59" s="18">
        <f>SUMIF(ТабПозиции[orderNum],ТабЗаказы[[#This Row],[orderNum]],ТабПозиции[deliverySumm])</f>
        <v>1359</v>
      </c>
      <c r="H59" s="18">
        <f>SUMIF(ТабПозиции[orderNum],ТабЗаказы[[#This Row],[orderNum]],ТабПозиции[totalSumm])</f>
        <v>14949</v>
      </c>
      <c r="I59" s="18" t="str">
        <f>IFERROR(VLOOKUP(ТабЗаказы[[#This Row],[orderNum]],ТабПозиции[#Data],22,0),"")</f>
        <v>true</v>
      </c>
    </row>
    <row r="60" spans="1:9" x14ac:dyDescent="0.25">
      <c r="A60">
        <f t="shared" si="1"/>
        <v>59</v>
      </c>
      <c r="B60" s="1">
        <v>45394</v>
      </c>
      <c r="C60" t="s">
        <v>231</v>
      </c>
      <c r="D60" t="str">
        <f>VLOOKUP(ТабЗаказы[[#This Row],[client]],ТабКлиенты[[name]:[_id]],2,0)</f>
        <v>67f56eca575fff8fe23c7a59</v>
      </c>
      <c r="E60">
        <f>IFERROR(IF(ТабЗаказы[[#This Row],[orderSumm]]&gt;10000,10,VLOOKUP(ТабЗаказы[[#This Row],[client]],ТабКлиенты[[name]:[percent]],MATCH(E$1,ТабКлиенты[#Headers],0),0)),"")</f>
        <v>10</v>
      </c>
      <c r="F60" s="18">
        <f>IFERROR(SUMIF(ТабПозиции[orderNum],ТабЗаказы[[#This Row],[orderNum]],ТабПозиции[orderSumm]),"")</f>
        <v>11394</v>
      </c>
      <c r="G60" s="18">
        <f>SUMIF(ТабПозиции[orderNum],ТабЗаказы[[#This Row],[orderNum]],ТабПозиции[deliverySumm])</f>
        <v>1139</v>
      </c>
      <c r="H60" s="18">
        <f>SUMIF(ТабПозиции[orderNum],ТабЗаказы[[#This Row],[orderNum]],ТабПозиции[totalSumm])</f>
        <v>12533</v>
      </c>
      <c r="I60" s="18" t="str">
        <f>IFERROR(VLOOKUP(ТабЗаказы[[#This Row],[orderNum]],ТабПозиции[#Data],22,0),"")</f>
        <v>true</v>
      </c>
    </row>
    <row r="61" spans="1:9" x14ac:dyDescent="0.25">
      <c r="A61">
        <f t="shared" si="1"/>
        <v>60</v>
      </c>
      <c r="B61" s="1">
        <v>45395</v>
      </c>
      <c r="C61" t="s">
        <v>259</v>
      </c>
      <c r="D61" t="str">
        <f>VLOOKUP(ТабЗаказы[[#This Row],[client]],ТабКлиенты[[name]:[_id]],2,0)</f>
        <v>67f56eca575fff8fe23c7a61</v>
      </c>
      <c r="E61">
        <f>IFERROR(IF(ТабЗаказы[[#This Row],[orderSumm]]&gt;10000,10,VLOOKUP(ТабЗаказы[[#This Row],[client]],ТабКлиенты[[name]:[percent]],MATCH(E$1,ТабКлиенты[#Headers],0),0)),"")</f>
        <v>15</v>
      </c>
      <c r="F61" s="18">
        <f>IFERROR(SUMIF(ТабПозиции[orderNum],ТабЗаказы[[#This Row],[orderNum]],ТабПозиции[orderSumm]),"")</f>
        <v>812</v>
      </c>
      <c r="G61" s="18">
        <f>SUMIF(ТабПозиции[orderNum],ТабЗаказы[[#This Row],[orderNum]],ТабПозиции[deliverySumm])</f>
        <v>200</v>
      </c>
      <c r="H61" s="18">
        <f>SUMIF(ТабПозиции[orderNum],ТабЗаказы[[#This Row],[orderNum]],ТабПозиции[totalSumm])</f>
        <v>1012</v>
      </c>
      <c r="I61" s="18" t="str">
        <f>IFERROR(VLOOKUP(ТабЗаказы[[#This Row],[orderNum]],ТабПозиции[#Data],22,0),"")</f>
        <v>true</v>
      </c>
    </row>
    <row r="62" spans="1:9" x14ac:dyDescent="0.25">
      <c r="A62">
        <f t="shared" si="1"/>
        <v>61</v>
      </c>
      <c r="B62" s="1">
        <v>45400</v>
      </c>
      <c r="C62" t="s">
        <v>271</v>
      </c>
      <c r="D62" t="str">
        <f>VLOOKUP(ТабЗаказы[[#This Row],[client]],ТабКлиенты[[name]:[_id]],2,0)</f>
        <v>67f56eca575fff8fe23c7a64</v>
      </c>
      <c r="E62">
        <f>IFERROR(IF(ТабЗаказы[[#This Row],[orderSumm]]&gt;10000,10,VLOOKUP(ТабЗаказы[[#This Row],[client]],ТабКлиенты[[name]:[percent]],MATCH(E$1,ТабКлиенты[#Headers],0),0)),"")</f>
        <v>15</v>
      </c>
      <c r="F62" s="18">
        <f>IFERROR(SUMIF(ТабПозиции[orderNum],ТабЗаказы[[#This Row],[orderNum]],ТабПозиции[orderSumm]),"")</f>
        <v>305</v>
      </c>
      <c r="G62" s="18">
        <f>SUMIF(ТабПозиции[orderNum],ТабЗаказы[[#This Row],[orderNum]],ТабПозиции[deliverySumm])</f>
        <v>200</v>
      </c>
      <c r="H62" s="18">
        <f>SUMIF(ТабПозиции[orderNum],ТабЗаказы[[#This Row],[orderNum]],ТабПозиции[totalSumm])</f>
        <v>505</v>
      </c>
      <c r="I62" s="18" t="str">
        <f>IFERROR(VLOOKUP(ТабЗаказы[[#This Row],[orderNum]],ТабПозиции[#Data],22,0),"")</f>
        <v>true</v>
      </c>
    </row>
    <row r="63" spans="1:9" x14ac:dyDescent="0.25">
      <c r="A63">
        <f t="shared" si="1"/>
        <v>62</v>
      </c>
      <c r="B63" s="1">
        <v>45394</v>
      </c>
      <c r="C63" t="s">
        <v>256</v>
      </c>
      <c r="D63" t="str">
        <f>VLOOKUP(ТабЗаказы[[#This Row],[client]],ТабКлиенты[[name]:[_id]],2,0)</f>
        <v>67f56eca575fff8fe23c7a60</v>
      </c>
      <c r="E63">
        <f>IFERROR(IF(ТабЗаказы[[#This Row],[orderSumm]]&gt;10000,10,VLOOKUP(ТабЗаказы[[#This Row],[client]],ТабКлиенты[[name]:[percent]],MATCH(E$1,ТабКлиенты[#Headers],0),0)),"")</f>
        <v>15</v>
      </c>
      <c r="F63" s="18">
        <f>IFERROR(SUMIF(ТабПозиции[orderNum],ТабЗаказы[[#This Row],[orderNum]],ТабПозиции[orderSumm]),"")</f>
        <v>3000</v>
      </c>
      <c r="G63" s="18">
        <f>SUMIF(ТабПозиции[orderNum],ТабЗаказы[[#This Row],[orderNum]],ТабПозиции[deliverySumm])</f>
        <v>450</v>
      </c>
      <c r="H63" s="18">
        <f>SUMIF(ТабПозиции[orderNum],ТабЗаказы[[#This Row],[orderNum]],ТабПозиции[totalSumm])</f>
        <v>450</v>
      </c>
      <c r="I63" s="18" t="str">
        <f>IFERROR(VLOOKUP(ТабЗаказы[[#This Row],[orderNum]],ТабПозиции[#Data],22,0),"")</f>
        <v>true</v>
      </c>
    </row>
    <row r="64" spans="1:9" x14ac:dyDescent="0.25">
      <c r="A64">
        <f t="shared" si="1"/>
        <v>63</v>
      </c>
      <c r="B64" s="1">
        <v>45397</v>
      </c>
      <c r="C64" t="s">
        <v>231</v>
      </c>
      <c r="D64" t="str">
        <f>VLOOKUP(ТабЗаказы[[#This Row],[client]],ТабКлиенты[[name]:[_id]],2,0)</f>
        <v>67f56eca575fff8fe23c7a59</v>
      </c>
      <c r="E64">
        <f>IFERROR(IF(ТабЗаказы[[#This Row],[orderSumm]]&gt;10000,10,VLOOKUP(ТабЗаказы[[#This Row],[client]],ТабКлиенты[[name]:[percent]],MATCH(E$1,ТабКлиенты[#Headers],0),0)),"")</f>
        <v>15</v>
      </c>
      <c r="F64" s="18">
        <f>IFERROR(SUMIF(ТабПозиции[orderNum],ТабЗаказы[[#This Row],[orderNum]],ТабПозиции[orderSumm]),"")</f>
        <v>602</v>
      </c>
      <c r="G64" s="18">
        <f>SUMIF(ТабПозиции[orderNum],ТабЗаказы[[#This Row],[orderNum]],ТабПозиции[deliverySumm])</f>
        <v>201</v>
      </c>
      <c r="H64" s="18">
        <f>SUMIF(ТабПозиции[orderNum],ТабЗаказы[[#This Row],[orderNum]],ТабПозиции[totalSumm])</f>
        <v>803</v>
      </c>
      <c r="I64" s="18" t="str">
        <f>IFERROR(VLOOKUP(ТабЗаказы[[#This Row],[orderNum]],ТабПозиции[#Data],22,0),"")</f>
        <v>true</v>
      </c>
    </row>
    <row r="65" spans="1:9" x14ac:dyDescent="0.25">
      <c r="A65">
        <f t="shared" si="1"/>
        <v>64</v>
      </c>
      <c r="B65" s="1">
        <v>45398</v>
      </c>
      <c r="C65" t="s">
        <v>267</v>
      </c>
      <c r="D65" t="str">
        <f>VLOOKUP(ТабЗаказы[[#This Row],[client]],ТабКлиенты[[name]:[_id]],2,0)</f>
        <v>67f56eca575fff8fe23c7a63</v>
      </c>
      <c r="E65">
        <f>IFERROR(IF(ТабЗаказы[[#This Row],[orderSumm]]&gt;10000,10,VLOOKUP(ТабЗаказы[[#This Row],[client]],ТабКлиенты[[name]:[percent]],MATCH(E$1,ТабКлиенты[#Headers],0),0)),"")</f>
        <v>15</v>
      </c>
      <c r="F65" s="18">
        <f>IFERROR(SUMIF(ТабПозиции[orderNum],ТабЗаказы[[#This Row],[orderNum]],ТабПозиции[orderSumm]),"")</f>
        <v>3900</v>
      </c>
      <c r="G65" s="18">
        <f>SUMIF(ТабПозиции[orderNum],ТабЗаказы[[#This Row],[orderNum]],ТабПозиции[deliverySumm])</f>
        <v>584</v>
      </c>
      <c r="H65" s="18">
        <f>SUMIF(ТабПозиции[orderNum],ТабЗаказы[[#This Row],[orderNum]],ТабПозиции[totalSumm])</f>
        <v>4484</v>
      </c>
      <c r="I65" s="18" t="str">
        <f>IFERROR(VLOOKUP(ТабЗаказы[[#This Row],[orderNum]],ТабПозиции[#Data],22,0),"")</f>
        <v>true</v>
      </c>
    </row>
    <row r="66" spans="1:9" x14ac:dyDescent="0.25">
      <c r="A66">
        <f t="shared" si="1"/>
        <v>65</v>
      </c>
      <c r="B66" s="1">
        <v>45400</v>
      </c>
      <c r="C66" t="s">
        <v>112</v>
      </c>
      <c r="D66" t="str">
        <f>VLOOKUP(ТабЗаказы[[#This Row],[client]],ТабКлиенты[[name]:[_id]],2,0)</f>
        <v>67f56eca575fff8fe23c7a2f</v>
      </c>
      <c r="E66">
        <f>IFERROR(IF(ТабЗаказы[[#This Row],[orderSumm]]&gt;10000,10,VLOOKUP(ТабЗаказы[[#This Row],[client]],ТабКлиенты[[name]:[percent]],MATCH(E$1,ТабКлиенты[#Headers],0),0)),"")</f>
        <v>15</v>
      </c>
      <c r="F66" s="18">
        <f>IFERROR(SUMIF(ТабПозиции[orderNum],ТабЗаказы[[#This Row],[orderNum]],ТабПозиции[orderSumm]),"")</f>
        <v>5481</v>
      </c>
      <c r="G66" s="18">
        <f>SUMIF(ТабПозиции[orderNum],ТабЗаказы[[#This Row],[orderNum]],ТабПозиции[deliverySumm])</f>
        <v>823</v>
      </c>
      <c r="H66" s="18">
        <f>SUMIF(ТабПозиции[orderNum],ТабЗаказы[[#This Row],[orderNum]],ТабПозиции[totalSumm])</f>
        <v>6304</v>
      </c>
      <c r="I66" s="18" t="str">
        <f>IFERROR(VLOOKUP(ТабЗаказы[[#This Row],[orderNum]],ТабПозиции[#Data],22,0),"")</f>
        <v>true</v>
      </c>
    </row>
    <row r="67" spans="1:9" x14ac:dyDescent="0.25">
      <c r="A67">
        <f t="shared" si="1"/>
        <v>66</v>
      </c>
      <c r="B67" s="1">
        <v>45400</v>
      </c>
      <c r="C67" t="s">
        <v>33</v>
      </c>
      <c r="D67" t="str">
        <f>VLOOKUP(ТабЗаказы[[#This Row],[client]],ТабКлиенты[[name]:[_id]],2,0)</f>
        <v>67f56eca575fff8fe23c7a15</v>
      </c>
      <c r="E67">
        <f>IFERROR(IF(ТабЗаказы[[#This Row],[orderSumm]]&gt;10000,10,VLOOKUP(ТабЗаказы[[#This Row],[client]],ТабКлиенты[[name]:[percent]],MATCH(E$1,ТабКлиенты[#Headers],0),0)),"")</f>
        <v>15</v>
      </c>
      <c r="F67" s="18">
        <f>IFERROR(SUMIF(ТабПозиции[orderNum],ТабЗаказы[[#This Row],[orderNum]],ТабПозиции[orderSumm]),"")</f>
        <v>5119</v>
      </c>
      <c r="G67" s="18">
        <f>SUMIF(ТабПозиции[orderNum],ТабЗаказы[[#This Row],[orderNum]],ТабПозиции[deliverySumm])</f>
        <v>768</v>
      </c>
      <c r="H67" s="18">
        <f>SUMIF(ТабПозиции[orderNum],ТабЗаказы[[#This Row],[orderNum]],ТабПозиции[totalSumm])</f>
        <v>5887</v>
      </c>
      <c r="I67" s="18" t="str">
        <f>IFERROR(VLOOKUP(ТабЗаказы[[#This Row],[orderNum]],ТабПозиции[#Data],22,0),"")</f>
        <v>true</v>
      </c>
    </row>
    <row r="68" spans="1:9" x14ac:dyDescent="0.25">
      <c r="A68">
        <f t="shared" si="1"/>
        <v>67</v>
      </c>
      <c r="B68" s="1">
        <v>45401</v>
      </c>
      <c r="C68" t="s">
        <v>275</v>
      </c>
      <c r="D68" t="str">
        <f>VLOOKUP(ТабЗаказы[[#This Row],[client]],ТабКлиенты[[name]:[_id]],2,0)</f>
        <v>67f56eca575fff8fe23c7a65</v>
      </c>
      <c r="E68">
        <f>IFERROR(IF(ТабЗаказы[[#This Row],[orderSumm]]&gt;10000,10,VLOOKUP(ТабЗаказы[[#This Row],[client]],ТабКлиенты[[name]:[percent]],MATCH(E$1,ТабКлиенты[#Headers],0),0)),"")</f>
        <v>15</v>
      </c>
      <c r="F68" s="18">
        <f>IFERROR(SUMIF(ТабПозиции[orderNum],ТабЗаказы[[#This Row],[orderNum]],ТабПозиции[orderSumm]),"")</f>
        <v>774</v>
      </c>
      <c r="G68" s="18">
        <f>SUMIF(ТабПозиции[orderNum],ТабЗаказы[[#This Row],[orderNum]],ТабПозиции[deliverySumm])</f>
        <v>200</v>
      </c>
      <c r="H68" s="18">
        <f>SUMIF(ТабПозиции[orderNum],ТабЗаказы[[#This Row],[orderNum]],ТабПозиции[totalSumm])</f>
        <v>974</v>
      </c>
      <c r="I68" s="18" t="str">
        <f>IFERROR(VLOOKUP(ТабЗаказы[[#This Row],[orderNum]],ТабПозиции[#Data],22,0),"")</f>
        <v>true</v>
      </c>
    </row>
    <row r="69" spans="1:9" x14ac:dyDescent="0.25">
      <c r="A69">
        <f t="shared" si="1"/>
        <v>68</v>
      </c>
      <c r="B69" s="1">
        <v>45401</v>
      </c>
      <c r="C69" t="s">
        <v>11</v>
      </c>
      <c r="D69" t="str">
        <f>VLOOKUP(ТабЗаказы[[#This Row],[client]],ТабКлиенты[[name]:[_id]],2,0)</f>
        <v>67f56eca575fff8fe23c7a0e</v>
      </c>
      <c r="E69">
        <f>IFERROR(IF(ТабЗаказы[[#This Row],[orderSumm]]&gt;10000,10,VLOOKUP(ТабЗаказы[[#This Row],[client]],ТабКлиенты[[name]:[percent]],MATCH(E$1,ТабКлиенты[#Headers],0),0)),"")</f>
        <v>15</v>
      </c>
      <c r="F69" s="18">
        <f>IFERROR(SUMIF(ТабПозиции[orderNum],ТабЗаказы[[#This Row],[orderNum]],ТабПозиции[orderSumm]),"")</f>
        <v>1687</v>
      </c>
      <c r="G69" s="18">
        <f>SUMIF(ТабПозиции[orderNum],ТабЗаказы[[#This Row],[orderNum]],ТабПозиции[deliverySumm])</f>
        <v>252</v>
      </c>
      <c r="H69" s="18">
        <f>SUMIF(ТабПозиции[orderNum],ТабЗаказы[[#This Row],[orderNum]],ТабПозиции[totalSumm])</f>
        <v>1939</v>
      </c>
      <c r="I69" s="18" t="str">
        <f>IFERROR(VLOOKUP(ТабЗаказы[[#This Row],[orderNum]],ТабПозиции[#Data],22,0),"")</f>
        <v>true</v>
      </c>
    </row>
    <row r="70" spans="1:9" x14ac:dyDescent="0.25">
      <c r="A70">
        <f t="shared" si="1"/>
        <v>69</v>
      </c>
      <c r="B70" s="1">
        <v>45402</v>
      </c>
      <c r="C70" t="s">
        <v>231</v>
      </c>
      <c r="D70" t="str">
        <f>VLOOKUP(ТабЗаказы[[#This Row],[client]],ТабКлиенты[[name]:[_id]],2,0)</f>
        <v>67f56eca575fff8fe23c7a59</v>
      </c>
      <c r="E70">
        <f>IFERROR(IF(ТабЗаказы[[#This Row],[orderSumm]]&gt;10000,10,VLOOKUP(ТабЗаказы[[#This Row],[client]],ТабКлиенты[[name]:[percent]],MATCH(E$1,ТабКлиенты[#Headers],0),0)),"")</f>
        <v>15</v>
      </c>
      <c r="F70" s="18">
        <f>IFERROR(SUMIF(ТабПозиции[orderNum],ТабЗаказы[[#This Row],[orderNum]],ТабПозиции[orderSumm]),"")</f>
        <v>8753</v>
      </c>
      <c r="G70" s="18">
        <f>SUMIF(ТабПозиции[orderNum],ТабЗаказы[[#This Row],[orderNum]],ТабПозиции[deliverySumm])</f>
        <v>1313</v>
      </c>
      <c r="H70" s="18">
        <f>SUMIF(ТабПозиции[orderNum],ТабЗаказы[[#This Row],[orderNum]],ТабПозиции[totalSumm])</f>
        <v>10066</v>
      </c>
      <c r="I70" s="18" t="str">
        <f>IFERROR(VLOOKUP(ТабЗаказы[[#This Row],[orderNum]],ТабПозиции[#Data],22,0),"")</f>
        <v>true</v>
      </c>
    </row>
    <row r="71" spans="1:9" x14ac:dyDescent="0.25">
      <c r="A71">
        <f t="shared" si="1"/>
        <v>70</v>
      </c>
      <c r="B71" s="1">
        <v>45443</v>
      </c>
      <c r="C71" t="s">
        <v>33</v>
      </c>
      <c r="D71" t="str">
        <f>VLOOKUP(ТабЗаказы[[#This Row],[client]],ТабКлиенты[[name]:[_id]],2,0)</f>
        <v>67f56eca575fff8fe23c7a15</v>
      </c>
      <c r="E71">
        <f>IFERROR(IF(ТабЗаказы[[#This Row],[orderSumm]]&gt;10000,10,VLOOKUP(ТабЗаказы[[#This Row],[client]],ТабКлиенты[[name]:[percent]],MATCH(E$1,ТабКлиенты[#Headers],0),0)),"")</f>
        <v>15</v>
      </c>
      <c r="F71" s="18">
        <f>IFERROR(SUMIF(ТабПозиции[orderNum],ТабЗаказы[[#This Row],[orderNum]],ТабПозиции[orderSumm]),"")</f>
        <v>6179</v>
      </c>
      <c r="G71" s="18">
        <f>SUMIF(ТабПозиции[orderNum],ТабЗаказы[[#This Row],[orderNum]],ТабПозиции[deliverySumm])</f>
        <v>928</v>
      </c>
      <c r="H71" s="18">
        <f>SUMIF(ТабПозиции[orderNum],ТабЗаказы[[#This Row],[orderNum]],ТабПозиции[totalSumm])</f>
        <v>7325</v>
      </c>
      <c r="I71" s="18" t="str">
        <f>IFERROR(VLOOKUP(ТабЗаказы[[#This Row],[orderNum]],ТабПозиции[#Data],22,0),"")</f>
        <v>true</v>
      </c>
    </row>
    <row r="72" spans="1:9" x14ac:dyDescent="0.25">
      <c r="A72">
        <f t="shared" si="1"/>
        <v>71</v>
      </c>
      <c r="B72" s="1">
        <v>45405</v>
      </c>
      <c r="C72" t="s">
        <v>210</v>
      </c>
      <c r="D72" t="str">
        <f>VLOOKUP(ТабЗаказы[[#This Row],[client]],ТабКлиенты[[name]:[_id]],2,0)</f>
        <v>67f56eca575fff8fe23c7a52</v>
      </c>
      <c r="E72">
        <f>IFERROR(IF(ТабЗаказы[[#This Row],[orderSumm]]&gt;10000,10,VLOOKUP(ТабЗаказы[[#This Row],[client]],ТабКлиенты[[name]:[percent]],MATCH(E$1,ТабКлиенты[#Headers],0),0)),"")</f>
        <v>15</v>
      </c>
      <c r="F72" s="18">
        <f>IFERROR(SUMIF(ТабПозиции[orderNum],ТабЗаказы[[#This Row],[orderNum]],ТабПозиции[orderSumm]),"")</f>
        <v>1327</v>
      </c>
      <c r="G72" s="18">
        <f>SUMIF(ТабПозиции[orderNum],ТабЗаказы[[#This Row],[orderNum]],ТабПозиции[deliverySumm])</f>
        <v>201</v>
      </c>
      <c r="H72" s="18">
        <f>SUMIF(ТабПозиции[orderNum],ТабЗаказы[[#This Row],[orderNum]],ТабПозиции[totalSumm])</f>
        <v>1528</v>
      </c>
      <c r="I72" s="18" t="str">
        <f>IFERROR(VLOOKUP(ТабЗаказы[[#This Row],[orderNum]],ТабПозиции[#Data],22,0),"")</f>
        <v>true</v>
      </c>
    </row>
    <row r="73" spans="1:9" x14ac:dyDescent="0.25">
      <c r="A73">
        <f t="shared" si="1"/>
        <v>72</v>
      </c>
      <c r="B73" s="1">
        <v>45407</v>
      </c>
      <c r="C73" t="s">
        <v>211</v>
      </c>
      <c r="D73" t="str">
        <f>VLOOKUP(ТабЗаказы[[#This Row],[client]],ТабКлиенты[[name]:[_id]],2,0)</f>
        <v>67f56eca575fff8fe23c7a53</v>
      </c>
      <c r="E73">
        <f>IFERROR(IF(ТабЗаказы[[#This Row],[orderSumm]]&gt;10000,10,VLOOKUP(ТабЗаказы[[#This Row],[client]],ТабКлиенты[[name]:[percent]],MATCH(E$1,ТабКлиенты[#Headers],0),0)),"")</f>
        <v>15</v>
      </c>
      <c r="F73" s="18">
        <f>IFERROR(SUMIF(ТабПозиции[orderNum],ТабЗаказы[[#This Row],[orderNum]],ТабПозиции[orderSumm]),"")</f>
        <v>2952</v>
      </c>
      <c r="G73" s="18">
        <f>SUMIF(ТабПозиции[orderNum],ТабЗаказы[[#This Row],[orderNum]],ТабПозиции[deliverySumm])</f>
        <v>443</v>
      </c>
      <c r="H73" s="18">
        <f>SUMIF(ТабПозиции[orderNum],ТабЗаказы[[#This Row],[orderNum]],ТабПозиции[totalSumm])</f>
        <v>3395</v>
      </c>
      <c r="I73" s="18" t="str">
        <f>IFERROR(VLOOKUP(ТабЗаказы[[#This Row],[orderNum]],ТабПозиции[#Data],22,0),"")</f>
        <v>true</v>
      </c>
    </row>
    <row r="74" spans="1:9" x14ac:dyDescent="0.25">
      <c r="A74">
        <f t="shared" si="1"/>
        <v>73</v>
      </c>
      <c r="B74" s="1">
        <v>45408</v>
      </c>
      <c r="C74" t="s">
        <v>224</v>
      </c>
      <c r="D74" t="str">
        <f>VLOOKUP(ТабЗаказы[[#This Row],[client]],ТабКлиенты[[name]:[_id]],2,0)</f>
        <v>67f56eca575fff8fe23c7a57</v>
      </c>
      <c r="E74">
        <f>IFERROR(IF(ТабЗаказы[[#This Row],[orderSumm]]&gt;10000,10,VLOOKUP(ТабЗаказы[[#This Row],[client]],ТабКлиенты[[name]:[percent]],MATCH(E$1,ТабКлиенты[#Headers],0),0)),"")</f>
        <v>10</v>
      </c>
      <c r="F74" s="18">
        <f>IFERROR(SUMIF(ТабПозиции[orderNum],ТабЗаказы[[#This Row],[orderNum]],ТабПозиции[orderSumm]),"")</f>
        <v>10471</v>
      </c>
      <c r="G74" s="18">
        <f>SUMIF(ТабПозиции[orderNum],ТабЗаказы[[#This Row],[orderNum]],ТабПозиции[deliverySumm])</f>
        <v>1047</v>
      </c>
      <c r="H74" s="18">
        <f>SUMIF(ТабПозиции[orderNum],ТабЗаказы[[#This Row],[orderNum]],ТабПозиции[totalSumm])</f>
        <v>1047</v>
      </c>
      <c r="I74" s="18" t="str">
        <f>IFERROR(VLOOKUP(ТабЗаказы[[#This Row],[orderNum]],ТабПозиции[#Data],22,0),"")</f>
        <v>true</v>
      </c>
    </row>
    <row r="75" spans="1:9" x14ac:dyDescent="0.25">
      <c r="A75">
        <f t="shared" si="1"/>
        <v>74</v>
      </c>
      <c r="B75" s="1">
        <v>45408</v>
      </c>
      <c r="C75" t="s">
        <v>256</v>
      </c>
      <c r="D75" t="str">
        <f>VLOOKUP(ТабЗаказы[[#This Row],[client]],ТабКлиенты[[name]:[_id]],2,0)</f>
        <v>67f56eca575fff8fe23c7a60</v>
      </c>
      <c r="E75">
        <f>IFERROR(IF(ТабЗаказы[[#This Row],[orderSumm]]&gt;10000,10,VLOOKUP(ТабЗаказы[[#This Row],[client]],ТабКлиенты[[name]:[percent]],MATCH(E$1,ТабКлиенты[#Headers],0),0)),"")</f>
        <v>15</v>
      </c>
      <c r="F75" s="18">
        <f>IFERROR(SUMIF(ТабПозиции[orderNum],ТабЗаказы[[#This Row],[orderNum]],ТабПозиции[orderSumm]),"")</f>
        <v>4329</v>
      </c>
      <c r="G75" s="18">
        <f>SUMIF(ТабПозиции[orderNum],ТабЗаказы[[#This Row],[orderNum]],ТабПозиции[deliverySumm])</f>
        <v>649</v>
      </c>
      <c r="H75" s="18">
        <f>SUMIF(ТабПозиции[orderNum],ТабЗаказы[[#This Row],[orderNum]],ТабПозиции[totalSumm])</f>
        <v>649</v>
      </c>
      <c r="I75" s="18" t="str">
        <f>IFERROR(VLOOKUP(ТабЗаказы[[#This Row],[orderNum]],ТабПозиции[#Data],22,0),"")</f>
        <v>true</v>
      </c>
    </row>
    <row r="76" spans="1:9" x14ac:dyDescent="0.25">
      <c r="A76">
        <f t="shared" si="1"/>
        <v>75</v>
      </c>
      <c r="B76" s="1">
        <v>45405</v>
      </c>
      <c r="C76" t="s">
        <v>267</v>
      </c>
      <c r="D76" t="str">
        <f>VLOOKUP(ТабЗаказы[[#This Row],[client]],ТабКлиенты[[name]:[_id]],2,0)</f>
        <v>67f56eca575fff8fe23c7a63</v>
      </c>
      <c r="E76">
        <f>IFERROR(IF(ТабЗаказы[[#This Row],[orderSumm]]&gt;10000,10,VLOOKUP(ТабЗаказы[[#This Row],[client]],ТабКлиенты[[name]:[percent]],MATCH(E$1,ТабКлиенты[#Headers],0),0)),"")</f>
        <v>15</v>
      </c>
      <c r="F76" s="18">
        <f>IFERROR(SUMIF(ТабПозиции[orderNum],ТабЗаказы[[#This Row],[orderNum]],ТабПозиции[orderSumm]),"")</f>
        <v>4307</v>
      </c>
      <c r="G76" s="18">
        <f>SUMIF(ТабПозиции[orderNum],ТабЗаказы[[#This Row],[orderNum]],ТабПозиции[deliverySumm])</f>
        <v>645</v>
      </c>
      <c r="H76" s="18">
        <f>SUMIF(ТабПозиции[orderNum],ТабЗаказы[[#This Row],[orderNum]],ТабПозиции[totalSumm])</f>
        <v>4952</v>
      </c>
      <c r="I76" s="18" t="str">
        <f>IFERROR(VLOOKUP(ТабЗаказы[[#This Row],[orderNum]],ТабПозиции[#Data],22,0),"")</f>
        <v>true</v>
      </c>
    </row>
    <row r="77" spans="1:9" x14ac:dyDescent="0.25">
      <c r="A77">
        <f t="shared" si="1"/>
        <v>76</v>
      </c>
      <c r="B77" s="1">
        <v>45408</v>
      </c>
      <c r="C77" t="s">
        <v>231</v>
      </c>
      <c r="D77" t="str">
        <f>VLOOKUP(ТабЗаказы[[#This Row],[client]],ТабКлиенты[[name]:[_id]],2,0)</f>
        <v>67f56eca575fff8fe23c7a59</v>
      </c>
      <c r="E77">
        <f>IFERROR(IF(ТабЗаказы[[#This Row],[orderSumm]]&gt;10000,10,VLOOKUP(ТабЗаказы[[#This Row],[client]],ТабКлиенты[[name]:[percent]],MATCH(E$1,ТабКлиенты[#Headers],0),0)),"")</f>
        <v>15</v>
      </c>
      <c r="F77" s="18">
        <f>IFERROR(SUMIF(ТабПозиции[orderNum],ТабЗаказы[[#This Row],[orderNum]],ТабПозиции[orderSumm]),"")</f>
        <v>1114</v>
      </c>
      <c r="G77" s="18">
        <f>SUMIF(ТабПозиции[orderNum],ТабЗаказы[[#This Row],[orderNum]],ТабПозиции[deliverySumm])</f>
        <v>200</v>
      </c>
      <c r="H77" s="18">
        <f>SUMIF(ТабПозиции[orderNum],ТабЗаказы[[#This Row],[orderNum]],ТабПозиции[totalSumm])</f>
        <v>1314</v>
      </c>
      <c r="I77" s="18" t="str">
        <f>IFERROR(VLOOKUP(ТабЗаказы[[#This Row],[orderNum]],ТабПозиции[#Data],22,0),"")</f>
        <v>true</v>
      </c>
    </row>
    <row r="78" spans="1:9" x14ac:dyDescent="0.25">
      <c r="A78">
        <f t="shared" si="1"/>
        <v>77</v>
      </c>
      <c r="B78" s="1">
        <v>45409</v>
      </c>
      <c r="C78" t="s">
        <v>283</v>
      </c>
      <c r="D78" t="str">
        <f>VLOOKUP(ТабЗаказы[[#This Row],[client]],ТабКлиенты[[name]:[_id]],2,0)</f>
        <v>67f56eca575fff8fe23c7a67</v>
      </c>
      <c r="E78">
        <f>IFERROR(IF(ТабЗаказы[[#This Row],[orderSumm]]&gt;10000,10,VLOOKUP(ТабЗаказы[[#This Row],[client]],ТабКлиенты[[name]:[percent]],MATCH(E$1,ТабКлиенты[#Headers],0),0)),"")</f>
        <v>15</v>
      </c>
      <c r="F78" s="18">
        <f>IFERROR(SUMIF(ТабПозиции[orderNum],ТабЗаказы[[#This Row],[orderNum]],ТабПозиции[orderSumm]),"")</f>
        <v>2610</v>
      </c>
      <c r="G78" s="18">
        <f>SUMIF(ТабПозиции[orderNum],ТабЗаказы[[#This Row],[orderNum]],ТабПозиции[deliverySumm])</f>
        <v>392</v>
      </c>
      <c r="H78" s="18">
        <f>SUMIF(ТабПозиции[orderNum],ТабЗаказы[[#This Row],[orderNum]],ТабПозиции[totalSumm])</f>
        <v>3002</v>
      </c>
      <c r="I78" s="18" t="str">
        <f>IFERROR(VLOOKUP(ТабЗаказы[[#This Row],[orderNum]],ТабПозиции[#Data],22,0),"")</f>
        <v>true</v>
      </c>
    </row>
    <row r="79" spans="1:9" x14ac:dyDescent="0.25">
      <c r="A79">
        <f t="shared" si="1"/>
        <v>78</v>
      </c>
      <c r="B79" s="1">
        <v>45409</v>
      </c>
      <c r="C79" t="s">
        <v>287</v>
      </c>
      <c r="D79" t="str">
        <f>VLOOKUP(ТабЗаказы[[#This Row],[client]],ТабКлиенты[[name]:[_id]],2,0)</f>
        <v>67f56eca575fff8fe23c7a68</v>
      </c>
      <c r="E79">
        <f>IFERROR(IF(ТабЗаказы[[#This Row],[orderSumm]]&gt;10000,10,VLOOKUP(ТабЗаказы[[#This Row],[client]],ТабКлиенты[[name]:[percent]],MATCH(E$1,ТабКлиенты[#Headers],0),0)),"")</f>
        <v>15</v>
      </c>
      <c r="F79" s="18">
        <f>IFERROR(SUMIF(ТабПозиции[orderNum],ТабЗаказы[[#This Row],[orderNum]],ТабПозиции[orderSumm]),"")</f>
        <v>3621</v>
      </c>
      <c r="G79" s="18">
        <f>SUMIF(ТабПозиции[orderNum],ТабЗаказы[[#This Row],[orderNum]],ТабПозиции[deliverySumm])</f>
        <v>542</v>
      </c>
      <c r="H79" s="18">
        <f>SUMIF(ТабПозиции[orderNum],ТабЗаказы[[#This Row],[orderNum]],ТабПозиции[totalSumm])</f>
        <v>4163</v>
      </c>
      <c r="I79" s="18" t="str">
        <f>IFERROR(VLOOKUP(ТабЗаказы[[#This Row],[orderNum]],ТабПозиции[#Data],22,0),"")</f>
        <v>true</v>
      </c>
    </row>
    <row r="80" spans="1:9" x14ac:dyDescent="0.25">
      <c r="A80">
        <f t="shared" si="1"/>
        <v>79</v>
      </c>
      <c r="B80" s="1">
        <v>45410</v>
      </c>
      <c r="C80" t="s">
        <v>52</v>
      </c>
      <c r="D80" t="str">
        <f>VLOOKUP(ТабЗаказы[[#This Row],[client]],ТабКлиенты[[name]:[_id]],2,0)</f>
        <v>67f56eca575fff8fe23c7a1b</v>
      </c>
      <c r="E80">
        <f>IFERROR(IF(ТабЗаказы[[#This Row],[orderSumm]]&gt;10000,10,VLOOKUP(ТабЗаказы[[#This Row],[client]],ТабКлиенты[[name]:[percent]],MATCH(E$1,ТабКлиенты[#Headers],0),0)),"")</f>
        <v>15</v>
      </c>
      <c r="F80" s="18">
        <f>IFERROR(SUMIF(ТабПозиции[orderNum],ТабЗаказы[[#This Row],[orderNum]],ТабПозиции[orderSumm]),"")</f>
        <v>7656</v>
      </c>
      <c r="G80" s="18">
        <f>SUMIF(ТабПозиции[orderNum],ТабЗаказы[[#This Row],[orderNum]],ТабПозиции[deliverySumm])</f>
        <v>1149</v>
      </c>
      <c r="H80" s="18">
        <f>SUMIF(ТабПозиции[orderNum],ТабЗаказы[[#This Row],[orderNum]],ТабПозиции[totalSumm])</f>
        <v>8805</v>
      </c>
      <c r="I80" s="18" t="str">
        <f>IFERROR(VLOOKUP(ТабЗаказы[[#This Row],[orderNum]],ТабПозиции[#Data],22,0),"")</f>
        <v>true</v>
      </c>
    </row>
    <row r="81" spans="1:9" x14ac:dyDescent="0.25">
      <c r="A81">
        <f t="shared" si="1"/>
        <v>80</v>
      </c>
      <c r="B81" s="1">
        <v>45412</v>
      </c>
      <c r="C81" t="s">
        <v>112</v>
      </c>
      <c r="D81" t="str">
        <f>VLOOKUP(ТабЗаказы[[#This Row],[client]],ТабКлиенты[[name]:[_id]],2,0)</f>
        <v>67f56eca575fff8fe23c7a2f</v>
      </c>
      <c r="E81">
        <f>IFERROR(IF(ТабЗаказы[[#This Row],[orderSumm]]&gt;10000,10,VLOOKUP(ТабЗаказы[[#This Row],[client]],ТабКлиенты[[name]:[percent]],MATCH(E$1,ТабКлиенты[#Headers],0),0)),"")</f>
        <v>15</v>
      </c>
      <c r="F81" s="18">
        <f>IFERROR(SUMIF(ТабПозиции[orderNum],ТабЗаказы[[#This Row],[orderNum]],ТабПозиции[orderSumm]),"")</f>
        <v>2201</v>
      </c>
      <c r="G81" s="18">
        <f>SUMIF(ТабПозиции[orderNum],ТабЗаказы[[#This Row],[orderNum]],ТабПозиции[deliverySumm])</f>
        <v>330</v>
      </c>
      <c r="H81" s="18">
        <f>SUMIF(ТабПозиции[orderNum],ТабЗаказы[[#This Row],[orderNum]],ТабПозиции[totalSumm])</f>
        <v>2531</v>
      </c>
      <c r="I81" s="18" t="str">
        <f>IFERROR(VLOOKUP(ТабЗаказы[[#This Row],[orderNum]],ТабПозиции[#Data],22,0),"")</f>
        <v>true</v>
      </c>
    </row>
    <row r="82" spans="1:9" x14ac:dyDescent="0.25">
      <c r="A82">
        <f t="shared" si="1"/>
        <v>81</v>
      </c>
      <c r="B82" s="1">
        <v>45415</v>
      </c>
      <c r="C82" t="s">
        <v>85</v>
      </c>
      <c r="D82" t="str">
        <f>VLOOKUP(ТабЗаказы[[#This Row],[client]],ТабКлиенты[[name]:[_id]],2,0)</f>
        <v>67f56eca575fff8fe23c7a26</v>
      </c>
      <c r="E82">
        <f>IFERROR(IF(ТабЗаказы[[#This Row],[orderSumm]]&gt;10000,10,VLOOKUP(ТабЗаказы[[#This Row],[client]],ТабКлиенты[[name]:[percent]],MATCH(E$1,ТабКлиенты[#Headers],0),0)),"")</f>
        <v>15</v>
      </c>
      <c r="F82" s="18">
        <f>IFERROR(SUMIF(ТабПозиции[orderNum],ТабЗаказы[[#This Row],[orderNum]],ТабПозиции[orderSumm]),"")</f>
        <v>7739</v>
      </c>
      <c r="G82" s="18">
        <f>SUMIF(ТабПозиции[orderNum],ТабЗаказы[[#This Row],[orderNum]],ТабПозиции[deliverySumm])</f>
        <v>1161</v>
      </c>
      <c r="H82" s="18">
        <f>SUMIF(ТабПозиции[orderNum],ТабЗаказы[[#This Row],[orderNum]],ТабПозиции[totalSumm])</f>
        <v>8900</v>
      </c>
      <c r="I82" s="18" t="str">
        <f>IFERROR(VLOOKUP(ТабЗаказы[[#This Row],[orderNum]],ТабПозиции[#Data],22,0),"")</f>
        <v>true</v>
      </c>
    </row>
    <row r="83" spans="1:9" x14ac:dyDescent="0.25">
      <c r="A83">
        <f t="shared" si="1"/>
        <v>82</v>
      </c>
      <c r="B83" s="1">
        <v>45415</v>
      </c>
      <c r="C83" t="s">
        <v>231</v>
      </c>
      <c r="D83" t="str">
        <f>VLOOKUP(ТабЗаказы[[#This Row],[client]],ТабКлиенты[[name]:[_id]],2,0)</f>
        <v>67f56eca575fff8fe23c7a59</v>
      </c>
      <c r="E83">
        <f>IFERROR(IF(ТабЗаказы[[#This Row],[orderSumm]]&gt;10000,10,VLOOKUP(ТабЗаказы[[#This Row],[client]],ТабКлиенты[[name]:[percent]],MATCH(E$1,ТабКлиенты[#Headers],0),0)),"")</f>
        <v>15</v>
      </c>
      <c r="F83" s="18">
        <f>IFERROR(SUMIF(ТабПозиции[orderNum],ТабЗаказы[[#This Row],[orderNum]],ТабПозиции[orderSumm]),"")</f>
        <v>2989</v>
      </c>
      <c r="G83" s="18">
        <f>SUMIF(ТабПозиции[orderNum],ТабЗаказы[[#This Row],[orderNum]],ТабПозиции[deliverySumm])</f>
        <v>449</v>
      </c>
      <c r="H83" s="18">
        <f>SUMIF(ТабПозиции[orderNum],ТабЗаказы[[#This Row],[orderNum]],ТабПозиции[totalSumm])</f>
        <v>3438</v>
      </c>
      <c r="I83" s="18" t="str">
        <f>IFERROR(VLOOKUP(ТабЗаказы[[#This Row],[orderNum]],ТабПозиции[#Data],22,0),"")</f>
        <v>true</v>
      </c>
    </row>
    <row r="84" spans="1:9" x14ac:dyDescent="0.25">
      <c r="A84">
        <f t="shared" si="1"/>
        <v>83</v>
      </c>
      <c r="B84" s="1">
        <v>45415</v>
      </c>
      <c r="C84" t="s">
        <v>204</v>
      </c>
      <c r="D84" t="str">
        <f>VLOOKUP(ТабЗаказы[[#This Row],[client]],ТабКлиенты[[name]:[_id]],2,0)</f>
        <v>67f56eca575fff8fe23c7a50</v>
      </c>
      <c r="E84">
        <f>IFERROR(IF(ТабЗаказы[[#This Row],[orderSumm]]&gt;10000,10,VLOOKUP(ТабЗаказы[[#This Row],[client]],ТабКлиенты[[name]:[percent]],MATCH(E$1,ТабКлиенты[#Headers],0),0)),"")</f>
        <v>10</v>
      </c>
      <c r="F84" s="18">
        <f>IFERROR(SUMIF(ТабПозиции[orderNum],ТабЗаказы[[#This Row],[orderNum]],ТабПозиции[orderSumm]),"")</f>
        <v>6111</v>
      </c>
      <c r="G84" s="18">
        <f>SUMIF(ТабПозиции[orderNum],ТабЗаказы[[#This Row],[orderNum]],ТабПозиции[deliverySumm])</f>
        <v>612</v>
      </c>
      <c r="H84" s="18">
        <f>SUMIF(ТабПозиции[orderNum],ТабЗаказы[[#This Row],[orderNum]],ТабПозиции[totalSumm])</f>
        <v>6723</v>
      </c>
      <c r="I84" s="18" t="str">
        <f>IFERROR(VLOOKUP(ТабЗаказы[[#This Row],[orderNum]],ТабПозиции[#Data],22,0),"")</f>
        <v>true</v>
      </c>
    </row>
    <row r="85" spans="1:9" x14ac:dyDescent="0.25">
      <c r="A85">
        <f t="shared" si="1"/>
        <v>84</v>
      </c>
      <c r="B85" s="1">
        <v>45416</v>
      </c>
      <c r="C85" t="s">
        <v>224</v>
      </c>
      <c r="D85" t="str">
        <f>VLOOKUP(ТабЗаказы[[#This Row],[client]],ТабКлиенты[[name]:[_id]],2,0)</f>
        <v>67f56eca575fff8fe23c7a57</v>
      </c>
      <c r="E85">
        <f>IFERROR(IF(ТабЗаказы[[#This Row],[orderSumm]]&gt;10000,10,VLOOKUP(ТабЗаказы[[#This Row],[client]],ТабКлиенты[[name]:[percent]],MATCH(E$1,ТабКлиенты[#Headers],0),0)),"")</f>
        <v>10</v>
      </c>
      <c r="F85" s="18">
        <f>IFERROR(SUMIF(ТабПозиции[orderNum],ТабЗаказы[[#This Row],[orderNum]],ТабПозиции[orderSumm]),"")</f>
        <v>6297</v>
      </c>
      <c r="G85" s="18">
        <f>SUMIF(ТабПозиции[orderNum],ТабЗаказы[[#This Row],[orderNum]],ТабПозиции[deliverySumm])</f>
        <v>630</v>
      </c>
      <c r="H85" s="18">
        <f>SUMIF(ТабПозиции[orderNum],ТабЗаказы[[#This Row],[orderNum]],ТабПозиции[totalSumm])</f>
        <v>630</v>
      </c>
      <c r="I85" s="18" t="str">
        <f>IFERROR(VLOOKUP(ТабЗаказы[[#This Row],[orderNum]],ТабПозиции[#Data],22,0),"")</f>
        <v>true</v>
      </c>
    </row>
    <row r="86" spans="1:9" x14ac:dyDescent="0.25">
      <c r="A86">
        <f t="shared" si="1"/>
        <v>85</v>
      </c>
      <c r="B86" s="1">
        <v>45416</v>
      </c>
      <c r="C86" t="s">
        <v>291</v>
      </c>
      <c r="D86" t="str">
        <f>VLOOKUP(ТабЗаказы[[#This Row],[client]],ТабКлиенты[[name]:[_id]],2,0)</f>
        <v>67f56eca575fff8fe23c7a69</v>
      </c>
      <c r="E86">
        <f>IFERROR(IF(ТабЗаказы[[#This Row],[orderSumm]]&gt;10000,10,VLOOKUP(ТабЗаказы[[#This Row],[client]],ТабКлиенты[[name]:[percent]],MATCH(E$1,ТабКлиенты[#Headers],0),0)),"")</f>
        <v>15</v>
      </c>
      <c r="F86" s="18">
        <f>IFERROR(SUMIF(ТабПозиции[orderNum],ТабЗаказы[[#This Row],[orderNum]],ТабПозиции[orderSumm]),"")</f>
        <v>500</v>
      </c>
      <c r="G86" s="18">
        <f>SUMIF(ТабПозиции[orderNum],ТабЗаказы[[#This Row],[orderNum]],ТабПозиции[deliverySumm])</f>
        <v>200</v>
      </c>
      <c r="H86" s="18">
        <f>SUMIF(ТабПозиции[orderNum],ТабЗаказы[[#This Row],[orderNum]],ТабПозиции[totalSumm])</f>
        <v>400</v>
      </c>
      <c r="I86" s="18" t="str">
        <f>IFERROR(VLOOKUP(ТабЗаказы[[#This Row],[orderNum]],ТабПозиции[#Data],22,0),"")</f>
        <v>true</v>
      </c>
    </row>
    <row r="87" spans="1:9" x14ac:dyDescent="0.25">
      <c r="A87">
        <f t="shared" si="1"/>
        <v>86</v>
      </c>
      <c r="B87" s="1">
        <v>45418</v>
      </c>
      <c r="C87" t="s">
        <v>52</v>
      </c>
      <c r="D87" t="str">
        <f>VLOOKUP(ТабЗаказы[[#This Row],[client]],ТабКлиенты[[name]:[_id]],2,0)</f>
        <v>67f56eca575fff8fe23c7a1b</v>
      </c>
      <c r="E87">
        <f>IFERROR(IF(ТабЗаказы[[#This Row],[orderSumm]]&gt;10000,10,VLOOKUP(ТабЗаказы[[#This Row],[client]],ТабКлиенты[[name]:[percent]],MATCH(E$1,ТабКлиенты[#Headers],0),0)),"")</f>
        <v>15</v>
      </c>
      <c r="F87" s="18">
        <f>IFERROR(SUMIF(ТабПозиции[orderNum],ТабЗаказы[[#This Row],[orderNum]],ТабПозиции[orderSumm]),"")</f>
        <v>1687</v>
      </c>
      <c r="G87" s="18">
        <f>SUMIF(ТабПозиции[orderNum],ТабЗаказы[[#This Row],[orderNum]],ТабПозиции[deliverySumm])</f>
        <v>254</v>
      </c>
      <c r="H87" s="18">
        <f>SUMIF(ТабПозиции[orderNum],ТабЗаказы[[#This Row],[orderNum]],ТабПозиции[totalSumm])</f>
        <v>1941</v>
      </c>
      <c r="I87" s="18" t="str">
        <f>IFERROR(VLOOKUP(ТабЗаказы[[#This Row],[orderNum]],ТабПозиции[#Data],22,0),"")</f>
        <v>true</v>
      </c>
    </row>
    <row r="88" spans="1:9" x14ac:dyDescent="0.25">
      <c r="A88">
        <f t="shared" si="1"/>
        <v>87</v>
      </c>
      <c r="B88" s="1">
        <v>45418</v>
      </c>
      <c r="C88" t="s">
        <v>292</v>
      </c>
      <c r="D88" t="str">
        <f>VLOOKUP(ТабЗаказы[[#This Row],[client]],ТабКлиенты[[name]:[_id]],2,0)</f>
        <v>67f56eca575fff8fe23c7a6a</v>
      </c>
      <c r="E88">
        <f>IFERROR(IF(ТабЗаказы[[#This Row],[orderSumm]]&gt;10000,10,VLOOKUP(ТабЗаказы[[#This Row],[client]],ТабКлиенты[[name]:[percent]],MATCH(E$1,ТабКлиенты[#Headers],0),0)),"")</f>
        <v>15</v>
      </c>
      <c r="F88" s="18">
        <f>IFERROR(SUMIF(ТабПозиции[orderNum],ТабЗаказы[[#This Row],[orderNum]],ТабПозиции[orderSumm]),"")</f>
        <v>1517</v>
      </c>
      <c r="G88" s="18">
        <f>SUMIF(ТабПозиции[orderNum],ТабЗаказы[[#This Row],[orderNum]],ТабПозиции[deliverySumm])</f>
        <v>228</v>
      </c>
      <c r="H88" s="18">
        <f>SUMIF(ТабПозиции[orderNum],ТабЗаказы[[#This Row],[orderNum]],ТабПозиции[totalSumm])</f>
        <v>1745</v>
      </c>
      <c r="I88" s="18" t="str">
        <f>IFERROR(VLOOKUP(ТабЗаказы[[#This Row],[orderNum]],ТабПозиции[#Data],22,0),"")</f>
        <v>true</v>
      </c>
    </row>
    <row r="89" spans="1:9" x14ac:dyDescent="0.25">
      <c r="A89">
        <f t="shared" si="1"/>
        <v>88</v>
      </c>
      <c r="B89" s="1">
        <v>45418</v>
      </c>
      <c r="C89" t="s">
        <v>231</v>
      </c>
      <c r="D89" t="str">
        <f>VLOOKUP(ТабЗаказы[[#This Row],[client]],ТабКлиенты[[name]:[_id]],2,0)</f>
        <v>67f56eca575fff8fe23c7a59</v>
      </c>
      <c r="E89">
        <f>IFERROR(IF(ТабЗаказы[[#This Row],[orderSumm]]&gt;10000,10,VLOOKUP(ТабЗаказы[[#This Row],[client]],ТабКлиенты[[name]:[percent]],MATCH(E$1,ТабКлиенты[#Headers],0),0)),"")</f>
        <v>10</v>
      </c>
      <c r="F89" s="18">
        <f>IFERROR(SUMIF(ТабПозиции[orderNum],ТабЗаказы[[#This Row],[orderNum]],ТабПозиции[orderSumm]),"")</f>
        <v>14840</v>
      </c>
      <c r="G89" s="18">
        <f>SUMIF(ТабПозиции[orderNum],ТабЗаказы[[#This Row],[orderNum]],ТабПозиции[deliverySumm])</f>
        <v>1484</v>
      </c>
      <c r="H89" s="18">
        <f>SUMIF(ТабПозиции[orderNum],ТабЗаказы[[#This Row],[orderNum]],ТабПозиции[totalSumm])</f>
        <v>16324</v>
      </c>
      <c r="I89" s="18" t="str">
        <f>IFERROR(VLOOKUP(ТабЗаказы[[#This Row],[orderNum]],ТабПозиции[#Data],22,0),"")</f>
        <v>true</v>
      </c>
    </row>
    <row r="90" spans="1:9" x14ac:dyDescent="0.25">
      <c r="A90">
        <f t="shared" si="1"/>
        <v>89</v>
      </c>
      <c r="B90" s="1">
        <v>45419</v>
      </c>
      <c r="C90" t="s">
        <v>104</v>
      </c>
      <c r="D90" t="str">
        <f>VLOOKUP(ТабЗаказы[[#This Row],[client]],ТабКлиенты[[name]:[_id]],2,0)</f>
        <v>67f56eca575fff8fe23c7a2d</v>
      </c>
      <c r="E90">
        <f>IFERROR(IF(ТабЗаказы[[#This Row],[orderSumm]]&gt;10000,10,VLOOKUP(ТабЗаказы[[#This Row],[client]],ТабКлиенты[[name]:[percent]],MATCH(E$1,ТабКлиенты[#Headers],0),0)),"")</f>
        <v>10</v>
      </c>
      <c r="F90" s="18">
        <f>IFERROR(SUMIF(ТабПозиции[orderNum],ТабЗаказы[[#This Row],[orderNum]],ТабПозиции[orderSumm]),"")</f>
        <v>33649</v>
      </c>
      <c r="G90" s="18">
        <f>SUMIF(ТабПозиции[orderNum],ТабЗаказы[[#This Row],[orderNum]],ТабПозиции[deliverySumm])</f>
        <v>3365</v>
      </c>
      <c r="H90" s="18">
        <f>SUMIF(ТабПозиции[orderNum],ТабЗаказы[[#This Row],[orderNum]],ТабПозиции[totalSumm])</f>
        <v>12365</v>
      </c>
      <c r="I90" s="18" t="str">
        <f>IFERROR(VLOOKUP(ТабЗаказы[[#This Row],[orderNum]],ТабПозиции[#Data],22,0),"")</f>
        <v>true</v>
      </c>
    </row>
    <row r="91" spans="1:9" x14ac:dyDescent="0.25">
      <c r="A91">
        <f t="shared" si="1"/>
        <v>90</v>
      </c>
      <c r="B91" s="1">
        <v>45416</v>
      </c>
      <c r="C91" t="s">
        <v>295</v>
      </c>
      <c r="D91" t="str">
        <f>VLOOKUP(ТабЗаказы[[#This Row],[client]],ТабКлиенты[[name]:[_id]],2,0)</f>
        <v>67f56eca575fff8fe23c7a6b</v>
      </c>
      <c r="E91">
        <f>IFERROR(IF(ТабЗаказы[[#This Row],[orderSumm]]&gt;10000,10,VLOOKUP(ТабЗаказы[[#This Row],[client]],ТабКлиенты[[name]:[percent]],MATCH(E$1,ТабКлиенты[#Headers],0),0)),"")</f>
        <v>10</v>
      </c>
      <c r="F91" s="18">
        <f>IFERROR(SUMIF(ТабПозиции[orderNum],ТабЗаказы[[#This Row],[orderNum]],ТабПозиции[orderSumm]),"")</f>
        <v>25999</v>
      </c>
      <c r="G91" s="18">
        <f>SUMIF(ТабПозиции[orderNum],ТабЗаказы[[#This Row],[orderNum]],ТабПозиции[deliverySumm])</f>
        <v>2600</v>
      </c>
      <c r="H91" s="18">
        <f>SUMIF(ТабПозиции[orderNum],ТабЗаказы[[#This Row],[orderNum]],ТабПозиции[totalSumm])</f>
        <v>28599</v>
      </c>
      <c r="I91" s="18" t="str">
        <f>IFERROR(VLOOKUP(ТабЗаказы[[#This Row],[orderNum]],ТабПозиции[#Data],22,0),"")</f>
        <v>true</v>
      </c>
    </row>
    <row r="92" spans="1:9" x14ac:dyDescent="0.25">
      <c r="A92">
        <f t="shared" si="1"/>
        <v>91</v>
      </c>
      <c r="B92" s="1">
        <v>45422</v>
      </c>
      <c r="C92" t="s">
        <v>112</v>
      </c>
      <c r="D92" t="str">
        <f>VLOOKUP(ТабЗаказы[[#This Row],[client]],ТабКлиенты[[name]:[_id]],2,0)</f>
        <v>67f56eca575fff8fe23c7a2f</v>
      </c>
      <c r="E92">
        <f>IFERROR(IF(ТабЗаказы[[#This Row],[orderSumm]]&gt;10000,10,VLOOKUP(ТабЗаказы[[#This Row],[client]],ТабКлиенты[[name]:[percent]],MATCH(E$1,ТабКлиенты[#Headers],0),0)),"")</f>
        <v>15</v>
      </c>
      <c r="F92" s="18">
        <f>IFERROR(SUMIF(ТабПозиции[orderNum],ТабЗаказы[[#This Row],[orderNum]],ТабПозиции[orderSumm]),"")</f>
        <v>4597</v>
      </c>
      <c r="G92" s="18">
        <f>SUMIF(ТабПозиции[orderNum],ТабЗаказы[[#This Row],[orderNum]],ТабПозиции[deliverySumm])</f>
        <v>690</v>
      </c>
      <c r="H92" s="18">
        <f>SUMIF(ТабПозиции[orderNum],ТабЗаказы[[#This Row],[orderNum]],ТабПозиции[totalSumm])</f>
        <v>5287</v>
      </c>
      <c r="I92" s="18" t="str">
        <f>IFERROR(VLOOKUP(ТабЗаказы[[#This Row],[orderNum]],ТабПозиции[#Data],22,0),"")</f>
        <v>true</v>
      </c>
    </row>
    <row r="93" spans="1:9" x14ac:dyDescent="0.25">
      <c r="A93">
        <f t="shared" si="1"/>
        <v>92</v>
      </c>
      <c r="B93" s="1">
        <v>45422</v>
      </c>
      <c r="C93" t="s">
        <v>287</v>
      </c>
      <c r="D93" t="str">
        <f>VLOOKUP(ТабЗаказы[[#This Row],[client]],ТабКлиенты[[name]:[_id]],2,0)</f>
        <v>67f56eca575fff8fe23c7a68</v>
      </c>
      <c r="E93">
        <f>IFERROR(IF(ТабЗаказы[[#This Row],[orderSumm]]&gt;10000,10,VLOOKUP(ТабЗаказы[[#This Row],[client]],ТабКлиенты[[name]:[percent]],MATCH(E$1,ТабКлиенты[#Headers],0),0)),"")</f>
        <v>15</v>
      </c>
      <c r="F93" s="18">
        <f>IFERROR(SUMIF(ТабПозиции[orderNum],ТабЗаказы[[#This Row],[orderNum]],ТабПозиции[orderSumm]),"")</f>
        <v>3980</v>
      </c>
      <c r="G93" s="18">
        <f>SUMIF(ТабПозиции[orderNum],ТабЗаказы[[#This Row],[orderNum]],ТабПозиции[deliverySumm])</f>
        <v>598</v>
      </c>
      <c r="H93" s="18">
        <f>SUMIF(ТабПозиции[orderNum],ТабЗаказы[[#This Row],[orderNum]],ТабПозиции[totalSumm])</f>
        <v>4578</v>
      </c>
      <c r="I93" s="18" t="str">
        <f>IFERROR(VLOOKUP(ТабЗаказы[[#This Row],[orderNum]],ТабПозиции[#Data],22,0),"")</f>
        <v>true</v>
      </c>
    </row>
    <row r="94" spans="1:9" x14ac:dyDescent="0.25">
      <c r="A94">
        <f t="shared" si="1"/>
        <v>93</v>
      </c>
      <c r="B94" s="1">
        <v>45422</v>
      </c>
      <c r="C94" t="s">
        <v>97</v>
      </c>
      <c r="D94" t="str">
        <f>VLOOKUP(ТабЗаказы[[#This Row],[client]],ТабКлиенты[[name]:[_id]],2,0)</f>
        <v>67f56eca575fff8fe23c7a2a</v>
      </c>
      <c r="E94">
        <f>IFERROR(IF(ТабЗаказы[[#This Row],[orderSumm]]&gt;10000,10,VLOOKUP(ТабЗаказы[[#This Row],[client]],ТабКлиенты[[name]:[percent]],MATCH(E$1,ТабКлиенты[#Headers],0),0)),"")</f>
        <v>10</v>
      </c>
      <c r="F94" s="18">
        <f>IFERROR(SUMIF(ТабПозиции[orderNum],ТабЗаказы[[#This Row],[orderNum]],ТабПозиции[orderSumm]),"")</f>
        <v>6634</v>
      </c>
      <c r="G94" s="18">
        <f>SUMIF(ТабПозиции[orderNum],ТабЗаказы[[#This Row],[orderNum]],ТабПозиции[deliverySumm])</f>
        <v>663</v>
      </c>
      <c r="H94" s="18">
        <f>SUMIF(ТабПозиции[orderNum],ТабЗаказы[[#This Row],[orderNum]],ТабПозиции[totalSumm])</f>
        <v>663</v>
      </c>
      <c r="I94" s="18" t="str">
        <f>IFERROR(VLOOKUP(ТабЗаказы[[#This Row],[orderNum]],ТабПозиции[#Data],22,0),"")</f>
        <v>true</v>
      </c>
    </row>
    <row r="95" spans="1:9" x14ac:dyDescent="0.25">
      <c r="A95">
        <f t="shared" si="1"/>
        <v>94</v>
      </c>
      <c r="B95" s="1">
        <v>45422</v>
      </c>
      <c r="C95" t="s">
        <v>224</v>
      </c>
      <c r="D95" t="str">
        <f>VLOOKUP(ТабЗаказы[[#This Row],[client]],ТабКлиенты[[name]:[_id]],2,0)</f>
        <v>67f56eca575fff8fe23c7a57</v>
      </c>
      <c r="E95">
        <f>IFERROR(IF(ТабЗаказы[[#This Row],[orderSumm]]&gt;10000,10,VLOOKUP(ТабЗаказы[[#This Row],[client]],ТабКлиенты[[name]:[percent]],MATCH(E$1,ТабКлиенты[#Headers],0),0)),"")</f>
        <v>10</v>
      </c>
      <c r="F95" s="18">
        <f>IFERROR(SUMIF(ТабПозиции[orderNum],ТабЗаказы[[#This Row],[orderNum]],ТабПозиции[orderSumm]),"")</f>
        <v>667</v>
      </c>
      <c r="G95" s="18">
        <f>SUMIF(ТабПозиции[orderNum],ТабЗаказы[[#This Row],[orderNum]],ТабПозиции[deliverySumm])</f>
        <v>200</v>
      </c>
      <c r="H95" s="18">
        <f>SUMIF(ТабПозиции[orderNum],ТабЗаказы[[#This Row],[orderNum]],ТабПозиции[totalSumm])</f>
        <v>200</v>
      </c>
      <c r="I95" s="18" t="str">
        <f>IFERROR(VLOOKUP(ТабЗаказы[[#This Row],[orderNum]],ТабПозиции[#Data],22,0),"")</f>
        <v>true</v>
      </c>
    </row>
    <row r="96" spans="1:9" x14ac:dyDescent="0.25">
      <c r="A96">
        <f t="shared" si="1"/>
        <v>95</v>
      </c>
      <c r="B96" s="1">
        <v>45423</v>
      </c>
      <c r="C96" t="s">
        <v>231</v>
      </c>
      <c r="D96" t="str">
        <f>VLOOKUP(ТабЗаказы[[#This Row],[client]],ТабКлиенты[[name]:[_id]],2,0)</f>
        <v>67f56eca575fff8fe23c7a59</v>
      </c>
      <c r="E96">
        <f>IFERROR(IF(ТабЗаказы[[#This Row],[orderSumm]]&gt;10000,10,VLOOKUP(ТабЗаказы[[#This Row],[client]],ТабКлиенты[[name]:[percent]],MATCH(E$1,ТабКлиенты[#Headers],0),0)),"")</f>
        <v>15</v>
      </c>
      <c r="F96" s="18">
        <f>IFERROR(SUMIF(ТабПозиции[orderNum],ТабЗаказы[[#This Row],[orderNum]],ТабПозиции[orderSumm]),"")</f>
        <v>3139</v>
      </c>
      <c r="G96" s="18">
        <f>SUMIF(ТабПозиции[orderNum],ТабЗаказы[[#This Row],[orderNum]],ТабПозиции[deliverySumm])</f>
        <v>471</v>
      </c>
      <c r="H96" s="18">
        <f>SUMIF(ТабПозиции[orderNum],ТабЗаказы[[#This Row],[orderNum]],ТабПозиции[totalSumm])</f>
        <v>3610</v>
      </c>
      <c r="I96" s="18" t="str">
        <f>IFERROR(VLOOKUP(ТабЗаказы[[#This Row],[orderNum]],ТабПозиции[#Data],22,0),"")</f>
        <v>true</v>
      </c>
    </row>
    <row r="97" spans="1:9" x14ac:dyDescent="0.25">
      <c r="A97">
        <f t="shared" si="1"/>
        <v>96</v>
      </c>
      <c r="B97" s="1">
        <v>45423</v>
      </c>
      <c r="C97" t="s">
        <v>11</v>
      </c>
      <c r="D97" t="str">
        <f>VLOOKUP(ТабЗаказы[[#This Row],[client]],ТабКлиенты[[name]:[_id]],2,0)</f>
        <v>67f56eca575fff8fe23c7a0e</v>
      </c>
      <c r="E97">
        <f>IFERROR(IF(ТабЗаказы[[#This Row],[orderSumm]]&gt;10000,10,VLOOKUP(ТабЗаказы[[#This Row],[client]],ТабКлиенты[[name]:[percent]],MATCH(E$1,ТабКлиенты[#Headers],0),0)),"")</f>
        <v>15</v>
      </c>
      <c r="F97" s="18">
        <f>IFERROR(SUMIF(ТабПозиции[orderNum],ТабЗаказы[[#This Row],[orderNum]],ТабПозиции[orderSumm]),"")</f>
        <v>3329</v>
      </c>
      <c r="G97" s="18">
        <f>SUMIF(ТабПозиции[orderNum],ТабЗаказы[[#This Row],[orderNum]],ТабПозиции[deliverySumm])</f>
        <v>501</v>
      </c>
      <c r="H97" s="18">
        <f>SUMIF(ТабПозиции[orderNum],ТабЗаказы[[#This Row],[orderNum]],ТабПозиции[totalSumm])</f>
        <v>3830</v>
      </c>
      <c r="I97" s="18" t="str">
        <f>IFERROR(VLOOKUP(ТабЗаказы[[#This Row],[orderNum]],ТабПозиции[#Data],22,0),"")</f>
        <v>true</v>
      </c>
    </row>
    <row r="98" spans="1:9" x14ac:dyDescent="0.25">
      <c r="A98">
        <f t="shared" si="1"/>
        <v>97</v>
      </c>
      <c r="B98" s="1">
        <v>45425</v>
      </c>
      <c r="C98" t="s">
        <v>33</v>
      </c>
      <c r="D98" t="str">
        <f>VLOOKUP(ТабЗаказы[[#This Row],[client]],ТабКлиенты[[name]:[_id]],2,0)</f>
        <v>67f56eca575fff8fe23c7a15</v>
      </c>
      <c r="E98">
        <f>IFERROR(IF(ТабЗаказы[[#This Row],[orderSumm]]&gt;10000,10,VLOOKUP(ТабЗаказы[[#This Row],[client]],ТабКлиенты[[name]:[percent]],MATCH(E$1,ТабКлиенты[#Headers],0),0)),"")</f>
        <v>15</v>
      </c>
      <c r="F98" s="18">
        <f>IFERROR(SUMIF(ТабПозиции[orderNum],ТабЗаказы[[#This Row],[orderNum]],ТабПозиции[orderSumm]),"")</f>
        <v>6553</v>
      </c>
      <c r="G98" s="18">
        <f>SUMIF(ТабПозиции[orderNum],ТабЗаказы[[#This Row],[orderNum]],ТабПозиции[deliverySumm])</f>
        <v>983</v>
      </c>
      <c r="H98" s="18">
        <f>SUMIF(ТабПозиции[orderNum],ТабЗаказы[[#This Row],[orderNum]],ТабПозиции[totalSumm])</f>
        <v>8441</v>
      </c>
      <c r="I98" s="18" t="str">
        <f>IFERROR(VLOOKUP(ТабЗаказы[[#This Row],[orderNum]],ТабПозиции[#Data],22,0),"")</f>
        <v>true</v>
      </c>
    </row>
    <row r="99" spans="1:9" x14ac:dyDescent="0.25">
      <c r="A99">
        <f t="shared" si="1"/>
        <v>98</v>
      </c>
      <c r="B99" s="1">
        <v>45425</v>
      </c>
      <c r="C99" t="s">
        <v>52</v>
      </c>
      <c r="D99" t="str">
        <f>VLOOKUP(ТабЗаказы[[#This Row],[client]],ТабКлиенты[[name]:[_id]],2,0)</f>
        <v>67f56eca575fff8fe23c7a1b</v>
      </c>
      <c r="E99">
        <f>IFERROR(IF(ТабЗаказы[[#This Row],[orderSumm]]&gt;10000,10,VLOOKUP(ТабЗаказы[[#This Row],[client]],ТабКлиенты[[name]:[percent]],MATCH(E$1,ТабКлиенты[#Headers],0),0)),"")</f>
        <v>15</v>
      </c>
      <c r="F99" s="18">
        <f>IFERROR(SUMIF(ТабПозиции[orderNum],ТабЗаказы[[#This Row],[orderNum]],ТабПозиции[orderSumm]),"")</f>
        <v>-3358</v>
      </c>
      <c r="G99" s="18">
        <f>SUMIF(ТабПозиции[orderNum],ТабЗаказы[[#This Row],[orderNum]],ТабПозиции[deliverySumm])</f>
        <v>504</v>
      </c>
      <c r="H99" s="18">
        <f>SUMIF(ТабПозиции[orderNum],ТабЗаказы[[#This Row],[orderNum]],ТабПозиции[totalSumm])</f>
        <v>-2854</v>
      </c>
      <c r="I99" s="18" t="str">
        <f>IFERROR(VLOOKUP(ТабЗаказы[[#This Row],[orderNum]],ТабПозиции[#Data],22,0),"")</f>
        <v>true</v>
      </c>
    </row>
    <row r="100" spans="1:9" x14ac:dyDescent="0.25">
      <c r="A100">
        <f t="shared" si="1"/>
        <v>99</v>
      </c>
      <c r="B100" s="1">
        <v>45425</v>
      </c>
      <c r="C100" t="s">
        <v>11</v>
      </c>
      <c r="D100" t="str">
        <f>VLOOKUP(ТабЗаказы[[#This Row],[client]],ТабКлиенты[[name]:[_id]],2,0)</f>
        <v>67f56eca575fff8fe23c7a0e</v>
      </c>
      <c r="E100">
        <f>IFERROR(IF(ТабЗаказы[[#This Row],[orderSumm]]&gt;10000,10,VLOOKUP(ТабЗаказы[[#This Row],[client]],ТабКлиенты[[name]:[percent]],MATCH(E$1,ТабКлиенты[#Headers],0),0)),"")</f>
        <v>15</v>
      </c>
      <c r="F100" s="18">
        <f>IFERROR(SUMIF(ТабПозиции[orderNum],ТабЗаказы[[#This Row],[orderNum]],ТабПозиции[orderSumm]),"")</f>
        <v>2216</v>
      </c>
      <c r="G100" s="18">
        <f>SUMIF(ТабПозиции[orderNum],ТабЗаказы[[#This Row],[orderNum]],ТабПозиции[deliverySumm])</f>
        <v>333</v>
      </c>
      <c r="H100" s="18">
        <f>SUMIF(ТабПозиции[orderNum],ТабЗаказы[[#This Row],[orderNum]],ТабПозиции[totalSumm])</f>
        <v>2549</v>
      </c>
      <c r="I100" s="18" t="str">
        <f>IFERROR(VLOOKUP(ТабЗаказы[[#This Row],[orderNum]],ТабПозиции[#Data],22,0),"")</f>
        <v>true</v>
      </c>
    </row>
    <row r="101" spans="1:9" x14ac:dyDescent="0.25">
      <c r="A101">
        <f t="shared" si="1"/>
        <v>100</v>
      </c>
      <c r="B101" s="1">
        <v>45425</v>
      </c>
      <c r="C101" t="s">
        <v>127</v>
      </c>
      <c r="D101" t="str">
        <f>VLOOKUP(ТабЗаказы[[#This Row],[client]],ТабКлиенты[[name]:[_id]],2,0)</f>
        <v>67f56eca575fff8fe23c7a33</v>
      </c>
      <c r="E101">
        <f>IFERROR(IF(ТабЗаказы[[#This Row],[orderSumm]]&gt;10000,10,VLOOKUP(ТабЗаказы[[#This Row],[client]],ТабКлиенты[[name]:[percent]],MATCH(E$1,ТабКлиенты[#Headers],0),0)),"")</f>
        <v>15</v>
      </c>
      <c r="F101" s="18">
        <f>IFERROR(SUMIF(ТабПозиции[orderNum],ТабЗаказы[[#This Row],[orderNum]],ТабПозиции[orderSumm]),"")</f>
        <v>1645</v>
      </c>
      <c r="G101" s="18">
        <f>SUMIF(ТабПозиции[orderNum],ТабЗаказы[[#This Row],[orderNum]],ТабПозиции[deliverySumm])</f>
        <v>247</v>
      </c>
      <c r="H101" s="18">
        <f>SUMIF(ТабПозиции[orderNum],ТабЗаказы[[#This Row],[orderNum]],ТабПозиции[totalSumm])</f>
        <v>1892</v>
      </c>
      <c r="I101" s="18" t="str">
        <f>IFERROR(VLOOKUP(ТабЗаказы[[#This Row],[orderNum]],ТабПозиции[#Data],22,0),"")</f>
        <v>true</v>
      </c>
    </row>
    <row r="102" spans="1:9" x14ac:dyDescent="0.25">
      <c r="A102">
        <f t="shared" si="1"/>
        <v>101</v>
      </c>
      <c r="B102" s="1">
        <v>45425</v>
      </c>
      <c r="C102" t="s">
        <v>85</v>
      </c>
      <c r="D102" t="str">
        <f>VLOOKUP(ТабЗаказы[[#This Row],[client]],ТабКлиенты[[name]:[_id]],2,0)</f>
        <v>67f56eca575fff8fe23c7a26</v>
      </c>
      <c r="E102">
        <f>IFERROR(IF(ТабЗаказы[[#This Row],[orderSumm]]&gt;10000,10,VLOOKUP(ТабЗаказы[[#This Row],[client]],ТабКлиенты[[name]:[percent]],MATCH(E$1,ТабКлиенты[#Headers],0),0)),"")</f>
        <v>15</v>
      </c>
      <c r="F102" s="18">
        <f>IFERROR(SUMIF(ТабПозиции[orderNum],ТабЗаказы[[#This Row],[orderNum]],ТабПозиции[orderSumm]),"")</f>
        <v>8716</v>
      </c>
      <c r="G102" s="18">
        <f>SUMIF(ТабПозиции[orderNum],ТабЗаказы[[#This Row],[orderNum]],ТабПозиции[deliverySumm])</f>
        <v>1309</v>
      </c>
      <c r="H102" s="18">
        <f>SUMIF(ТабПозиции[orderNum],ТабЗаказы[[#This Row],[orderNum]],ТабПозиции[totalSumm])</f>
        <v>10025</v>
      </c>
      <c r="I102" s="18" t="str">
        <f>IFERROR(VLOOKUP(ТабЗаказы[[#This Row],[orderNum]],ТабПозиции[#Data],22,0),"")</f>
        <v>true</v>
      </c>
    </row>
    <row r="103" spans="1:9" x14ac:dyDescent="0.25">
      <c r="A103">
        <f t="shared" si="1"/>
        <v>102</v>
      </c>
      <c r="B103" s="1">
        <v>45425</v>
      </c>
      <c r="C103" t="s">
        <v>519</v>
      </c>
      <c r="D103" t="str">
        <f>VLOOKUP(ТабЗаказы[[#This Row],[client]],ТабКлиенты[[name]:[_id]],2,0)</f>
        <v>67f56eca575fff8fe23c7a0f</v>
      </c>
      <c r="E103">
        <f>IFERROR(IF(ТабЗаказы[[#This Row],[orderSumm]]&gt;10000,10,VLOOKUP(ТабЗаказы[[#This Row],[client]],ТабКлиенты[[name]:[percent]],MATCH(E$1,ТабКлиенты[#Headers],0),0)),"")</f>
        <v>15</v>
      </c>
      <c r="F103" s="18">
        <f>IFERROR(SUMIF(ТабПозиции[orderNum],ТабЗаказы[[#This Row],[orderNum]],ТабПозиции[orderSumm]),"")</f>
        <v>1695</v>
      </c>
      <c r="G103" s="18">
        <f>SUMIF(ТабПозиции[orderNum],ТабЗаказы[[#This Row],[orderNum]],ТабПозиции[deliverySumm])</f>
        <v>255</v>
      </c>
      <c r="H103" s="18">
        <f>SUMIF(ТабПозиции[orderNum],ТабЗаказы[[#This Row],[orderNum]],ТабПозиции[totalSumm])</f>
        <v>1950</v>
      </c>
      <c r="I103" s="18" t="str">
        <f>IFERROR(VLOOKUP(ТабЗаказы[[#This Row],[orderNum]],ТабПозиции[#Data],22,0),"")</f>
        <v>true</v>
      </c>
    </row>
    <row r="104" spans="1:9" x14ac:dyDescent="0.25">
      <c r="A104">
        <f t="shared" si="1"/>
        <v>103</v>
      </c>
      <c r="B104" s="1">
        <v>45427</v>
      </c>
      <c r="C104" t="s">
        <v>123</v>
      </c>
      <c r="D104" t="str">
        <f>VLOOKUP(ТабЗаказы[[#This Row],[client]],ТабКлиенты[[name]:[_id]],2,0)</f>
        <v>67f56eca575fff8fe23c7a32</v>
      </c>
      <c r="E104">
        <f>IFERROR(IF(ТабЗаказы[[#This Row],[orderSumm]]&gt;10000,10,VLOOKUP(ТабЗаказы[[#This Row],[client]],ТабКлиенты[[name]:[percent]],MATCH(E$1,ТабКлиенты[#Headers],0),0)),"")</f>
        <v>15</v>
      </c>
      <c r="F104" s="18">
        <f>IFERROR(SUMIF(ТабПозиции[orderNum],ТабЗаказы[[#This Row],[orderNum]],ТабПозиции[orderSumm]),"")</f>
        <v>2208</v>
      </c>
      <c r="G104" s="18">
        <f>SUMIF(ТабПозиции[orderNum],ТабЗаказы[[#This Row],[orderNum]],ТабПозиции[deliverySumm])</f>
        <v>331</v>
      </c>
      <c r="H104" s="18">
        <f>SUMIF(ТабПозиции[orderNum],ТабЗаказы[[#This Row],[orderNum]],ТабПозиции[totalSumm])</f>
        <v>2539</v>
      </c>
      <c r="I104" s="18" t="str">
        <f>IFERROR(VLOOKUP(ТабЗаказы[[#This Row],[orderNum]],ТабПозиции[#Data],22,0),"")</f>
        <v>true</v>
      </c>
    </row>
    <row r="105" spans="1:9" x14ac:dyDescent="0.25">
      <c r="A105">
        <f t="shared" si="1"/>
        <v>104</v>
      </c>
      <c r="B105" s="1">
        <v>45427</v>
      </c>
      <c r="C105" t="s">
        <v>108</v>
      </c>
      <c r="D105" t="str">
        <f>VLOOKUP(ТабЗаказы[[#This Row],[client]],ТабКлиенты[[name]:[_id]],2,0)</f>
        <v>67f56eca575fff8fe23c7a2e</v>
      </c>
      <c r="E105">
        <f>IFERROR(IF(ТабЗаказы[[#This Row],[orderSumm]]&gt;10000,10,VLOOKUP(ТабЗаказы[[#This Row],[client]],ТабКлиенты[[name]:[percent]],MATCH(E$1,ТабКлиенты[#Headers],0),0)),"")</f>
        <v>10</v>
      </c>
      <c r="F105" s="18">
        <f>IFERROR(SUMIF(ТабПозиции[orderNum],ТабЗаказы[[#This Row],[orderNum]],ТабПозиции[orderSumm]),"")</f>
        <v>18500</v>
      </c>
      <c r="G105" s="18">
        <f>SUMIF(ТабПозиции[orderNum],ТабЗаказы[[#This Row],[orderNum]],ТабПозиции[deliverySumm])</f>
        <v>1850</v>
      </c>
      <c r="H105" s="18">
        <f>SUMIF(ТабПозиции[orderNum],ТабЗаказы[[#This Row],[orderNum]],ТабПозиции[totalSumm])</f>
        <v>2900</v>
      </c>
      <c r="I105" s="18" t="str">
        <f>IFERROR(VLOOKUP(ТабЗаказы[[#This Row],[orderNum]],ТабПозиции[#Data],22,0),"")</f>
        <v>true</v>
      </c>
    </row>
    <row r="106" spans="1:9" x14ac:dyDescent="0.25">
      <c r="A106">
        <f t="shared" si="1"/>
        <v>105</v>
      </c>
      <c r="B106" s="1">
        <v>45427</v>
      </c>
      <c r="C106" t="s">
        <v>33</v>
      </c>
      <c r="D106" t="str">
        <f>VLOOKUP(ТабЗаказы[[#This Row],[client]],ТабКлиенты[[name]:[_id]],2,0)</f>
        <v>67f56eca575fff8fe23c7a15</v>
      </c>
      <c r="E106">
        <f>IFERROR(IF(ТабЗаказы[[#This Row],[orderSumm]]&gt;10000,10,VLOOKUP(ТабЗаказы[[#This Row],[client]],ТабКлиенты[[name]:[percent]],MATCH(E$1,ТабКлиенты[#Headers],0),0)),"")</f>
        <v>15</v>
      </c>
      <c r="F106" s="18">
        <f>IFERROR(SUMIF(ТабПозиции[orderNum],ТабЗаказы[[#This Row],[orderNum]],ТабПозиции[orderSumm]),"")</f>
        <v>6368</v>
      </c>
      <c r="G106" s="18">
        <f>SUMIF(ТабПозиции[orderNum],ТабЗаказы[[#This Row],[orderNum]],ТабПозиции[deliverySumm])</f>
        <v>956</v>
      </c>
      <c r="H106" s="18">
        <f>SUMIF(ТабПозиции[orderNum],ТабЗаказы[[#This Row],[orderNum]],ТабПозиции[totalSumm])</f>
        <v>7324</v>
      </c>
      <c r="I106" s="18" t="str">
        <f>IFERROR(VLOOKUP(ТабЗаказы[[#This Row],[orderNum]],ТабПозиции[#Data],22,0),"")</f>
        <v>true</v>
      </c>
    </row>
    <row r="107" spans="1:9" x14ac:dyDescent="0.25">
      <c r="A107">
        <f t="shared" si="1"/>
        <v>106</v>
      </c>
      <c r="B107" s="1">
        <v>45429</v>
      </c>
      <c r="C107" t="s">
        <v>20</v>
      </c>
      <c r="D107" t="str">
        <f>VLOOKUP(ТабЗаказы[[#This Row],[client]],ТабКлиенты[[name]:[_id]],2,0)</f>
        <v>67f56eca575fff8fe23c7a11</v>
      </c>
      <c r="E107">
        <f>IFERROR(IF(ТабЗаказы[[#This Row],[orderSumm]]&gt;10000,10,VLOOKUP(ТабЗаказы[[#This Row],[client]],ТабКлиенты[[name]:[percent]],MATCH(E$1,ТабКлиенты[#Headers],0),0)),"")</f>
        <v>15</v>
      </c>
      <c r="F107" s="18">
        <f>IFERROR(SUMIF(ТабПозиции[orderNum],ТабЗаказы[[#This Row],[orderNum]],ТабПозиции[orderSumm]),"")</f>
        <v>1800</v>
      </c>
      <c r="G107" s="18">
        <f>SUMIF(ТабПозиции[orderNum],ТабЗаказы[[#This Row],[orderNum]],ТабПозиции[deliverySumm])</f>
        <v>270</v>
      </c>
      <c r="H107" s="18">
        <f>SUMIF(ТабПозиции[orderNum],ТабЗаказы[[#This Row],[orderNum]],ТабПозиции[totalSumm])</f>
        <v>2070</v>
      </c>
      <c r="I107" s="18" t="str">
        <f>IFERROR(VLOOKUP(ТабЗаказы[[#This Row],[orderNum]],ТабПозиции[#Data],22,0),"")</f>
        <v>true</v>
      </c>
    </row>
    <row r="108" spans="1:9" x14ac:dyDescent="0.25">
      <c r="A108">
        <f t="shared" si="1"/>
        <v>107</v>
      </c>
      <c r="B108" s="1">
        <v>45429</v>
      </c>
      <c r="C108" t="s">
        <v>312</v>
      </c>
      <c r="D108" t="str">
        <f>VLOOKUP(ТабЗаказы[[#This Row],[client]],ТабКлиенты[[name]:[_id]],2,0)</f>
        <v>67f56eca575fff8fe23c7a70</v>
      </c>
      <c r="E108">
        <f>IFERROR(IF(ТабЗаказы[[#This Row],[orderSumm]]&gt;10000,10,VLOOKUP(ТабЗаказы[[#This Row],[client]],ТабКлиенты[[name]:[percent]],MATCH(E$1,ТабКлиенты[#Headers],0),0)),"")</f>
        <v>15</v>
      </c>
      <c r="F108" s="18">
        <f>IFERROR(SUMIF(ТабПозиции[orderNum],ТабЗаказы[[#This Row],[orderNum]],ТабПозиции[orderSumm]),"")</f>
        <v>750</v>
      </c>
      <c r="G108" s="18">
        <f>SUMIF(ТабПозиции[orderNum],ТабЗаказы[[#This Row],[orderNum]],ТабПозиции[deliverySumm])</f>
        <v>200</v>
      </c>
      <c r="H108" s="18">
        <f>SUMIF(ТабПозиции[orderNum],ТабЗаказы[[#This Row],[orderNum]],ТабПозиции[totalSumm])</f>
        <v>200</v>
      </c>
      <c r="I108" s="18" t="str">
        <f>IFERROR(VLOOKUP(ТабЗаказы[[#This Row],[orderNum]],ТабПозиции[#Data],22,0),"")</f>
        <v>true</v>
      </c>
    </row>
    <row r="109" spans="1:9" x14ac:dyDescent="0.25">
      <c r="A109">
        <f t="shared" si="1"/>
        <v>108</v>
      </c>
      <c r="B109" s="1">
        <v>45429</v>
      </c>
      <c r="C109" t="s">
        <v>317</v>
      </c>
      <c r="D109" t="str">
        <f>VLOOKUP(ТабЗаказы[[#This Row],[client]],ТабКлиенты[[name]:[_id]],2,0)</f>
        <v>67f56eca575fff8fe23c7a72</v>
      </c>
      <c r="E109">
        <f>IFERROR(IF(ТабЗаказы[[#This Row],[orderSumm]]&gt;10000,10,VLOOKUP(ТабЗаказы[[#This Row],[client]],ТабКлиенты[[name]:[percent]],MATCH(E$1,ТабКлиенты[#Headers],0),0)),"")</f>
        <v>15</v>
      </c>
      <c r="F109" s="18">
        <f>IFERROR(SUMIF(ТабПозиции[orderNum],ТабЗаказы[[#This Row],[orderNum]],ТабПозиции[orderSumm]),"")</f>
        <v>3000</v>
      </c>
      <c r="G109" s="18">
        <f>SUMIF(ТабПозиции[orderNum],ТабЗаказы[[#This Row],[orderNum]],ТабПозиции[deliverySumm])</f>
        <v>450</v>
      </c>
      <c r="H109" s="18">
        <f>SUMIF(ТабПозиции[orderNum],ТабЗаказы[[#This Row],[orderNum]],ТабПозиции[totalSumm])</f>
        <v>4928</v>
      </c>
      <c r="I109" s="18" t="str">
        <f>IFERROR(VLOOKUP(ТабЗаказы[[#This Row],[orderNum]],ТабПозиции[#Data],22,0),"")</f>
        <v>true</v>
      </c>
    </row>
    <row r="110" spans="1:9" x14ac:dyDescent="0.25">
      <c r="A110">
        <f t="shared" si="1"/>
        <v>109</v>
      </c>
      <c r="B110" s="1">
        <v>45430</v>
      </c>
      <c r="C110" t="s">
        <v>231</v>
      </c>
      <c r="D110" t="str">
        <f>VLOOKUP(ТабЗаказы[[#This Row],[client]],ТабКлиенты[[name]:[_id]],2,0)</f>
        <v>67f56eca575fff8fe23c7a59</v>
      </c>
      <c r="E110">
        <f>IFERROR(IF(ТабЗаказы[[#This Row],[orderSumm]]&gt;10000,10,VLOOKUP(ТабЗаказы[[#This Row],[client]],ТабКлиенты[[name]:[percent]],MATCH(E$1,ТабКлиенты[#Headers],0),0)),"")</f>
        <v>15</v>
      </c>
      <c r="F110" s="18">
        <f>IFERROR(SUMIF(ТабПозиции[orderNum],ТабЗаказы[[#This Row],[orderNum]],ТабПозиции[orderSumm]),"")</f>
        <v>7550</v>
      </c>
      <c r="G110" s="18">
        <f>SUMIF(ТабПозиции[orderNum],ТабЗаказы[[#This Row],[orderNum]],ТабПозиции[deliverySumm])</f>
        <v>1133</v>
      </c>
      <c r="H110" s="18">
        <f>SUMIF(ТабПозиции[orderNum],ТабЗаказы[[#This Row],[orderNum]],ТабПозиции[totalSumm])</f>
        <v>8683</v>
      </c>
      <c r="I110" s="18" t="str">
        <f>IFERROR(VLOOKUP(ТабЗаказы[[#This Row],[orderNum]],ТабПозиции[#Data],22,0),"")</f>
        <v>true</v>
      </c>
    </row>
    <row r="111" spans="1:9" x14ac:dyDescent="0.25">
      <c r="A111">
        <f t="shared" si="1"/>
        <v>110</v>
      </c>
      <c r="B111" s="1">
        <v>45430</v>
      </c>
      <c r="C111" t="s">
        <v>11</v>
      </c>
      <c r="D111" t="str">
        <f>VLOOKUP(ТабЗаказы[[#This Row],[client]],ТабКлиенты[[name]:[_id]],2,0)</f>
        <v>67f56eca575fff8fe23c7a0e</v>
      </c>
      <c r="E111">
        <f>IFERROR(IF(ТабЗаказы[[#This Row],[orderSumm]]&gt;10000,10,VLOOKUP(ТабЗаказы[[#This Row],[client]],ТабКлиенты[[name]:[percent]],MATCH(E$1,ТабКлиенты[#Headers],0),0)),"")</f>
        <v>15</v>
      </c>
      <c r="F111" s="18">
        <f>IFERROR(SUMIF(ТабПозиции[orderNum],ТабЗаказы[[#This Row],[orderNum]],ТабПозиции[orderSumm]),"")</f>
        <v>4023</v>
      </c>
      <c r="G111" s="18">
        <f>SUMIF(ТабПозиции[orderNum],ТабЗаказы[[#This Row],[orderNum]],ТабПозиции[deliverySumm])</f>
        <v>604</v>
      </c>
      <c r="H111" s="18">
        <f>SUMIF(ТабПозиции[orderNum],ТабЗаказы[[#This Row],[orderNum]],ТабПозиции[totalSumm])</f>
        <v>4627</v>
      </c>
      <c r="I111" s="18" t="str">
        <f>IFERROR(VLOOKUP(ТабЗаказы[[#This Row],[orderNum]],ТабПозиции[#Data],22,0),"")</f>
        <v>true</v>
      </c>
    </row>
    <row r="112" spans="1:9" x14ac:dyDescent="0.25">
      <c r="A112">
        <f t="shared" si="1"/>
        <v>111</v>
      </c>
      <c r="B112" s="1">
        <v>45432</v>
      </c>
      <c r="C112" t="s">
        <v>104</v>
      </c>
      <c r="D112" t="str">
        <f>VLOOKUP(ТабЗаказы[[#This Row],[client]],ТабКлиенты[[name]:[_id]],2,0)</f>
        <v>67f56eca575fff8fe23c7a2d</v>
      </c>
      <c r="E112">
        <f>IFERROR(IF(ТабЗаказы[[#This Row],[orderSumm]]&gt;10000,10,VLOOKUP(ТабЗаказы[[#This Row],[client]],ТабКлиенты[[name]:[percent]],MATCH(E$1,ТабКлиенты[#Headers],0),0)),"")</f>
        <v>10</v>
      </c>
      <c r="F112" s="18">
        <f>IFERROR(SUMIF(ТабПозиции[orderNum],ТабЗаказы[[#This Row],[orderNum]],ТабПозиции[orderSumm]),"")</f>
        <v>22778</v>
      </c>
      <c r="G112" s="18">
        <f>SUMIF(ТабПозиции[orderNum],ТабЗаказы[[#This Row],[orderNum]],ТабПозиции[deliverySumm])</f>
        <v>2278</v>
      </c>
      <c r="H112" s="18">
        <f>SUMIF(ТабПозиции[orderNum],ТабЗаказы[[#This Row],[orderNum]],ТабПозиции[totalSumm])</f>
        <v>2798</v>
      </c>
      <c r="I112" s="18" t="str">
        <f>IFERROR(VLOOKUP(ТабЗаказы[[#This Row],[orderNum]],ТабПозиции[#Data],22,0),"")</f>
        <v>true</v>
      </c>
    </row>
    <row r="113" spans="1:9" x14ac:dyDescent="0.25">
      <c r="A113">
        <f t="shared" si="1"/>
        <v>112</v>
      </c>
      <c r="B113" s="1">
        <v>45432</v>
      </c>
      <c r="C113" t="s">
        <v>219</v>
      </c>
      <c r="D113" t="str">
        <f>VLOOKUP(ТабЗаказы[[#This Row],[client]],ТабКлиенты[[name]:[_id]],2,0)</f>
        <v>67f56eca575fff8fe23c7a55</v>
      </c>
      <c r="E113">
        <f>IFERROR(IF(ТабЗаказы[[#This Row],[orderSumm]]&gt;10000,10,VLOOKUP(ТабЗаказы[[#This Row],[client]],ТабКлиенты[[name]:[percent]],MATCH(E$1,ТабКлиенты[#Headers],0),0)),"")</f>
        <v>15</v>
      </c>
      <c r="F113" s="18">
        <f>IFERROR(SUMIF(ТабПозиции[orderNum],ТабЗаказы[[#This Row],[orderNum]],ТабПозиции[orderSumm]),"")</f>
        <v>2177</v>
      </c>
      <c r="G113" s="18">
        <f>SUMIF(ТабПозиции[orderNum],ТабЗаказы[[#This Row],[orderNum]],ТабПозиции[deliverySumm])</f>
        <v>327</v>
      </c>
      <c r="H113" s="18">
        <f>SUMIF(ТабПозиции[orderNum],ТабЗаказы[[#This Row],[orderNum]],ТабПозиции[totalSumm])</f>
        <v>2504</v>
      </c>
      <c r="I113" s="18" t="str">
        <f>IFERROR(VLOOKUP(ТабЗаказы[[#This Row],[orderNum]],ТабПозиции[#Data],22,0),"")</f>
        <v>true</v>
      </c>
    </row>
    <row r="114" spans="1:9" x14ac:dyDescent="0.25">
      <c r="A114">
        <f t="shared" si="1"/>
        <v>113</v>
      </c>
      <c r="B114" s="1">
        <v>45432</v>
      </c>
      <c r="C114" t="s">
        <v>325</v>
      </c>
      <c r="D114" t="str">
        <f>VLOOKUP(ТабЗаказы[[#This Row],[client]],ТабКлиенты[[name]:[_id]],2,0)</f>
        <v>67f56eca575fff8fe23c7a74</v>
      </c>
      <c r="E114">
        <f>IFERROR(IF(ТабЗаказы[[#This Row],[orderSumm]]&gt;10000,10,VLOOKUP(ТабЗаказы[[#This Row],[client]],ТабКлиенты[[name]:[percent]],MATCH(E$1,ТабКлиенты[#Headers],0),0)),"")</f>
        <v>15</v>
      </c>
      <c r="F114" s="18">
        <f>IFERROR(SUMIF(ТабПозиции[orderNum],ТабЗаказы[[#This Row],[orderNum]],ТабПозиции[orderSumm]),"")</f>
        <v>1217</v>
      </c>
      <c r="G114" s="18">
        <f>SUMIF(ТабПозиции[orderNum],ТабЗаказы[[#This Row],[orderNum]],ТабПозиции[deliverySumm])</f>
        <v>200</v>
      </c>
      <c r="H114" s="18">
        <f>SUMIF(ТабПозиции[orderNum],ТабЗаказы[[#This Row],[orderNum]],ТабПозиции[totalSumm])</f>
        <v>1417</v>
      </c>
      <c r="I114" s="18" t="str">
        <f>IFERROR(VLOOKUP(ТабЗаказы[[#This Row],[orderNum]],ТабПозиции[#Data],22,0),"")</f>
        <v>true</v>
      </c>
    </row>
    <row r="115" spans="1:9" x14ac:dyDescent="0.25">
      <c r="A115">
        <f t="shared" si="1"/>
        <v>114</v>
      </c>
      <c r="B115" s="1">
        <v>45434</v>
      </c>
      <c r="C115" t="s">
        <v>33</v>
      </c>
      <c r="D115" t="str">
        <f>VLOOKUP(ТабЗаказы[[#This Row],[client]],ТабКлиенты[[name]:[_id]],2,0)</f>
        <v>67f56eca575fff8fe23c7a15</v>
      </c>
      <c r="E115">
        <f>IFERROR(IF(ТабЗаказы[[#This Row],[orderSumm]]&gt;10000,10,VLOOKUP(ТабЗаказы[[#This Row],[client]],ТабКлиенты[[name]:[percent]],MATCH(E$1,ТабКлиенты[#Headers],0),0)),"")</f>
        <v>15</v>
      </c>
      <c r="F115" s="18">
        <f>IFERROR(SUMIF(ТабПозиции[orderNum],ТабЗаказы[[#This Row],[orderNum]],ТабПозиции[orderSumm]),"")</f>
        <v>4515</v>
      </c>
      <c r="G115" s="18">
        <f>SUMIF(ТабПозиции[orderNum],ТабЗаказы[[#This Row],[orderNum]],ТабПозиции[deliverySumm])</f>
        <v>677</v>
      </c>
      <c r="H115" s="18">
        <f>SUMIF(ТабПозиции[orderNum],ТабЗаказы[[#This Row],[orderNum]],ТабПозиции[totalSumm])</f>
        <v>5581</v>
      </c>
      <c r="I115" s="18" t="str">
        <f>IFERROR(VLOOKUP(ТабЗаказы[[#This Row],[orderNum]],ТабПозиции[#Data],22,0),"")</f>
        <v>true</v>
      </c>
    </row>
    <row r="116" spans="1:9" x14ac:dyDescent="0.25">
      <c r="A116">
        <f t="shared" ref="A116:A179" si="2">A115+1</f>
        <v>115</v>
      </c>
      <c r="B116" s="1">
        <v>45443</v>
      </c>
      <c r="C116" t="s">
        <v>346</v>
      </c>
      <c r="D116" t="str">
        <f>VLOOKUP(ТабЗаказы[[#This Row],[client]],ТабКлиенты[[name]:[_id]],2,0)</f>
        <v>67f56eca575fff8fe23c7a7a</v>
      </c>
      <c r="E116">
        <f>IFERROR(IF(ТабЗаказы[[#This Row],[orderSumm]]&gt;10000,10,VLOOKUP(ТабЗаказы[[#This Row],[client]],ТабКлиенты[[name]:[percent]],MATCH(E$1,ТабКлиенты[#Headers],0),0)),"")</f>
        <v>10</v>
      </c>
      <c r="F116" s="18">
        <f>IFERROR(SUMIF(ТабПозиции[orderNum],ТабЗаказы[[#This Row],[orderNum]],ТабПозиции[orderSumm]),"")</f>
        <v>17381</v>
      </c>
      <c r="G116" s="18">
        <f>SUMIF(ТабПозиции[orderNum],ТабЗаказы[[#This Row],[orderNum]],ТабПозиции[deliverySumm])</f>
        <v>1738</v>
      </c>
      <c r="H116" s="18">
        <f>SUMIF(ТабПозиции[orderNum],ТабЗаказы[[#This Row],[orderNum]],ТабПозиции[totalSumm])</f>
        <v>20348</v>
      </c>
      <c r="I116" s="18" t="str">
        <f>IFERROR(VLOOKUP(ТабЗаказы[[#This Row],[orderNum]],ТабПозиции[#Data],22,0),"")</f>
        <v>true</v>
      </c>
    </row>
    <row r="117" spans="1:9" x14ac:dyDescent="0.25">
      <c r="A117">
        <f t="shared" si="2"/>
        <v>116</v>
      </c>
      <c r="B117" s="1">
        <v>45436</v>
      </c>
      <c r="C117" t="s">
        <v>334</v>
      </c>
      <c r="D117" t="str">
        <f>VLOOKUP(ТабЗаказы[[#This Row],[client]],ТабКлиенты[[name]:[_id]],2,0)</f>
        <v>67f56eca575fff8fe23c7a77</v>
      </c>
      <c r="E117">
        <f>IFERROR(IF(ТабЗаказы[[#This Row],[orderSumm]]&gt;10000,10,VLOOKUP(ТабЗаказы[[#This Row],[client]],ТабКлиенты[[name]:[percent]],MATCH(E$1,ТабКлиенты[#Headers],0),0)),"")</f>
        <v>15</v>
      </c>
      <c r="F117" s="18">
        <f>IFERROR(SUMIF(ТабПозиции[orderNum],ТабЗаказы[[#This Row],[orderNum]],ТабПозиции[orderSumm]),"")</f>
        <v>5890</v>
      </c>
      <c r="G117" s="18">
        <f>SUMIF(ТабПозиции[orderNum],ТабЗаказы[[#This Row],[orderNum]],ТабПозиции[deliverySumm])</f>
        <v>883</v>
      </c>
      <c r="H117" s="18">
        <f>SUMIF(ТабПозиции[orderNum],ТабЗаказы[[#This Row],[orderNum]],ТабПозиции[totalSumm])</f>
        <v>6773</v>
      </c>
      <c r="I117" s="18" t="str">
        <f>IFERROR(VLOOKUP(ТабЗаказы[[#This Row],[orderNum]],ТабПозиции[#Data],22,0),"")</f>
        <v>true</v>
      </c>
    </row>
    <row r="118" spans="1:9" x14ac:dyDescent="0.25">
      <c r="A118">
        <f t="shared" si="2"/>
        <v>117</v>
      </c>
      <c r="B118" s="1">
        <v>45443</v>
      </c>
      <c r="C118" t="s">
        <v>104</v>
      </c>
      <c r="D118" t="str">
        <f>VLOOKUP(ТабЗаказы[[#This Row],[client]],ТабКлиенты[[name]:[_id]],2,0)</f>
        <v>67f56eca575fff8fe23c7a2d</v>
      </c>
      <c r="E118">
        <f>IFERROR(IF(ТабЗаказы[[#This Row],[orderSumm]]&gt;10000,10,VLOOKUP(ТабЗаказы[[#This Row],[client]],ТабКлиенты[[name]:[percent]],MATCH(E$1,ТабКлиенты[#Headers],0),0)),"")</f>
        <v>10</v>
      </c>
      <c r="F118" s="18">
        <f>IFERROR(SUMIF(ТабПозиции[orderNum],ТабЗаказы[[#This Row],[orderNum]],ТабПозиции[orderSumm]),"")</f>
        <v>3990</v>
      </c>
      <c r="G118" s="18">
        <f>SUMIF(ТабПозиции[orderNum],ТабЗаказы[[#This Row],[orderNum]],ТабПозиции[deliverySumm])</f>
        <v>399</v>
      </c>
      <c r="H118" s="18">
        <f>SUMIF(ТабПозиции[orderNum],ТабЗаказы[[#This Row],[orderNum]],ТабПозиции[totalSumm])</f>
        <v>1140</v>
      </c>
      <c r="I118" s="18" t="str">
        <f>IFERROR(VLOOKUP(ТабЗаказы[[#This Row],[orderNum]],ТабПозиции[#Data],22,0),"")</f>
        <v>true</v>
      </c>
    </row>
    <row r="119" spans="1:9" x14ac:dyDescent="0.25">
      <c r="A119">
        <f t="shared" si="2"/>
        <v>118</v>
      </c>
      <c r="B119" s="1">
        <v>45451</v>
      </c>
      <c r="C119" t="s">
        <v>39</v>
      </c>
      <c r="D119" t="str">
        <f>VLOOKUP(ТабЗаказы[[#This Row],[client]],ТабКлиенты[[name]:[_id]],2,0)</f>
        <v>67f56eca575fff8fe23c7a17</v>
      </c>
      <c r="E119">
        <f>IFERROR(IF(ТабЗаказы[[#This Row],[orderSumm]]&gt;10000,10,VLOOKUP(ТабЗаказы[[#This Row],[client]],ТабКлиенты[[name]:[percent]],MATCH(E$1,ТабКлиенты[#Headers],0),0)),"")</f>
        <v>15</v>
      </c>
      <c r="F119" s="18">
        <f>IFERROR(SUMIF(ТабПозиции[orderNum],ТабЗаказы[[#This Row],[orderNum]],ТабПозиции[orderSumm]),"")</f>
        <v>6837</v>
      </c>
      <c r="G119" s="18">
        <f>SUMIF(ТабПозиции[orderNum],ТабЗаказы[[#This Row],[orderNum]],ТабПозиции[deliverySumm])</f>
        <v>1026</v>
      </c>
      <c r="H119" s="18">
        <f>SUMIF(ТабПозиции[orderNum],ТабЗаказы[[#This Row],[orderNum]],ТабПозиции[totalSumm])</f>
        <v>7863</v>
      </c>
      <c r="I119" s="18" t="str">
        <f>IFERROR(VLOOKUP(ТабЗаказы[[#This Row],[orderNum]],ТабПозиции[#Data],22,0),"")</f>
        <v>true</v>
      </c>
    </row>
    <row r="120" spans="1:9" x14ac:dyDescent="0.25">
      <c r="A120">
        <f t="shared" si="2"/>
        <v>119</v>
      </c>
      <c r="B120" s="1">
        <v>45444</v>
      </c>
      <c r="C120" t="s">
        <v>231</v>
      </c>
      <c r="D120" t="str">
        <f>VLOOKUP(ТабЗаказы[[#This Row],[client]],ТабКлиенты[[name]:[_id]],2,0)</f>
        <v>67f56eca575fff8fe23c7a59</v>
      </c>
      <c r="E120">
        <f>IFERROR(IF(ТабЗаказы[[#This Row],[orderSumm]]&gt;10000,10,VLOOKUP(ТабЗаказы[[#This Row],[client]],ТабКлиенты[[name]:[percent]],MATCH(E$1,ТабКлиенты[#Headers],0),0)),"")</f>
        <v>15</v>
      </c>
      <c r="F120" s="18">
        <f>IFERROR(SUMIF(ТабПозиции[orderNum],ТабЗаказы[[#This Row],[orderNum]],ТабПозиции[orderSumm]),"")</f>
        <v>3237</v>
      </c>
      <c r="G120" s="18">
        <f>SUMIF(ТабПозиции[orderNum],ТабЗаказы[[#This Row],[orderNum]],ТабПозиции[deliverySumm])</f>
        <v>485</v>
      </c>
      <c r="H120" s="18">
        <f>SUMIF(ТабПозиции[orderNum],ТабЗаказы[[#This Row],[orderNum]],ТабПозиции[totalSumm])</f>
        <v>3722</v>
      </c>
      <c r="I120" s="18" t="str">
        <f>IFERROR(VLOOKUP(ТабЗаказы[[#This Row],[orderNum]],ТабПозиции[#Data],22,0),"")</f>
        <v>true</v>
      </c>
    </row>
    <row r="121" spans="1:9" x14ac:dyDescent="0.25">
      <c r="A121">
        <f t="shared" si="2"/>
        <v>120</v>
      </c>
      <c r="B121" s="1">
        <v>45446</v>
      </c>
      <c r="C121" t="s">
        <v>112</v>
      </c>
      <c r="D121" t="str">
        <f>VLOOKUP(ТабЗаказы[[#This Row],[client]],ТабКлиенты[[name]:[_id]],2,0)</f>
        <v>67f56eca575fff8fe23c7a2f</v>
      </c>
      <c r="E121">
        <f>IFERROR(IF(ТабЗаказы[[#This Row],[orderSumm]]&gt;10000,10,VLOOKUP(ТабЗаказы[[#This Row],[client]],ТабКлиенты[[name]:[percent]],MATCH(E$1,ТабКлиенты[#Headers],0),0)),"")</f>
        <v>15</v>
      </c>
      <c r="F121" s="18">
        <f>IFERROR(SUMIF(ТабПозиции[orderNum],ТабЗаказы[[#This Row],[orderNum]],ТабПозиции[orderSumm]),"")</f>
        <v>4007</v>
      </c>
      <c r="G121" s="18">
        <f>SUMIF(ТабПозиции[orderNum],ТабЗаказы[[#This Row],[orderNum]],ТабПозиции[deliverySumm])</f>
        <v>601</v>
      </c>
      <c r="H121" s="18">
        <f>SUMIF(ТабПозиции[orderNum],ТабЗаказы[[#This Row],[orderNum]],ТабПозиции[totalSumm])</f>
        <v>4608</v>
      </c>
      <c r="I121" s="18" t="str">
        <f>IFERROR(VLOOKUP(ТабЗаказы[[#This Row],[orderNum]],ТабПозиции[#Data],22,0),"")</f>
        <v>true</v>
      </c>
    </row>
    <row r="122" spans="1:9" x14ac:dyDescent="0.25">
      <c r="A122">
        <f t="shared" si="2"/>
        <v>121</v>
      </c>
      <c r="B122" s="1">
        <v>45446</v>
      </c>
      <c r="C122" t="s">
        <v>283</v>
      </c>
      <c r="D122" t="str">
        <f>VLOOKUP(ТабЗаказы[[#This Row],[client]],ТабКлиенты[[name]:[_id]],2,0)</f>
        <v>67f56eca575fff8fe23c7a67</v>
      </c>
      <c r="E122">
        <f>IFERROR(IF(ТабЗаказы[[#This Row],[orderSumm]]&gt;10000,10,VLOOKUP(ТабЗаказы[[#This Row],[client]],ТабКлиенты[[name]:[percent]],MATCH(E$1,ТабКлиенты[#Headers],0),0)),"")</f>
        <v>15</v>
      </c>
      <c r="F122" s="18">
        <f>IFERROR(SUMIF(ТабПозиции[orderNum],ТабЗаказы[[#This Row],[orderNum]],ТабПозиции[orderSumm]),"")</f>
        <v>1148</v>
      </c>
      <c r="G122" s="18">
        <f>SUMIF(ТабПозиции[orderNum],ТабЗаказы[[#This Row],[orderNum]],ТабПозиции[deliverySumm])</f>
        <v>200</v>
      </c>
      <c r="H122" s="18">
        <f>SUMIF(ТабПозиции[orderNum],ТабЗаказы[[#This Row],[orderNum]],ТабПозиции[totalSumm])</f>
        <v>1348</v>
      </c>
      <c r="I122" s="18" t="str">
        <f>IFERROR(VLOOKUP(ТабЗаказы[[#This Row],[orderNum]],ТабПозиции[#Data],22,0),"")</f>
        <v>true</v>
      </c>
    </row>
    <row r="123" spans="1:9" x14ac:dyDescent="0.25">
      <c r="A123">
        <f t="shared" si="2"/>
        <v>122</v>
      </c>
      <c r="B123" s="1">
        <v>45448</v>
      </c>
      <c r="C123" t="s">
        <v>357</v>
      </c>
      <c r="D123" t="str">
        <f>VLOOKUP(ТабЗаказы[[#This Row],[client]],ТабКлиенты[[name]:[_id]],2,0)</f>
        <v>67f56eca575fff8fe23c7a7d</v>
      </c>
      <c r="E123">
        <f>IFERROR(IF(ТабЗаказы[[#This Row],[orderSumm]]&gt;10000,10,VLOOKUP(ТабЗаказы[[#This Row],[client]],ТабКлиенты[[name]:[percent]],MATCH(E$1,ТабКлиенты[#Headers],0),0)),"")</f>
        <v>15</v>
      </c>
      <c r="F123" s="18">
        <f>IFERROR(SUMIF(ТабПозиции[orderNum],ТабЗаказы[[#This Row],[orderNum]],ТабПозиции[orderSumm]),"")</f>
        <v>4624</v>
      </c>
      <c r="G123" s="18">
        <f>SUMIF(ТабПозиции[orderNum],ТабЗаказы[[#This Row],[orderNum]],ТабПозиции[deliverySumm])</f>
        <v>695</v>
      </c>
      <c r="H123" s="18">
        <f>SUMIF(ТабПозиции[orderNum],ТабЗаказы[[#This Row],[orderNum]],ТабПозиции[totalSumm])</f>
        <v>5319</v>
      </c>
      <c r="I123" s="18" t="str">
        <f>IFERROR(VLOOKUP(ТабЗаказы[[#This Row],[orderNum]],ТабПозиции[#Data],22,0),"")</f>
        <v>true</v>
      </c>
    </row>
    <row r="124" spans="1:9" x14ac:dyDescent="0.25">
      <c r="A124">
        <f t="shared" si="2"/>
        <v>123</v>
      </c>
      <c r="B124" s="1">
        <v>45450</v>
      </c>
      <c r="C124" t="s">
        <v>231</v>
      </c>
      <c r="D124" t="str">
        <f>VLOOKUP(ТабЗаказы[[#This Row],[client]],ТабКлиенты[[name]:[_id]],2,0)</f>
        <v>67f56eca575fff8fe23c7a59</v>
      </c>
      <c r="E124">
        <f>IFERROR(IF(ТабЗаказы[[#This Row],[orderSumm]]&gt;10000,10,VLOOKUP(ТабЗаказы[[#This Row],[client]],ТабКлиенты[[name]:[percent]],MATCH(E$1,ТабКлиенты[#Headers],0),0)),"")</f>
        <v>15</v>
      </c>
      <c r="F124" s="18">
        <f>IFERROR(SUMIF(ТабПозиции[orderNum],ТабЗаказы[[#This Row],[orderNum]],ТабПозиции[orderSumm]),"")</f>
        <v>1404</v>
      </c>
      <c r="G124" s="18">
        <f>SUMIF(ТабПозиции[orderNum],ТабЗаказы[[#This Row],[orderNum]],ТабПозиции[deliverySumm])</f>
        <v>198</v>
      </c>
      <c r="H124" s="18">
        <f>SUMIF(ТабПозиции[orderNum],ТабЗаказы[[#This Row],[orderNum]],ТабПозиции[totalSumm])</f>
        <v>1602</v>
      </c>
      <c r="I124" s="18" t="str">
        <f>IFERROR(VLOOKUP(ТабЗаказы[[#This Row],[orderNum]],ТабПозиции[#Data],22,0),"")</f>
        <v>true</v>
      </c>
    </row>
    <row r="125" spans="1:9" x14ac:dyDescent="0.25">
      <c r="A125">
        <f t="shared" si="2"/>
        <v>124</v>
      </c>
      <c r="B125" s="1">
        <v>45450</v>
      </c>
      <c r="C125" t="s">
        <v>357</v>
      </c>
      <c r="D125" t="str">
        <f>VLOOKUP(ТабЗаказы[[#This Row],[client]],ТабКлиенты[[name]:[_id]],2,0)</f>
        <v>67f56eca575fff8fe23c7a7d</v>
      </c>
      <c r="E125">
        <f>IFERROR(IF(ТабЗаказы[[#This Row],[orderSumm]]&gt;10000,10,VLOOKUP(ТабЗаказы[[#This Row],[client]],ТабКлиенты[[name]:[percent]],MATCH(E$1,ТабКлиенты[#Headers],0),0)),"")</f>
        <v>15</v>
      </c>
      <c r="F125" s="18">
        <f>IFERROR(SUMIF(ТабПозиции[orderNum],ТабЗаказы[[#This Row],[orderNum]],ТабПозиции[orderSumm]),"")</f>
        <v>1366</v>
      </c>
      <c r="G125" s="18">
        <f>SUMIF(ТабПозиции[orderNum],ТабЗаказы[[#This Row],[orderNum]],ТабПозиции[deliverySumm])</f>
        <v>200</v>
      </c>
      <c r="H125" s="18">
        <f>SUMIF(ТабПозиции[orderNum],ТабЗаказы[[#This Row],[orderNum]],ТабПозиции[totalSumm])</f>
        <v>1566</v>
      </c>
      <c r="I125" s="18" t="str">
        <f>IFERROR(VLOOKUP(ТабЗаказы[[#This Row],[orderNum]],ТабПозиции[#Data],22,0),"")</f>
        <v>true</v>
      </c>
    </row>
    <row r="126" spans="1:9" x14ac:dyDescent="0.25">
      <c r="A126">
        <f t="shared" si="2"/>
        <v>125</v>
      </c>
      <c r="B126" s="1">
        <v>45452</v>
      </c>
      <c r="C126" t="s">
        <v>85</v>
      </c>
      <c r="D126" t="str">
        <f>VLOOKUP(ТабЗаказы[[#This Row],[client]],ТабКлиенты[[name]:[_id]],2,0)</f>
        <v>67f56eca575fff8fe23c7a26</v>
      </c>
      <c r="E126">
        <f>IFERROR(IF(ТабЗаказы[[#This Row],[orderSumm]]&gt;10000,10,VLOOKUP(ТабЗаказы[[#This Row],[client]],ТабКлиенты[[name]:[percent]],MATCH(E$1,ТабКлиенты[#Headers],0),0)),"")</f>
        <v>15</v>
      </c>
      <c r="F126" s="18">
        <f>IFERROR(SUMIF(ТабПозиции[orderNum],ТабЗаказы[[#This Row],[orderNum]],ТабПозиции[orderSumm]),"")</f>
        <v>4988</v>
      </c>
      <c r="G126" s="18">
        <f>SUMIF(ТабПозиции[orderNum],ТабЗаказы[[#This Row],[orderNum]],ТабПозиции[deliverySumm])</f>
        <v>749</v>
      </c>
      <c r="H126" s="18">
        <f>SUMIF(ТабПозиции[orderNum],ТабЗаказы[[#This Row],[orderNum]],ТабПозиции[totalSumm])</f>
        <v>5737</v>
      </c>
      <c r="I126" s="18" t="str">
        <f>IFERROR(VLOOKUP(ТабЗаказы[[#This Row],[orderNum]],ТабПозиции[#Data],22,0),"")</f>
        <v>true</v>
      </c>
    </row>
    <row r="127" spans="1:9" x14ac:dyDescent="0.25">
      <c r="A127">
        <f t="shared" si="2"/>
        <v>126</v>
      </c>
      <c r="B127" s="1">
        <v>45453</v>
      </c>
      <c r="C127" t="s">
        <v>366</v>
      </c>
      <c r="D127" t="str">
        <f>VLOOKUP(ТабЗаказы[[#This Row],[client]],ТабКлиенты[[name]:[_id]],2,0)</f>
        <v>67f56eca575fff8fe23c7a80</v>
      </c>
      <c r="E127">
        <f>IFERROR(IF(ТабЗаказы[[#This Row],[orderSumm]]&gt;10000,10,VLOOKUP(ТабЗаказы[[#This Row],[client]],ТабКлиенты[[name]:[percent]],MATCH(E$1,ТабКлиенты[#Headers],0),0)),"")</f>
        <v>15</v>
      </c>
      <c r="F127" s="18">
        <f>IFERROR(SUMIF(ТабПозиции[orderNum],ТабЗаказы[[#This Row],[orderNum]],ТабПозиции[orderSumm]),"")</f>
        <v>5490</v>
      </c>
      <c r="G127" s="18">
        <f>SUMIF(ТабПозиции[orderNum],ТабЗаказы[[#This Row],[orderNum]],ТабПозиции[deliverySumm])</f>
        <v>824</v>
      </c>
      <c r="H127" s="18">
        <f>SUMIF(ТабПозиции[orderNum],ТабЗаказы[[#This Row],[orderNum]],ТабПозиции[totalSumm])</f>
        <v>6314</v>
      </c>
      <c r="I127" s="18" t="str">
        <f>IFERROR(VLOOKUP(ТабЗаказы[[#This Row],[orderNum]],ТабПозиции[#Data],22,0),"")</f>
        <v>true</v>
      </c>
    </row>
    <row r="128" spans="1:9" x14ac:dyDescent="0.25">
      <c r="A128">
        <f t="shared" si="2"/>
        <v>127</v>
      </c>
      <c r="B128" s="1">
        <v>45454</v>
      </c>
      <c r="C128" t="s">
        <v>292</v>
      </c>
      <c r="D128" t="str">
        <f>VLOOKUP(ТабЗаказы[[#This Row],[client]],ТабКлиенты[[name]:[_id]],2,0)</f>
        <v>67f56eca575fff8fe23c7a6a</v>
      </c>
      <c r="E128">
        <f>IFERROR(IF(ТабЗаказы[[#This Row],[orderSumm]]&gt;10000,10,VLOOKUP(ТабЗаказы[[#This Row],[client]],ТабКлиенты[[name]:[percent]],MATCH(E$1,ТабКлиенты[#Headers],0),0)),"")</f>
        <v>15</v>
      </c>
      <c r="F128" s="18">
        <f>IFERROR(SUMIF(ТабПозиции[orderNum],ТабЗаказы[[#This Row],[orderNum]],ТабПозиции[orderSumm]),"")</f>
        <v>3557</v>
      </c>
      <c r="G128" s="18">
        <f>SUMIF(ТабПозиции[orderNum],ТабЗаказы[[#This Row],[orderNum]],ТабПозиции[deliverySumm])</f>
        <v>535</v>
      </c>
      <c r="H128" s="18">
        <f>SUMIF(ТабПозиции[orderNum],ТабЗаказы[[#This Row],[orderNum]],ТабПозиции[totalSumm])</f>
        <v>4092</v>
      </c>
      <c r="I128" s="18" t="str">
        <f>IFERROR(VLOOKUP(ТабЗаказы[[#This Row],[orderNum]],ТабПозиции[#Data],22,0),"")</f>
        <v>true</v>
      </c>
    </row>
    <row r="129" spans="1:9" x14ac:dyDescent="0.25">
      <c r="A129">
        <f t="shared" si="2"/>
        <v>128</v>
      </c>
      <c r="B129" s="1">
        <v>45454</v>
      </c>
      <c r="C129" t="s">
        <v>283</v>
      </c>
      <c r="D129" t="str">
        <f>VLOOKUP(ТабЗаказы[[#This Row],[client]],ТабКлиенты[[name]:[_id]],2,0)</f>
        <v>67f56eca575fff8fe23c7a67</v>
      </c>
      <c r="E129">
        <f>IFERROR(IF(ТабЗаказы[[#This Row],[orderSumm]]&gt;10000,10,VLOOKUP(ТабЗаказы[[#This Row],[client]],ТабКлиенты[[name]:[percent]],MATCH(E$1,ТабКлиенты[#Headers],0),0)),"")</f>
        <v>10</v>
      </c>
      <c r="F129" s="18">
        <f>IFERROR(SUMIF(ТабПозиции[orderNum],ТабЗаказы[[#This Row],[orderNum]],ТабПозиции[orderSumm]),"")</f>
        <v>13566</v>
      </c>
      <c r="G129" s="18">
        <f>SUMIF(ТабПозиции[orderNum],ТабЗаказы[[#This Row],[orderNum]],ТабПозиции[deliverySumm])</f>
        <v>1357</v>
      </c>
      <c r="H129" s="18">
        <f>SUMIF(ТабПозиции[orderNum],ТабЗаказы[[#This Row],[orderNum]],ТабПозиции[totalSumm])</f>
        <v>14923</v>
      </c>
      <c r="I129" s="18" t="str">
        <f>IFERROR(VLOOKUP(ТабЗаказы[[#This Row],[orderNum]],ТабПозиции[#Data],22,0),"")</f>
        <v>true</v>
      </c>
    </row>
    <row r="130" spans="1:9" x14ac:dyDescent="0.25">
      <c r="A130">
        <f t="shared" si="2"/>
        <v>129</v>
      </c>
      <c r="B130" s="1">
        <v>45456</v>
      </c>
      <c r="C130" t="s">
        <v>104</v>
      </c>
      <c r="D130" t="str">
        <f>VLOOKUP(ТабЗаказы[[#This Row],[client]],ТабКлиенты[[name]:[_id]],2,0)</f>
        <v>67f56eca575fff8fe23c7a2d</v>
      </c>
      <c r="E130">
        <f>IFERROR(IF(ТабЗаказы[[#This Row],[orderSumm]]&gt;10000,10,VLOOKUP(ТабЗаказы[[#This Row],[client]],ТабКлиенты[[name]:[percent]],MATCH(E$1,ТабКлиенты[#Headers],0),0)),"")</f>
        <v>10</v>
      </c>
      <c r="F130" s="18">
        <f>IFERROR(SUMIF(ТабПозиции[orderNum],ТабЗаказы[[#This Row],[orderNum]],ТабПозиции[orderSumm]),"")</f>
        <v>17190</v>
      </c>
      <c r="G130" s="18">
        <f>SUMIF(ТабПозиции[orderNum],ТабЗаказы[[#This Row],[orderNum]],ТабПозиции[deliverySumm])</f>
        <v>1719</v>
      </c>
      <c r="H130" s="18">
        <f>SUMIF(ТабПозиции[orderNum],ТабЗаказы[[#This Row],[orderNum]],ТабПозиции[totalSumm])</f>
        <v>1719</v>
      </c>
      <c r="I130" s="18" t="str">
        <f>IFERROR(VLOOKUP(ТабЗаказы[[#This Row],[orderNum]],ТабПозиции[#Data],22,0),"")</f>
        <v>true</v>
      </c>
    </row>
    <row r="131" spans="1:9" x14ac:dyDescent="0.25">
      <c r="A131">
        <f t="shared" si="2"/>
        <v>130</v>
      </c>
      <c r="B131" s="1">
        <v>45456</v>
      </c>
      <c r="C131" t="s">
        <v>108</v>
      </c>
      <c r="D131" t="str">
        <f>VLOOKUP(ТабЗаказы[[#This Row],[client]],ТабКлиенты[[name]:[_id]],2,0)</f>
        <v>67f56eca575fff8fe23c7a2e</v>
      </c>
      <c r="E131">
        <f>IFERROR(IF(ТабЗаказы[[#This Row],[orderSumm]]&gt;10000,10,VLOOKUP(ТабЗаказы[[#This Row],[client]],ТабКлиенты[[name]:[percent]],MATCH(E$1,ТабКлиенты[#Headers],0),0)),"")</f>
        <v>15</v>
      </c>
      <c r="F131" s="18">
        <f>IFERROR(SUMIF(ТабПозиции[orderNum],ТабЗаказы[[#This Row],[orderNum]],ТабПозиции[orderSumm]),"")</f>
        <v>3000</v>
      </c>
      <c r="G131" s="18">
        <f>SUMIF(ТабПозиции[orderNum],ТабЗаказы[[#This Row],[orderNum]],ТабПозиции[deliverySumm])</f>
        <v>450</v>
      </c>
      <c r="H131" s="18">
        <f>SUMIF(ТабПозиции[orderNum],ТабЗаказы[[#This Row],[orderNum]],ТабПозиции[totalSumm])</f>
        <v>852.06</v>
      </c>
      <c r="I131" s="18" t="str">
        <f>IFERROR(VLOOKUP(ТабЗаказы[[#This Row],[orderNum]],ТабПозиции[#Data],22,0),"")</f>
        <v>true</v>
      </c>
    </row>
    <row r="132" spans="1:9" x14ac:dyDescent="0.25">
      <c r="A132">
        <f t="shared" si="2"/>
        <v>131</v>
      </c>
      <c r="B132" s="1">
        <v>45456</v>
      </c>
      <c r="C132" t="s">
        <v>139</v>
      </c>
      <c r="D132" t="str">
        <f>VLOOKUP(ТабЗаказы[[#This Row],[client]],ТабКлиенты[[name]:[_id]],2,0)</f>
        <v>67f56eca575fff8fe23c7a38</v>
      </c>
      <c r="E132">
        <f>IFERROR(IF(ТабЗаказы[[#This Row],[orderSumm]]&gt;10000,10,VLOOKUP(ТабЗаказы[[#This Row],[client]],ТабКлиенты[[name]:[percent]],MATCH(E$1,ТабКлиенты[#Headers],0),0)),"")</f>
        <v>15</v>
      </c>
      <c r="F132" s="18">
        <f>IFERROR(SUMIF(ТабПозиции[orderNum],ТабЗаказы[[#This Row],[orderNum]],ТабПозиции[orderSumm]),"")</f>
        <v>4500</v>
      </c>
      <c r="G132" s="18">
        <f>SUMIF(ТабПозиции[orderNum],ТабЗаказы[[#This Row],[orderNum]],ТабПозиции[deliverySumm])</f>
        <v>675</v>
      </c>
      <c r="H132" s="18">
        <f>SUMIF(ТабПозиции[orderNum],ТабЗаказы[[#This Row],[orderNum]],ТабПозиции[totalSumm])</f>
        <v>1346</v>
      </c>
      <c r="I132" s="18" t="str">
        <f>IFERROR(VLOOKUP(ТабЗаказы[[#This Row],[orderNum]],ТабПозиции[#Data],22,0),"")</f>
        <v>true</v>
      </c>
    </row>
    <row r="133" spans="1:9" x14ac:dyDescent="0.25">
      <c r="A133">
        <f t="shared" si="2"/>
        <v>132</v>
      </c>
      <c r="B133" s="1">
        <v>45456</v>
      </c>
      <c r="C133" t="s">
        <v>224</v>
      </c>
      <c r="D133" t="str">
        <f>VLOOKUP(ТабЗаказы[[#This Row],[client]],ТабКлиенты[[name]:[_id]],2,0)</f>
        <v>67f56eca575fff8fe23c7a57</v>
      </c>
      <c r="E133">
        <f>IFERROR(IF(ТабЗаказы[[#This Row],[orderSumm]]&gt;10000,10,VLOOKUP(ТабЗаказы[[#This Row],[client]],ТабКлиенты[[name]:[percent]],MATCH(E$1,ТабКлиенты[#Headers],0),0)),"")</f>
        <v>10</v>
      </c>
      <c r="F133" s="18">
        <f>IFERROR(SUMIF(ТабПозиции[orderNum],ТабЗаказы[[#This Row],[orderNum]],ТабПозиции[orderSumm]),"")</f>
        <v>3659</v>
      </c>
      <c r="G133" s="18">
        <f>SUMIF(ТабПозиции[orderNum],ТабЗаказы[[#This Row],[orderNum]],ТабПозиции[deliverySumm])</f>
        <v>366</v>
      </c>
      <c r="H133" s="18">
        <f>SUMIF(ТабПозиции[orderNum],ТабЗаказы[[#This Row],[orderNum]],ТабПозиции[totalSumm])</f>
        <v>366</v>
      </c>
      <c r="I133" s="18" t="str">
        <f>IFERROR(VLOOKUP(ТабЗаказы[[#This Row],[orderNum]],ТабПозиции[#Data],22,0),"")</f>
        <v>true</v>
      </c>
    </row>
    <row r="134" spans="1:9" x14ac:dyDescent="0.25">
      <c r="A134">
        <f t="shared" si="2"/>
        <v>133</v>
      </c>
      <c r="B134" s="1">
        <v>45457</v>
      </c>
      <c r="C134" t="s">
        <v>97</v>
      </c>
      <c r="D134" t="str">
        <f>VLOOKUP(ТабЗаказы[[#This Row],[client]],ТабКлиенты[[name]:[_id]],2,0)</f>
        <v>67f56eca575fff8fe23c7a2a</v>
      </c>
      <c r="E134">
        <f>IFERROR(IF(ТабЗаказы[[#This Row],[orderSumm]]&gt;10000,10,VLOOKUP(ТабЗаказы[[#This Row],[client]],ТабКлиенты[[name]:[percent]],MATCH(E$1,ТабКлиенты[#Headers],0),0)),"")</f>
        <v>10</v>
      </c>
      <c r="F134" s="18">
        <f>IFERROR(SUMIF(ТабПозиции[orderNum],ТабЗаказы[[#This Row],[orderNum]],ТабПозиции[orderSumm]),"")</f>
        <v>4819</v>
      </c>
      <c r="G134" s="18">
        <f>SUMIF(ТабПозиции[orderNum],ТабЗаказы[[#This Row],[orderNum]],ТабПозиции[deliverySumm])</f>
        <v>482</v>
      </c>
      <c r="H134" s="18">
        <f>SUMIF(ТабПозиции[orderNum],ТабЗаказы[[#This Row],[orderNum]],ТабПозиции[totalSumm])</f>
        <v>482</v>
      </c>
      <c r="I134" s="18" t="str">
        <f>IFERROR(VLOOKUP(ТабЗаказы[[#This Row],[orderNum]],ТабПозиции[#Data],22,0),"")</f>
        <v>true</v>
      </c>
    </row>
    <row r="135" spans="1:9" x14ac:dyDescent="0.25">
      <c r="A135">
        <f t="shared" si="2"/>
        <v>134</v>
      </c>
      <c r="B135" s="1">
        <v>45455</v>
      </c>
      <c r="C135" t="s">
        <v>204</v>
      </c>
      <c r="D135" t="str">
        <f>VLOOKUP(ТабЗаказы[[#This Row],[client]],ТабКлиенты[[name]:[_id]],2,0)</f>
        <v>67f56eca575fff8fe23c7a50</v>
      </c>
      <c r="E135">
        <f>IFERROR(IF(ТабЗаказы[[#This Row],[orderSumm]]&gt;10000,10,VLOOKUP(ТабЗаказы[[#This Row],[client]],ТабКлиенты[[name]:[percent]],MATCH(E$1,ТабКлиенты[#Headers],0),0)),"")</f>
        <v>10</v>
      </c>
      <c r="F135" s="18">
        <f>IFERROR(SUMIF(ТабПозиции[orderNum],ТабЗаказы[[#This Row],[orderNum]],ТабПозиции[orderSumm]),"")</f>
        <v>2113</v>
      </c>
      <c r="G135" s="18">
        <f>SUMIF(ТабПозиции[orderNum],ТабЗаказы[[#This Row],[orderNum]],ТабПозиции[deliverySumm])</f>
        <v>211</v>
      </c>
      <c r="H135" s="18">
        <f>SUMIF(ТабПозиции[orderNum],ТабЗаказы[[#This Row],[orderNum]],ТабПозиции[totalSumm])</f>
        <v>2324</v>
      </c>
      <c r="I135" s="18" t="str">
        <f>IFERROR(VLOOKUP(ТабЗаказы[[#This Row],[orderNum]],ТабПозиции[#Data],22,0),"")</f>
        <v>true</v>
      </c>
    </row>
    <row r="136" spans="1:9" x14ac:dyDescent="0.25">
      <c r="A136">
        <f t="shared" si="2"/>
        <v>135</v>
      </c>
      <c r="B136" s="1">
        <v>45457</v>
      </c>
      <c r="C136" t="s">
        <v>204</v>
      </c>
      <c r="D136" t="str">
        <f>VLOOKUP(ТабЗаказы[[#This Row],[client]],ТабКлиенты[[name]:[_id]],2,0)</f>
        <v>67f56eca575fff8fe23c7a50</v>
      </c>
      <c r="E136">
        <f>IFERROR(IF(ТабЗаказы[[#This Row],[orderSumm]]&gt;10000,10,VLOOKUP(ТабЗаказы[[#This Row],[client]],ТабКлиенты[[name]:[percent]],MATCH(E$1,ТабКлиенты[#Headers],0),0)),"")</f>
        <v>10</v>
      </c>
      <c r="F136" s="18">
        <f>IFERROR(SUMIF(ТабПозиции[orderNum],ТабЗаказы[[#This Row],[orderNum]],ТабПозиции[orderSumm]),"")</f>
        <v>709</v>
      </c>
      <c r="G136" s="18">
        <f>SUMIF(ТабПозиции[orderNum],ТабЗаказы[[#This Row],[orderNum]],ТабПозиции[deliverySumm])</f>
        <v>200</v>
      </c>
      <c r="H136" s="18">
        <f>SUMIF(ТабПозиции[orderNum],ТабЗаказы[[#This Row],[orderNum]],ТабПозиции[totalSumm])</f>
        <v>909</v>
      </c>
      <c r="I136" s="18" t="str">
        <f>IFERROR(VLOOKUP(ТабЗаказы[[#This Row],[orderNum]],ТабПозиции[#Data],22,0),"")</f>
        <v>true</v>
      </c>
    </row>
    <row r="137" spans="1:9" x14ac:dyDescent="0.25">
      <c r="A137">
        <f t="shared" si="2"/>
        <v>136</v>
      </c>
      <c r="B137" s="1">
        <v>45458</v>
      </c>
      <c r="C137" t="s">
        <v>346</v>
      </c>
      <c r="D137" t="str">
        <f>VLOOKUP(ТабЗаказы[[#This Row],[client]],ТабКлиенты[[name]:[_id]],2,0)</f>
        <v>67f56eca575fff8fe23c7a7a</v>
      </c>
      <c r="E137">
        <f>IFERROR(IF(ТабЗаказы[[#This Row],[orderSumm]]&gt;10000,10,VLOOKUP(ТабЗаказы[[#This Row],[client]],ТабКлиенты[[name]:[percent]],MATCH(E$1,ТабКлиенты[#Headers],0),0)),"")</f>
        <v>15</v>
      </c>
      <c r="F137" s="18">
        <f>IFERROR(SUMIF(ТабПозиции[orderNum],ТабЗаказы[[#This Row],[orderNum]],ТабПозиции[orderSumm]),"")</f>
        <v>6415</v>
      </c>
      <c r="G137" s="18">
        <f>SUMIF(ТабПозиции[orderNum],ТабЗаказы[[#This Row],[orderNum]],ТабПозиции[deliverySumm])</f>
        <v>962</v>
      </c>
      <c r="H137" s="18">
        <f>SUMIF(ТабПозиции[orderNum],ТабЗаказы[[#This Row],[orderNum]],ТабПозиции[totalSumm])</f>
        <v>7377</v>
      </c>
      <c r="I137" s="18" t="str">
        <f>IFERROR(VLOOKUP(ТабЗаказы[[#This Row],[orderNum]],ТабПозиции[#Data],22,0),"")</f>
        <v>true</v>
      </c>
    </row>
    <row r="138" spans="1:9" x14ac:dyDescent="0.25">
      <c r="A138">
        <f t="shared" si="2"/>
        <v>137</v>
      </c>
      <c r="B138" s="1">
        <v>45461</v>
      </c>
      <c r="C138" t="s">
        <v>357</v>
      </c>
      <c r="D138" t="str">
        <f>VLOOKUP(ТабЗаказы[[#This Row],[client]],ТабКлиенты[[name]:[_id]],2,0)</f>
        <v>67f56eca575fff8fe23c7a7d</v>
      </c>
      <c r="E138">
        <f>IFERROR(IF(ТабЗаказы[[#This Row],[orderSumm]]&gt;10000,10,VLOOKUP(ТабЗаказы[[#This Row],[client]],ТабКлиенты[[name]:[percent]],MATCH(E$1,ТабКлиенты[#Headers],0),0)),"")</f>
        <v>15</v>
      </c>
      <c r="F138" s="18">
        <f>IFERROR(SUMIF(ТабПозиции[orderNum],ТабЗаказы[[#This Row],[orderNum]],ТабПозиции[orderSumm]),"")</f>
        <v>3888</v>
      </c>
      <c r="G138" s="18">
        <f>SUMIF(ТабПозиции[orderNum],ТабЗаказы[[#This Row],[orderNum]],ТабПозиции[deliverySumm])</f>
        <v>583</v>
      </c>
      <c r="H138" s="18">
        <f>SUMIF(ТабПозиции[orderNum],ТабЗаказы[[#This Row],[orderNum]],ТабПозиции[totalSumm])</f>
        <v>4471</v>
      </c>
      <c r="I138" s="18" t="str">
        <f>IFERROR(VLOOKUP(ТабЗаказы[[#This Row],[orderNum]],ТабПозиции[#Data],22,0),"")</f>
        <v>true</v>
      </c>
    </row>
    <row r="139" spans="1:9" x14ac:dyDescent="0.25">
      <c r="A139">
        <f t="shared" si="2"/>
        <v>138</v>
      </c>
      <c r="B139" s="1">
        <v>45461</v>
      </c>
      <c r="C139" t="s">
        <v>139</v>
      </c>
      <c r="D139" t="str">
        <f>VLOOKUP(ТабЗаказы[[#This Row],[client]],ТабКлиенты[[name]:[_id]],2,0)</f>
        <v>67f56eca575fff8fe23c7a38</v>
      </c>
      <c r="E139">
        <f>IFERROR(IF(ТабЗаказы[[#This Row],[orderSumm]]&gt;10000,10,VLOOKUP(ТабЗаказы[[#This Row],[client]],ТабКлиенты[[name]:[percent]],MATCH(E$1,ТабКлиенты[#Headers],0),0)),"")</f>
        <v>15</v>
      </c>
      <c r="F139" s="18">
        <f>IFERROR(SUMIF(ТабПозиции[orderNum],ТабЗаказы[[#This Row],[orderNum]],ТабПозиции[orderSumm]),"")</f>
        <v>4037</v>
      </c>
      <c r="G139" s="18">
        <f>SUMIF(ТабПозиции[orderNum],ТабЗаказы[[#This Row],[orderNum]],ТабПозиции[deliverySumm])</f>
        <v>606</v>
      </c>
      <c r="H139" s="18">
        <f>SUMIF(ТабПозиции[orderNum],ТабЗаказы[[#This Row],[orderNum]],ТабПозиции[totalSumm])</f>
        <v>1306</v>
      </c>
      <c r="I139" s="18" t="str">
        <f>IFERROR(VLOOKUP(ТабЗаказы[[#This Row],[orderNum]],ТабПозиции[#Data],22,0),"")</f>
        <v>true</v>
      </c>
    </row>
    <row r="140" spans="1:9" x14ac:dyDescent="0.25">
      <c r="A140">
        <f t="shared" si="2"/>
        <v>139</v>
      </c>
      <c r="B140" s="1">
        <v>45460</v>
      </c>
      <c r="C140" t="s">
        <v>104</v>
      </c>
      <c r="D140" t="str">
        <f>VLOOKUP(ТабЗаказы[[#This Row],[client]],ТабКлиенты[[name]:[_id]],2,0)</f>
        <v>67f56eca575fff8fe23c7a2d</v>
      </c>
      <c r="E140">
        <f>IFERROR(IF(ТабЗаказы[[#This Row],[orderSumm]]&gt;10000,10,VLOOKUP(ТабЗаказы[[#This Row],[client]],ТабКлиенты[[name]:[percent]],MATCH(E$1,ТабКлиенты[#Headers],0),0)),"")</f>
        <v>10</v>
      </c>
      <c r="F140" s="18">
        <f>IFERROR(SUMIF(ТабПозиции[orderNum],ТабЗаказы[[#This Row],[orderNum]],ТабПозиции[orderSumm]),"")</f>
        <v>11700</v>
      </c>
      <c r="G140" s="18">
        <f>SUMIF(ТабПозиции[orderNum],ТабЗаказы[[#This Row],[orderNum]],ТабПозиции[deliverySumm])</f>
        <v>1170</v>
      </c>
      <c r="H140" s="18">
        <f>SUMIF(ТабПозиции[orderNum],ТабЗаказы[[#This Row],[orderNum]],ТабПозиции[totalSumm])</f>
        <v>1612.6</v>
      </c>
      <c r="I140" s="18" t="str">
        <f>IFERROR(VLOOKUP(ТабЗаказы[[#This Row],[orderNum]],ТабПозиции[#Data],22,0),"")</f>
        <v>true</v>
      </c>
    </row>
    <row r="141" spans="1:9" x14ac:dyDescent="0.25">
      <c r="A141">
        <f t="shared" si="2"/>
        <v>140</v>
      </c>
      <c r="B141" s="1">
        <v>45464</v>
      </c>
      <c r="C141" t="s">
        <v>210</v>
      </c>
      <c r="D141" t="str">
        <f>VLOOKUP(ТабЗаказы[[#This Row],[client]],ТабКлиенты[[name]:[_id]],2,0)</f>
        <v>67f56eca575fff8fe23c7a52</v>
      </c>
      <c r="E141">
        <f>IFERROR(IF(ТабЗаказы[[#This Row],[orderSumm]]&gt;10000,10,VLOOKUP(ТабЗаказы[[#This Row],[client]],ТабКлиенты[[name]:[percent]],MATCH(E$1,ТабКлиенты[#Headers],0),0)),"")</f>
        <v>15</v>
      </c>
      <c r="F141" s="18">
        <f>IFERROR(SUMIF(ТабПозиции[orderNum],ТабЗаказы[[#This Row],[orderNum]],ТабПозиции[orderSumm]),"")</f>
        <v>400</v>
      </c>
      <c r="G141" s="18">
        <f>SUMIF(ТабПозиции[orderNum],ТабЗаказы[[#This Row],[orderNum]],ТабПозиции[deliverySumm])</f>
        <v>200</v>
      </c>
      <c r="H141" s="18">
        <f>SUMIF(ТабПозиции[orderNum],ТабЗаказы[[#This Row],[orderNum]],ТабПозиции[totalSumm])</f>
        <v>600</v>
      </c>
      <c r="I141" s="18" t="str">
        <f>IFERROR(VLOOKUP(ТабЗаказы[[#This Row],[orderNum]],ТабПозиции[#Data],22,0),"")</f>
        <v>true</v>
      </c>
    </row>
    <row r="142" spans="1:9" x14ac:dyDescent="0.25">
      <c r="A142">
        <f t="shared" si="2"/>
        <v>141</v>
      </c>
      <c r="B142" s="1">
        <v>45464</v>
      </c>
      <c r="C142" t="s">
        <v>224</v>
      </c>
      <c r="D142" t="str">
        <f>VLOOKUP(ТабЗаказы[[#This Row],[client]],ТабКлиенты[[name]:[_id]],2,0)</f>
        <v>67f56eca575fff8fe23c7a57</v>
      </c>
      <c r="E142">
        <f>IFERROR(IF(ТабЗаказы[[#This Row],[orderSumm]]&gt;10000,10,VLOOKUP(ТабЗаказы[[#This Row],[client]],ТабКлиенты[[name]:[percent]],MATCH(E$1,ТабКлиенты[#Headers],0),0)),"")</f>
        <v>10</v>
      </c>
      <c r="F142" s="18">
        <f>IFERROR(SUMIF(ТабПозиции[orderNum],ТабЗаказы[[#This Row],[orderNum]],ТабПозиции[orderSumm]),"")</f>
        <v>3091</v>
      </c>
      <c r="G142" s="18">
        <f>SUMIF(ТабПозиции[orderNum],ТабЗаказы[[#This Row],[orderNum]],ТабПозиции[deliverySumm])</f>
        <v>309</v>
      </c>
      <c r="H142" s="18">
        <f>SUMIF(ТабПозиции[orderNum],ТабЗаказы[[#This Row],[orderNum]],ТабПозиции[totalSumm])</f>
        <v>309</v>
      </c>
      <c r="I142" s="18" t="str">
        <f>IFERROR(VLOOKUP(ТабЗаказы[[#This Row],[orderNum]],ТабПозиции[#Data],22,0),"")</f>
        <v>true</v>
      </c>
    </row>
    <row r="143" spans="1:9" x14ac:dyDescent="0.25">
      <c r="A143">
        <f t="shared" si="2"/>
        <v>142</v>
      </c>
      <c r="B143" s="1">
        <v>45465</v>
      </c>
      <c r="C143" t="s">
        <v>283</v>
      </c>
      <c r="D143" t="str">
        <f>VLOOKUP(ТабЗаказы[[#This Row],[client]],ТабКлиенты[[name]:[_id]],2,0)</f>
        <v>67f56eca575fff8fe23c7a67</v>
      </c>
      <c r="E143">
        <f>IFERROR(IF(ТабЗаказы[[#This Row],[orderSumm]]&gt;10000,10,VLOOKUP(ТабЗаказы[[#This Row],[client]],ТабКлиенты[[name]:[percent]],MATCH(E$1,ТабКлиенты[#Headers],0),0)),"")</f>
        <v>15</v>
      </c>
      <c r="F143" s="18">
        <f>IFERROR(SUMIF(ТабПозиции[orderNum],ТабЗаказы[[#This Row],[orderNum]],ТабПозиции[orderSumm]),"")</f>
        <v>3059</v>
      </c>
      <c r="G143" s="18">
        <f>SUMIF(ТабПозиции[orderNum],ТабЗаказы[[#This Row],[orderNum]],ТабПозиции[deliverySumm])</f>
        <v>458</v>
      </c>
      <c r="H143" s="18">
        <f>SUMIF(ТабПозиции[orderNum],ТабЗаказы[[#This Row],[orderNum]],ТабПозиции[totalSumm])</f>
        <v>3517</v>
      </c>
      <c r="I143" s="18" t="str">
        <f>IFERROR(VLOOKUP(ТабЗаказы[[#This Row],[orderNum]],ТабПозиции[#Data],22,0),"")</f>
        <v>true</v>
      </c>
    </row>
    <row r="144" spans="1:9" x14ac:dyDescent="0.25">
      <c r="A144">
        <f t="shared" si="2"/>
        <v>143</v>
      </c>
      <c r="B144" s="1">
        <v>45465</v>
      </c>
      <c r="C144" t="s">
        <v>366</v>
      </c>
      <c r="D144" t="str">
        <f>VLOOKUP(ТабЗаказы[[#This Row],[client]],ТабКлиенты[[name]:[_id]],2,0)</f>
        <v>67f56eca575fff8fe23c7a80</v>
      </c>
      <c r="E144">
        <f>IFERROR(IF(ТабЗаказы[[#This Row],[orderSumm]]&gt;10000,10,VLOOKUP(ТабЗаказы[[#This Row],[client]],ТабКлиенты[[name]:[percent]],MATCH(E$1,ТабКлиенты[#Headers],0),0)),"")</f>
        <v>15</v>
      </c>
      <c r="F144" s="18">
        <f>IFERROR(SUMIF(ТабПозиции[orderNum],ТабЗаказы[[#This Row],[orderNum]],ТабПозиции[orderSumm]),"")</f>
        <v>4374</v>
      </c>
      <c r="G144" s="18">
        <f>SUMIF(ТабПозиции[orderNum],ТабЗаказы[[#This Row],[orderNum]],ТабПозиции[deliverySumm])</f>
        <v>656</v>
      </c>
      <c r="H144" s="18">
        <f>SUMIF(ТабПозиции[orderNum],ТабЗаказы[[#This Row],[orderNum]],ТабПозиции[totalSumm])</f>
        <v>656</v>
      </c>
      <c r="I144" s="18" t="str">
        <f>IFERROR(VLOOKUP(ТабЗаказы[[#This Row],[orderNum]],ТабПозиции[#Data],22,0),"")</f>
        <v>true</v>
      </c>
    </row>
    <row r="145" spans="1:9" x14ac:dyDescent="0.25">
      <c r="A145">
        <f t="shared" si="2"/>
        <v>144</v>
      </c>
      <c r="B145" s="1">
        <v>45465</v>
      </c>
      <c r="C145" t="s">
        <v>366</v>
      </c>
      <c r="D145" t="str">
        <f>VLOOKUP(ТабЗаказы[[#This Row],[client]],ТабКлиенты[[name]:[_id]],2,0)</f>
        <v>67f56eca575fff8fe23c7a80</v>
      </c>
      <c r="E145">
        <f>IFERROR(IF(ТабЗаказы[[#This Row],[orderSumm]]&gt;10000,10,VLOOKUP(ТабЗаказы[[#This Row],[client]],ТабКлиенты[[name]:[percent]],MATCH(E$1,ТабКлиенты[#Headers],0),0)),"")</f>
        <v>15</v>
      </c>
      <c r="F145" s="18">
        <f>IFERROR(SUMIF(ТабПозиции[orderNum],ТабЗаказы[[#This Row],[orderNum]],ТабПозиции[orderSumm]),"")</f>
        <v>4128</v>
      </c>
      <c r="G145" s="18">
        <f>SUMIF(ТабПозиции[orderNum],ТабЗаказы[[#This Row],[orderNum]],ТабПозиции[deliverySumm])</f>
        <v>619</v>
      </c>
      <c r="H145" s="18">
        <f>SUMIF(ТабПозиции[orderNum],ТабЗаказы[[#This Row],[orderNum]],ТабПозиции[totalSumm])</f>
        <v>619</v>
      </c>
      <c r="I145" s="18" t="str">
        <f>IFERROR(VLOOKUP(ТабЗаказы[[#This Row],[orderNum]],ТабПозиции[#Data],22,0),"")</f>
        <v>true</v>
      </c>
    </row>
    <row r="146" spans="1:9" x14ac:dyDescent="0.25">
      <c r="A146">
        <f t="shared" si="2"/>
        <v>145</v>
      </c>
      <c r="B146" s="1">
        <v>45466</v>
      </c>
      <c r="C146" t="s">
        <v>357</v>
      </c>
      <c r="D146" t="str">
        <f>VLOOKUP(ТабЗаказы[[#This Row],[client]],ТабКлиенты[[name]:[_id]],2,0)</f>
        <v>67f56eca575fff8fe23c7a7d</v>
      </c>
      <c r="E146">
        <f>IFERROR(IF(ТабЗаказы[[#This Row],[orderSumm]]&gt;10000,10,VLOOKUP(ТабЗаказы[[#This Row],[client]],ТабКлиенты[[name]:[percent]],MATCH(E$1,ТабКлиенты[#Headers],0),0)),"")</f>
        <v>15</v>
      </c>
      <c r="F146" s="18">
        <f>IFERROR(SUMIF(ТабПозиции[orderNum],ТабЗаказы[[#This Row],[orderNum]],ТабПозиции[orderSumm]),"")</f>
        <v>1712</v>
      </c>
      <c r="G146" s="18">
        <f>SUMIF(ТабПозиции[orderNum],ТабЗаказы[[#This Row],[orderNum]],ТабПозиции[deliverySumm])</f>
        <v>257</v>
      </c>
      <c r="H146" s="18">
        <f>SUMIF(ТабПозиции[orderNum],ТабЗаказы[[#This Row],[orderNum]],ТабПозиции[totalSumm])</f>
        <v>1969</v>
      </c>
      <c r="I146" s="18" t="str">
        <f>IFERROR(VLOOKUP(ТабЗаказы[[#This Row],[orderNum]],ТабПозиции[#Data],22,0),"")</f>
        <v>true</v>
      </c>
    </row>
    <row r="147" spans="1:9" x14ac:dyDescent="0.25">
      <c r="A147">
        <f t="shared" si="2"/>
        <v>146</v>
      </c>
      <c r="B147" s="1">
        <v>45467</v>
      </c>
      <c r="C147" t="s">
        <v>1502</v>
      </c>
      <c r="D147" t="str">
        <f>VLOOKUP(ТабЗаказы[[#This Row],[client]],ТабКлиенты[[name]:[_id]],2,0)</f>
        <v>67f56eca575fff8fe23c7a28</v>
      </c>
      <c r="E147">
        <f>IFERROR(IF(ТабЗаказы[[#This Row],[orderSumm]]&gt;10000,10,VLOOKUP(ТабЗаказы[[#This Row],[client]],ТабКлиенты[[name]:[percent]],MATCH(E$1,ТабКлиенты[#Headers],0),0)),"")</f>
        <v>15</v>
      </c>
      <c r="F147" s="18">
        <f>IFERROR(SUMIF(ТабПозиции[orderNum],ТабЗаказы[[#This Row],[orderNum]],ТабПозиции[orderSumm]),"")</f>
        <v>3891</v>
      </c>
      <c r="G147" s="18">
        <f>SUMIF(ТабПозиции[orderNum],ТабЗаказы[[#This Row],[orderNum]],ТабПозиции[deliverySumm])</f>
        <v>584</v>
      </c>
      <c r="H147" s="18">
        <f>SUMIF(ТабПозиции[orderNum],ТабЗаказы[[#This Row],[orderNum]],ТабПозиции[totalSumm])</f>
        <v>4475</v>
      </c>
      <c r="I147" s="18" t="str">
        <f>IFERROR(VLOOKUP(ТабЗаказы[[#This Row],[orderNum]],ТабПозиции[#Data],22,0),"")</f>
        <v>true</v>
      </c>
    </row>
    <row r="148" spans="1:9" x14ac:dyDescent="0.25">
      <c r="A148">
        <f t="shared" si="2"/>
        <v>147</v>
      </c>
      <c r="B148" s="1">
        <v>45469</v>
      </c>
      <c r="C148" t="s">
        <v>231</v>
      </c>
      <c r="D148" t="str">
        <f>VLOOKUP(ТабЗаказы[[#This Row],[client]],ТабКлиенты[[name]:[_id]],2,0)</f>
        <v>67f56eca575fff8fe23c7a59</v>
      </c>
      <c r="E148">
        <f>IFERROR(IF(ТабЗаказы[[#This Row],[orderSumm]]&gt;10000,10,VLOOKUP(ТабЗаказы[[#This Row],[client]],ТабКлиенты[[name]:[percent]],MATCH(E$1,ТабКлиенты[#Headers],0),0)),"")</f>
        <v>15</v>
      </c>
      <c r="F148" s="18">
        <f>IFERROR(SUMIF(ТабПозиции[orderNum],ТабЗаказы[[#This Row],[orderNum]],ТабПозиции[orderSumm]),"")</f>
        <v>7345</v>
      </c>
      <c r="G148" s="18">
        <f>SUMIF(ТабПозиции[orderNum],ТабЗаказы[[#This Row],[orderNum]],ТабПозиции[deliverySumm])</f>
        <v>1102</v>
      </c>
      <c r="H148" s="18">
        <f>SUMIF(ТабПозиции[orderNum],ТабЗаказы[[#This Row],[orderNum]],ТабПозиции[totalSumm])</f>
        <v>8447</v>
      </c>
      <c r="I148" s="18" t="str">
        <f>IFERROR(VLOOKUP(ТабЗаказы[[#This Row],[orderNum]],ТабПозиции[#Data],22,0),"")</f>
        <v>true</v>
      </c>
    </row>
    <row r="149" spans="1:9" x14ac:dyDescent="0.25">
      <c r="A149">
        <f t="shared" si="2"/>
        <v>148</v>
      </c>
      <c r="B149" s="1">
        <v>45470</v>
      </c>
      <c r="C149" t="s">
        <v>377</v>
      </c>
      <c r="D149" t="str">
        <f>VLOOKUP(ТабЗаказы[[#This Row],[client]],ТабКлиенты[[name]:[_id]],2,0)</f>
        <v>67f56eca575fff8fe23c7a83</v>
      </c>
      <c r="E149">
        <f>IFERROR(IF(ТабЗаказы[[#This Row],[orderSumm]]&gt;10000,10,VLOOKUP(ТабЗаказы[[#This Row],[client]],ТабКлиенты[[name]:[percent]],MATCH(E$1,ТабКлиенты[#Headers],0),0)),"")</f>
        <v>15</v>
      </c>
      <c r="F149" s="18">
        <f>IFERROR(SUMIF(ТабПозиции[orderNum],ТабЗаказы[[#This Row],[orderNum]],ТабПозиции[orderSumm]),"")</f>
        <v>1253</v>
      </c>
      <c r="G149" s="18">
        <f>SUMIF(ТабПозиции[orderNum],ТабЗаказы[[#This Row],[orderNum]],ТабПозиции[deliverySumm])</f>
        <v>200</v>
      </c>
      <c r="H149" s="18">
        <f>SUMIF(ТабПозиции[orderNum],ТабЗаказы[[#This Row],[orderNum]],ТабПозиции[totalSumm])</f>
        <v>1453</v>
      </c>
      <c r="I149" s="18" t="str">
        <f>IFERROR(VLOOKUP(ТабЗаказы[[#This Row],[orderNum]],ТабПозиции[#Data],22,0),"")</f>
        <v>true</v>
      </c>
    </row>
    <row r="150" spans="1:9" x14ac:dyDescent="0.25">
      <c r="A150">
        <f t="shared" si="2"/>
        <v>149</v>
      </c>
      <c r="B150" s="1">
        <v>45469</v>
      </c>
      <c r="C150" t="s">
        <v>112</v>
      </c>
      <c r="D150" t="str">
        <f>VLOOKUP(ТабЗаказы[[#This Row],[client]],ТабКлиенты[[name]:[_id]],2,0)</f>
        <v>67f56eca575fff8fe23c7a2f</v>
      </c>
      <c r="E150">
        <f>IFERROR(IF(ТабЗаказы[[#This Row],[orderSumm]]&gt;10000,10,VLOOKUP(ТабЗаказы[[#This Row],[client]],ТабКлиенты[[name]:[percent]],MATCH(E$1,ТабКлиенты[#Headers],0),0)),"")</f>
        <v>15</v>
      </c>
      <c r="F150" s="18">
        <f>IFERROR(SUMIF(ТабПозиции[orderNum],ТабЗаказы[[#This Row],[orderNum]],ТабПозиции[orderSumm]),"")</f>
        <v>8671</v>
      </c>
      <c r="G150" s="18">
        <f>SUMIF(ТабПозиции[orderNum],ТабЗаказы[[#This Row],[orderNum]],ТабПозиции[deliverySumm])</f>
        <v>1301</v>
      </c>
      <c r="H150" s="18">
        <f>SUMIF(ТабПозиции[orderNum],ТабЗаказы[[#This Row],[orderNum]],ТабПозиции[totalSumm])</f>
        <v>10172</v>
      </c>
      <c r="I150" s="18" t="str">
        <f>IFERROR(VLOOKUP(ТабЗаказы[[#This Row],[orderNum]],ТабПозиции[#Data],22,0),"")</f>
        <v>true</v>
      </c>
    </row>
    <row r="151" spans="1:9" x14ac:dyDescent="0.25">
      <c r="A151">
        <f t="shared" si="2"/>
        <v>150</v>
      </c>
      <c r="B151" s="1">
        <v>45471</v>
      </c>
      <c r="C151" t="s">
        <v>381</v>
      </c>
      <c r="D151" t="str">
        <f>VLOOKUP(ТабЗаказы[[#This Row],[client]],ТабКлиенты[[name]:[_id]],2,0)</f>
        <v>67f56eca575fff8fe23c7a84</v>
      </c>
      <c r="E151">
        <f>IFERROR(IF(ТабЗаказы[[#This Row],[orderSumm]]&gt;10000,10,VLOOKUP(ТабЗаказы[[#This Row],[client]],ТабКлиенты[[name]:[percent]],MATCH(E$1,ТабКлиенты[#Headers],0),0)),"")</f>
        <v>15</v>
      </c>
      <c r="F151" s="18">
        <f>IFERROR(SUMIF(ТабПозиции[orderNum],ТабЗаказы[[#This Row],[orderNum]],ТабПозиции[orderSumm]),"")</f>
        <v>9015</v>
      </c>
      <c r="G151" s="18">
        <f>SUMIF(ТабПозиции[orderNum],ТабЗаказы[[#This Row],[orderNum]],ТабПозиции[deliverySumm])</f>
        <v>1352</v>
      </c>
      <c r="H151" s="18">
        <f>SUMIF(ТабПозиции[orderNum],ТабЗаказы[[#This Row],[orderNum]],ТабПозиции[totalSumm])</f>
        <v>1552</v>
      </c>
      <c r="I151" s="18" t="str">
        <f>IFERROR(VLOOKUP(ТабЗаказы[[#This Row],[orderNum]],ТабПозиции[#Data],22,0),"")</f>
        <v>true</v>
      </c>
    </row>
    <row r="152" spans="1:9" x14ac:dyDescent="0.25">
      <c r="A152">
        <f t="shared" si="2"/>
        <v>151</v>
      </c>
      <c r="B152" s="1">
        <v>45471</v>
      </c>
      <c r="C152" t="s">
        <v>97</v>
      </c>
      <c r="D152" t="str">
        <f>VLOOKUP(ТабЗаказы[[#This Row],[client]],ТабКлиенты[[name]:[_id]],2,0)</f>
        <v>67f56eca575fff8fe23c7a2a</v>
      </c>
      <c r="E152">
        <f>IFERROR(IF(ТабЗаказы[[#This Row],[orderSumm]]&gt;10000,10,VLOOKUP(ТабЗаказы[[#This Row],[client]],ТабКлиенты[[name]:[percent]],MATCH(E$1,ТабКлиенты[#Headers],0),0)),"")</f>
        <v>10</v>
      </c>
      <c r="F152" s="18">
        <f>IFERROR(SUMIF(ТабПозиции[orderNum],ТабЗаказы[[#This Row],[orderNum]],ТабПозиции[orderSumm]),"")</f>
        <v>1300</v>
      </c>
      <c r="G152" s="18">
        <f>SUMIF(ТабПозиции[orderNum],ТабЗаказы[[#This Row],[orderNum]],ТабПозиции[deliverySumm])</f>
        <v>200</v>
      </c>
      <c r="H152" s="18">
        <f>SUMIF(ТабПозиции[orderNum],ТабЗаказы[[#This Row],[orderNum]],ТабПозиции[totalSumm])</f>
        <v>200</v>
      </c>
      <c r="I152" s="18" t="str">
        <f>IFERROR(VLOOKUP(ТабЗаказы[[#This Row],[orderNum]],ТабПозиции[#Data],22,0),"")</f>
        <v>true</v>
      </c>
    </row>
    <row r="153" spans="1:9" x14ac:dyDescent="0.25">
      <c r="A153">
        <f t="shared" si="2"/>
        <v>152</v>
      </c>
      <c r="B153" s="1">
        <v>45472</v>
      </c>
      <c r="C153" t="s">
        <v>357</v>
      </c>
      <c r="D153" t="str">
        <f>VLOOKUP(ТабЗаказы[[#This Row],[client]],ТабКлиенты[[name]:[_id]],2,0)</f>
        <v>67f56eca575fff8fe23c7a7d</v>
      </c>
      <c r="E153">
        <f>IFERROR(IF(ТабЗаказы[[#This Row],[orderSumm]]&gt;10000,10,VLOOKUP(ТабЗаказы[[#This Row],[client]],ТабКлиенты[[name]:[percent]],MATCH(E$1,ТабКлиенты[#Headers],0),0)),"")</f>
        <v>15</v>
      </c>
      <c r="F153" s="18">
        <f>IFERROR(SUMIF(ТабПозиции[orderNum],ТабЗаказы[[#This Row],[orderNum]],ТабПозиции[orderSumm]),"")</f>
        <v>3883</v>
      </c>
      <c r="G153" s="18">
        <f>SUMIF(ТабПозиции[orderNum],ТабЗаказы[[#This Row],[orderNum]],ТабПозиции[deliverySumm])</f>
        <v>582</v>
      </c>
      <c r="H153" s="18">
        <f>SUMIF(ТабПозиции[orderNum],ТабЗаказы[[#This Row],[orderNum]],ТабПозиции[totalSumm])</f>
        <v>4465</v>
      </c>
      <c r="I153" s="18" t="str">
        <f>IFERROR(VLOOKUP(ТабЗаказы[[#This Row],[orderNum]],ТабПозиции[#Data],22,0),"")</f>
        <v>true</v>
      </c>
    </row>
    <row r="154" spans="1:9" x14ac:dyDescent="0.25">
      <c r="A154">
        <f t="shared" si="2"/>
        <v>153</v>
      </c>
      <c r="B154" s="1">
        <v>45473</v>
      </c>
      <c r="C154" t="s">
        <v>215</v>
      </c>
      <c r="D154" t="str">
        <f>VLOOKUP(ТабЗаказы[[#This Row],[client]],ТабКлиенты[[name]:[_id]],2,0)</f>
        <v>67f56eca575fff8fe23c7a54</v>
      </c>
      <c r="E154">
        <f>IFERROR(IF(ТабЗаказы[[#This Row],[orderSumm]]&gt;10000,10,VLOOKUP(ТабЗаказы[[#This Row],[client]],ТабКлиенты[[name]:[percent]],MATCH(E$1,ТабКлиенты[#Headers],0),0)),"")</f>
        <v>15</v>
      </c>
      <c r="F154" s="18">
        <f>IFERROR(SUMIF(ТабПозиции[orderNum],ТабЗаказы[[#This Row],[orderNum]],ТабПозиции[orderSumm]),"")</f>
        <v>492</v>
      </c>
      <c r="G154" s="18">
        <f>SUMIF(ТабПозиции[orderNum],ТабЗаказы[[#This Row],[orderNum]],ТабПозиции[deliverySumm])</f>
        <v>200</v>
      </c>
      <c r="H154" s="18">
        <f>SUMIF(ТабПозиции[orderNum],ТабЗаказы[[#This Row],[orderNum]],ТабПозиции[totalSumm])</f>
        <v>692</v>
      </c>
      <c r="I154" s="18" t="str">
        <f>IFERROR(VLOOKUP(ТабЗаказы[[#This Row],[orderNum]],ТабПозиции[#Data],22,0),"")</f>
        <v>true</v>
      </c>
    </row>
    <row r="155" spans="1:9" x14ac:dyDescent="0.25">
      <c r="A155">
        <f t="shared" si="2"/>
        <v>154</v>
      </c>
      <c r="B155" s="1">
        <v>45473</v>
      </c>
      <c r="C155" t="s">
        <v>112</v>
      </c>
      <c r="D155" t="str">
        <f>VLOOKUP(ТабЗаказы[[#This Row],[client]],ТабКлиенты[[name]:[_id]],2,0)</f>
        <v>67f56eca575fff8fe23c7a2f</v>
      </c>
      <c r="E155">
        <f>IFERROR(IF(ТабЗаказы[[#This Row],[orderSumm]]&gt;10000,10,VLOOKUP(ТабЗаказы[[#This Row],[client]],ТабКлиенты[[name]:[percent]],MATCH(E$1,ТабКлиенты[#Headers],0),0)),"")</f>
        <v>15</v>
      </c>
      <c r="F155" s="18">
        <f>IFERROR(SUMIF(ТабПозиции[orderNum],ТабЗаказы[[#This Row],[orderNum]],ТабПозиции[orderSumm]),"")</f>
        <v>1057</v>
      </c>
      <c r="G155" s="18">
        <f>SUMIF(ТабПозиции[orderNum],ТабЗаказы[[#This Row],[orderNum]],ТабПозиции[deliverySumm])</f>
        <v>200</v>
      </c>
      <c r="H155" s="18">
        <f>SUMIF(ТабПозиции[orderNum],ТабЗаказы[[#This Row],[orderNum]],ТабПозиции[totalSumm])</f>
        <v>1257</v>
      </c>
      <c r="I155" s="18" t="str">
        <f>IFERROR(VLOOKUP(ТабЗаказы[[#This Row],[orderNum]],ТабПозиции[#Data],22,0),"")</f>
        <v>true</v>
      </c>
    </row>
    <row r="156" spans="1:9" x14ac:dyDescent="0.25">
      <c r="A156">
        <f t="shared" si="2"/>
        <v>155</v>
      </c>
      <c r="B156" s="1">
        <v>45471</v>
      </c>
      <c r="C156" t="s">
        <v>283</v>
      </c>
      <c r="D156" t="str">
        <f>VLOOKUP(ТабЗаказы[[#This Row],[client]],ТабКлиенты[[name]:[_id]],2,0)</f>
        <v>67f56eca575fff8fe23c7a67</v>
      </c>
      <c r="E156">
        <f>IFERROR(IF(ТабЗаказы[[#This Row],[orderSumm]]&gt;10000,10,VLOOKUP(ТабЗаказы[[#This Row],[client]],ТабКлиенты[[name]:[percent]],MATCH(E$1,ТабКлиенты[#Headers],0),0)),"")</f>
        <v>15</v>
      </c>
      <c r="F156" s="18">
        <f>IFERROR(SUMIF(ТабПозиции[orderNum],ТабЗаказы[[#This Row],[orderNum]],ТабПозиции[orderSumm]),"")</f>
        <v>8901</v>
      </c>
      <c r="G156" s="18">
        <f>SUMIF(ТабПозиции[orderNum],ТабЗаказы[[#This Row],[orderNum]],ТабПозиции[deliverySumm])</f>
        <v>1335</v>
      </c>
      <c r="H156" s="18">
        <f>SUMIF(ТабПозиции[orderNum],ТабЗаказы[[#This Row],[orderNum]],ТабПозиции[totalSumm])</f>
        <v>10236</v>
      </c>
      <c r="I156" s="18" t="str">
        <f>IFERROR(VLOOKUP(ТабЗаказы[[#This Row],[orderNum]],ТабПозиции[#Data],22,0),"")</f>
        <v>true</v>
      </c>
    </row>
    <row r="157" spans="1:9" x14ac:dyDescent="0.25">
      <c r="A157">
        <f t="shared" si="2"/>
        <v>156</v>
      </c>
      <c r="B157" s="1">
        <v>45473</v>
      </c>
      <c r="C157" t="s">
        <v>108</v>
      </c>
      <c r="D157" t="str">
        <f>VLOOKUP(ТабЗаказы[[#This Row],[client]],ТабКлиенты[[name]:[_id]],2,0)</f>
        <v>67f56eca575fff8fe23c7a2e</v>
      </c>
      <c r="E157">
        <f>IFERROR(IF(ТабЗаказы[[#This Row],[orderSumm]]&gt;10000,10,VLOOKUP(ТабЗаказы[[#This Row],[client]],ТабКлиенты[[name]:[percent]],MATCH(E$1,ТабКлиенты[#Headers],0),0)),"")</f>
        <v>15</v>
      </c>
      <c r="F157" s="18">
        <f>IFERROR(SUMIF(ТабПозиции[orderNum],ТабЗаказы[[#This Row],[orderNum]],ТабПозиции[orderSumm]),"")</f>
        <v>2500</v>
      </c>
      <c r="G157" s="18">
        <f>SUMIF(ТабПозиции[orderNum],ТабЗаказы[[#This Row],[orderNum]],ТабПозиции[deliverySumm])</f>
        <v>961</v>
      </c>
      <c r="H157" s="18">
        <f>SUMIF(ТабПозиции[orderNum],ТабЗаказы[[#This Row],[orderNum]],ТабПозиции[totalSumm])</f>
        <v>4000</v>
      </c>
      <c r="I157" s="18" t="str">
        <f>IFERROR(VLOOKUP(ТабЗаказы[[#This Row],[orderNum]],ТабПозиции[#Data],22,0),"")</f>
        <v>true</v>
      </c>
    </row>
    <row r="158" spans="1:9" x14ac:dyDescent="0.25">
      <c r="A158">
        <f t="shared" si="2"/>
        <v>157</v>
      </c>
      <c r="B158" s="1">
        <v>45473</v>
      </c>
      <c r="C158" t="s">
        <v>204</v>
      </c>
      <c r="D158" t="str">
        <f>VLOOKUP(ТабЗаказы[[#This Row],[client]],ТабКлиенты[[name]:[_id]],2,0)</f>
        <v>67f56eca575fff8fe23c7a50</v>
      </c>
      <c r="E158">
        <f>IFERROR(IF(ТабЗаказы[[#This Row],[orderSumm]]&gt;10000,10,VLOOKUP(ТабЗаказы[[#This Row],[client]],ТабКлиенты[[name]:[percent]],MATCH(E$1,ТабКлиенты[#Headers],0),0)),"")</f>
        <v>10</v>
      </c>
      <c r="F158" s="18">
        <f>IFERROR(SUMIF(ТабПозиции[orderNum],ТабЗаказы[[#This Row],[orderNum]],ТабПозиции[orderSumm]),"")</f>
        <v>2425</v>
      </c>
      <c r="G158" s="18">
        <f>SUMIF(ТабПозиции[orderNum],ТабЗаказы[[#This Row],[orderNum]],ТабПозиции[deliverySumm])</f>
        <v>242</v>
      </c>
      <c r="H158" s="18">
        <f>SUMIF(ТабПозиции[orderNum],ТабЗаказы[[#This Row],[orderNum]],ТабПозиции[totalSumm])</f>
        <v>2667</v>
      </c>
      <c r="I158" s="18" t="str">
        <f>IFERROR(VLOOKUP(ТабЗаказы[[#This Row],[orderNum]],ТабПозиции[#Data],22,0),"")</f>
        <v>true</v>
      </c>
    </row>
    <row r="159" spans="1:9" x14ac:dyDescent="0.25">
      <c r="A159">
        <f t="shared" si="2"/>
        <v>158</v>
      </c>
      <c r="B159" s="1">
        <v>45473</v>
      </c>
      <c r="C159" t="s">
        <v>287</v>
      </c>
      <c r="D159" t="str">
        <f>VLOOKUP(ТабЗаказы[[#This Row],[client]],ТабКлиенты[[name]:[_id]],2,0)</f>
        <v>67f56eca575fff8fe23c7a68</v>
      </c>
      <c r="E159">
        <f>IFERROR(IF(ТабЗаказы[[#This Row],[orderSumm]]&gt;10000,10,VLOOKUP(ТабЗаказы[[#This Row],[client]],ТабКлиенты[[name]:[percent]],MATCH(E$1,ТабКлиенты[#Headers],0),0)),"")</f>
        <v>15</v>
      </c>
      <c r="F159" s="18">
        <f>IFERROR(SUMIF(ТабПозиции[orderNum],ТабЗаказы[[#This Row],[orderNum]],ТабПозиции[orderSumm]),"")</f>
        <v>7970</v>
      </c>
      <c r="G159" s="18">
        <f>SUMIF(ТабПозиции[orderNum],ТабЗаказы[[#This Row],[orderNum]],ТабПозиции[deliverySumm])</f>
        <v>1197</v>
      </c>
      <c r="H159" s="18">
        <f>SUMIF(ТабПозиции[orderNum],ТабЗаказы[[#This Row],[orderNum]],ТабПозиции[totalSumm])</f>
        <v>9167</v>
      </c>
      <c r="I159" s="18" t="str">
        <f>IFERROR(VLOOKUP(ТабЗаказы[[#This Row],[orderNum]],ТабПозиции[#Data],22,0),"")</f>
        <v>true</v>
      </c>
    </row>
    <row r="160" spans="1:9" x14ac:dyDescent="0.25">
      <c r="A160">
        <f t="shared" si="2"/>
        <v>159</v>
      </c>
      <c r="B160" s="1">
        <v>45474</v>
      </c>
      <c r="C160" t="s">
        <v>389</v>
      </c>
      <c r="D160" t="str">
        <f>VLOOKUP(ТабЗаказы[[#This Row],[client]],ТабКлиенты[[name]:[_id]],2,0)</f>
        <v>67f56eca575fff8fe23c7a86</v>
      </c>
      <c r="E160">
        <f>IFERROR(IF(ТабЗаказы[[#This Row],[orderSumm]]&gt;10000,10,VLOOKUP(ТабЗаказы[[#This Row],[client]],ТабКлиенты[[name]:[percent]],MATCH(E$1,ТабКлиенты[#Headers],0),0)),"")</f>
        <v>10</v>
      </c>
      <c r="F160" s="18">
        <f>IFERROR(SUMIF(ТабПозиции[orderNum],ТабЗаказы[[#This Row],[orderNum]],ТабПозиции[orderSumm]),"")</f>
        <v>13000</v>
      </c>
      <c r="G160" s="18">
        <f>SUMIF(ТабПозиции[orderNum],ТабЗаказы[[#This Row],[orderNum]],ТабПозиции[deliverySumm])</f>
        <v>1300</v>
      </c>
      <c r="H160" s="18">
        <f>SUMIF(ТабПозиции[orderNum],ТабЗаказы[[#This Row],[orderNum]],ТабПозиции[totalSumm])</f>
        <v>14862</v>
      </c>
      <c r="I160" s="18" t="str">
        <f>IFERROR(VLOOKUP(ТабЗаказы[[#This Row],[orderNum]],ТабПозиции[#Data],22,0),"")</f>
        <v>true</v>
      </c>
    </row>
    <row r="161" spans="1:9" x14ac:dyDescent="0.25">
      <c r="A161">
        <f t="shared" si="2"/>
        <v>160</v>
      </c>
      <c r="B161" s="1">
        <v>45474</v>
      </c>
      <c r="C161" t="s">
        <v>231</v>
      </c>
      <c r="D161" t="str">
        <f>VLOOKUP(ТабЗаказы[[#This Row],[client]],ТабКлиенты[[name]:[_id]],2,0)</f>
        <v>67f56eca575fff8fe23c7a59</v>
      </c>
      <c r="E161">
        <f>IFERROR(IF(ТабЗаказы[[#This Row],[orderSumm]]&gt;10000,10,VLOOKUP(ТабЗаказы[[#This Row],[client]],ТабКлиенты[[name]:[percent]],MATCH(E$1,ТабКлиенты[#Headers],0),0)),"")</f>
        <v>15</v>
      </c>
      <c r="F161" s="18">
        <f>IFERROR(SUMIF(ТабПозиции[orderNum],ТабЗаказы[[#This Row],[orderNum]],ТабПозиции[orderSumm]),"")</f>
        <v>4759</v>
      </c>
      <c r="G161" s="18">
        <f>SUMIF(ТабПозиции[orderNum],ТабЗаказы[[#This Row],[orderNum]],ТабПозиции[deliverySumm])</f>
        <v>712</v>
      </c>
      <c r="H161" s="18">
        <f>SUMIF(ТабПозиции[orderNum],ТабЗаказы[[#This Row],[orderNum]],ТабПозиции[totalSumm])</f>
        <v>5471</v>
      </c>
      <c r="I161" s="18" t="str">
        <f>IFERROR(VLOOKUP(ТабЗаказы[[#This Row],[orderNum]],ТабПозиции[#Data],22,0),"")</f>
        <v>true</v>
      </c>
    </row>
    <row r="162" spans="1:9" x14ac:dyDescent="0.25">
      <c r="A162">
        <f t="shared" si="2"/>
        <v>161</v>
      </c>
      <c r="B162" s="1">
        <v>45475</v>
      </c>
      <c r="C162" t="s">
        <v>85</v>
      </c>
      <c r="D162" t="str">
        <f>VLOOKUP(ТабЗаказы[[#This Row],[client]],ТабКлиенты[[name]:[_id]],2,0)</f>
        <v>67f56eca575fff8fe23c7a26</v>
      </c>
      <c r="E162">
        <f>IFERROR(IF(ТабЗаказы[[#This Row],[orderSumm]]&gt;10000,10,VLOOKUP(ТабЗаказы[[#This Row],[client]],ТабКлиенты[[name]:[percent]],MATCH(E$1,ТабКлиенты[#Headers],0),0)),"")</f>
        <v>10</v>
      </c>
      <c r="F162" s="18">
        <f>IFERROR(SUMIF(ТабПозиции[orderNum],ТабЗаказы[[#This Row],[orderNum]],ТабПозиции[orderSumm]),"")</f>
        <v>12326</v>
      </c>
      <c r="G162" s="18">
        <f>SUMIF(ТабПозиции[orderNum],ТабЗаказы[[#This Row],[orderNum]],ТабПозиции[deliverySumm])</f>
        <v>1233</v>
      </c>
      <c r="H162" s="18">
        <f>SUMIF(ТабПозиции[orderNum],ТабЗаказы[[#This Row],[orderNum]],ТабПозиции[totalSumm])</f>
        <v>13559</v>
      </c>
      <c r="I162" s="18" t="str">
        <f>IFERROR(VLOOKUP(ТабЗаказы[[#This Row],[orderNum]],ТабПозиции[#Data],22,0),"")</f>
        <v>true</v>
      </c>
    </row>
    <row r="163" spans="1:9" x14ac:dyDescent="0.25">
      <c r="A163">
        <f t="shared" si="2"/>
        <v>162</v>
      </c>
      <c r="B163" s="1">
        <v>45476</v>
      </c>
      <c r="C163" t="s">
        <v>357</v>
      </c>
      <c r="D163" t="str">
        <f>VLOOKUP(ТабЗаказы[[#This Row],[client]],ТабКлиенты[[name]:[_id]],2,0)</f>
        <v>67f56eca575fff8fe23c7a7d</v>
      </c>
      <c r="E163">
        <f>IFERROR(IF(ТабЗаказы[[#This Row],[orderSumm]]&gt;10000,10,VLOOKUP(ТабЗаказы[[#This Row],[client]],ТабКлиенты[[name]:[percent]],MATCH(E$1,ТабКлиенты[#Headers],0),0)),"")</f>
        <v>15</v>
      </c>
      <c r="F163" s="18">
        <f>IFERROR(SUMIF(ТабПозиции[orderNum],ТабЗаказы[[#This Row],[orderNum]],ТабПозиции[orderSumm]),"")</f>
        <v>2557</v>
      </c>
      <c r="G163" s="18">
        <f>SUMIF(ТабПозиции[orderNum],ТабЗаказы[[#This Row],[orderNum]],ТабПозиции[deliverySumm])</f>
        <v>384</v>
      </c>
      <c r="H163" s="18">
        <f>SUMIF(ТабПозиции[orderNum],ТабЗаказы[[#This Row],[orderNum]],ТабПозиции[totalSumm])</f>
        <v>2941</v>
      </c>
      <c r="I163" s="18" t="str">
        <f>IFERROR(VLOOKUP(ТабЗаказы[[#This Row],[orderNum]],ТабПозиции[#Data],22,0),"")</f>
        <v>true</v>
      </c>
    </row>
    <row r="164" spans="1:9" x14ac:dyDescent="0.25">
      <c r="A164">
        <f t="shared" si="2"/>
        <v>163</v>
      </c>
      <c r="B164" s="1">
        <v>45476</v>
      </c>
      <c r="C164" t="s">
        <v>33</v>
      </c>
      <c r="D164" t="str">
        <f>VLOOKUP(ТабЗаказы[[#This Row],[client]],ТабКлиенты[[name]:[_id]],2,0)</f>
        <v>67f56eca575fff8fe23c7a15</v>
      </c>
      <c r="E164">
        <f>IFERROR(IF(ТабЗаказы[[#This Row],[orderSumm]]&gt;10000,10,VLOOKUP(ТабЗаказы[[#This Row],[client]],ТабКлиенты[[name]:[percent]],MATCH(E$1,ТабКлиенты[#Headers],0),0)),"")</f>
        <v>15</v>
      </c>
      <c r="F164" s="18">
        <f>IFERROR(SUMIF(ТабПозиции[orderNum],ТабЗаказы[[#This Row],[orderNum]],ТабПозиции[orderSumm]),"")</f>
        <v>1832</v>
      </c>
      <c r="G164" s="18">
        <f>SUMIF(ТабПозиции[orderNum],ТабЗаказы[[#This Row],[orderNum]],ТабПозиции[deliverySumm])</f>
        <v>275</v>
      </c>
      <c r="H164" s="18">
        <f>SUMIF(ТабПозиции[orderNum],ТабЗаказы[[#This Row],[orderNum]],ТабПозиции[totalSumm])</f>
        <v>2107</v>
      </c>
      <c r="I164" s="18" t="str">
        <f>IFERROR(VLOOKUP(ТабЗаказы[[#This Row],[orderNum]],ТабПозиции[#Data],22,0),"")</f>
        <v>true</v>
      </c>
    </row>
    <row r="165" spans="1:9" x14ac:dyDescent="0.25">
      <c r="A165">
        <f t="shared" si="2"/>
        <v>164</v>
      </c>
      <c r="B165" s="1">
        <v>45478</v>
      </c>
      <c r="C165" t="s">
        <v>231</v>
      </c>
      <c r="D165" t="str">
        <f>VLOOKUP(ТабЗаказы[[#This Row],[client]],ТабКлиенты[[name]:[_id]],2,0)</f>
        <v>67f56eca575fff8fe23c7a59</v>
      </c>
      <c r="E165">
        <f>IFERROR(IF(ТабЗаказы[[#This Row],[orderSumm]]&gt;10000,10,VLOOKUP(ТабЗаказы[[#This Row],[client]],ТабКлиенты[[name]:[percent]],MATCH(E$1,ТабКлиенты[#Headers],0),0)),"")</f>
        <v>15</v>
      </c>
      <c r="F165" s="18">
        <f>IFERROR(SUMIF(ТабПозиции[orderNum],ТабЗаказы[[#This Row],[orderNum]],ТабПозиции[orderSumm]),"")</f>
        <v>1036</v>
      </c>
      <c r="G165" s="18">
        <f>SUMIF(ТабПозиции[orderNum],ТабЗаказы[[#This Row],[orderNum]],ТабПозиции[deliverySumm])</f>
        <v>201</v>
      </c>
      <c r="H165" s="18">
        <f>SUMIF(ТабПозиции[orderNum],ТабЗаказы[[#This Row],[orderNum]],ТабПозиции[totalSumm])</f>
        <v>1237</v>
      </c>
      <c r="I165" s="18" t="str">
        <f>IFERROR(VLOOKUP(ТабЗаказы[[#This Row],[orderNum]],ТабПозиции[#Data],22,0),"")</f>
        <v>true</v>
      </c>
    </row>
    <row r="166" spans="1:9" x14ac:dyDescent="0.25">
      <c r="A166">
        <f t="shared" si="2"/>
        <v>165</v>
      </c>
      <c r="B166" s="1">
        <v>45478</v>
      </c>
      <c r="C166" t="s">
        <v>287</v>
      </c>
      <c r="D166" t="str">
        <f>VLOOKUP(ТабЗаказы[[#This Row],[client]],ТабКлиенты[[name]:[_id]],2,0)</f>
        <v>67f56eca575fff8fe23c7a68</v>
      </c>
      <c r="E166">
        <f>IFERROR(IF(ТабЗаказы[[#This Row],[orderSumm]]&gt;10000,10,VLOOKUP(ТабЗаказы[[#This Row],[client]],ТабКлиенты[[name]:[percent]],MATCH(E$1,ТабКлиенты[#Headers],0),0)),"")</f>
        <v>15</v>
      </c>
      <c r="F166" s="18">
        <f>IFERROR(SUMIF(ТабПозиции[orderNum],ТабЗаказы[[#This Row],[orderNum]],ТабПозиции[orderSumm]),"")</f>
        <v>4096</v>
      </c>
      <c r="G166" s="18">
        <f>SUMIF(ТабПозиции[orderNum],ТабЗаказы[[#This Row],[orderNum]],ТабПозиции[deliverySumm])</f>
        <v>615</v>
      </c>
      <c r="H166" s="18">
        <f>SUMIF(ТабПозиции[orderNum],ТабЗаказы[[#This Row],[orderNum]],ТабПозиции[totalSumm])</f>
        <v>4711</v>
      </c>
      <c r="I166" s="18" t="str">
        <f>IFERROR(VLOOKUP(ТабЗаказы[[#This Row],[orderNum]],ТабПозиции[#Data],22,0),"")</f>
        <v>true</v>
      </c>
    </row>
    <row r="167" spans="1:9" x14ac:dyDescent="0.25">
      <c r="A167">
        <f t="shared" si="2"/>
        <v>166</v>
      </c>
      <c r="B167" s="1">
        <v>45480</v>
      </c>
      <c r="C167" t="s">
        <v>292</v>
      </c>
      <c r="D167" t="str">
        <f>VLOOKUP(ТабЗаказы[[#This Row],[client]],ТабКлиенты[[name]:[_id]],2,0)</f>
        <v>67f56eca575fff8fe23c7a6a</v>
      </c>
      <c r="E167">
        <f>IFERROR(IF(ТабЗаказы[[#This Row],[orderSumm]]&gt;10000,10,VLOOKUP(ТабЗаказы[[#This Row],[client]],ТабКлиенты[[name]:[percent]],MATCH(E$1,ТабКлиенты[#Headers],0),0)),"")</f>
        <v>10</v>
      </c>
      <c r="F167" s="18">
        <f>IFERROR(SUMIF(ТабПозиции[orderNum],ТабЗаказы[[#This Row],[orderNum]],ТабПозиции[orderSumm]),"")</f>
        <v>11479</v>
      </c>
      <c r="G167" s="18">
        <f>SUMIF(ТабПозиции[orderNum],ТабЗаказы[[#This Row],[orderNum]],ТабПозиции[deliverySumm])</f>
        <v>1148</v>
      </c>
      <c r="H167" s="18">
        <f>SUMIF(ТабПозиции[orderNum],ТабЗаказы[[#This Row],[orderNum]],ТабПозиции[totalSumm])</f>
        <v>12627</v>
      </c>
      <c r="I167" s="18" t="str">
        <f>IFERROR(VLOOKUP(ТабЗаказы[[#This Row],[orderNum]],ТабПозиции[#Data],22,0),"")</f>
        <v>true</v>
      </c>
    </row>
    <row r="168" spans="1:9" x14ac:dyDescent="0.25">
      <c r="A168">
        <f t="shared" si="2"/>
        <v>167</v>
      </c>
      <c r="B168" s="1">
        <v>45479</v>
      </c>
      <c r="C168" t="s">
        <v>215</v>
      </c>
      <c r="D168" t="str">
        <f>VLOOKUP(ТабЗаказы[[#This Row],[client]],ТабКлиенты[[name]:[_id]],2,0)</f>
        <v>67f56eca575fff8fe23c7a54</v>
      </c>
      <c r="E168">
        <f>IFERROR(IF(ТабЗаказы[[#This Row],[orderSumm]]&gt;10000,10,VLOOKUP(ТабЗаказы[[#This Row],[client]],ТабКлиенты[[name]:[percent]],MATCH(E$1,ТабКлиенты[#Headers],0),0)),"")</f>
        <v>15</v>
      </c>
      <c r="F168" s="18">
        <f>IFERROR(SUMIF(ТабПозиции[orderNum],ТабЗаказы[[#This Row],[orderNum]],ТабПозиции[orderSumm]),"")</f>
        <v>352</v>
      </c>
      <c r="G168" s="18">
        <f>SUMIF(ТабПозиции[orderNum],ТабЗаказы[[#This Row],[orderNum]],ТабПозиции[deliverySumm])</f>
        <v>200</v>
      </c>
      <c r="H168" s="18">
        <f>SUMIF(ТабПозиции[orderNum],ТабЗаказы[[#This Row],[orderNum]],ТабПозиции[totalSumm])</f>
        <v>552</v>
      </c>
      <c r="I168" s="18" t="str">
        <f>IFERROR(VLOOKUP(ТабЗаказы[[#This Row],[orderNum]],ТабПозиции[#Data],22,0),"")</f>
        <v>true</v>
      </c>
    </row>
    <row r="169" spans="1:9" x14ac:dyDescent="0.25">
      <c r="A169">
        <f t="shared" si="2"/>
        <v>168</v>
      </c>
      <c r="B169" s="1">
        <v>45473</v>
      </c>
      <c r="C169" t="s">
        <v>390</v>
      </c>
      <c r="D169" t="str">
        <f>VLOOKUP(ТабЗаказы[[#This Row],[client]],ТабКлиенты[[name]:[_id]],2,0)</f>
        <v>67f56eca575fff8fe23c7a87</v>
      </c>
      <c r="E169">
        <f>IFERROR(IF(ТабЗаказы[[#This Row],[orderSumm]]&gt;10000,10,VLOOKUP(ТабЗаказы[[#This Row],[client]],ТабКлиенты[[name]:[percent]],MATCH(E$1,ТабКлиенты[#Headers],0),0)),"")</f>
        <v>15</v>
      </c>
      <c r="F169" s="18">
        <f>IFERROR(SUMIF(ТабПозиции[orderNum],ТабЗаказы[[#This Row],[orderNum]],ТабПозиции[orderSumm]),"")</f>
        <v>1000</v>
      </c>
      <c r="G169" s="18">
        <f>SUMIF(ТабПозиции[orderNum],ТабЗаказы[[#This Row],[orderNum]],ТабПозиции[deliverySumm])</f>
        <v>200</v>
      </c>
      <c r="H169" s="18">
        <f>SUMIF(ТабПозиции[orderNum],ТабЗаказы[[#This Row],[orderNum]],ТабПозиции[totalSumm])</f>
        <v>200</v>
      </c>
      <c r="I169" s="18" t="str">
        <f>IFERROR(VLOOKUP(ТабЗаказы[[#This Row],[orderNum]],ТабПозиции[#Data],22,0),"")</f>
        <v>true</v>
      </c>
    </row>
    <row r="170" spans="1:9" x14ac:dyDescent="0.25">
      <c r="A170">
        <f t="shared" si="2"/>
        <v>169</v>
      </c>
      <c r="B170" s="1">
        <v>45480</v>
      </c>
      <c r="C170" t="s">
        <v>283</v>
      </c>
      <c r="D170" t="str">
        <f>VLOOKUP(ТабЗаказы[[#This Row],[client]],ТабКлиенты[[name]:[_id]],2,0)</f>
        <v>67f56eca575fff8fe23c7a67</v>
      </c>
      <c r="E170">
        <f>IFERROR(IF(ТабЗаказы[[#This Row],[orderSumm]]&gt;10000,10,VLOOKUP(ТабЗаказы[[#This Row],[client]],ТабКлиенты[[name]:[percent]],MATCH(E$1,ТабКлиенты[#Headers],0),0)),"")</f>
        <v>15</v>
      </c>
      <c r="F170" s="18">
        <f>IFERROR(SUMIF(ТабПозиции[orderNum],ТабЗаказы[[#This Row],[orderNum]],ТабПозиции[orderSumm]),"")</f>
        <v>1805</v>
      </c>
      <c r="G170" s="18">
        <f>SUMIF(ТабПозиции[orderNum],ТабЗаказы[[#This Row],[orderNum]],ТабПозиции[deliverySumm])</f>
        <v>271</v>
      </c>
      <c r="H170" s="18">
        <f>SUMIF(ТабПозиции[orderNum],ТабЗаказы[[#This Row],[orderNum]],ТабПозиции[totalSumm])</f>
        <v>2076</v>
      </c>
      <c r="I170" s="18" t="str">
        <f>IFERROR(VLOOKUP(ТабЗаказы[[#This Row],[orderNum]],ТабПозиции[#Data],22,0),"")</f>
        <v>true</v>
      </c>
    </row>
    <row r="171" spans="1:9" x14ac:dyDescent="0.25">
      <c r="A171">
        <f t="shared" si="2"/>
        <v>170</v>
      </c>
      <c r="B171" s="1">
        <v>45480</v>
      </c>
      <c r="C171" t="s">
        <v>85</v>
      </c>
      <c r="D171" t="str">
        <f>VLOOKUP(ТабЗаказы[[#This Row],[client]],ТабКлиенты[[name]:[_id]],2,0)</f>
        <v>67f56eca575fff8fe23c7a26</v>
      </c>
      <c r="E171">
        <f>IFERROR(IF(ТабЗаказы[[#This Row],[orderSumm]]&gt;10000,10,VLOOKUP(ТабЗаказы[[#This Row],[client]],ТабКлиенты[[name]:[percent]],MATCH(E$1,ТабКлиенты[#Headers],0),0)),"")</f>
        <v>15</v>
      </c>
      <c r="F171" s="18">
        <f>IFERROR(SUMIF(ТабПозиции[orderNum],ТабЗаказы[[#This Row],[orderNum]],ТабПозиции[orderSumm]),"")</f>
        <v>6810</v>
      </c>
      <c r="G171" s="18">
        <f>SUMIF(ТабПозиции[orderNum],ТабЗаказы[[#This Row],[orderNum]],ТабПозиции[deliverySumm])</f>
        <v>1021</v>
      </c>
      <c r="H171" s="18">
        <f>SUMIF(ТабПозиции[orderNum],ТабЗаказы[[#This Row],[orderNum]],ТабПозиции[totalSumm])</f>
        <v>7831</v>
      </c>
      <c r="I171" s="18" t="str">
        <f>IFERROR(VLOOKUP(ТабЗаказы[[#This Row],[orderNum]],ТабПозиции[#Data],22,0),"")</f>
        <v>true</v>
      </c>
    </row>
    <row r="172" spans="1:9" x14ac:dyDescent="0.25">
      <c r="A172">
        <f t="shared" si="2"/>
        <v>171</v>
      </c>
      <c r="B172" s="1">
        <v>45480</v>
      </c>
      <c r="C172" t="s">
        <v>112</v>
      </c>
      <c r="D172" t="str">
        <f>VLOOKUP(ТабЗаказы[[#This Row],[client]],ТабКлиенты[[name]:[_id]],2,0)</f>
        <v>67f56eca575fff8fe23c7a2f</v>
      </c>
      <c r="E172">
        <f>IFERROR(IF(ТабЗаказы[[#This Row],[orderSumm]]&gt;10000,10,VLOOKUP(ТабЗаказы[[#This Row],[client]],ТабКлиенты[[name]:[percent]],MATCH(E$1,ТабКлиенты[#Headers],0),0)),"")</f>
        <v>15</v>
      </c>
      <c r="F172" s="18">
        <f>IFERROR(SUMIF(ТабПозиции[orderNum],ТабЗаказы[[#This Row],[orderNum]],ТабПозиции[orderSumm]),"")</f>
        <v>3323</v>
      </c>
      <c r="G172" s="18">
        <f>SUMIF(ТабПозиции[orderNum],ТабЗаказы[[#This Row],[orderNum]],ТабПозиции[deliverySumm])</f>
        <v>499</v>
      </c>
      <c r="H172" s="18">
        <f>SUMIF(ТабПозиции[orderNum],ТабЗаказы[[#This Row],[orderNum]],ТабПозиции[totalSumm])</f>
        <v>4162</v>
      </c>
      <c r="I172" s="18" t="str">
        <f>IFERROR(VLOOKUP(ТабЗаказы[[#This Row],[orderNum]],ТабПозиции[#Data],22,0),"")</f>
        <v>true</v>
      </c>
    </row>
    <row r="173" spans="1:9" x14ac:dyDescent="0.25">
      <c r="A173">
        <f t="shared" si="2"/>
        <v>172</v>
      </c>
      <c r="B173" s="1">
        <v>45481</v>
      </c>
      <c r="C173" t="s">
        <v>231</v>
      </c>
      <c r="D173" t="str">
        <f>VLOOKUP(ТабЗаказы[[#This Row],[client]],ТабКлиенты[[name]:[_id]],2,0)</f>
        <v>67f56eca575fff8fe23c7a59</v>
      </c>
      <c r="E173">
        <f>IFERROR(IF(ТабЗаказы[[#This Row],[orderSumm]]&gt;10000,10,VLOOKUP(ТабЗаказы[[#This Row],[client]],ТабКлиенты[[name]:[percent]],MATCH(E$1,ТабКлиенты[#Headers],0),0)),"")</f>
        <v>15</v>
      </c>
      <c r="F173" s="18">
        <f>IFERROR(SUMIF(ТабПозиции[orderNum],ТабЗаказы[[#This Row],[orderNum]],ТабПозиции[orderSumm]),"")</f>
        <v>2071</v>
      </c>
      <c r="G173" s="18">
        <f>SUMIF(ТабПозиции[orderNum],ТабЗаказы[[#This Row],[orderNum]],ТабПозиции[deliverySumm])</f>
        <v>311</v>
      </c>
      <c r="H173" s="18">
        <f>SUMIF(ТабПозиции[orderNum],ТабЗаказы[[#This Row],[orderNum]],ТабПозиции[totalSumm])</f>
        <v>2382</v>
      </c>
      <c r="I173" s="18" t="str">
        <f>IFERROR(VLOOKUP(ТабЗаказы[[#This Row],[orderNum]],ТабПозиции[#Data],22,0),"")</f>
        <v>true</v>
      </c>
    </row>
    <row r="174" spans="1:9" x14ac:dyDescent="0.25">
      <c r="A174">
        <f t="shared" si="2"/>
        <v>173</v>
      </c>
      <c r="B174" s="1">
        <v>45485</v>
      </c>
      <c r="C174" t="s">
        <v>392</v>
      </c>
      <c r="D174" t="str">
        <f>VLOOKUP(ТабЗаказы[[#This Row],[client]],ТабКлиенты[[name]:[_id]],2,0)</f>
        <v>67f56eca575fff8fe23c7a88</v>
      </c>
      <c r="E174">
        <f>IFERROR(IF(ТабЗаказы[[#This Row],[orderSumm]]&gt;10000,10,VLOOKUP(ТабЗаказы[[#This Row],[client]],ТабКлиенты[[name]:[percent]],MATCH(E$1,ТабКлиенты[#Headers],0),0)),"")</f>
        <v>15</v>
      </c>
      <c r="F174" s="18">
        <f>IFERROR(SUMIF(ТабПозиции[orderNum],ТабЗаказы[[#This Row],[orderNum]],ТабПозиции[orderSumm]),"")</f>
        <v>5780</v>
      </c>
      <c r="G174" s="18">
        <f>SUMIF(ТабПозиции[orderNum],ТабЗаказы[[#This Row],[orderNum]],ТабПозиции[deliverySumm])</f>
        <v>867</v>
      </c>
      <c r="H174" s="18">
        <f>SUMIF(ТабПозиции[orderNum],ТабЗаказы[[#This Row],[orderNum]],ТабПозиции[totalSumm])</f>
        <v>867</v>
      </c>
      <c r="I174" s="18" t="str">
        <f>IFERROR(VLOOKUP(ТабЗаказы[[#This Row],[orderNum]],ТабПозиции[#Data],22,0),"")</f>
        <v>true</v>
      </c>
    </row>
    <row r="175" spans="1:9" x14ac:dyDescent="0.25">
      <c r="A175">
        <f t="shared" si="2"/>
        <v>174</v>
      </c>
      <c r="B175" s="1">
        <v>45485</v>
      </c>
      <c r="C175" t="s">
        <v>396</v>
      </c>
      <c r="D175" t="str">
        <f>VLOOKUP(ТабЗаказы[[#This Row],[client]],ТабКлиенты[[name]:[_id]],2,0)</f>
        <v>67f56eca575fff8fe23c7a89</v>
      </c>
      <c r="E175">
        <f>IFERROR(IF(ТабЗаказы[[#This Row],[orderSumm]]&gt;10000,10,VLOOKUP(ТабЗаказы[[#This Row],[client]],ТабКлиенты[[name]:[percent]],MATCH(E$1,ТабКлиенты[#Headers],0),0)),"")</f>
        <v>10</v>
      </c>
      <c r="F175" s="18">
        <f>IFERROR(SUMIF(ТабПозиции[orderNum],ТабЗаказы[[#This Row],[orderNum]],ТабПозиции[orderSumm]),"")</f>
        <v>11130</v>
      </c>
      <c r="G175" s="18">
        <f>SUMIF(ТабПозиции[orderNum],ТабЗаказы[[#This Row],[orderNum]],ТабПозиции[deliverySumm])</f>
        <v>1113</v>
      </c>
      <c r="H175" s="18">
        <f>SUMIF(ТабПозиции[orderNum],ТабЗаказы[[#This Row],[orderNum]],ТабПозиции[totalSumm])</f>
        <v>1113</v>
      </c>
      <c r="I175" s="18" t="str">
        <f>IFERROR(VLOOKUP(ТабЗаказы[[#This Row],[orderNum]],ТабПозиции[#Data],22,0),"")</f>
        <v>true</v>
      </c>
    </row>
    <row r="176" spans="1:9" x14ac:dyDescent="0.25">
      <c r="A176">
        <f t="shared" si="2"/>
        <v>175</v>
      </c>
      <c r="B176" s="1">
        <v>45485</v>
      </c>
      <c r="C176" t="s">
        <v>287</v>
      </c>
      <c r="D176" t="str">
        <f>VLOOKUP(ТабЗаказы[[#This Row],[client]],ТабКлиенты[[name]:[_id]],2,0)</f>
        <v>67f56eca575fff8fe23c7a68</v>
      </c>
      <c r="E176">
        <f>IFERROR(IF(ТабЗаказы[[#This Row],[orderSumm]]&gt;10000,10,VLOOKUP(ТабЗаказы[[#This Row],[client]],ТабКлиенты[[name]:[percent]],MATCH(E$1,ТабКлиенты[#Headers],0),0)),"")</f>
        <v>15</v>
      </c>
      <c r="F176" s="18">
        <f>IFERROR(SUMIF(ТабПозиции[orderNum],ТабЗаказы[[#This Row],[orderNum]],ТабПозиции[orderSumm]),"")</f>
        <v>2090</v>
      </c>
      <c r="G176" s="18">
        <f>SUMIF(ТабПозиции[orderNum],ТабЗаказы[[#This Row],[orderNum]],ТабПозиции[deliverySumm])</f>
        <v>313</v>
      </c>
      <c r="H176" s="18">
        <f>SUMIF(ТабПозиции[orderNum],ТабЗаказы[[#This Row],[orderNum]],ТабПозиции[totalSumm])</f>
        <v>2403</v>
      </c>
      <c r="I176" s="18" t="str">
        <f>IFERROR(VLOOKUP(ТабЗаказы[[#This Row],[orderNum]],ТабПозиции[#Data],22,0),"")</f>
        <v>true</v>
      </c>
    </row>
    <row r="177" spans="1:9" x14ac:dyDescent="0.25">
      <c r="A177">
        <f t="shared" si="2"/>
        <v>176</v>
      </c>
      <c r="B177" s="1">
        <v>45487</v>
      </c>
      <c r="C177" t="s">
        <v>408</v>
      </c>
      <c r="D177" t="str">
        <f>VLOOKUP(ТабЗаказы[[#This Row],[client]],ТабКлиенты[[name]:[_id]],2,0)</f>
        <v>67f56eca575fff8fe23c7a8c</v>
      </c>
      <c r="E177">
        <f>IFERROR(IF(ТабЗаказы[[#This Row],[orderSumm]]&gt;10000,10,VLOOKUP(ТабЗаказы[[#This Row],[client]],ТабКлиенты[[name]:[percent]],MATCH(E$1,ТабКлиенты[#Headers],0),0)),"")</f>
        <v>15</v>
      </c>
      <c r="F177" s="18">
        <f>IFERROR(SUMIF(ТабПозиции[orderNum],ТабЗаказы[[#This Row],[orderNum]],ТабПозиции[orderSumm]),"")</f>
        <v>1290</v>
      </c>
      <c r="G177" s="18">
        <f>SUMIF(ТабПозиции[orderNum],ТабЗаказы[[#This Row],[orderNum]],ТабПозиции[deliverySumm])</f>
        <v>200</v>
      </c>
      <c r="H177" s="18">
        <f>SUMIF(ТабПозиции[orderNum],ТабЗаказы[[#This Row],[orderNum]],ТабПозиции[totalSumm])</f>
        <v>1490</v>
      </c>
      <c r="I177" s="18" t="str">
        <f>IFERROR(VLOOKUP(ТабЗаказы[[#This Row],[orderNum]],ТабПозиции[#Data],22,0),"")</f>
        <v>true</v>
      </c>
    </row>
    <row r="178" spans="1:9" x14ac:dyDescent="0.25">
      <c r="A178">
        <f t="shared" si="2"/>
        <v>177</v>
      </c>
      <c r="B178" s="1">
        <v>45490</v>
      </c>
      <c r="C178" t="s">
        <v>357</v>
      </c>
      <c r="D178" t="str">
        <f>VLOOKUP(ТабЗаказы[[#This Row],[client]],ТабКлиенты[[name]:[_id]],2,0)</f>
        <v>67f56eca575fff8fe23c7a7d</v>
      </c>
      <c r="E178">
        <f>IFERROR(IF(ТабЗаказы[[#This Row],[orderSumm]]&gt;10000,10,VLOOKUP(ТабЗаказы[[#This Row],[client]],ТабКлиенты[[name]:[percent]],MATCH(E$1,ТабКлиенты[#Headers],0),0)),"")</f>
        <v>15</v>
      </c>
      <c r="F178" s="18">
        <f>IFERROR(SUMIF(ТабПозиции[orderNum],ТабЗаказы[[#This Row],[orderNum]],ТабПозиции[orderSumm]),"")</f>
        <v>1818</v>
      </c>
      <c r="G178" s="18">
        <f>SUMIF(ТабПозиции[orderNum],ТабЗаказы[[#This Row],[orderNum]],ТабПозиции[deliverySumm])</f>
        <v>274</v>
      </c>
      <c r="H178" s="18">
        <f>SUMIF(ТабПозиции[orderNum],ТабЗаказы[[#This Row],[orderNum]],ТабПозиции[totalSumm])</f>
        <v>2092</v>
      </c>
      <c r="I178" s="18" t="str">
        <f>IFERROR(VLOOKUP(ТабЗаказы[[#This Row],[orderNum]],ТабПозиции[#Data],22,0),"")</f>
        <v>true</v>
      </c>
    </row>
    <row r="179" spans="1:9" x14ac:dyDescent="0.25">
      <c r="A179">
        <f t="shared" si="2"/>
        <v>178</v>
      </c>
      <c r="B179" s="1">
        <v>45490</v>
      </c>
      <c r="C179" t="s">
        <v>357</v>
      </c>
      <c r="D179" t="str">
        <f>VLOOKUP(ТабЗаказы[[#This Row],[client]],ТабКлиенты[[name]:[_id]],2,0)</f>
        <v>67f56eca575fff8fe23c7a7d</v>
      </c>
      <c r="E179">
        <f>IFERROR(IF(ТабЗаказы[[#This Row],[orderSumm]]&gt;10000,10,VLOOKUP(ТабЗаказы[[#This Row],[client]],ТабКлиенты[[name]:[percent]],MATCH(E$1,ТабКлиенты[#Headers],0),0)),"")</f>
        <v>10</v>
      </c>
      <c r="F179" s="18">
        <f>IFERROR(SUMIF(ТабПозиции[orderNum],ТабЗаказы[[#This Row],[orderNum]],ТабПозиции[orderSumm]),"")</f>
        <v>22251</v>
      </c>
      <c r="G179" s="18">
        <f>SUMIF(ТабПозиции[orderNum],ТабЗаказы[[#This Row],[orderNum]],ТабПозиции[deliverySumm])</f>
        <v>2225</v>
      </c>
      <c r="H179" s="18">
        <f>SUMIF(ТабПозиции[orderNum],ТабЗаказы[[#This Row],[orderNum]],ТабПозиции[totalSumm])</f>
        <v>24476</v>
      </c>
      <c r="I179" s="18" t="str">
        <f>IFERROR(VLOOKUP(ТабЗаказы[[#This Row],[orderNum]],ТабПозиции[#Data],22,0),"")</f>
        <v>true</v>
      </c>
    </row>
    <row r="180" spans="1:9" x14ac:dyDescent="0.25">
      <c r="A180">
        <f t="shared" ref="A180:A243" si="3">A179+1</f>
        <v>179</v>
      </c>
      <c r="B180" s="1">
        <v>45490</v>
      </c>
      <c r="C180" t="s">
        <v>283</v>
      </c>
      <c r="D180" t="str">
        <f>VLOOKUP(ТабЗаказы[[#This Row],[client]],ТабКлиенты[[name]:[_id]],2,0)</f>
        <v>67f56eca575fff8fe23c7a67</v>
      </c>
      <c r="E180">
        <f>IFERROR(IF(ТабЗаказы[[#This Row],[orderSumm]]&gt;10000,10,VLOOKUP(ТабЗаказы[[#This Row],[client]],ТабКлиенты[[name]:[percent]],MATCH(E$1,ТабКлиенты[#Headers],0),0)),"")</f>
        <v>10</v>
      </c>
      <c r="F180" s="18">
        <f>IFERROR(SUMIF(ТабПозиции[orderNum],ТабЗаказы[[#This Row],[orderNum]],ТабПозиции[orderSumm]),"")</f>
        <v>14500</v>
      </c>
      <c r="G180" s="18">
        <f>SUMIF(ТабПозиции[orderNum],ТабЗаказы[[#This Row],[orderNum]],ТабПозиции[deliverySumm])</f>
        <v>1450</v>
      </c>
      <c r="H180" s="18">
        <f>SUMIF(ТабПозиции[orderNum],ТабЗаказы[[#This Row],[orderNum]],ТабПозиции[totalSumm])</f>
        <v>19284</v>
      </c>
      <c r="I180" s="18" t="str">
        <f>IFERROR(VLOOKUP(ТабЗаказы[[#This Row],[orderNum]],ТабПозиции[#Data],22,0),"")</f>
        <v>true</v>
      </c>
    </row>
    <row r="181" spans="1:9" x14ac:dyDescent="0.25">
      <c r="A181">
        <f t="shared" si="3"/>
        <v>180</v>
      </c>
      <c r="B181" s="1">
        <v>45491</v>
      </c>
      <c r="C181" t="s">
        <v>414</v>
      </c>
      <c r="D181" t="str">
        <f>VLOOKUP(ТабЗаказы[[#This Row],[client]],ТабКлиенты[[name]:[_id]],2,0)</f>
        <v>67f56eca575fff8fe23c7a8e</v>
      </c>
      <c r="E181">
        <f>IFERROR(IF(ТабЗаказы[[#This Row],[orderSumm]]&gt;10000,10,VLOOKUP(ТабЗаказы[[#This Row],[client]],ТабКлиенты[[name]:[percent]],MATCH(E$1,ТабКлиенты[#Headers],0),0)),"")</f>
        <v>15</v>
      </c>
      <c r="F181" s="18">
        <f>IFERROR(SUMIF(ТабПозиции[orderNum],ТабЗаказы[[#This Row],[orderNum]],ТабПозиции[orderSumm]),"")</f>
        <v>832</v>
      </c>
      <c r="G181" s="18">
        <f>SUMIF(ТабПозиции[orderNum],ТабЗаказы[[#This Row],[orderNum]],ТабПозиции[deliverySumm])</f>
        <v>200</v>
      </c>
      <c r="H181" s="18">
        <f>SUMIF(ТабПозиции[orderNum],ТабЗаказы[[#This Row],[orderNum]],ТабПозиции[totalSumm])</f>
        <v>200</v>
      </c>
      <c r="I181" s="18" t="str">
        <f>IFERROR(VLOOKUP(ТабЗаказы[[#This Row],[orderNum]],ТабПозиции[#Data],22,0),"")</f>
        <v>true</v>
      </c>
    </row>
    <row r="182" spans="1:9" x14ac:dyDescent="0.25">
      <c r="A182">
        <f t="shared" si="3"/>
        <v>181</v>
      </c>
      <c r="B182" s="1">
        <v>45491</v>
      </c>
      <c r="C182" t="s">
        <v>357</v>
      </c>
      <c r="D182" t="str">
        <f>VLOOKUP(ТабЗаказы[[#This Row],[client]],ТабКлиенты[[name]:[_id]],2,0)</f>
        <v>67f56eca575fff8fe23c7a7d</v>
      </c>
      <c r="E182">
        <f>IFERROR(IF(ТабЗаказы[[#This Row],[orderSumm]]&gt;10000,10,VLOOKUP(ТабЗаказы[[#This Row],[client]],ТабКлиенты[[name]:[percent]],MATCH(E$1,ТабКлиенты[#Headers],0),0)),"")</f>
        <v>15</v>
      </c>
      <c r="F182" s="18">
        <f>IFERROR(SUMIF(ТабПозиции[orderNum],ТабЗаказы[[#This Row],[orderNum]],ТабПозиции[orderSumm]),"")</f>
        <v>4128</v>
      </c>
      <c r="G182" s="18">
        <f>SUMIF(ТабПозиции[orderNum],ТабЗаказы[[#This Row],[orderNum]],ТабПозиции[deliverySumm])</f>
        <v>620</v>
      </c>
      <c r="H182" s="18">
        <f>SUMIF(ТабПозиции[orderNum],ТабЗаказы[[#This Row],[orderNum]],ТабПозиции[totalSumm])</f>
        <v>4748</v>
      </c>
      <c r="I182" s="18" t="str">
        <f>IFERROR(VLOOKUP(ТабЗаказы[[#This Row],[orderNum]],ТабПозиции[#Data],22,0),"")</f>
        <v>true</v>
      </c>
    </row>
    <row r="183" spans="1:9" x14ac:dyDescent="0.25">
      <c r="A183">
        <f t="shared" si="3"/>
        <v>182</v>
      </c>
      <c r="B183" s="1">
        <v>45491</v>
      </c>
      <c r="C183" t="s">
        <v>292</v>
      </c>
      <c r="D183" t="str">
        <f>VLOOKUP(ТабЗаказы[[#This Row],[client]],ТабКлиенты[[name]:[_id]],2,0)</f>
        <v>67f56eca575fff8fe23c7a6a</v>
      </c>
      <c r="E183">
        <f>IFERROR(IF(ТабЗаказы[[#This Row],[orderSumm]]&gt;10000,10,VLOOKUP(ТабЗаказы[[#This Row],[client]],ТабКлиенты[[name]:[percent]],MATCH(E$1,ТабКлиенты[#Headers],0),0)),"")</f>
        <v>15</v>
      </c>
      <c r="F183" s="18">
        <f>IFERROR(SUMIF(ТабПозиции[orderNum],ТабЗаказы[[#This Row],[orderNum]],ТабПозиции[orderSumm]),"")</f>
        <v>5476</v>
      </c>
      <c r="G183" s="18">
        <f>SUMIF(ТабПозиции[orderNum],ТабЗаказы[[#This Row],[orderNum]],ТабПозиции[deliverySumm])</f>
        <v>822</v>
      </c>
      <c r="H183" s="18">
        <f>SUMIF(ТабПозиции[orderNum],ТабЗаказы[[#This Row],[orderNum]],ТабПозиции[totalSumm])</f>
        <v>6298</v>
      </c>
      <c r="I183" s="18" t="str">
        <f>IFERROR(VLOOKUP(ТабЗаказы[[#This Row],[orderNum]],ТабПозиции[#Data],22,0),"")</f>
        <v>true</v>
      </c>
    </row>
    <row r="184" spans="1:9" x14ac:dyDescent="0.25">
      <c r="A184">
        <f t="shared" si="3"/>
        <v>183</v>
      </c>
      <c r="B184" s="1">
        <v>45492</v>
      </c>
      <c r="C184" t="s">
        <v>381</v>
      </c>
      <c r="D184" t="str">
        <f>VLOOKUP(ТабЗаказы[[#This Row],[client]],ТабКлиенты[[name]:[_id]],2,0)</f>
        <v>67f56eca575fff8fe23c7a84</v>
      </c>
      <c r="E184">
        <f>IFERROR(IF(ТабЗаказы[[#This Row],[orderSumm]]&gt;10000,10,VLOOKUP(ТабЗаказы[[#This Row],[client]],ТабКлиенты[[name]:[percent]],MATCH(E$1,ТабКлиенты[#Headers],0),0)),"")</f>
        <v>10</v>
      </c>
      <c r="F184" s="18">
        <f>IFERROR(SUMIF(ТабПозиции[orderNum],ТабЗаказы[[#This Row],[orderNum]],ТабПозиции[orderSumm]),"")</f>
        <v>13787</v>
      </c>
      <c r="G184" s="18">
        <f>SUMIF(ТабПозиции[orderNum],ТабЗаказы[[#This Row],[orderNum]],ТабПозиции[deliverySumm])</f>
        <v>1379</v>
      </c>
      <c r="H184" s="18">
        <f>SUMIF(ТабПозиции[orderNum],ТабЗаказы[[#This Row],[orderNum]],ТабПозиции[totalSumm])</f>
        <v>1579</v>
      </c>
      <c r="I184" s="18" t="str">
        <f>IFERROR(VLOOKUP(ТабЗаказы[[#This Row],[orderNum]],ТабПозиции[#Data],22,0),"")</f>
        <v>true</v>
      </c>
    </row>
    <row r="185" spans="1:9" x14ac:dyDescent="0.25">
      <c r="A185">
        <f t="shared" si="3"/>
        <v>184</v>
      </c>
      <c r="B185" s="1">
        <v>45492</v>
      </c>
      <c r="C185" t="s">
        <v>231</v>
      </c>
      <c r="D185" t="str">
        <f>VLOOKUP(ТабЗаказы[[#This Row],[client]],ТабКлиенты[[name]:[_id]],2,0)</f>
        <v>67f56eca575fff8fe23c7a59</v>
      </c>
      <c r="E185">
        <f>IFERROR(IF(ТабЗаказы[[#This Row],[orderSumm]]&gt;10000,10,VLOOKUP(ТабЗаказы[[#This Row],[client]],ТабКлиенты[[name]:[percent]],MATCH(E$1,ТабКлиенты[#Headers],0),0)),"")</f>
        <v>15</v>
      </c>
      <c r="F185" s="18">
        <f>IFERROR(SUMIF(ТабПозиции[orderNum],ТабЗаказы[[#This Row],[orderNum]],ТабПозиции[orderSumm]),"")</f>
        <v>4341</v>
      </c>
      <c r="G185" s="18">
        <f>SUMIF(ТабПозиции[orderNum],ТабЗаказы[[#This Row],[orderNum]],ТабПозиции[deliverySumm])</f>
        <v>652</v>
      </c>
      <c r="H185" s="18">
        <f>SUMIF(ТабПозиции[orderNum],ТабЗаказы[[#This Row],[orderNum]],ТабПозиции[totalSumm])</f>
        <v>4993</v>
      </c>
      <c r="I185" s="18" t="str">
        <f>IFERROR(VLOOKUP(ТабЗаказы[[#This Row],[orderNum]],ТабПозиции[#Data],22,0),"")</f>
        <v>true</v>
      </c>
    </row>
    <row r="186" spans="1:9" x14ac:dyDescent="0.25">
      <c r="A186">
        <f t="shared" si="3"/>
        <v>185</v>
      </c>
      <c r="B186" s="1">
        <v>45494</v>
      </c>
      <c r="C186" t="s">
        <v>11</v>
      </c>
      <c r="D186" t="str">
        <f>VLOOKUP(ТабЗаказы[[#This Row],[client]],ТабКлиенты[[name]:[_id]],2,0)</f>
        <v>67f56eca575fff8fe23c7a0e</v>
      </c>
      <c r="E186">
        <f>IFERROR(IF(ТабЗаказы[[#This Row],[orderSumm]]&gt;10000,10,VLOOKUP(ТабЗаказы[[#This Row],[client]],ТабКлиенты[[name]:[percent]],MATCH(E$1,ТабКлиенты[#Headers],0),0)),"")</f>
        <v>10</v>
      </c>
      <c r="F186" s="18">
        <f>IFERROR(SUMIF(ТабПозиции[orderNum],ТабЗаказы[[#This Row],[orderNum]],ТабПозиции[orderSumm]),"")</f>
        <v>10900</v>
      </c>
      <c r="G186" s="18">
        <f>SUMIF(ТабПозиции[orderNum],ТабЗаказы[[#This Row],[orderNum]],ТабПозиции[deliverySumm])</f>
        <v>1090</v>
      </c>
      <c r="H186" s="18">
        <f>SUMIF(ТабПозиции[orderNum],ТабЗаказы[[#This Row],[orderNum]],ТабПозиции[totalSumm])</f>
        <v>12569</v>
      </c>
      <c r="I186" s="18" t="str">
        <f>IFERROR(VLOOKUP(ТабЗаказы[[#This Row],[orderNum]],ТабПозиции[#Data],22,0),"")</f>
        <v>true</v>
      </c>
    </row>
    <row r="187" spans="1:9" x14ac:dyDescent="0.25">
      <c r="A187">
        <f t="shared" si="3"/>
        <v>186</v>
      </c>
      <c r="B187" s="1">
        <v>45497</v>
      </c>
      <c r="C187" t="s">
        <v>39</v>
      </c>
      <c r="D187" t="str">
        <f>VLOOKUP(ТабЗаказы[[#This Row],[client]],ТабКлиенты[[name]:[_id]],2,0)</f>
        <v>67f56eca575fff8fe23c7a17</v>
      </c>
      <c r="E187">
        <f>IFERROR(IF(ТабЗаказы[[#This Row],[orderSumm]]&gt;10000,10,VLOOKUP(ТабЗаказы[[#This Row],[client]],ТабКлиенты[[name]:[percent]],MATCH(E$1,ТабКлиенты[#Headers],0),0)),"")</f>
        <v>15</v>
      </c>
      <c r="F187" s="18">
        <f>IFERROR(SUMIF(ТабПозиции[orderNum],ТабЗаказы[[#This Row],[orderNum]],ТабПозиции[orderSumm]),"")</f>
        <v>7922</v>
      </c>
      <c r="G187" s="18">
        <f>SUMIF(ТабПозиции[orderNum],ТабЗаказы[[#This Row],[orderNum]],ТабПозиции[deliverySumm])</f>
        <v>1189</v>
      </c>
      <c r="H187" s="18">
        <f>SUMIF(ТабПозиции[orderNum],ТабЗаказы[[#This Row],[orderNum]],ТабПозиции[totalSumm])</f>
        <v>9111</v>
      </c>
      <c r="I187" s="18" t="str">
        <f>IFERROR(VLOOKUP(ТабЗаказы[[#This Row],[orderNum]],ТабПозиции[#Data],22,0),"")</f>
        <v>true</v>
      </c>
    </row>
    <row r="188" spans="1:9" x14ac:dyDescent="0.25">
      <c r="A188">
        <f t="shared" si="3"/>
        <v>187</v>
      </c>
      <c r="B188" s="1">
        <v>45497</v>
      </c>
      <c r="C188" t="s">
        <v>426</v>
      </c>
      <c r="D188" t="str">
        <f>VLOOKUP(ТабЗаказы[[#This Row],[client]],ТабКлиенты[[name]:[_id]],2,0)</f>
        <v>67f56eca575fff8fe23c7a91</v>
      </c>
      <c r="E188">
        <f>IFERROR(IF(ТабЗаказы[[#This Row],[orderSumm]]&gt;10000,10,VLOOKUP(ТабЗаказы[[#This Row],[client]],ТабКлиенты[[name]:[percent]],MATCH(E$1,ТабКлиенты[#Headers],0),0)),"")</f>
        <v>15</v>
      </c>
      <c r="F188" s="18">
        <f>IFERROR(SUMIF(ТабПозиции[orderNum],ТабЗаказы[[#This Row],[orderNum]],ТабПозиции[orderSumm]),"")</f>
        <v>1292</v>
      </c>
      <c r="G188" s="18">
        <f>SUMIF(ТабПозиции[orderNum],ТабЗаказы[[#This Row],[orderNum]],ТабПозиции[deliverySumm])</f>
        <v>200</v>
      </c>
      <c r="H188" s="18">
        <f>SUMIF(ТабПозиции[orderNum],ТабЗаказы[[#This Row],[orderNum]],ТабПозиции[totalSumm])</f>
        <v>1492</v>
      </c>
      <c r="I188" s="18" t="str">
        <f>IFERROR(VLOOKUP(ТабЗаказы[[#This Row],[orderNum]],ТабПозиции[#Data],22,0),"")</f>
        <v>true</v>
      </c>
    </row>
    <row r="189" spans="1:9" x14ac:dyDescent="0.25">
      <c r="A189">
        <f t="shared" si="3"/>
        <v>188</v>
      </c>
      <c r="B189" s="1">
        <v>45497</v>
      </c>
      <c r="C189" t="s">
        <v>430</v>
      </c>
      <c r="D189" t="str">
        <f>VLOOKUP(ТабЗаказы[[#This Row],[client]],ТабКлиенты[[name]:[_id]],2,0)</f>
        <v>67f56eca575fff8fe23c7a92</v>
      </c>
      <c r="E189">
        <f>IFERROR(IF(ТабЗаказы[[#This Row],[orderSumm]]&gt;10000,10,VLOOKUP(ТабЗаказы[[#This Row],[client]],ТабКлиенты[[name]:[percent]],MATCH(E$1,ТабКлиенты[#Headers],0),0)),"")</f>
        <v>10</v>
      </c>
      <c r="F189" s="18">
        <f>IFERROR(SUMIF(ТабПозиции[orderNum],ТабЗаказы[[#This Row],[orderNum]],ТабПозиции[orderSumm]),"")</f>
        <v>26000</v>
      </c>
      <c r="G189" s="18">
        <f>SUMIF(ТабПозиции[orderNum],ТабЗаказы[[#This Row],[orderNum]],ТабПозиции[deliverySumm])</f>
        <v>2600</v>
      </c>
      <c r="H189" s="18">
        <f>SUMIF(ТабПозиции[orderNum],ТабЗаказы[[#This Row],[orderNum]],ТабПозиции[totalSumm])</f>
        <v>3070</v>
      </c>
      <c r="I189" s="18" t="str">
        <f>IFERROR(VLOOKUP(ТабЗаказы[[#This Row],[orderNum]],ТабПозиции[#Data],22,0),"")</f>
        <v>true</v>
      </c>
    </row>
    <row r="190" spans="1:9" x14ac:dyDescent="0.25">
      <c r="A190">
        <f t="shared" si="3"/>
        <v>189</v>
      </c>
      <c r="B190" s="1">
        <v>45498</v>
      </c>
      <c r="C190" t="s">
        <v>231</v>
      </c>
      <c r="D190" t="str">
        <f>VLOOKUP(ТабЗаказы[[#This Row],[client]],ТабКлиенты[[name]:[_id]],2,0)</f>
        <v>67f56eca575fff8fe23c7a59</v>
      </c>
      <c r="E190">
        <f>IFERROR(IF(ТабЗаказы[[#This Row],[orderSumm]]&gt;10000,10,VLOOKUP(ТабЗаказы[[#This Row],[client]],ТабКлиенты[[name]:[percent]],MATCH(E$1,ТабКлиенты[#Headers],0),0)),"")</f>
        <v>10</v>
      </c>
      <c r="F190" s="18">
        <f>IFERROR(SUMIF(ТабПозиции[orderNum],ТабЗаказы[[#This Row],[orderNum]],ТабПозиции[orderSumm]),"")</f>
        <v>14704</v>
      </c>
      <c r="G190" s="18">
        <f>SUMIF(ТабПозиции[orderNum],ТабЗаказы[[#This Row],[orderNum]],ТабПозиции[deliverySumm])</f>
        <v>1471</v>
      </c>
      <c r="H190" s="18">
        <f>SUMIF(ТабПозиции[orderNum],ТабЗаказы[[#This Row],[orderNum]],ТабПозиции[totalSumm])</f>
        <v>16175</v>
      </c>
      <c r="I190" s="18" t="str">
        <f>IFERROR(VLOOKUP(ТабЗаказы[[#This Row],[orderNum]],ТабПозиции[#Data],22,0),"")</f>
        <v>true</v>
      </c>
    </row>
    <row r="191" spans="1:9" x14ac:dyDescent="0.25">
      <c r="A191">
        <f t="shared" si="3"/>
        <v>190</v>
      </c>
      <c r="B191" s="1">
        <v>45500</v>
      </c>
      <c r="C191" t="s">
        <v>112</v>
      </c>
      <c r="D191" t="str">
        <f>VLOOKUP(ТабЗаказы[[#This Row],[client]],ТабКлиенты[[name]:[_id]],2,0)</f>
        <v>67f56eca575fff8fe23c7a2f</v>
      </c>
      <c r="E191">
        <f>IFERROR(IF(ТабЗаказы[[#This Row],[orderSumm]]&gt;10000,10,VLOOKUP(ТабЗаказы[[#This Row],[client]],ТабКлиенты[[name]:[percent]],MATCH(E$1,ТабКлиенты[#Headers],0),0)),"")</f>
        <v>15</v>
      </c>
      <c r="F191" s="18">
        <f>IFERROR(SUMIF(ТабПозиции[orderNum],ТабЗаказы[[#This Row],[orderNum]],ТабПозиции[orderSumm]),"")</f>
        <v>1770</v>
      </c>
      <c r="G191" s="18">
        <f>SUMIF(ТабПозиции[orderNum],ТабЗаказы[[#This Row],[orderNum]],ТабПозиции[deliverySumm])</f>
        <v>265</v>
      </c>
      <c r="H191" s="18">
        <f>SUMIF(ТабПозиции[orderNum],ТабЗаказы[[#This Row],[orderNum]],ТабПозиции[totalSumm])</f>
        <v>2035</v>
      </c>
      <c r="I191" s="18" t="str">
        <f>IFERROR(VLOOKUP(ТабЗаказы[[#This Row],[orderNum]],ТабПозиции[#Data],22,0),"")</f>
        <v>true</v>
      </c>
    </row>
    <row r="192" spans="1:9" x14ac:dyDescent="0.25">
      <c r="A192">
        <f t="shared" si="3"/>
        <v>191</v>
      </c>
      <c r="B192" s="1">
        <v>45523</v>
      </c>
      <c r="C192" t="s">
        <v>104</v>
      </c>
      <c r="D192" t="str">
        <f>VLOOKUP(ТабЗаказы[[#This Row],[client]],ТабКлиенты[[name]:[_id]],2,0)</f>
        <v>67f56eca575fff8fe23c7a2d</v>
      </c>
      <c r="E192">
        <f>IFERROR(IF(ТабЗаказы[[#This Row],[orderSumm]]&gt;10000,10,VLOOKUP(ТабЗаказы[[#This Row],[client]],ТабКлиенты[[name]:[percent]],MATCH(E$1,ТабКлиенты[#Headers],0),0)),"")</f>
        <v>10</v>
      </c>
      <c r="F192" s="18">
        <f>IFERROR(SUMIF(ТабПозиции[orderNum],ТабЗаказы[[#This Row],[orderNum]],ТабПозиции[orderSumm]),"")</f>
        <v>108527</v>
      </c>
      <c r="G192" s="18">
        <f>SUMIF(ТабПозиции[orderNum],ТабЗаказы[[#This Row],[orderNum]],ТабПозиции[deliverySumm])</f>
        <v>10853</v>
      </c>
      <c r="H192" s="18">
        <f>SUMIF(ТабПозиции[orderNum],ТабЗаказы[[#This Row],[orderNum]],ТабПозиции[totalSumm])</f>
        <v>12032</v>
      </c>
      <c r="I192" s="18" t="str">
        <f>IFERROR(VLOOKUP(ТабЗаказы[[#This Row],[orderNum]],ТабПозиции[#Data],22,0),"")</f>
        <v>true</v>
      </c>
    </row>
    <row r="193" spans="1:9" x14ac:dyDescent="0.25">
      <c r="A193">
        <f t="shared" si="3"/>
        <v>192</v>
      </c>
      <c r="B193" s="1">
        <v>45502</v>
      </c>
      <c r="C193" t="s">
        <v>287</v>
      </c>
      <c r="D193" t="str">
        <f>VLOOKUP(ТабЗаказы[[#This Row],[client]],ТабКлиенты[[name]:[_id]],2,0)</f>
        <v>67f56eca575fff8fe23c7a68</v>
      </c>
      <c r="E193">
        <f>IFERROR(IF(ТабЗаказы[[#This Row],[orderSumm]]&gt;10000,10,VLOOKUP(ТабЗаказы[[#This Row],[client]],ТабКлиенты[[name]:[percent]],MATCH(E$1,ТабКлиенты[#Headers],0),0)),"")</f>
        <v>15</v>
      </c>
      <c r="F193" s="18">
        <f>IFERROR(SUMIF(ТабПозиции[orderNum],ТабЗаказы[[#This Row],[orderNum]],ТабПозиции[orderSumm]),"")</f>
        <v>3684</v>
      </c>
      <c r="G193" s="18">
        <f>SUMIF(ТабПозиции[orderNum],ТабЗаказы[[#This Row],[orderNum]],ТабПозиции[deliverySumm])</f>
        <v>553</v>
      </c>
      <c r="H193" s="18">
        <f>SUMIF(ТабПозиции[orderNum],ТабЗаказы[[#This Row],[orderNum]],ТабПозиции[totalSumm])</f>
        <v>4237</v>
      </c>
      <c r="I193" s="18" t="str">
        <f>IFERROR(VLOOKUP(ТабЗаказы[[#This Row],[orderNum]],ТабПозиции[#Data],22,0),"")</f>
        <v>true</v>
      </c>
    </row>
    <row r="194" spans="1:9" x14ac:dyDescent="0.25">
      <c r="A194">
        <f t="shared" si="3"/>
        <v>193</v>
      </c>
      <c r="B194" s="1">
        <v>45502</v>
      </c>
      <c r="C194" t="s">
        <v>1502</v>
      </c>
      <c r="D194" t="str">
        <f>VLOOKUP(ТабЗаказы[[#This Row],[client]],ТабКлиенты[[name]:[_id]],2,0)</f>
        <v>67f56eca575fff8fe23c7a28</v>
      </c>
      <c r="E194">
        <f>IFERROR(IF(ТабЗаказы[[#This Row],[orderSumm]]&gt;10000,10,VLOOKUP(ТабЗаказы[[#This Row],[client]],ТабКлиенты[[name]:[percent]],MATCH(E$1,ТабКлиенты[#Headers],0),0)),"")</f>
        <v>15</v>
      </c>
      <c r="F194" s="18">
        <f>IFERROR(SUMIF(ТабПозиции[orderNum],ТабЗаказы[[#This Row],[orderNum]],ТабПозиции[orderSumm]),"")</f>
        <v>4967</v>
      </c>
      <c r="G194" s="18">
        <f>SUMIF(ТабПозиции[orderNum],ТабЗаказы[[#This Row],[orderNum]],ТабПозиции[deliverySumm])</f>
        <v>744</v>
      </c>
      <c r="H194" s="18">
        <f>SUMIF(ТабПозиции[orderNum],ТабЗаказы[[#This Row],[orderNum]],ТабПозиции[totalSumm])</f>
        <v>5711</v>
      </c>
      <c r="I194" s="18" t="str">
        <f>IFERROR(VLOOKUP(ТабЗаказы[[#This Row],[orderNum]],ТабПозиции[#Data],22,0),"")</f>
        <v>true</v>
      </c>
    </row>
    <row r="195" spans="1:9" x14ac:dyDescent="0.25">
      <c r="A195">
        <f t="shared" si="3"/>
        <v>194</v>
      </c>
      <c r="B195" s="1">
        <v>45506</v>
      </c>
      <c r="C195" t="s">
        <v>381</v>
      </c>
      <c r="D195" t="str">
        <f>VLOOKUP(ТабЗаказы[[#This Row],[client]],ТабКлиенты[[name]:[_id]],2,0)</f>
        <v>67f56eca575fff8fe23c7a84</v>
      </c>
      <c r="E195">
        <f>IFERROR(IF(ТабЗаказы[[#This Row],[orderSumm]]&gt;10000,10,VLOOKUP(ТабЗаказы[[#This Row],[client]],ТабКлиенты[[name]:[percent]],MATCH(E$1,ТабКлиенты[#Headers],0),0)),"")</f>
        <v>15</v>
      </c>
      <c r="F195" s="18">
        <f>IFERROR(SUMIF(ТабПозиции[orderNum],ТабЗаказы[[#This Row],[orderNum]],ТабПозиции[orderSumm]),"")</f>
        <v>6366</v>
      </c>
      <c r="G195" s="18">
        <f>SUMIF(ТабПозиции[orderNum],ТабЗаказы[[#This Row],[orderNum]],ТабПозиции[deliverySumm])</f>
        <v>955</v>
      </c>
      <c r="H195" s="18">
        <f>SUMIF(ТабПозиции[orderNum],ТабЗаказы[[#This Row],[orderNum]],ТабПозиции[totalSumm])</f>
        <v>1155</v>
      </c>
      <c r="I195" s="18" t="str">
        <f>IFERROR(VLOOKUP(ТабЗаказы[[#This Row],[orderNum]],ТабПозиции[#Data],22,0),"")</f>
        <v>true</v>
      </c>
    </row>
    <row r="196" spans="1:9" x14ac:dyDescent="0.25">
      <c r="A196">
        <f t="shared" si="3"/>
        <v>195</v>
      </c>
      <c r="B196" s="1">
        <v>45506</v>
      </c>
      <c r="C196" t="s">
        <v>97</v>
      </c>
      <c r="D196" t="str">
        <f>VLOOKUP(ТабЗаказы[[#This Row],[client]],ТабКлиенты[[name]:[_id]],2,0)</f>
        <v>67f56eca575fff8fe23c7a2a</v>
      </c>
      <c r="E196">
        <f>IFERROR(IF(ТабЗаказы[[#This Row],[orderSumm]]&gt;10000,10,VLOOKUP(ТабЗаказы[[#This Row],[client]],ТабКлиенты[[name]:[percent]],MATCH(E$1,ТабКлиенты[#Headers],0),0)),"")</f>
        <v>10</v>
      </c>
      <c r="F196" s="18">
        <f>IFERROR(SUMIF(ТабПозиции[orderNum],ТабЗаказы[[#This Row],[orderNum]],ТабПозиции[orderSumm]),"")</f>
        <v>4524</v>
      </c>
      <c r="G196" s="18">
        <f>SUMIF(ТабПозиции[orderNum],ТабЗаказы[[#This Row],[orderNum]],ТабПозиции[deliverySumm])</f>
        <v>452</v>
      </c>
      <c r="H196" s="18">
        <f>SUMIF(ТабПозиции[orderNum],ТабЗаказы[[#This Row],[orderNum]],ТабПозиции[totalSumm])</f>
        <v>452</v>
      </c>
      <c r="I196" s="18" t="str">
        <f>IFERROR(VLOOKUP(ТабЗаказы[[#This Row],[orderNum]],ТабПозиции[#Data],22,0),"")</f>
        <v>true</v>
      </c>
    </row>
    <row r="197" spans="1:9" x14ac:dyDescent="0.25">
      <c r="A197">
        <f t="shared" si="3"/>
        <v>196</v>
      </c>
      <c r="B197" s="1">
        <v>45508</v>
      </c>
      <c r="C197" t="s">
        <v>445</v>
      </c>
      <c r="D197" t="str">
        <f>VLOOKUP(ТабЗаказы[[#This Row],[client]],ТабКлиенты[[name]:[_id]],2,0)</f>
        <v>67f56eca575fff8fe23c7a96</v>
      </c>
      <c r="E197">
        <f>IFERROR(IF(ТабЗаказы[[#This Row],[orderSumm]]&gt;10000,10,VLOOKUP(ТабЗаказы[[#This Row],[client]],ТабКлиенты[[name]:[percent]],MATCH(E$1,ТабКлиенты[#Headers],0),0)),"")</f>
        <v>15</v>
      </c>
      <c r="F197" s="18">
        <f>IFERROR(SUMIF(ТабПозиции[orderNum],ТабЗаказы[[#This Row],[orderNum]],ТабПозиции[orderSumm]),"")</f>
        <v>2498</v>
      </c>
      <c r="G197" s="18">
        <f>SUMIF(ТабПозиции[orderNum],ТабЗаказы[[#This Row],[orderNum]],ТабПозиции[deliverySumm])</f>
        <v>374</v>
      </c>
      <c r="H197" s="18">
        <f>SUMIF(ТабПозиции[orderNum],ТабЗаказы[[#This Row],[orderNum]],ТабПозиции[totalSumm])</f>
        <v>2872</v>
      </c>
      <c r="I197" s="18" t="str">
        <f>IFERROR(VLOOKUP(ТабЗаказы[[#This Row],[orderNum]],ТабПозиции[#Data],22,0),"")</f>
        <v>true</v>
      </c>
    </row>
    <row r="198" spans="1:9" x14ac:dyDescent="0.25">
      <c r="A198">
        <f t="shared" si="3"/>
        <v>197</v>
      </c>
      <c r="B198" s="1">
        <v>45532</v>
      </c>
      <c r="C198" t="s">
        <v>204</v>
      </c>
      <c r="D198" t="str">
        <f>VLOOKUP(ТабЗаказы[[#This Row],[client]],ТабКлиенты[[name]:[_id]],2,0)</f>
        <v>67f56eca575fff8fe23c7a50</v>
      </c>
      <c r="E198">
        <f>IFERROR(IF(ТабЗаказы[[#This Row],[orderSumm]]&gt;10000,10,VLOOKUP(ТабЗаказы[[#This Row],[client]],ТабКлиенты[[name]:[percent]],MATCH(E$1,ТабКлиенты[#Headers],0),0)),"")</f>
        <v>10</v>
      </c>
      <c r="F198" s="18">
        <f>IFERROR(SUMIF(ТабПозиции[orderNum],ТабЗаказы[[#This Row],[orderNum]],ТабПозиции[orderSumm]),"")</f>
        <v>814</v>
      </c>
      <c r="G198" s="18">
        <f>SUMIF(ТабПозиции[orderNum],ТабЗаказы[[#This Row],[orderNum]],ТабПозиции[deliverySumm])</f>
        <v>198</v>
      </c>
      <c r="H198" s="18">
        <f>SUMIF(ТабПозиции[orderNum],ТабЗаказы[[#This Row],[orderNum]],ТабПозиции[totalSumm])</f>
        <v>1012</v>
      </c>
      <c r="I198" s="18" t="str">
        <f>IFERROR(VLOOKUP(ТабЗаказы[[#This Row],[orderNum]],ТабПозиции[#Data],22,0),"")</f>
        <v>true</v>
      </c>
    </row>
    <row r="199" spans="1:9" x14ac:dyDescent="0.25">
      <c r="A199">
        <f t="shared" si="3"/>
        <v>198</v>
      </c>
      <c r="B199" s="1">
        <v>45510</v>
      </c>
      <c r="C199" t="s">
        <v>448</v>
      </c>
      <c r="D199" t="str">
        <f>VLOOKUP(ТабЗаказы[[#This Row],[client]],ТабКлиенты[[name]:[_id]],2,0)</f>
        <v>67f56eca575fff8fe23c7a97</v>
      </c>
      <c r="E199">
        <f>IFERROR(IF(ТабЗаказы[[#This Row],[orderSumm]]&gt;10000,10,VLOOKUP(ТабЗаказы[[#This Row],[client]],ТабКлиенты[[name]:[percent]],MATCH(E$1,ТабКлиенты[#Headers],0),0)),"")</f>
        <v>15</v>
      </c>
      <c r="F199" s="18">
        <f>IFERROR(SUMIF(ТабПозиции[orderNum],ТабЗаказы[[#This Row],[orderNum]],ТабПозиции[orderSumm]),"")</f>
        <v>2640</v>
      </c>
      <c r="G199" s="18">
        <f>SUMIF(ТабПозиции[orderNum],ТабЗаказы[[#This Row],[orderNum]],ТабПозиции[deliverySumm])</f>
        <v>396</v>
      </c>
      <c r="H199" s="18">
        <f>SUMIF(ТабПозиции[orderNum],ТабЗаказы[[#This Row],[orderNum]],ТабПозиции[totalSumm])</f>
        <v>3036</v>
      </c>
      <c r="I199" s="18" t="str">
        <f>IFERROR(VLOOKUP(ТабЗаказы[[#This Row],[orderNum]],ТабПозиции[#Data],22,0),"")</f>
        <v>true</v>
      </c>
    </row>
    <row r="200" spans="1:9" x14ac:dyDescent="0.25">
      <c r="A200">
        <f t="shared" si="3"/>
        <v>199</v>
      </c>
      <c r="B200" s="1">
        <v>45511</v>
      </c>
      <c r="C200" t="s">
        <v>33</v>
      </c>
      <c r="D200" t="str">
        <f>VLOOKUP(ТабЗаказы[[#This Row],[client]],ТабКлиенты[[name]:[_id]],2,0)</f>
        <v>67f56eca575fff8fe23c7a15</v>
      </c>
      <c r="E200">
        <f>IFERROR(IF(ТабЗаказы[[#This Row],[orderSumm]]&gt;10000,10,VLOOKUP(ТабЗаказы[[#This Row],[client]],ТабКлиенты[[name]:[percent]],MATCH(E$1,ТабКлиенты[#Headers],0),0)),"")</f>
        <v>15</v>
      </c>
      <c r="F200" s="18">
        <f>IFERROR(SUMIF(ТабПозиции[orderNum],ТабЗаказы[[#This Row],[orderNum]],ТабПозиции[orderSumm]),"")</f>
        <v>4326</v>
      </c>
      <c r="G200" s="18">
        <f>SUMIF(ТабПозиции[orderNum],ТабЗаказы[[#This Row],[orderNum]],ТабПозиции[deliverySumm])</f>
        <v>649</v>
      </c>
      <c r="H200" s="18">
        <f>SUMIF(ТабПозиции[orderNum],ТабЗаказы[[#This Row],[orderNum]],ТабПозиции[totalSumm])</f>
        <v>5725</v>
      </c>
      <c r="I200" s="18" t="str">
        <f>IFERROR(VLOOKUP(ТабЗаказы[[#This Row],[orderNum]],ТабПозиции[#Data],22,0),"")</f>
        <v>true</v>
      </c>
    </row>
    <row r="201" spans="1:9" x14ac:dyDescent="0.25">
      <c r="A201">
        <f t="shared" si="3"/>
        <v>200</v>
      </c>
      <c r="B201" s="1">
        <v>45511</v>
      </c>
      <c r="C201" t="s">
        <v>112</v>
      </c>
      <c r="D201" t="str">
        <f>VLOOKUP(ТабЗаказы[[#This Row],[client]],ТабКлиенты[[name]:[_id]],2,0)</f>
        <v>67f56eca575fff8fe23c7a2f</v>
      </c>
      <c r="E201">
        <f>IFERROR(IF(ТабЗаказы[[#This Row],[orderSumm]]&gt;10000,10,VLOOKUP(ТабЗаказы[[#This Row],[client]],ТабКлиенты[[name]:[percent]],MATCH(E$1,ТабКлиенты[#Headers],0),0)),"")</f>
        <v>15</v>
      </c>
      <c r="F201" s="18">
        <f>IFERROR(SUMIF(ТабПозиции[orderNum],ТабЗаказы[[#This Row],[orderNum]],ТабПозиции[orderSumm]),"")</f>
        <v>4031</v>
      </c>
      <c r="G201" s="18">
        <f>SUMIF(ТабПозиции[orderNum],ТабЗаказы[[#This Row],[orderNum]],ТабПозиции[deliverySumm])</f>
        <v>605</v>
      </c>
      <c r="H201" s="18">
        <f>SUMIF(ТабПозиции[orderNum],ТабЗаказы[[#This Row],[orderNum]],ТабПозиции[totalSumm])</f>
        <v>4636</v>
      </c>
      <c r="I201" s="18" t="str">
        <f>IFERROR(VLOOKUP(ТабЗаказы[[#This Row],[orderNum]],ТабПозиции[#Data],22,0),"")</f>
        <v>true</v>
      </c>
    </row>
    <row r="202" spans="1:9" x14ac:dyDescent="0.25">
      <c r="A202">
        <f t="shared" si="3"/>
        <v>201</v>
      </c>
      <c r="B202" s="1">
        <v>45512</v>
      </c>
      <c r="C202" t="s">
        <v>430</v>
      </c>
      <c r="D202" t="str">
        <f>VLOOKUP(ТабЗаказы[[#This Row],[client]],ТабКлиенты[[name]:[_id]],2,0)</f>
        <v>67f56eca575fff8fe23c7a92</v>
      </c>
      <c r="E202">
        <f>IFERROR(IF(ТабЗаказы[[#This Row],[orderSumm]]&gt;10000,10,VLOOKUP(ТабЗаказы[[#This Row],[client]],ТабКлиенты[[name]:[percent]],MATCH(E$1,ТабКлиенты[#Headers],0),0)),"")</f>
        <v>10</v>
      </c>
      <c r="F202" s="18">
        <f>IFERROR(SUMIF(ТабПозиции[orderNum],ТабЗаказы[[#This Row],[orderNum]],ТабПозиции[orderSumm]),"")</f>
        <v>35000</v>
      </c>
      <c r="G202" s="18">
        <f>SUMIF(ТабПозиции[orderNum],ТабЗаказы[[#This Row],[orderNum]],ТабПозиции[deliverySumm])</f>
        <v>3500</v>
      </c>
      <c r="H202" s="18">
        <f>SUMIF(ТабПозиции[orderNum],ТабЗаказы[[#This Row],[orderNum]],ТабПозиции[totalSumm])</f>
        <v>3700</v>
      </c>
      <c r="I202" s="18" t="str">
        <f>IFERROR(VLOOKUP(ТабЗаказы[[#This Row],[orderNum]],ТабПозиции[#Data],22,0),"")</f>
        <v>true</v>
      </c>
    </row>
    <row r="203" spans="1:9" x14ac:dyDescent="0.25">
      <c r="A203">
        <f t="shared" si="3"/>
        <v>202</v>
      </c>
      <c r="B203" s="1">
        <v>45512</v>
      </c>
      <c r="C203" t="s">
        <v>452</v>
      </c>
      <c r="D203" t="str">
        <f>VLOOKUP(ТабЗаказы[[#This Row],[client]],ТабКлиенты[[name]:[_id]],2,0)</f>
        <v>67f56eca575fff8fe23c7a98</v>
      </c>
      <c r="E203">
        <f>IFERROR(IF(ТабЗаказы[[#This Row],[orderSumm]]&gt;10000,10,VLOOKUP(ТабЗаказы[[#This Row],[client]],ТабКлиенты[[name]:[percent]],MATCH(E$1,ТабКлиенты[#Headers],0),0)),"")</f>
        <v>15</v>
      </c>
      <c r="F203" s="18">
        <f>IFERROR(SUMIF(ТабПозиции[orderNum],ТабЗаказы[[#This Row],[orderNum]],ТабПозиции[orderSumm]),"")</f>
        <v>4557</v>
      </c>
      <c r="G203" s="18">
        <f>SUMIF(ТабПозиции[orderNum],ТабЗаказы[[#This Row],[orderNum]],ТабПозиции[deliverySumm])</f>
        <v>684</v>
      </c>
      <c r="H203" s="18">
        <f>SUMIF(ТабПозиции[orderNum],ТабЗаказы[[#This Row],[orderNum]],ТабПозиции[totalSumm])</f>
        <v>684</v>
      </c>
      <c r="I203" s="18" t="str">
        <f>IFERROR(VLOOKUP(ТабЗаказы[[#This Row],[orderNum]],ТабПозиции[#Data],22,0),"")</f>
        <v>true</v>
      </c>
    </row>
    <row r="204" spans="1:9" x14ac:dyDescent="0.25">
      <c r="A204">
        <f t="shared" si="3"/>
        <v>203</v>
      </c>
      <c r="B204" s="1">
        <v>45513</v>
      </c>
      <c r="C204" t="s">
        <v>456</v>
      </c>
      <c r="D204" t="str">
        <f>VLOOKUP(ТабЗаказы[[#This Row],[client]],ТабКлиенты[[name]:[_id]],2,0)</f>
        <v>67f56eca575fff8fe23c7a99</v>
      </c>
      <c r="E204">
        <f>IFERROR(IF(ТабЗаказы[[#This Row],[orderSumm]]&gt;10000,10,VLOOKUP(ТабЗаказы[[#This Row],[client]],ТабКлиенты[[name]:[percent]],MATCH(E$1,ТабКлиенты[#Headers],0),0)),"")</f>
        <v>15</v>
      </c>
      <c r="F204" s="18">
        <f>IFERROR(SUMIF(ТабПозиции[orderNum],ТабЗаказы[[#This Row],[orderNum]],ТабПозиции[orderSumm]),"")</f>
        <v>5926</v>
      </c>
      <c r="G204" s="18">
        <f>SUMIF(ТабПозиции[orderNum],ТабЗаказы[[#This Row],[orderNum]],ТабПозиции[deliverySumm])</f>
        <v>889</v>
      </c>
      <c r="H204" s="18">
        <f>SUMIF(ТабПозиции[orderNum],ТабЗаказы[[#This Row],[orderNum]],ТабПозиции[totalSumm])</f>
        <v>889</v>
      </c>
      <c r="I204" s="18" t="str">
        <f>IFERROR(VLOOKUP(ТабЗаказы[[#This Row],[orderNum]],ТабПозиции[#Data],22,0),"")</f>
        <v>true</v>
      </c>
    </row>
    <row r="205" spans="1:9" x14ac:dyDescent="0.25">
      <c r="A205">
        <f t="shared" si="3"/>
        <v>204</v>
      </c>
      <c r="B205" s="1">
        <v>45514</v>
      </c>
      <c r="C205" t="s">
        <v>104</v>
      </c>
      <c r="D205" t="str">
        <f>VLOOKUP(ТабЗаказы[[#This Row],[client]],ТабКлиенты[[name]:[_id]],2,0)</f>
        <v>67f56eca575fff8fe23c7a2d</v>
      </c>
      <c r="E205">
        <f>IFERROR(IF(ТабЗаказы[[#This Row],[orderSumm]]&gt;10000,10,VLOOKUP(ТабЗаказы[[#This Row],[client]],ТабКлиенты[[name]:[percent]],MATCH(E$1,ТабКлиенты[#Headers],0),0)),"")</f>
        <v>10</v>
      </c>
      <c r="F205" s="18">
        <f>IFERROR(SUMIF(ТабПозиции[orderNum],ТабЗаказы[[#This Row],[orderNum]],ТабПозиции[orderSumm]),"")</f>
        <v>73970</v>
      </c>
      <c r="G205" s="18">
        <f>SUMIF(ТабПозиции[orderNum],ТабЗаказы[[#This Row],[orderNum]],ТабПозиции[deliverySumm])</f>
        <v>7397</v>
      </c>
      <c r="H205" s="18">
        <f>SUMIF(ТабПозиции[orderNum],ТабЗаказы[[#This Row],[orderNum]],ТабПозиции[totalSumm])</f>
        <v>8625.75</v>
      </c>
      <c r="I205" s="18" t="str">
        <f>IFERROR(VLOOKUP(ТабЗаказы[[#This Row],[orderNum]],ТабПозиции[#Data],22,0),"")</f>
        <v>true</v>
      </c>
    </row>
    <row r="206" spans="1:9" x14ac:dyDescent="0.25">
      <c r="A206">
        <f t="shared" si="3"/>
        <v>205</v>
      </c>
      <c r="B206" s="1">
        <v>45514</v>
      </c>
      <c r="C206" t="s">
        <v>287</v>
      </c>
      <c r="D206" t="str">
        <f>VLOOKUP(ТабЗаказы[[#This Row],[client]],ТабКлиенты[[name]:[_id]],2,0)</f>
        <v>67f56eca575fff8fe23c7a68</v>
      </c>
      <c r="E206">
        <f>IFERROR(IF(ТабЗаказы[[#This Row],[orderSumm]]&gt;10000,10,VLOOKUP(ТабЗаказы[[#This Row],[client]],ТабКлиенты[[name]:[percent]],MATCH(E$1,ТабКлиенты[#Headers],0),0)),"")</f>
        <v>15</v>
      </c>
      <c r="F206" s="18">
        <f>IFERROR(SUMIF(ТабПозиции[orderNum],ТабЗаказы[[#This Row],[orderNum]],ТабПозиции[orderSumm]),"")</f>
        <v>8379</v>
      </c>
      <c r="G206" s="18">
        <f>SUMIF(ТабПозиции[orderNum],ТабЗаказы[[#This Row],[orderNum]],ТабПозиции[deliverySumm])</f>
        <v>1257</v>
      </c>
      <c r="H206" s="18">
        <f>SUMIF(ТабПозиции[orderNum],ТабЗаказы[[#This Row],[orderNum]],ТабПозиции[totalSumm])</f>
        <v>9636</v>
      </c>
      <c r="I206" s="18" t="str">
        <f>IFERROR(VLOOKUP(ТабЗаказы[[#This Row],[orderNum]],ТабПозиции[#Data],22,0),"")</f>
        <v>true</v>
      </c>
    </row>
    <row r="207" spans="1:9" x14ac:dyDescent="0.25">
      <c r="A207">
        <f t="shared" si="3"/>
        <v>206</v>
      </c>
      <c r="B207" s="1">
        <v>45514</v>
      </c>
      <c r="C207" t="s">
        <v>108</v>
      </c>
      <c r="D207" t="str">
        <f>VLOOKUP(ТабЗаказы[[#This Row],[client]],ТабКлиенты[[name]:[_id]],2,0)</f>
        <v>67f56eca575fff8fe23c7a2e</v>
      </c>
      <c r="E207">
        <f>IFERROR(IF(ТабЗаказы[[#This Row],[orderSumm]]&gt;10000,10,VLOOKUP(ТабЗаказы[[#This Row],[client]],ТабКлиенты[[name]:[percent]],MATCH(E$1,ТабКлиенты[#Headers],0),0)),"")</f>
        <v>10</v>
      </c>
      <c r="F207" s="18">
        <f>IFERROR(SUMIF(ТабПозиции[orderNum],ТабЗаказы[[#This Row],[orderNum]],ТабПозиции[orderSumm]),"")</f>
        <v>55000</v>
      </c>
      <c r="G207" s="18">
        <f>SUMIF(ТабПозиции[orderNum],ТабЗаказы[[#This Row],[orderNum]],ТабПозиции[deliverySumm])</f>
        <v>5500</v>
      </c>
      <c r="H207" s="18">
        <f>SUMIF(ТабПозиции[orderNum],ТабЗаказы[[#This Row],[orderNum]],ТабПозиции[totalSumm])</f>
        <v>61113</v>
      </c>
      <c r="I207" s="18" t="str">
        <f>IFERROR(VLOOKUP(ТабЗаказы[[#This Row],[orderNum]],ТабПозиции[#Data],22,0),"")</f>
        <v>true</v>
      </c>
    </row>
    <row r="208" spans="1:9" x14ac:dyDescent="0.25">
      <c r="A208">
        <f t="shared" si="3"/>
        <v>207</v>
      </c>
      <c r="B208" s="1">
        <v>45516</v>
      </c>
      <c r="C208" t="s">
        <v>204</v>
      </c>
      <c r="D208" t="str">
        <f>VLOOKUP(ТабЗаказы[[#This Row],[client]],ТабКлиенты[[name]:[_id]],2,0)</f>
        <v>67f56eca575fff8fe23c7a50</v>
      </c>
      <c r="E208">
        <f>IFERROR(IF(ТабЗаказы[[#This Row],[orderSumm]]&gt;10000,10,VLOOKUP(ТабЗаказы[[#This Row],[client]],ТабКлиенты[[name]:[percent]],MATCH(E$1,ТабКлиенты[#Headers],0),0)),"")</f>
        <v>10</v>
      </c>
      <c r="F208" s="18">
        <f>IFERROR(SUMIF(ТабПозиции[orderNum],ТабЗаказы[[#This Row],[orderNum]],ТабПозиции[orderSumm]),"")</f>
        <v>1807</v>
      </c>
      <c r="G208" s="18">
        <f>SUMIF(ТабПозиции[orderNum],ТабЗаказы[[#This Row],[orderNum]],ТабПозиции[deliverySumm])</f>
        <v>181</v>
      </c>
      <c r="H208" s="18">
        <f>SUMIF(ТабПозиции[orderNum],ТабЗаказы[[#This Row],[orderNum]],ТабПозиции[totalSumm])</f>
        <v>1988</v>
      </c>
      <c r="I208" s="18" t="str">
        <f>IFERROR(VLOOKUP(ТабЗаказы[[#This Row],[orderNum]],ТабПозиции[#Data],22,0),"")</f>
        <v>true</v>
      </c>
    </row>
    <row r="209" spans="1:9" x14ac:dyDescent="0.25">
      <c r="A209">
        <f t="shared" si="3"/>
        <v>208</v>
      </c>
      <c r="B209" s="1">
        <v>45517</v>
      </c>
      <c r="C209" t="s">
        <v>456</v>
      </c>
      <c r="D209" t="str">
        <f>VLOOKUP(ТабЗаказы[[#This Row],[client]],ТабКлиенты[[name]:[_id]],2,0)</f>
        <v>67f56eca575fff8fe23c7a99</v>
      </c>
      <c r="E209">
        <f>IFERROR(IF(ТабЗаказы[[#This Row],[orderSumm]]&gt;10000,10,VLOOKUP(ТабЗаказы[[#This Row],[client]],ТабКлиенты[[name]:[percent]],MATCH(E$1,ТабКлиенты[#Headers],0),0)),"")</f>
        <v>15</v>
      </c>
      <c r="F209" s="18">
        <f>IFERROR(SUMIF(ТабПозиции[orderNum],ТабЗаказы[[#This Row],[orderNum]],ТабПозиции[orderSumm]),"")</f>
        <v>3970</v>
      </c>
      <c r="G209" s="18">
        <f>SUMIF(ТабПозиции[orderNum],ТабЗаказы[[#This Row],[orderNum]],ТабПозиции[deliverySumm])</f>
        <v>596</v>
      </c>
      <c r="H209" s="18">
        <f>SUMIF(ТабПозиции[orderNum],ТабЗаказы[[#This Row],[orderNum]],ТабПозиции[totalSumm])</f>
        <v>596</v>
      </c>
      <c r="I209" s="18" t="str">
        <f>IFERROR(VLOOKUP(ТабЗаказы[[#This Row],[orderNum]],ТабПозиции[#Data],22,0),"")</f>
        <v>true</v>
      </c>
    </row>
    <row r="210" spans="1:9" x14ac:dyDescent="0.25">
      <c r="A210">
        <f t="shared" si="3"/>
        <v>209</v>
      </c>
      <c r="B210" s="1">
        <v>45517</v>
      </c>
      <c r="C210" t="s">
        <v>381</v>
      </c>
      <c r="D210" t="str">
        <f>VLOOKUP(ТабЗаказы[[#This Row],[client]],ТабКлиенты[[name]:[_id]],2,0)</f>
        <v>67f56eca575fff8fe23c7a84</v>
      </c>
      <c r="E210">
        <f>IFERROR(IF(ТабЗаказы[[#This Row],[orderSumm]]&gt;10000,10,VLOOKUP(ТабЗаказы[[#This Row],[client]],ТабКлиенты[[name]:[percent]],MATCH(E$1,ТабКлиенты[#Headers],0),0)),"")</f>
        <v>10</v>
      </c>
      <c r="F210" s="18">
        <f>IFERROR(SUMIF(ТабПозиции[orderNum],ТабЗаказы[[#This Row],[orderNum]],ТабПозиции[orderSumm]),"")</f>
        <v>10871</v>
      </c>
      <c r="G210" s="18">
        <f>SUMIF(ТабПозиции[orderNum],ТабЗаказы[[#This Row],[orderNum]],ТабПозиции[deliverySumm])</f>
        <v>1087</v>
      </c>
      <c r="H210" s="18">
        <f>SUMIF(ТабПозиции[orderNum],ТабЗаказы[[#This Row],[orderNum]],ТабПозиции[totalSumm])</f>
        <v>1287</v>
      </c>
      <c r="I210" s="18" t="str">
        <f>IFERROR(VLOOKUP(ТабЗаказы[[#This Row],[orderNum]],ТабПозиции[#Data],22,0),"")</f>
        <v>true</v>
      </c>
    </row>
    <row r="211" spans="1:9" x14ac:dyDescent="0.25">
      <c r="A211">
        <f t="shared" si="3"/>
        <v>210</v>
      </c>
      <c r="B211" s="1">
        <v>45520</v>
      </c>
      <c r="C211" t="s">
        <v>366</v>
      </c>
      <c r="D211" t="str">
        <f>VLOOKUP(ТабЗаказы[[#This Row],[client]],ТабКлиенты[[name]:[_id]],2,0)</f>
        <v>67f56eca575fff8fe23c7a80</v>
      </c>
      <c r="E211">
        <f>IFERROR(IF(ТабЗаказы[[#This Row],[orderSumm]]&gt;10000,10,VLOOKUP(ТабЗаказы[[#This Row],[client]],ТабКлиенты[[name]:[percent]],MATCH(E$1,ТабКлиенты[#Headers],0),0)),"")</f>
        <v>10</v>
      </c>
      <c r="F211" s="18">
        <f>IFERROR(SUMIF(ТабПозиции[orderNum],ТабЗаказы[[#This Row],[orderNum]],ТабПозиции[orderSumm]),"")</f>
        <v>12688</v>
      </c>
      <c r="G211" s="18">
        <f>SUMIF(ТабПозиции[orderNum],ТабЗаказы[[#This Row],[orderNum]],ТабПозиции[deliverySumm])</f>
        <v>1269</v>
      </c>
      <c r="H211" s="18">
        <f>SUMIF(ТабПозиции[orderNum],ТабЗаказы[[#This Row],[orderNum]],ТабПозиции[totalSumm])</f>
        <v>13957</v>
      </c>
      <c r="I211" s="18" t="str">
        <f>IFERROR(VLOOKUP(ТабЗаказы[[#This Row],[orderNum]],ТабПозиции[#Data],22,0),"")</f>
        <v>true</v>
      </c>
    </row>
    <row r="212" spans="1:9" x14ac:dyDescent="0.25">
      <c r="A212">
        <f t="shared" si="3"/>
        <v>211</v>
      </c>
      <c r="B212" s="1">
        <v>45520</v>
      </c>
      <c r="C212" t="s">
        <v>287</v>
      </c>
      <c r="D212" t="str">
        <f>VLOOKUP(ТабЗаказы[[#This Row],[client]],ТабКлиенты[[name]:[_id]],2,0)</f>
        <v>67f56eca575fff8fe23c7a68</v>
      </c>
      <c r="E212">
        <f>IFERROR(IF(ТабЗаказы[[#This Row],[orderSumm]]&gt;10000,10,VLOOKUP(ТабЗаказы[[#This Row],[client]],ТабКлиенты[[name]:[percent]],MATCH(E$1,ТабКлиенты[#Headers],0),0)),"")</f>
        <v>15</v>
      </c>
      <c r="F212" s="18">
        <f>IFERROR(SUMIF(ТабПозиции[orderNum],ТабЗаказы[[#This Row],[orderNum]],ТабПозиции[orderSumm]),"")</f>
        <v>1500</v>
      </c>
      <c r="G212" s="18">
        <f>SUMIF(ТабПозиции[orderNum],ТабЗаказы[[#This Row],[orderNum]],ТабПозиции[deliverySumm])</f>
        <v>200</v>
      </c>
      <c r="H212" s="18">
        <f>SUMIF(ТабПозиции[orderNum],ТабЗаказы[[#This Row],[orderNum]],ТабПозиции[totalSumm])</f>
        <v>1700</v>
      </c>
      <c r="I212" s="18" t="str">
        <f>IFERROR(VLOOKUP(ТабЗаказы[[#This Row],[orderNum]],ТабПозиции[#Data],22,0),"")</f>
        <v>true</v>
      </c>
    </row>
    <row r="213" spans="1:9" x14ac:dyDescent="0.25">
      <c r="A213">
        <f t="shared" si="3"/>
        <v>212</v>
      </c>
      <c r="B213" s="1">
        <v>45520</v>
      </c>
      <c r="C213" t="s">
        <v>210</v>
      </c>
      <c r="D213" t="str">
        <f>VLOOKUP(ТабЗаказы[[#This Row],[client]],ТабКлиенты[[name]:[_id]],2,0)</f>
        <v>67f56eca575fff8fe23c7a52</v>
      </c>
      <c r="E213">
        <f>IFERROR(IF(ТабЗаказы[[#This Row],[orderSumm]]&gt;10000,10,VLOOKUP(ТабЗаказы[[#This Row],[client]],ТабКлиенты[[name]:[percent]],MATCH(E$1,ТабКлиенты[#Headers],0),0)),"")</f>
        <v>15</v>
      </c>
      <c r="F213" s="18">
        <f>IFERROR(SUMIF(ТабПозиции[orderNum],ТабЗаказы[[#This Row],[orderNum]],ТабПозиции[orderSumm]),"")</f>
        <v>233</v>
      </c>
      <c r="G213" s="18">
        <f>SUMIF(ТабПозиции[orderNum],ТабЗаказы[[#This Row],[orderNum]],ТабПозиции[deliverySumm])</f>
        <v>200</v>
      </c>
      <c r="H213" s="18">
        <f>SUMIF(ТабПозиции[orderNum],ТабЗаказы[[#This Row],[orderNum]],ТабПозиции[totalSumm])</f>
        <v>433</v>
      </c>
      <c r="I213" s="18" t="str">
        <f>IFERROR(VLOOKUP(ТабЗаказы[[#This Row],[orderNum]],ТабПозиции[#Data],22,0),"")</f>
        <v>true</v>
      </c>
    </row>
    <row r="214" spans="1:9" x14ac:dyDescent="0.25">
      <c r="A214">
        <f t="shared" si="3"/>
        <v>213</v>
      </c>
      <c r="B214" s="1">
        <v>45520</v>
      </c>
      <c r="C214" t="s">
        <v>473</v>
      </c>
      <c r="D214" t="str">
        <f>VLOOKUP(ТабЗаказы[[#This Row],[client]],ТабКлиенты[[name]:[_id]],2,0)</f>
        <v>67f56eca575fff8fe23c7a9e</v>
      </c>
      <c r="E214">
        <f>IFERROR(IF(ТабЗаказы[[#This Row],[orderSumm]]&gt;10000,10,VLOOKUP(ТабЗаказы[[#This Row],[client]],ТабКлиенты[[name]:[percent]],MATCH(E$1,ТабКлиенты[#Headers],0),0)),"")</f>
        <v>10</v>
      </c>
      <c r="F214" s="18">
        <f>IFERROR(SUMIF(ТабПозиции[orderNum],ТабЗаказы[[#This Row],[orderNum]],ТабПозиции[orderSumm]),"")</f>
        <v>12991</v>
      </c>
      <c r="G214" s="18">
        <f>SUMIF(ТабПозиции[orderNum],ТабЗаказы[[#This Row],[orderNum]],ТабПозиции[deliverySumm])</f>
        <v>1299</v>
      </c>
      <c r="H214" s="18">
        <f>SUMIF(ТабПозиции[orderNum],ТабЗаказы[[#This Row],[orderNum]],ТабПозиции[totalSumm])</f>
        <v>1299</v>
      </c>
      <c r="I214" s="18" t="str">
        <f>IFERROR(VLOOKUP(ТабЗаказы[[#This Row],[orderNum]],ТабПозиции[#Data],22,0),"")</f>
        <v>true</v>
      </c>
    </row>
    <row r="215" spans="1:9" x14ac:dyDescent="0.25">
      <c r="A215">
        <f t="shared" si="3"/>
        <v>214</v>
      </c>
      <c r="B215" s="1">
        <v>45520</v>
      </c>
      <c r="C215" t="s">
        <v>452</v>
      </c>
      <c r="D215" t="str">
        <f>VLOOKUP(ТабЗаказы[[#This Row],[client]],ТабКлиенты[[name]:[_id]],2,0)</f>
        <v>67f56eca575fff8fe23c7a98</v>
      </c>
      <c r="E215">
        <f>IFERROR(IF(ТабЗаказы[[#This Row],[orderSumm]]&gt;10000,10,VLOOKUP(ТабЗаказы[[#This Row],[client]],ТабКлиенты[[name]:[percent]],MATCH(E$1,ТабКлиенты[#Headers],0),0)),"")</f>
        <v>15</v>
      </c>
      <c r="F215" s="18">
        <f>IFERROR(SUMIF(ТабПозиции[orderNum],ТабЗаказы[[#This Row],[orderNum]],ТабПозиции[orderSumm]),"")</f>
        <v>5915</v>
      </c>
      <c r="G215" s="18">
        <f>SUMIF(ТабПозиции[orderNum],ТабЗаказы[[#This Row],[orderNum]],ТабПозиции[deliverySumm])</f>
        <v>887</v>
      </c>
      <c r="H215" s="18">
        <f>SUMIF(ТабПозиции[orderNum],ТабЗаказы[[#This Row],[orderNum]],ТабПозиции[totalSumm])</f>
        <v>887</v>
      </c>
      <c r="I215" s="18" t="str">
        <f>IFERROR(VLOOKUP(ТабЗаказы[[#This Row],[orderNum]],ТабПозиции[#Data],22,0),"")</f>
        <v>true</v>
      </c>
    </row>
    <row r="216" spans="1:9" x14ac:dyDescent="0.25">
      <c r="A216">
        <f t="shared" si="3"/>
        <v>215</v>
      </c>
      <c r="B216" s="1">
        <v>45520</v>
      </c>
      <c r="C216" t="s">
        <v>231</v>
      </c>
      <c r="D216" t="str">
        <f>VLOOKUP(ТабЗаказы[[#This Row],[client]],ТабКлиенты[[name]:[_id]],2,0)</f>
        <v>67f56eca575fff8fe23c7a59</v>
      </c>
      <c r="E216">
        <f>IFERROR(IF(ТабЗаказы[[#This Row],[orderSumm]]&gt;10000,10,VLOOKUP(ТабЗаказы[[#This Row],[client]],ТабКлиенты[[name]:[percent]],MATCH(E$1,ТабКлиенты[#Headers],0),0)),"")</f>
        <v>15</v>
      </c>
      <c r="F216" s="18">
        <f>IFERROR(SUMIF(ТабПозиции[orderNum],ТабЗаказы[[#This Row],[orderNum]],ТабПозиции[orderSumm]),"")</f>
        <v>5022</v>
      </c>
      <c r="G216" s="18">
        <f>SUMIF(ТабПозиции[orderNum],ТабЗаказы[[#This Row],[orderNum]],ТабПозиции[deliverySumm])</f>
        <v>754</v>
      </c>
      <c r="H216" s="18">
        <f>SUMIF(ТабПозиции[orderNum],ТабЗаказы[[#This Row],[orderNum]],ТабПозиции[totalSumm])</f>
        <v>5776</v>
      </c>
      <c r="I216" s="18" t="str">
        <f>IFERROR(VLOOKUP(ТабЗаказы[[#This Row],[orderNum]],ТабПозиции[#Data],22,0),"")</f>
        <v>true</v>
      </c>
    </row>
    <row r="217" spans="1:9" x14ac:dyDescent="0.25">
      <c r="A217">
        <f t="shared" si="3"/>
        <v>216</v>
      </c>
      <c r="B217" s="1">
        <v>45521</v>
      </c>
      <c r="C217" t="s">
        <v>283</v>
      </c>
      <c r="D217" t="str">
        <f>VLOOKUP(ТабЗаказы[[#This Row],[client]],ТабКлиенты[[name]:[_id]],2,0)</f>
        <v>67f56eca575fff8fe23c7a67</v>
      </c>
      <c r="E217">
        <f>IFERROR(IF(ТабЗаказы[[#This Row],[orderSumm]]&gt;10000,10,VLOOKUP(ТабЗаказы[[#This Row],[client]],ТабКлиенты[[name]:[percent]],MATCH(E$1,ТабКлиенты[#Headers],0),0)),"")</f>
        <v>15</v>
      </c>
      <c r="F217" s="18">
        <f>IFERROR(SUMIF(ТабПозиции[orderNum],ТабЗаказы[[#This Row],[orderNum]],ТабПозиции[orderSumm]),"")</f>
        <v>2250</v>
      </c>
      <c r="G217" s="18">
        <f>SUMIF(ТабПозиции[orderNum],ТабЗаказы[[#This Row],[orderNum]],ТабПозиции[deliverySumm])</f>
        <v>338</v>
      </c>
      <c r="H217" s="18">
        <f>SUMIF(ТабПозиции[orderNum],ТабЗаказы[[#This Row],[orderNum]],ТабПозиции[totalSumm])</f>
        <v>3816.01</v>
      </c>
      <c r="I217" s="18" t="str">
        <f>IFERROR(VLOOKUP(ТабЗаказы[[#This Row],[orderNum]],ТабПозиции[#Data],22,0),"")</f>
        <v>true</v>
      </c>
    </row>
    <row r="218" spans="1:9" x14ac:dyDescent="0.25">
      <c r="A218">
        <f t="shared" si="3"/>
        <v>217</v>
      </c>
      <c r="B218" s="1">
        <v>45523</v>
      </c>
      <c r="C218" t="s">
        <v>357</v>
      </c>
      <c r="D218" t="str">
        <f>VLOOKUP(ТабЗаказы[[#This Row],[client]],ТабКлиенты[[name]:[_id]],2,0)</f>
        <v>67f56eca575fff8fe23c7a7d</v>
      </c>
      <c r="E218">
        <f>IFERROR(IF(ТабЗаказы[[#This Row],[orderSumm]]&gt;10000,10,VLOOKUP(ТабЗаказы[[#This Row],[client]],ТабКлиенты[[name]:[percent]],MATCH(E$1,ТабКлиенты[#Headers],0),0)),"")</f>
        <v>15</v>
      </c>
      <c r="F218" s="18">
        <f>IFERROR(SUMIF(ТабПозиции[orderNum],ТабЗаказы[[#This Row],[orderNum]],ТабПозиции[orderSumm]),"")</f>
        <v>7799</v>
      </c>
      <c r="G218" s="18">
        <f>SUMIF(ТабПозиции[orderNum],ТабЗаказы[[#This Row],[orderNum]],ТабПозиции[deliverySumm])</f>
        <v>1170</v>
      </c>
      <c r="H218" s="18">
        <f>SUMIF(ТабПозиции[orderNum],ТабЗаказы[[#This Row],[orderNum]],ТабПозиции[totalSumm])</f>
        <v>8969</v>
      </c>
      <c r="I218" s="18" t="str">
        <f>IFERROR(VLOOKUP(ТабЗаказы[[#This Row],[orderNum]],ТабПозиции[#Data],22,0),"")</f>
        <v>true</v>
      </c>
    </row>
    <row r="219" spans="1:9" x14ac:dyDescent="0.25">
      <c r="A219">
        <f t="shared" si="3"/>
        <v>218</v>
      </c>
      <c r="B219" s="1">
        <v>45559</v>
      </c>
      <c r="C219" t="s">
        <v>1502</v>
      </c>
      <c r="D219" t="str">
        <f>VLOOKUP(ТабЗаказы[[#This Row],[client]],ТабКлиенты[[name]:[_id]],2,0)</f>
        <v>67f56eca575fff8fe23c7a28</v>
      </c>
      <c r="E219">
        <f>IFERROR(IF(ТабЗаказы[[#This Row],[orderSumm]]&gt;10000,10,VLOOKUP(ТабЗаказы[[#This Row],[client]],ТабКлиенты[[name]:[percent]],MATCH(E$1,ТабКлиенты[#Headers],0),0)),"")</f>
        <v>15</v>
      </c>
      <c r="F219" s="18">
        <f>IFERROR(SUMIF(ТабПозиции[orderNum],ТабЗаказы[[#This Row],[orderNum]],ТабПозиции[orderSumm]),"")</f>
        <v>4278</v>
      </c>
      <c r="G219" s="18">
        <f>SUMIF(ТабПозиции[orderNum],ТабЗаказы[[#This Row],[orderNum]],ТабПозиции[deliverySumm])</f>
        <v>642</v>
      </c>
      <c r="H219" s="18">
        <f>SUMIF(ТабПозиции[orderNum],ТабЗаказы[[#This Row],[orderNum]],ТабПозиции[totalSumm])</f>
        <v>4920</v>
      </c>
      <c r="I219" s="18" t="str">
        <f>IFERROR(VLOOKUP(ТабЗаказы[[#This Row],[orderNum]],ТабПозиции[#Data],22,0),"")</f>
        <v>true</v>
      </c>
    </row>
    <row r="220" spans="1:9" x14ac:dyDescent="0.25">
      <c r="A220">
        <f t="shared" si="3"/>
        <v>219</v>
      </c>
      <c r="B220" s="1">
        <v>45524</v>
      </c>
      <c r="C220" t="s">
        <v>39</v>
      </c>
      <c r="D220" t="str">
        <f>VLOOKUP(ТабЗаказы[[#This Row],[client]],ТабКлиенты[[name]:[_id]],2,0)</f>
        <v>67f56eca575fff8fe23c7a17</v>
      </c>
      <c r="E220">
        <f>IFERROR(IF(ТабЗаказы[[#This Row],[orderSumm]]&gt;10000,10,VLOOKUP(ТабЗаказы[[#This Row],[client]],ТабКлиенты[[name]:[percent]],MATCH(E$1,ТабКлиенты[#Headers],0),0)),"")</f>
        <v>15</v>
      </c>
      <c r="F220" s="18">
        <f>IFERROR(SUMIF(ТабПозиции[orderNum],ТабЗаказы[[#This Row],[orderNum]],ТабПозиции[orderSumm]),"")</f>
        <v>5162</v>
      </c>
      <c r="G220" s="18">
        <f>SUMIF(ТабПозиции[orderNum],ТабЗаказы[[#This Row],[orderNum]],ТабПозиции[deliverySumm])</f>
        <v>774</v>
      </c>
      <c r="H220" s="18">
        <f>SUMIF(ТабПозиции[orderNum],ТабЗаказы[[#This Row],[orderNum]],ТабПозиции[totalSumm])</f>
        <v>6084</v>
      </c>
      <c r="I220" s="18" t="str">
        <f>IFERROR(VLOOKUP(ТабЗаказы[[#This Row],[orderNum]],ТабПозиции[#Data],22,0),"")</f>
        <v>true</v>
      </c>
    </row>
    <row r="221" spans="1:9" x14ac:dyDescent="0.25">
      <c r="A221">
        <f t="shared" si="3"/>
        <v>220</v>
      </c>
      <c r="B221" s="1">
        <v>45527</v>
      </c>
      <c r="C221" t="s">
        <v>485</v>
      </c>
      <c r="D221" t="str">
        <f>VLOOKUP(ТабЗаказы[[#This Row],[client]],ТабКлиенты[[name]:[_id]],2,0)</f>
        <v>67f56eca575fff8fe23c7aa1</v>
      </c>
      <c r="E221">
        <v>15</v>
      </c>
      <c r="F221" s="18">
        <f>IFERROR(SUMIF(ТабПозиции[orderNum],ТабЗаказы[[#This Row],[orderNum]],ТабПозиции[orderSumm]),"")</f>
        <v>13818</v>
      </c>
      <c r="G221" s="18">
        <f>SUMIF(ТабПозиции[orderNum],ТабЗаказы[[#This Row],[orderNum]],ТабПозиции[deliverySumm])</f>
        <v>2073</v>
      </c>
      <c r="H221" s="18">
        <f>SUMIF(ТабПозиции[orderNum],ТабЗаказы[[#This Row],[orderNum]],ТабПозиции[totalSumm])</f>
        <v>2273</v>
      </c>
      <c r="I221" s="18" t="str">
        <f>IFERROR(VLOOKUP(ТабЗаказы[[#This Row],[orderNum]],ТабПозиции[#Data],22,0),"")</f>
        <v>true</v>
      </c>
    </row>
    <row r="222" spans="1:9" x14ac:dyDescent="0.25">
      <c r="A222">
        <f t="shared" si="3"/>
        <v>221</v>
      </c>
      <c r="B222" s="1">
        <v>45527</v>
      </c>
      <c r="C222" t="s">
        <v>456</v>
      </c>
      <c r="D222" t="str">
        <f>VLOOKUP(ТабЗаказы[[#This Row],[client]],ТабКлиенты[[name]:[_id]],2,0)</f>
        <v>67f56eca575fff8fe23c7a99</v>
      </c>
      <c r="E222">
        <f>IFERROR(IF(ТабЗаказы[[#This Row],[orderSumm]]&gt;10000,10,VLOOKUP(ТабЗаказы[[#This Row],[client]],ТабКлиенты[[name]:[percent]],MATCH(E$1,ТабКлиенты[#Headers],0),0)),"")</f>
        <v>15</v>
      </c>
      <c r="F222" s="18">
        <f>IFERROR(SUMIF(ТабПозиции[orderNum],ТабЗаказы[[#This Row],[orderNum]],ТабПозиции[orderSumm]),"")</f>
        <v>5561</v>
      </c>
      <c r="G222" s="18">
        <f>SUMIF(ТабПозиции[orderNum],ТабЗаказы[[#This Row],[orderNum]],ТабПозиции[deliverySumm])</f>
        <v>834</v>
      </c>
      <c r="H222" s="18">
        <f>SUMIF(ТабПозиции[orderNum],ТабЗаказы[[#This Row],[orderNum]],ТабПозиции[totalSumm])</f>
        <v>834</v>
      </c>
      <c r="I222" s="18" t="str">
        <f>IFERROR(VLOOKUP(ТабЗаказы[[#This Row],[orderNum]],ТабПозиции[#Data],22,0),"")</f>
        <v>true</v>
      </c>
    </row>
    <row r="223" spans="1:9" x14ac:dyDescent="0.25">
      <c r="A223">
        <f t="shared" si="3"/>
        <v>222</v>
      </c>
      <c r="B223" s="1">
        <v>45527</v>
      </c>
      <c r="C223" t="s">
        <v>287</v>
      </c>
      <c r="D223" t="str">
        <f>VLOOKUP(ТабЗаказы[[#This Row],[client]],ТабКлиенты[[name]:[_id]],2,0)</f>
        <v>67f56eca575fff8fe23c7a68</v>
      </c>
      <c r="E223">
        <f>IFERROR(IF(ТабЗаказы[[#This Row],[orderSumm]]&gt;10000,10,VLOOKUP(ТабЗаказы[[#This Row],[client]],ТабКлиенты[[name]:[percent]],MATCH(E$1,ТабКлиенты[#Headers],0),0)),"")</f>
        <v>15</v>
      </c>
      <c r="F223" s="18">
        <f>IFERROR(SUMIF(ТабПозиции[orderNum],ТабЗаказы[[#This Row],[orderNum]],ТабПозиции[orderSumm]),"")</f>
        <v>6179</v>
      </c>
      <c r="G223" s="18">
        <f>SUMIF(ТабПозиции[orderNum],ТабЗаказы[[#This Row],[orderNum]],ТабПозиции[deliverySumm])</f>
        <v>927</v>
      </c>
      <c r="H223" s="18">
        <f>SUMIF(ТабПозиции[orderNum],ТабЗаказы[[#This Row],[orderNum]],ТабПозиции[totalSumm])</f>
        <v>7106</v>
      </c>
      <c r="I223" s="18" t="str">
        <f>IFERROR(VLOOKUP(ТабЗаказы[[#This Row],[orderNum]],ТабПозиции[#Data],22,0),"")</f>
        <v>true</v>
      </c>
    </row>
    <row r="224" spans="1:9" x14ac:dyDescent="0.25">
      <c r="A224">
        <f t="shared" si="3"/>
        <v>223</v>
      </c>
      <c r="B224" s="1">
        <v>45528</v>
      </c>
      <c r="C224" t="s">
        <v>231</v>
      </c>
      <c r="D224" t="str">
        <f>VLOOKUP(ТабЗаказы[[#This Row],[client]],ТабКлиенты[[name]:[_id]],2,0)</f>
        <v>67f56eca575fff8fe23c7a59</v>
      </c>
      <c r="E224">
        <f>IFERROR(IF(ТабЗаказы[[#This Row],[orderSumm]]&gt;10000,10,VLOOKUP(ТабЗаказы[[#This Row],[client]],ТабКлиенты[[name]:[percent]],MATCH(E$1,ТабКлиенты[#Headers],0),0)),"")</f>
        <v>15</v>
      </c>
      <c r="F224" s="18">
        <f>IFERROR(SUMIF(ТабПозиции[orderNum],ТабЗаказы[[#This Row],[orderNum]],ТабПозиции[orderSumm]),"")</f>
        <v>873</v>
      </c>
      <c r="G224" s="18">
        <f>SUMIF(ТабПозиции[orderNum],ТабЗаказы[[#This Row],[orderNum]],ТабПозиции[deliverySumm])</f>
        <v>201</v>
      </c>
      <c r="H224" s="18">
        <f>SUMIF(ТабПозиции[orderNum],ТабЗаказы[[#This Row],[orderNum]],ТабПозиции[totalSumm])</f>
        <v>1074</v>
      </c>
      <c r="I224" s="18" t="str">
        <f>IFERROR(VLOOKUP(ТабЗаказы[[#This Row],[orderNum]],ТабПозиции[#Data],22,0),"")</f>
        <v>true</v>
      </c>
    </row>
    <row r="225" spans="1:9" x14ac:dyDescent="0.25">
      <c r="A225">
        <f t="shared" si="3"/>
        <v>224</v>
      </c>
      <c r="B225" s="1">
        <v>45528</v>
      </c>
      <c r="C225" t="s">
        <v>426</v>
      </c>
      <c r="D225" t="str">
        <f>VLOOKUP(ТабЗаказы[[#This Row],[client]],ТабКлиенты[[name]:[_id]],2,0)</f>
        <v>67f56eca575fff8fe23c7a91</v>
      </c>
      <c r="E225">
        <f>IFERROR(IF(ТабЗаказы[[#This Row],[orderSumm]]&gt;10000,10,VLOOKUP(ТабЗаказы[[#This Row],[client]],ТабКлиенты[[name]:[percent]],MATCH(E$1,ТабКлиенты[#Headers],0),0)),"")</f>
        <v>15</v>
      </c>
      <c r="F225" s="18">
        <f>IFERROR(SUMIF(ТабПозиции[orderNum],ТабЗаказы[[#This Row],[orderNum]],ТабПозиции[orderSumm]),"")</f>
        <v>1254</v>
      </c>
      <c r="G225" s="18">
        <f>SUMIF(ТабПозиции[orderNum],ТабЗаказы[[#This Row],[orderNum]],ТабПозиции[deliverySumm])</f>
        <v>200</v>
      </c>
      <c r="H225" s="18">
        <f>SUMIF(ТабПозиции[orderNum],ТабЗаказы[[#This Row],[orderNum]],ТабПозиции[totalSumm])</f>
        <v>1454</v>
      </c>
      <c r="I225" s="18" t="str">
        <f>IFERROR(VLOOKUP(ТабЗаказы[[#This Row],[orderNum]],ТабПозиции[#Data],22,0),"")</f>
        <v>true</v>
      </c>
    </row>
    <row r="226" spans="1:9" x14ac:dyDescent="0.25">
      <c r="A226">
        <f t="shared" si="3"/>
        <v>225</v>
      </c>
      <c r="B226" s="1">
        <v>45529</v>
      </c>
      <c r="C226" t="s">
        <v>493</v>
      </c>
      <c r="D226" t="str">
        <f>VLOOKUP(ТабЗаказы[[#This Row],[client]],ТабКлиенты[[name]:[_id]],2,0)</f>
        <v>67f56eca575fff8fe23c7aa4</v>
      </c>
      <c r="E226">
        <f>IFERROR(IF(ТабЗаказы[[#This Row],[orderSumm]]&gt;10000,10,VLOOKUP(ТабЗаказы[[#This Row],[client]],ТабКлиенты[[name]:[percent]],MATCH(E$1,ТабКлиенты[#Headers],0),0)),"")</f>
        <v>15</v>
      </c>
      <c r="F226" s="18">
        <f>IFERROR(SUMIF(ТабПозиции[orderNum],ТабЗаказы[[#This Row],[orderNum]],ТабПозиции[orderSumm]),"")</f>
        <v>3166</v>
      </c>
      <c r="G226" s="18">
        <f>SUMIF(ТабПозиции[orderNum],ТабЗаказы[[#This Row],[orderNum]],ТабПозиции[deliverySumm])</f>
        <v>474</v>
      </c>
      <c r="H226" s="18">
        <f>SUMIF(ТабПозиции[orderNum],ТабЗаказы[[#This Row],[orderNum]],ТабПозиции[totalSumm])</f>
        <v>3640</v>
      </c>
      <c r="I226" s="18" t="str">
        <f>IFERROR(VLOOKUP(ТабЗаказы[[#This Row],[orderNum]],ТабПозиции[#Data],22,0),"")</f>
        <v>true</v>
      </c>
    </row>
    <row r="227" spans="1:9" x14ac:dyDescent="0.25">
      <c r="A227">
        <f t="shared" si="3"/>
        <v>226</v>
      </c>
      <c r="B227" s="1">
        <v>45530</v>
      </c>
      <c r="C227" t="s">
        <v>357</v>
      </c>
      <c r="D227" t="str">
        <f>VLOOKUP(ТабЗаказы[[#This Row],[client]],ТабКлиенты[[name]:[_id]],2,0)</f>
        <v>67f56eca575fff8fe23c7a7d</v>
      </c>
      <c r="E227">
        <f>IFERROR(IF(ТабЗаказы[[#This Row],[orderSumm]]&gt;10000,10,VLOOKUP(ТабЗаказы[[#This Row],[client]],ТабКлиенты[[name]:[percent]],MATCH(E$1,ТабКлиенты[#Headers],0),0)),"")</f>
        <v>15</v>
      </c>
      <c r="F227" s="18">
        <f>IFERROR(SUMIF(ТабПозиции[orderNum],ТабЗаказы[[#This Row],[orderNum]],ТабПозиции[orderSumm]),"")</f>
        <v>3754</v>
      </c>
      <c r="G227" s="18">
        <f>SUMIF(ТабПозиции[orderNum],ТабЗаказы[[#This Row],[orderNum]],ТабПозиции[deliverySumm])</f>
        <v>564</v>
      </c>
      <c r="H227" s="18">
        <f>SUMIF(ТабПозиции[orderNum],ТабЗаказы[[#This Row],[orderNum]],ТабПозиции[totalSumm])</f>
        <v>4318</v>
      </c>
      <c r="I227" s="18" t="str">
        <f>IFERROR(VLOOKUP(ТабЗаказы[[#This Row],[orderNum]],ТабПозиции[#Data],22,0),"")</f>
        <v>true</v>
      </c>
    </row>
    <row r="228" spans="1:9" x14ac:dyDescent="0.25">
      <c r="A228">
        <f t="shared" si="3"/>
        <v>227</v>
      </c>
      <c r="B228" s="1">
        <v>45531</v>
      </c>
      <c r="C228" t="s">
        <v>430</v>
      </c>
      <c r="D228" t="str">
        <f>VLOOKUP(ТабЗаказы[[#This Row],[client]],ТабКлиенты[[name]:[_id]],2,0)</f>
        <v>67f56eca575fff8fe23c7a92</v>
      </c>
      <c r="E228">
        <f>IFERROR(IF(ТабЗаказы[[#This Row],[orderSumm]]&gt;10000,10,VLOOKUP(ТабЗаказы[[#This Row],[client]],ТабКлиенты[[name]:[percent]],MATCH(E$1,ТабКлиенты[#Headers],0),0)),"")</f>
        <v>10</v>
      </c>
      <c r="F228" s="18">
        <f>IFERROR(SUMIF(ТабПозиции[orderNum],ТабЗаказы[[#This Row],[orderNum]],ТабПозиции[orderSumm]),"")</f>
        <v>105900</v>
      </c>
      <c r="G228" s="18">
        <f>SUMIF(ТабПозиции[orderNum],ТабЗаказы[[#This Row],[orderNum]],ТабПозиции[deliverySumm])</f>
        <v>10590</v>
      </c>
      <c r="H228" s="18">
        <f>SUMIF(ТабПозиции[orderNum],ТабЗаказы[[#This Row],[orderNum]],ТабПозиции[totalSumm])</f>
        <v>10590</v>
      </c>
      <c r="I228" s="18" t="str">
        <f>IFERROR(VLOOKUP(ТабЗаказы[[#This Row],[orderNum]],ТабПозиции[#Data],22,0),"")</f>
        <v>true</v>
      </c>
    </row>
    <row r="229" spans="1:9" x14ac:dyDescent="0.25">
      <c r="A229">
        <f t="shared" si="3"/>
        <v>228</v>
      </c>
      <c r="B229" s="1">
        <v>45534</v>
      </c>
      <c r="C229" t="s">
        <v>456</v>
      </c>
      <c r="D229" t="str">
        <f>VLOOKUP(ТабЗаказы[[#This Row],[client]],ТабКлиенты[[name]:[_id]],2,0)</f>
        <v>67f56eca575fff8fe23c7a99</v>
      </c>
      <c r="E229">
        <f>IFERROR(IF(ТабЗаказы[[#This Row],[orderSumm]]&gt;10000,10,VLOOKUP(ТабЗаказы[[#This Row],[client]],ТабКлиенты[[name]:[percent]],MATCH(E$1,ТабКлиенты[#Headers],0),0)),"")</f>
        <v>15</v>
      </c>
      <c r="F229" s="18">
        <f>IFERROR(SUMIF(ТабПозиции[orderNum],ТабЗаказы[[#This Row],[orderNum]],ТабПозиции[orderSumm]),"")</f>
        <v>2018</v>
      </c>
      <c r="G229" s="18">
        <f>SUMIF(ТабПозиции[orderNum],ТабЗаказы[[#This Row],[orderNum]],ТабПозиции[deliverySumm])</f>
        <v>303</v>
      </c>
      <c r="H229" s="18">
        <f>SUMIF(ТабПозиции[orderNum],ТабЗаказы[[#This Row],[orderNum]],ТабПозиции[totalSumm])</f>
        <v>303</v>
      </c>
      <c r="I229" s="18" t="str">
        <f>IFERROR(VLOOKUP(ТабЗаказы[[#This Row],[orderNum]],ТабПозиции[#Data],22,0),"")</f>
        <v>true</v>
      </c>
    </row>
    <row r="230" spans="1:9" x14ac:dyDescent="0.25">
      <c r="A230">
        <f t="shared" si="3"/>
        <v>229</v>
      </c>
      <c r="B230" s="1">
        <v>45534</v>
      </c>
      <c r="C230" t="s">
        <v>452</v>
      </c>
      <c r="D230" t="str">
        <f>VLOOKUP(ТабЗаказы[[#This Row],[client]],ТабКлиенты[[name]:[_id]],2,0)</f>
        <v>67f56eca575fff8fe23c7a98</v>
      </c>
      <c r="E230">
        <f>IFERROR(IF(ТабЗаказы[[#This Row],[orderSumm]]&gt;10000,10,VLOOKUP(ТабЗаказы[[#This Row],[client]],ТабКлиенты[[name]:[percent]],MATCH(E$1,ТабКлиенты[#Headers],0),0)),"")</f>
        <v>15</v>
      </c>
      <c r="F230" s="18">
        <f>IFERROR(SUMIF(ТабПозиции[orderNum],ТабЗаказы[[#This Row],[orderNum]],ТабПозиции[orderSumm]),"")</f>
        <v>2309</v>
      </c>
      <c r="G230" s="18">
        <f>SUMIF(ТабПозиции[orderNum],ТабЗаказы[[#This Row],[orderNum]],ТабПозиции[deliverySumm])</f>
        <v>346</v>
      </c>
      <c r="H230" s="18">
        <f>SUMIF(ТабПозиции[orderNum],ТабЗаказы[[#This Row],[orderNum]],ТабПозиции[totalSumm])</f>
        <v>346</v>
      </c>
      <c r="I230" s="18" t="str">
        <f>IFERROR(VLOOKUP(ТабЗаказы[[#This Row],[orderNum]],ТабПозиции[#Data],22,0),"")</f>
        <v>true</v>
      </c>
    </row>
    <row r="231" spans="1:9" x14ac:dyDescent="0.25">
      <c r="A231">
        <f t="shared" si="3"/>
        <v>230</v>
      </c>
      <c r="B231" s="1">
        <v>45536</v>
      </c>
      <c r="C231" t="s">
        <v>210</v>
      </c>
      <c r="D231" t="str">
        <f>VLOOKUP(ТабЗаказы[[#This Row],[client]],ТабКлиенты[[name]:[_id]],2,0)</f>
        <v>67f56eca575fff8fe23c7a52</v>
      </c>
      <c r="E231">
        <f>IFERROR(IF(ТабЗаказы[[#This Row],[orderSumm]]&gt;10000,10,VLOOKUP(ТабЗаказы[[#This Row],[client]],ТабКлиенты[[name]:[percent]],MATCH(E$1,ТабКлиенты[#Headers],0),0)),"")</f>
        <v>15</v>
      </c>
      <c r="F231" s="18">
        <f>IFERROR(SUMIF(ТабПозиции[orderNum],ТабЗаказы[[#This Row],[orderNum]],ТабПозиции[orderSumm]),"")</f>
        <v>2935</v>
      </c>
      <c r="G231" s="18">
        <f>SUMIF(ТабПозиции[orderNum],ТабЗаказы[[#This Row],[orderNum]],ТабПозиции[deliverySumm])</f>
        <v>441</v>
      </c>
      <c r="H231" s="18">
        <f>SUMIF(ТабПозиции[orderNum],ТабЗаказы[[#This Row],[orderNum]],ТабПозиции[totalSumm])</f>
        <v>3376</v>
      </c>
      <c r="I231" s="18" t="str">
        <f>IFERROR(VLOOKUP(ТабЗаказы[[#This Row],[orderNum]],ТабПозиции[#Data],22,0),"")</f>
        <v>true</v>
      </c>
    </row>
    <row r="232" spans="1:9" x14ac:dyDescent="0.25">
      <c r="A232">
        <f t="shared" si="3"/>
        <v>231</v>
      </c>
      <c r="B232" s="1">
        <v>45537</v>
      </c>
      <c r="C232" t="s">
        <v>1351</v>
      </c>
      <c r="D232" t="str">
        <f>VLOOKUP(ТабЗаказы[[#This Row],[client]],ТабКлиенты[[name]:[_id]],2,0)</f>
        <v>67f56eca575fff8fe23c7aa9</v>
      </c>
      <c r="E232">
        <f>IFERROR(IF(ТабЗаказы[[#This Row],[orderSumm]]&gt;10000,10,VLOOKUP(ТабЗаказы[[#This Row],[client]],ТабКлиенты[[name]:[percent]],MATCH(E$1,ТабКлиенты[#Headers],0),0)),"")</f>
        <v>15</v>
      </c>
      <c r="F232" s="18">
        <f>IFERROR(SUMIF(ТабПозиции[orderNum],ТабЗаказы[[#This Row],[orderNum]],ТабПозиции[orderSumm]),"")</f>
        <v>1391</v>
      </c>
      <c r="G232" s="18">
        <f>SUMIF(ТабПозиции[orderNum],ТабЗаказы[[#This Row],[orderNum]],ТабПозиции[deliverySumm])</f>
        <v>200</v>
      </c>
      <c r="H232" s="18">
        <f>SUMIF(ТабПозиции[orderNum],ТабЗаказы[[#This Row],[orderNum]],ТабПозиции[totalSumm])</f>
        <v>1591</v>
      </c>
      <c r="I232" s="18" t="str">
        <f>IFERROR(VLOOKUP(ТабЗаказы[[#This Row],[orderNum]],ТабПозиции[#Data],22,0),"")</f>
        <v>true</v>
      </c>
    </row>
    <row r="233" spans="1:9" x14ac:dyDescent="0.25">
      <c r="A233">
        <f t="shared" si="3"/>
        <v>232</v>
      </c>
      <c r="B233" s="1">
        <v>45555</v>
      </c>
      <c r="C233" t="s">
        <v>485</v>
      </c>
      <c r="D233" t="str">
        <f>VLOOKUP(ТабЗаказы[[#This Row],[client]],ТабКлиенты[[name]:[_id]],2,0)</f>
        <v>67f56eca575fff8fe23c7aa1</v>
      </c>
      <c r="E233">
        <f>IFERROR(IF(ТабЗаказы[[#This Row],[orderSumm]]&gt;10000,10,VLOOKUP(ТабЗаказы[[#This Row],[client]],ТабКлиенты[[name]:[percent]],MATCH(E$1,ТабКлиенты[#Headers],0),0)),"")</f>
        <v>15</v>
      </c>
      <c r="F233" s="18">
        <f>IFERROR(SUMIF(ТабПозиции[orderNum],ТабЗаказы[[#This Row],[orderNum]],ТабПозиции[orderSumm]),"")</f>
        <v>5766</v>
      </c>
      <c r="G233" s="18">
        <f>SUMIF(ТабПозиции[orderNum],ТабЗаказы[[#This Row],[orderNum]],ТабПозиции[deliverySumm])</f>
        <v>865</v>
      </c>
      <c r="H233" s="18">
        <f>SUMIF(ТабПозиции[orderNum],ТабЗаказы[[#This Row],[orderNum]],ТабПозиции[totalSumm])</f>
        <v>1265</v>
      </c>
      <c r="I233" s="18" t="str">
        <f>IFERROR(VLOOKUP(ТабЗаказы[[#This Row],[orderNum]],ТабПозиции[#Data],22,0),"")</f>
        <v>true</v>
      </c>
    </row>
    <row r="234" spans="1:9" x14ac:dyDescent="0.25">
      <c r="A234">
        <f t="shared" si="3"/>
        <v>233</v>
      </c>
      <c r="B234" s="1">
        <v>45537</v>
      </c>
      <c r="C234" t="s">
        <v>33</v>
      </c>
      <c r="D234" t="str">
        <f>VLOOKUP(ТабЗаказы[[#This Row],[client]],ТабКлиенты[[name]:[_id]],2,0)</f>
        <v>67f56eca575fff8fe23c7a15</v>
      </c>
      <c r="E234">
        <f>IFERROR(IF(ТабЗаказы[[#This Row],[orderSumm]]&gt;10000,10,VLOOKUP(ТабЗаказы[[#This Row],[client]],ТабКлиенты[[name]:[percent]],MATCH(E$1,ТабКлиенты[#Headers],0),0)),"")</f>
        <v>15</v>
      </c>
      <c r="F234" s="18">
        <f>IFERROR(SUMIF(ТабПозиции[orderNum],ТабЗаказы[[#This Row],[orderNum]],ТабПозиции[orderSumm]),"")</f>
        <v>4651</v>
      </c>
      <c r="G234" s="18">
        <f>SUMIF(ТабПозиции[orderNum],ТабЗаказы[[#This Row],[orderNum]],ТабПозиции[deliverySumm])</f>
        <v>697</v>
      </c>
      <c r="H234" s="18">
        <f>SUMIF(ТабПозиции[orderNum],ТабЗаказы[[#This Row],[orderNum]],ТабПозиции[totalSumm])</f>
        <v>6056</v>
      </c>
      <c r="I234" s="18" t="str">
        <f>IFERROR(VLOOKUP(ТабЗаказы[[#This Row],[orderNum]],ТабПозиции[#Data],22,0),"")</f>
        <v>true</v>
      </c>
    </row>
    <row r="235" spans="1:9" x14ac:dyDescent="0.25">
      <c r="A235">
        <f t="shared" si="3"/>
        <v>234</v>
      </c>
      <c r="B235" s="1">
        <v>45538</v>
      </c>
      <c r="C235" t="s">
        <v>104</v>
      </c>
      <c r="D235" t="str">
        <f>VLOOKUP(ТабЗаказы[[#This Row],[client]],ТабКлиенты[[name]:[_id]],2,0)</f>
        <v>67f56eca575fff8fe23c7a2d</v>
      </c>
      <c r="E235">
        <f>IFERROR(IF(ТабЗаказы[[#This Row],[orderSumm]]&gt;10000,10,VLOOKUP(ТабЗаказы[[#This Row],[client]],ТабКлиенты[[name]:[percent]],MATCH(E$1,ТабКлиенты[#Headers],0),0)),"")</f>
        <v>10</v>
      </c>
      <c r="F235" s="18">
        <f>IFERROR(SUMIF(ТабПозиции[orderNum],ТабЗаказы[[#This Row],[orderNum]],ТабПозиции[orderSumm]),"")</f>
        <v>60350</v>
      </c>
      <c r="G235" s="18">
        <f>SUMIF(ТабПозиции[orderNum],ТабЗаказы[[#This Row],[orderNum]],ТабПозиции[deliverySumm])</f>
        <v>6035</v>
      </c>
      <c r="H235" s="18">
        <f>SUMIF(ТабПозиции[orderNum],ТабЗаказы[[#This Row],[orderNum]],ТабПозиции[totalSumm])</f>
        <v>7046</v>
      </c>
      <c r="I235" s="18" t="str">
        <f>IFERROR(VLOOKUP(ТабЗаказы[[#This Row],[orderNum]],ТабПозиции[#Data],22,0),"")</f>
        <v>true</v>
      </c>
    </row>
    <row r="236" spans="1:9" x14ac:dyDescent="0.25">
      <c r="A236">
        <f t="shared" si="3"/>
        <v>235</v>
      </c>
      <c r="B236" s="1">
        <v>45539</v>
      </c>
      <c r="C236" t="s">
        <v>357</v>
      </c>
      <c r="D236" t="str">
        <f>VLOOKUP(ТабЗаказы[[#This Row],[client]],ТабКлиенты[[name]:[_id]],2,0)</f>
        <v>67f56eca575fff8fe23c7a7d</v>
      </c>
      <c r="E236">
        <f>IFERROR(IF(ТабЗаказы[[#This Row],[orderSumm]]&gt;10000,10,VLOOKUP(ТабЗаказы[[#This Row],[client]],ТабКлиенты[[name]:[percent]],MATCH(E$1,ТабКлиенты[#Headers],0),0)),"")</f>
        <v>15</v>
      </c>
      <c r="F236" s="18">
        <f>IFERROR(SUMIF(ТабПозиции[orderNum],ТабЗаказы[[#This Row],[orderNum]],ТабПозиции[orderSumm]),"")</f>
        <v>6282</v>
      </c>
      <c r="G236" s="18">
        <f>SUMIF(ТабПозиции[orderNum],ТабЗаказы[[#This Row],[orderNum]],ТабПозиции[deliverySumm])</f>
        <v>942</v>
      </c>
      <c r="H236" s="18">
        <f>SUMIF(ТабПозиции[orderNum],ТабЗаказы[[#This Row],[orderNum]],ТабПозиции[totalSumm])</f>
        <v>7224</v>
      </c>
      <c r="I236" s="18" t="str">
        <f>IFERROR(VLOOKUP(ТабЗаказы[[#This Row],[orderNum]],ТабПозиции[#Data],22,0),"")</f>
        <v>true</v>
      </c>
    </row>
    <row r="237" spans="1:9" x14ac:dyDescent="0.25">
      <c r="A237">
        <f t="shared" si="3"/>
        <v>236</v>
      </c>
      <c r="B237" s="1">
        <v>45540</v>
      </c>
      <c r="C237" t="s">
        <v>445</v>
      </c>
      <c r="D237" t="str">
        <f>VLOOKUP(ТабЗаказы[[#This Row],[client]],ТабКлиенты[[name]:[_id]],2,0)</f>
        <v>67f56eca575fff8fe23c7a96</v>
      </c>
      <c r="E237">
        <f>IFERROR(IF(ТабЗаказы[[#This Row],[orderSumm]]&gt;10000,10,VLOOKUP(ТабЗаказы[[#This Row],[client]],ТабКлиенты[[name]:[percent]],MATCH(E$1,ТабКлиенты[#Headers],0),0)),"")</f>
        <v>15</v>
      </c>
      <c r="F237" s="18">
        <f>IFERROR(SUMIF(ТабПозиции[orderNum],ТабЗаказы[[#This Row],[orderNum]],ТабПозиции[orderSumm]),"")</f>
        <v>2755</v>
      </c>
      <c r="G237" s="18">
        <f>SUMIF(ТабПозиции[orderNum],ТабЗаказы[[#This Row],[orderNum]],ТабПозиции[deliverySumm])</f>
        <v>413</v>
      </c>
      <c r="H237" s="18">
        <f>SUMIF(ТабПозиции[orderNum],ТабЗаказы[[#This Row],[orderNum]],ТабПозиции[totalSumm])</f>
        <v>3168</v>
      </c>
      <c r="I237" s="18" t="str">
        <f>IFERROR(VLOOKUP(ТабЗаказы[[#This Row],[orderNum]],ТабПозиции[#Data],22,0),"")</f>
        <v>true</v>
      </c>
    </row>
    <row r="238" spans="1:9" x14ac:dyDescent="0.25">
      <c r="A238">
        <f t="shared" si="3"/>
        <v>237</v>
      </c>
      <c r="B238" s="1">
        <v>45541</v>
      </c>
      <c r="C238" t="s">
        <v>456</v>
      </c>
      <c r="D238" t="str">
        <f>VLOOKUP(ТабЗаказы[[#This Row],[client]],ТабКлиенты[[name]:[_id]],2,0)</f>
        <v>67f56eca575fff8fe23c7a99</v>
      </c>
      <c r="E238">
        <f>IFERROR(IF(ТабЗаказы[[#This Row],[orderSumm]]&gt;10000,10,VLOOKUP(ТабЗаказы[[#This Row],[client]],ТабКлиенты[[name]:[percent]],MATCH(E$1,ТабКлиенты[#Headers],0),0)),"")</f>
        <v>15</v>
      </c>
      <c r="F238" s="18">
        <f>IFERROR(SUMIF(ТабПозиции[orderNum],ТабЗаказы[[#This Row],[orderNum]],ТабПозиции[orderSumm]),"")</f>
        <v>3615</v>
      </c>
      <c r="G238" s="18">
        <f>SUMIF(ТабПозиции[orderNum],ТабЗаказы[[#This Row],[orderNum]],ТабПозиции[deliverySumm])</f>
        <v>542</v>
      </c>
      <c r="H238" s="18">
        <f>SUMIF(ТабПозиции[orderNum],ТабЗаказы[[#This Row],[orderNum]],ТабПозиции[totalSumm])</f>
        <v>542</v>
      </c>
      <c r="I238" s="18" t="str">
        <f>IFERROR(VLOOKUP(ТабЗаказы[[#This Row],[orderNum]],ТабПозиции[#Data],22,0),"")</f>
        <v>true</v>
      </c>
    </row>
    <row r="239" spans="1:9" x14ac:dyDescent="0.25">
      <c r="A239">
        <f t="shared" si="3"/>
        <v>238</v>
      </c>
      <c r="B239" s="1">
        <v>45541</v>
      </c>
      <c r="C239" t="s">
        <v>1383</v>
      </c>
      <c r="D239" t="str">
        <f>VLOOKUP(ТабЗаказы[[#This Row],[client]],ТабКлиенты[[name]:[_id]],2,0)</f>
        <v>67f56eca575fff8fe23c7aac</v>
      </c>
      <c r="E239">
        <f>IFERROR(IF(ТабЗаказы[[#This Row],[orderSumm]]&gt;10000,10,VLOOKUP(ТабЗаказы[[#This Row],[client]],ТабКлиенты[[name]:[percent]],MATCH(E$1,ТабКлиенты[#Headers],0),0)),"")</f>
        <v>15</v>
      </c>
      <c r="F239" s="18">
        <f>IFERROR(SUMIF(ТабПозиции[orderNum],ТабЗаказы[[#This Row],[orderNum]],ТабПозиции[orderSumm]),"")</f>
        <v>2953</v>
      </c>
      <c r="G239" s="18">
        <f>SUMIF(ТабПозиции[orderNum],ТабЗаказы[[#This Row],[orderNum]],ТабПозиции[deliverySumm])</f>
        <v>443</v>
      </c>
      <c r="H239" s="18">
        <f>SUMIF(ТабПозиции[orderNum],ТабЗаказы[[#This Row],[orderNum]],ТабПозиции[totalSumm])</f>
        <v>443</v>
      </c>
      <c r="I239" s="18" t="str">
        <f>IFERROR(VLOOKUP(ТабЗаказы[[#This Row],[orderNum]],ТабПозиции[#Data],22,0),"")</f>
        <v>true</v>
      </c>
    </row>
    <row r="240" spans="1:9" x14ac:dyDescent="0.25">
      <c r="A240">
        <f t="shared" si="3"/>
        <v>239</v>
      </c>
      <c r="B240" s="1">
        <v>45541</v>
      </c>
      <c r="C240" t="s">
        <v>485</v>
      </c>
      <c r="D240" t="str">
        <f>VLOOKUP(ТабЗаказы[[#This Row],[client]],ТабКлиенты[[name]:[_id]],2,0)</f>
        <v>67f56eca575fff8fe23c7aa1</v>
      </c>
      <c r="E240">
        <f>IFERROR(IF(ТабЗаказы[[#This Row],[orderSumm]]&gt;10000,10,VLOOKUP(ТабЗаказы[[#This Row],[client]],ТабКлиенты[[name]:[percent]],MATCH(E$1,ТабКлиенты[#Headers],0),0)),"")</f>
        <v>15</v>
      </c>
      <c r="F240" s="18">
        <f>IFERROR(SUMIF(ТабПозиции[orderNum],ТабЗаказы[[#This Row],[orderNum]],ТабПозиции[orderSumm]),"")</f>
        <v>4836</v>
      </c>
      <c r="G240" s="18">
        <f>SUMIF(ТабПозиции[orderNum],ТабЗаказы[[#This Row],[orderNum]],ТабПозиции[deliverySumm])</f>
        <v>725</v>
      </c>
      <c r="H240" s="18">
        <f>SUMIF(ТабПозиции[orderNum],ТабЗаказы[[#This Row],[orderNum]],ТабПозиции[totalSumm])</f>
        <v>725</v>
      </c>
      <c r="I240" s="18" t="str">
        <f>IFERROR(VLOOKUP(ТабЗаказы[[#This Row],[orderNum]],ТабПозиции[#Data],22,0),"")</f>
        <v>true</v>
      </c>
    </row>
    <row r="241" spans="1:9" x14ac:dyDescent="0.25">
      <c r="A241">
        <f t="shared" si="3"/>
        <v>240</v>
      </c>
      <c r="B241" s="1">
        <v>45541</v>
      </c>
      <c r="C241" t="s">
        <v>1387</v>
      </c>
      <c r="D241" t="str">
        <f>VLOOKUP(ТабЗаказы[[#This Row],[client]],ТабКлиенты[[name]:[_id]],2,0)</f>
        <v>67f56eca575fff8fe23c7aad</v>
      </c>
      <c r="E241">
        <f>IFERROR(IF(ТабЗаказы[[#This Row],[orderSumm]]&gt;10000,10,VLOOKUP(ТабЗаказы[[#This Row],[client]],ТабКлиенты[[name]:[percent]],MATCH(E$1,ТабКлиенты[#Headers],0),0)),"")</f>
        <v>10</v>
      </c>
      <c r="F241" s="18">
        <f>IFERROR(SUMIF(ТабПозиции[orderNum],ТабЗаказы[[#This Row],[orderNum]],ТабПозиции[orderSumm]),"")</f>
        <v>13270</v>
      </c>
      <c r="G241" s="18">
        <f>SUMIF(ТабПозиции[orderNum],ТабЗаказы[[#This Row],[orderNum]],ТабПозиции[deliverySumm])</f>
        <v>1327</v>
      </c>
      <c r="H241" s="18">
        <f>SUMIF(ТабПозиции[orderNum],ТабЗаказы[[#This Row],[orderNum]],ТабПозиции[totalSumm])</f>
        <v>1327</v>
      </c>
      <c r="I241" s="18" t="str">
        <f>IFERROR(VLOOKUP(ТабЗаказы[[#This Row],[orderNum]],ТабПозиции[#Data],22,0),"")</f>
        <v>true</v>
      </c>
    </row>
    <row r="242" spans="1:9" x14ac:dyDescent="0.25">
      <c r="A242">
        <f t="shared" si="3"/>
        <v>241</v>
      </c>
      <c r="B242" s="1">
        <v>45541</v>
      </c>
      <c r="C242" t="s">
        <v>231</v>
      </c>
      <c r="D242" t="str">
        <f>VLOOKUP(ТабЗаказы[[#This Row],[client]],ТабКлиенты[[name]:[_id]],2,0)</f>
        <v>67f56eca575fff8fe23c7a59</v>
      </c>
      <c r="E242">
        <f>IFERROR(IF(ТабЗаказы[[#This Row],[orderSumm]]&gt;10000,10,VLOOKUP(ТабЗаказы[[#This Row],[client]],ТабКлиенты[[name]:[percent]],MATCH(E$1,ТабКлиенты[#Headers],0),0)),"")</f>
        <v>15</v>
      </c>
      <c r="F242" s="18">
        <f>IFERROR(SUMIF(ТабПозиции[orderNum],ТабЗаказы[[#This Row],[orderNum]],ТабПозиции[orderSumm]),"")</f>
        <v>2713</v>
      </c>
      <c r="G242" s="18">
        <f>SUMIF(ТабПозиции[orderNum],ТабЗаказы[[#This Row],[orderNum]],ТабПозиции[deliverySumm])</f>
        <v>407</v>
      </c>
      <c r="H242" s="18">
        <f>SUMIF(ТабПозиции[orderNum],ТабЗаказы[[#This Row],[orderNum]],ТабПозиции[totalSumm])</f>
        <v>3120</v>
      </c>
      <c r="I242" s="18" t="str">
        <f>IFERROR(VLOOKUP(ТабЗаказы[[#This Row],[orderNum]],ТабПозиции[#Data],22,0),"")</f>
        <v>true</v>
      </c>
    </row>
    <row r="243" spans="1:9" x14ac:dyDescent="0.25">
      <c r="A243">
        <f t="shared" si="3"/>
        <v>242</v>
      </c>
      <c r="B243" s="1">
        <v>45543</v>
      </c>
      <c r="C243" t="s">
        <v>493</v>
      </c>
      <c r="D243" t="str">
        <f>VLOOKUP(ТабЗаказы[[#This Row],[client]],ТабКлиенты[[name]:[_id]],2,0)</f>
        <v>67f56eca575fff8fe23c7aa4</v>
      </c>
      <c r="E243">
        <f>IFERROR(IF(ТабЗаказы[[#This Row],[orderSumm]]&gt;10000,10,VLOOKUP(ТабЗаказы[[#This Row],[client]],ТабКлиенты[[name]:[percent]],MATCH(E$1,ТабКлиенты[#Headers],0),0)),"")</f>
        <v>15</v>
      </c>
      <c r="F243" s="18">
        <f>IFERROR(SUMIF(ТабПозиции[orderNum],ТабЗаказы[[#This Row],[orderNum]],ТабПозиции[orderSumm]),"")</f>
        <v>2617</v>
      </c>
      <c r="G243" s="18">
        <f>SUMIF(ТабПозиции[orderNum],ТабЗаказы[[#This Row],[orderNum]],ТабПозиции[deliverySumm])</f>
        <v>393</v>
      </c>
      <c r="H243" s="18">
        <f>SUMIF(ТабПозиции[orderNum],ТабЗаказы[[#This Row],[orderNum]],ТабПозиции[totalSumm])</f>
        <v>3010</v>
      </c>
      <c r="I243" s="18" t="str">
        <f>IFERROR(VLOOKUP(ТабЗаказы[[#This Row],[orderNum]],ТабПозиции[#Data],22,0),"")</f>
        <v>true</v>
      </c>
    </row>
    <row r="244" spans="1:9" x14ac:dyDescent="0.25">
      <c r="A244">
        <f t="shared" ref="A244:A260" si="4">A243+1</f>
        <v>243</v>
      </c>
      <c r="B244" s="1">
        <v>45543</v>
      </c>
      <c r="C244" t="s">
        <v>448</v>
      </c>
      <c r="D244" t="str">
        <f>VLOOKUP(ТабЗаказы[[#This Row],[client]],ТабКлиенты[[name]:[_id]],2,0)</f>
        <v>67f56eca575fff8fe23c7a97</v>
      </c>
      <c r="E244">
        <f>IFERROR(IF(ТабЗаказы[[#This Row],[orderSumm]]&gt;10000,10,VLOOKUP(ТабЗаказы[[#This Row],[client]],ТабКлиенты[[name]:[percent]],MATCH(E$1,ТабКлиенты[#Headers],0),0)),"")</f>
        <v>15</v>
      </c>
      <c r="F244" s="18">
        <f>IFERROR(SUMIF(ТабПозиции[orderNum],ТабЗаказы[[#This Row],[orderNum]],ТабПозиции[orderSumm]),"")</f>
        <v>5011</v>
      </c>
      <c r="G244" s="18">
        <f>SUMIF(ТабПозиции[orderNum],ТабЗаказы[[#This Row],[orderNum]],ТабПозиции[deliverySumm])</f>
        <v>752</v>
      </c>
      <c r="H244" s="18">
        <f>SUMIF(ТабПозиции[orderNum],ТабЗаказы[[#This Row],[orderNum]],ТабПозиции[totalSumm])</f>
        <v>5763</v>
      </c>
      <c r="I244" s="18" t="str">
        <f>IFERROR(VLOOKUP(ТабЗаказы[[#This Row],[orderNum]],ТабПозиции[#Data],22,0),"")</f>
        <v>true</v>
      </c>
    </row>
    <row r="245" spans="1:9" x14ac:dyDescent="0.25">
      <c r="A245">
        <f t="shared" si="4"/>
        <v>244</v>
      </c>
      <c r="B245" s="1">
        <v>45544</v>
      </c>
      <c r="C245" t="s">
        <v>33</v>
      </c>
      <c r="D245" t="str">
        <f>VLOOKUP(ТабЗаказы[[#This Row],[client]],ТабКлиенты[[name]:[_id]],2,0)</f>
        <v>67f56eca575fff8fe23c7a15</v>
      </c>
      <c r="E245">
        <f>IFERROR(IF(ТабЗаказы[[#This Row],[orderSumm]]&gt;10000,10,VLOOKUP(ТабЗаказы[[#This Row],[client]],ТабКлиенты[[name]:[percent]],MATCH(E$1,ТабКлиенты[#Headers],0),0)),"")</f>
        <v>15</v>
      </c>
      <c r="F245" s="18">
        <f>IFERROR(SUMIF(ТабПозиции[orderNum],ТабЗаказы[[#This Row],[orderNum]],ТабПозиции[orderSumm]),"")</f>
        <v>3132</v>
      </c>
      <c r="G245" s="18">
        <f>SUMIF(ТабПозиции[orderNum],ТабЗаказы[[#This Row],[orderNum]],ТабПозиции[deliverySumm])</f>
        <v>470</v>
      </c>
      <c r="H245" s="18">
        <f>SUMIF(ТабПозиции[orderNum],ТабЗаказы[[#This Row],[orderNum]],ТабПозиции[totalSumm])</f>
        <v>3602</v>
      </c>
      <c r="I245" s="18" t="str">
        <f>IFERROR(VLOOKUP(ТабЗаказы[[#This Row],[orderNum]],ТабПозиции[#Data],22,0),"")</f>
        <v>true</v>
      </c>
    </row>
    <row r="246" spans="1:9" x14ac:dyDescent="0.25">
      <c r="A246">
        <f t="shared" si="4"/>
        <v>245</v>
      </c>
      <c r="B246" s="1">
        <v>45546</v>
      </c>
      <c r="C246" t="s">
        <v>357</v>
      </c>
      <c r="D246" t="str">
        <f>VLOOKUP(ТабЗаказы[[#This Row],[client]],ТабКлиенты[[name]:[_id]],2,0)</f>
        <v>67f56eca575fff8fe23c7a7d</v>
      </c>
      <c r="E246">
        <f>IFERROR(IF(ТабЗаказы[[#This Row],[orderSumm]]&gt;10000,10,VLOOKUP(ТабЗаказы[[#This Row],[client]],ТабКлиенты[[name]:[percent]],MATCH(E$1,ТабКлиенты[#Headers],0),0)),"")</f>
        <v>15</v>
      </c>
      <c r="F246" s="18">
        <f>IFERROR(SUMIF(ТабПозиции[orderNum],ТабЗаказы[[#This Row],[orderNum]],ТабПозиции[orderSumm]),"")</f>
        <v>8603</v>
      </c>
      <c r="G246" s="18">
        <f>SUMIF(ТабПозиции[orderNum],ТабЗаказы[[#This Row],[orderNum]],ТабПозиции[deliverySumm])</f>
        <v>1290</v>
      </c>
      <c r="H246" s="18">
        <f>SUMIF(ТабПозиции[orderNum],ТабЗаказы[[#This Row],[orderNum]],ТабПозиции[totalSumm])</f>
        <v>10219.15</v>
      </c>
      <c r="I246" s="18" t="str">
        <f>IFERROR(VLOOKUP(ТабЗаказы[[#This Row],[orderNum]],ТабПозиции[#Data],22,0),"")</f>
        <v>true</v>
      </c>
    </row>
    <row r="247" spans="1:9" x14ac:dyDescent="0.25">
      <c r="A247">
        <f t="shared" si="4"/>
        <v>246</v>
      </c>
      <c r="B247" s="1">
        <v>45555</v>
      </c>
      <c r="C247" t="s">
        <v>452</v>
      </c>
      <c r="D247" t="str">
        <f>VLOOKUP(ТабЗаказы[[#This Row],[client]],ТабКлиенты[[name]:[_id]],2,0)</f>
        <v>67f56eca575fff8fe23c7a98</v>
      </c>
      <c r="E247">
        <f>IFERROR(IF(ТабЗаказы[[#This Row],[orderSumm]]&gt;10000,10,VLOOKUP(ТабЗаказы[[#This Row],[client]],ТабКлиенты[[name]:[percent]],MATCH(E$1,ТабКлиенты[#Headers],0),0)),"")</f>
        <v>15</v>
      </c>
      <c r="F247" s="18">
        <f>IFERROR(SUMIF(ТабПозиции[orderNum],ТабЗаказы[[#This Row],[orderNum]],ТабПозиции[orderSumm]),"")</f>
        <v>4481</v>
      </c>
      <c r="G247" s="18">
        <f>SUMIF(ТабПозиции[orderNum],ТабЗаказы[[#This Row],[orderNum]],ТабПозиции[deliverySumm])</f>
        <v>672</v>
      </c>
      <c r="H247" s="18">
        <f>SUMIF(ТабПозиции[orderNum],ТабЗаказы[[#This Row],[orderNum]],ТабПозиции[totalSumm])</f>
        <v>672</v>
      </c>
      <c r="I247" s="18" t="str">
        <f>IFERROR(VLOOKUP(ТабЗаказы[[#This Row],[orderNum]],ТабПозиции[#Data],22,0),"")</f>
        <v>true</v>
      </c>
    </row>
    <row r="248" spans="1:9" x14ac:dyDescent="0.25">
      <c r="A248">
        <f t="shared" si="4"/>
        <v>247</v>
      </c>
      <c r="B248" s="1">
        <v>45546</v>
      </c>
      <c r="C248" t="s">
        <v>1424</v>
      </c>
      <c r="D248" t="str">
        <f>VLOOKUP(ТабЗаказы[[#This Row],[client]],ТабКлиенты[[name]:[_id]],2,0)</f>
        <v>67f56eca575fff8fe23c7ab0</v>
      </c>
      <c r="E248">
        <f>IFERROR(IF(ТабЗаказы[[#This Row],[orderSumm]]&gt;10000,10,VLOOKUP(ТабЗаказы[[#This Row],[client]],ТабКлиенты[[name]:[percent]],MATCH(E$1,ТабКлиенты[#Headers],0),0)),"")</f>
        <v>15</v>
      </c>
      <c r="F248" s="18">
        <f>IFERROR(SUMIF(ТабПозиции[orderNum],ТабЗаказы[[#This Row],[orderNum]],ТабПозиции[orderSumm]),"")</f>
        <v>3445</v>
      </c>
      <c r="G248" s="18">
        <f>SUMIF(ТабПозиции[orderNum],ТабЗаказы[[#This Row],[orderNum]],ТабПозиции[deliverySumm])</f>
        <v>518</v>
      </c>
      <c r="H248" s="18">
        <f>SUMIF(ТабПозиции[orderNum],ТабЗаказы[[#This Row],[orderNum]],ТабПозиции[totalSumm])</f>
        <v>4562</v>
      </c>
      <c r="I248" s="18" t="str">
        <f>IFERROR(VLOOKUP(ТабЗаказы[[#This Row],[orderNum]],ТабПозиции[#Data],22,0),"")</f>
        <v>true</v>
      </c>
    </row>
    <row r="249" spans="1:9" x14ac:dyDescent="0.25">
      <c r="A249">
        <f t="shared" si="4"/>
        <v>248</v>
      </c>
      <c r="B249" s="1">
        <v>45548</v>
      </c>
      <c r="C249" t="s">
        <v>452</v>
      </c>
      <c r="D249" t="str">
        <f>VLOOKUP(ТабЗаказы[[#This Row],[client]],ТабКлиенты[[name]:[_id]],2,0)</f>
        <v>67f56eca575fff8fe23c7a98</v>
      </c>
      <c r="E249">
        <f>IFERROR(IF(ТабЗаказы[[#This Row],[orderSumm]]&gt;10000,10,VLOOKUP(ТабЗаказы[[#This Row],[client]],ТабКлиенты[[name]:[percent]],MATCH(E$1,ТабКлиенты[#Headers],0),0)),"")</f>
        <v>15</v>
      </c>
      <c r="F249" s="18">
        <f>IFERROR(SUMIF(ТабПозиции[orderNum],ТабЗаказы[[#This Row],[orderNum]],ТабПозиции[orderSumm]),"")</f>
        <v>204</v>
      </c>
      <c r="G249" s="18">
        <f>SUMIF(ТабПозиции[orderNum],ТабЗаказы[[#This Row],[orderNum]],ТабПозиции[deliverySumm])</f>
        <v>200</v>
      </c>
      <c r="H249" s="18">
        <f>SUMIF(ТабПозиции[orderNum],ТабЗаказы[[#This Row],[orderNum]],ТабПозиции[totalSumm])</f>
        <v>200</v>
      </c>
      <c r="I249" s="18" t="str">
        <f>IFERROR(VLOOKUP(ТабЗаказы[[#This Row],[orderNum]],ТабПозиции[#Data],22,0),"")</f>
        <v>true</v>
      </c>
    </row>
    <row r="250" spans="1:9" x14ac:dyDescent="0.25">
      <c r="A250">
        <f t="shared" si="4"/>
        <v>249</v>
      </c>
      <c r="B250" s="1">
        <v>45548</v>
      </c>
      <c r="C250" t="s">
        <v>485</v>
      </c>
      <c r="D250" t="str">
        <f>VLOOKUP(ТабЗаказы[[#This Row],[client]],ТабКлиенты[[name]:[_id]],2,0)</f>
        <v>67f56eca575fff8fe23c7aa1</v>
      </c>
      <c r="E250">
        <f>IFERROR(IF(ТабЗаказы[[#This Row],[orderSumm]]&gt;10000,10,VLOOKUP(ТабЗаказы[[#This Row],[client]],ТабКлиенты[[name]:[percent]],MATCH(E$1,ТабКлиенты[#Headers],0),0)),"")</f>
        <v>10</v>
      </c>
      <c r="F250" s="18">
        <f>IFERROR(SUMIF(ТабПозиции[orderNum],ТабЗаказы[[#This Row],[orderNum]],ТабПозиции[orderSumm]),"")</f>
        <v>17840</v>
      </c>
      <c r="G250" s="18">
        <f>SUMIF(ТабПозиции[orderNum],ТабЗаказы[[#This Row],[orderNum]],ТабПозиции[deliverySumm])</f>
        <v>1784</v>
      </c>
      <c r="H250" s="18">
        <f>SUMIF(ТабПозиции[orderNum],ТабЗаказы[[#This Row],[orderNum]],ТабПозиции[totalSumm])</f>
        <v>1784</v>
      </c>
      <c r="I250" s="18" t="str">
        <f>IFERROR(VLOOKUP(ТабЗаказы[[#This Row],[orderNum]],ТабПозиции[#Data],22,0),"")</f>
        <v>true</v>
      </c>
    </row>
    <row r="251" spans="1:9" x14ac:dyDescent="0.25">
      <c r="A251">
        <f t="shared" si="4"/>
        <v>250</v>
      </c>
      <c r="B251" s="1">
        <v>45548</v>
      </c>
      <c r="C251" t="s">
        <v>231</v>
      </c>
      <c r="D251" t="str">
        <f>VLOOKUP(ТабЗаказы[[#This Row],[client]],ТабКлиенты[[name]:[_id]],2,0)</f>
        <v>67f56eca575fff8fe23c7a59</v>
      </c>
      <c r="E251">
        <f>IFERROR(IF(ТабЗаказы[[#This Row],[orderSumm]]&gt;10000,10,VLOOKUP(ТабЗаказы[[#This Row],[client]],ТабКлиенты[[name]:[percent]],MATCH(E$1,ТабКлиенты[#Headers],0),0)),"")</f>
        <v>15</v>
      </c>
      <c r="F251" s="18">
        <f>IFERROR(SUMIF(ТабПозиции[orderNum],ТабЗаказы[[#This Row],[orderNum]],ТабПозиции[orderSumm]),"")</f>
        <v>2550</v>
      </c>
      <c r="G251" s="18">
        <f>SUMIF(ТабПозиции[orderNum],ТабЗаказы[[#This Row],[orderNum]],ТабПозиции[deliverySumm])</f>
        <v>382</v>
      </c>
      <c r="H251" s="18">
        <f>SUMIF(ТабПозиции[orderNum],ТабЗаказы[[#This Row],[orderNum]],ТабПозиции[totalSumm])</f>
        <v>2932</v>
      </c>
      <c r="I251" s="18" t="str">
        <f>IFERROR(VLOOKUP(ТабЗаказы[[#This Row],[orderNum]],ТабПозиции[#Data],22,0),"")</f>
        <v>true</v>
      </c>
    </row>
    <row r="252" spans="1:9" x14ac:dyDescent="0.25">
      <c r="A252">
        <f t="shared" si="4"/>
        <v>251</v>
      </c>
      <c r="B252" s="1">
        <v>45548</v>
      </c>
      <c r="C252" t="s">
        <v>108</v>
      </c>
      <c r="D252" t="str">
        <f>VLOOKUP(ТабЗаказы[[#This Row],[client]],ТабКлиенты[[name]:[_id]],2,0)</f>
        <v>67f56eca575fff8fe23c7a2e</v>
      </c>
      <c r="E252">
        <f>IFERROR(IF(ТабЗаказы[[#This Row],[orderSumm]]&gt;10000,10,VLOOKUP(ТабЗаказы[[#This Row],[client]],ТабКлиенты[[name]:[percent]],MATCH(E$1,ТабКлиенты[#Headers],0),0)),"")</f>
        <v>15</v>
      </c>
      <c r="F252" s="18">
        <f>IFERROR(SUMIF(ТабПозиции[orderNum],ТабЗаказы[[#This Row],[orderNum]],ТабПозиции[orderSumm]),"")</f>
        <v>4500</v>
      </c>
      <c r="G252" s="18">
        <f>SUMIF(ТабПозиции[orderNum],ТабЗаказы[[#This Row],[orderNum]],ТабПозиции[deliverySumm])</f>
        <v>675</v>
      </c>
      <c r="H252" s="18">
        <f>SUMIF(ТабПозиции[orderNum],ТабЗаказы[[#This Row],[orderNum]],ТабПозиции[totalSumm])</f>
        <v>5493</v>
      </c>
      <c r="I252" s="18" t="str">
        <f>IFERROR(VLOOKUP(ТабЗаказы[[#This Row],[orderNum]],ТабПозиции[#Data],22,0),"")</f>
        <v>true</v>
      </c>
    </row>
    <row r="253" spans="1:9" x14ac:dyDescent="0.25">
      <c r="A253">
        <f t="shared" si="4"/>
        <v>252</v>
      </c>
      <c r="B253" s="1">
        <v>45549</v>
      </c>
      <c r="C253" t="s">
        <v>33</v>
      </c>
      <c r="D253" t="str">
        <f>VLOOKUP(ТабЗаказы[[#This Row],[client]],ТабКлиенты[[name]:[_id]],2,0)</f>
        <v>67f56eca575fff8fe23c7a15</v>
      </c>
      <c r="E253">
        <f>IFERROR(IF(ТабЗаказы[[#This Row],[orderSumm]]&gt;10000,10,VLOOKUP(ТабЗаказы[[#This Row],[client]],ТабКлиенты[[name]:[percent]],MATCH(E$1,ТабКлиенты[#Headers],0),0)),"")</f>
        <v>15</v>
      </c>
      <c r="F253" s="18">
        <f>IFERROR(SUMIF(ТабПозиции[orderNum],ТабЗаказы[[#This Row],[orderNum]],ТабПозиции[orderSumm]),"")</f>
        <v>3185</v>
      </c>
      <c r="G253" s="18">
        <f>SUMIF(ТабПозиции[orderNum],ТабЗаказы[[#This Row],[orderNum]],ТабПозиции[deliverySumm])</f>
        <v>478</v>
      </c>
      <c r="H253" s="18">
        <f>SUMIF(ТабПозиции[orderNum],ТабЗаказы[[#This Row],[orderNum]],ТабПозиции[totalSumm])</f>
        <v>3663</v>
      </c>
      <c r="I253" s="18" t="str">
        <f>IFERROR(VLOOKUP(ТабЗаказы[[#This Row],[orderNum]],ТабПозиции[#Data],22,0),"")</f>
        <v>true</v>
      </c>
    </row>
    <row r="254" spans="1:9" x14ac:dyDescent="0.25">
      <c r="A254">
        <f t="shared" si="4"/>
        <v>253</v>
      </c>
      <c r="B254" s="1">
        <v>45549</v>
      </c>
      <c r="C254" t="s">
        <v>204</v>
      </c>
      <c r="D254" t="str">
        <f>VLOOKUP(ТабЗаказы[[#This Row],[client]],ТабКлиенты[[name]:[_id]],2,0)</f>
        <v>67f56eca575fff8fe23c7a50</v>
      </c>
      <c r="E254">
        <f>IFERROR(IF(ТабЗаказы[[#This Row],[orderSumm]]&gt;10000,10,VLOOKUP(ТабЗаказы[[#This Row],[client]],ТабКлиенты[[name]:[percent]],MATCH(E$1,ТабКлиенты[#Headers],0),0)),"")</f>
        <v>10</v>
      </c>
      <c r="F254" s="18">
        <f>IFERROR(SUMIF(ТабПозиции[orderNum],ТабЗаказы[[#This Row],[orderNum]],ТабПозиции[orderSumm]),"")</f>
        <v>3883</v>
      </c>
      <c r="G254" s="18">
        <f>SUMIF(ТабПозиции[orderNum],ТабЗаказы[[#This Row],[orderNum]],ТабПозиции[deliverySumm])</f>
        <v>391</v>
      </c>
      <c r="H254" s="18">
        <f>SUMIF(ТабПозиции[orderNum],ТабЗаказы[[#This Row],[orderNum]],ТабПозиции[totalSumm])</f>
        <v>4274</v>
      </c>
      <c r="I254" s="18" t="str">
        <f>IFERROR(VLOOKUP(ТабЗаказы[[#This Row],[orderNum]],ТабПозиции[#Data],22,0),"")</f>
        <v>true</v>
      </c>
    </row>
    <row r="255" spans="1:9" x14ac:dyDescent="0.25">
      <c r="A255">
        <f t="shared" si="4"/>
        <v>254</v>
      </c>
      <c r="B255" s="1">
        <v>45551</v>
      </c>
      <c r="C255" t="s">
        <v>123</v>
      </c>
      <c r="D255" t="str">
        <f>VLOOKUP(ТабЗаказы[[#This Row],[client]],ТабКлиенты[[name]:[_id]],2,0)</f>
        <v>67f56eca575fff8fe23c7a32</v>
      </c>
      <c r="E255">
        <f>IFERROR(IF(ТабЗаказы[[#This Row],[orderSumm]]&gt;10000,10,VLOOKUP(ТабЗаказы[[#This Row],[client]],ТабКлиенты[[name]:[percent]],MATCH(E$1,ТабКлиенты[#Headers],0),0)),"")</f>
        <v>15</v>
      </c>
      <c r="F255" s="18">
        <f>IFERROR(SUMIF(ТабПозиции[orderNum],ТабЗаказы[[#This Row],[orderNum]],ТабПозиции[orderSumm]),"")</f>
        <v>1005</v>
      </c>
      <c r="G255" s="18">
        <f>SUMIF(ТабПозиции[orderNum],ТабЗаказы[[#This Row],[orderNum]],ТабПозиции[deliverySumm])</f>
        <v>200</v>
      </c>
      <c r="H255" s="18">
        <f>SUMIF(ТабПозиции[orderNum],ТабЗаказы[[#This Row],[orderNum]],ТабПозиции[totalSumm])</f>
        <v>1205</v>
      </c>
      <c r="I255" s="18" t="str">
        <f>IFERROR(VLOOKUP(ТабЗаказы[[#This Row],[orderNum]],ТабПозиции[#Data],22,0),"")</f>
        <v>true</v>
      </c>
    </row>
    <row r="256" spans="1:9" x14ac:dyDescent="0.25">
      <c r="A256">
        <f t="shared" si="4"/>
        <v>255</v>
      </c>
      <c r="B256" s="1">
        <v>45551</v>
      </c>
      <c r="C256" t="s">
        <v>1463</v>
      </c>
      <c r="D256" t="str">
        <f>VLOOKUP(ТабЗаказы[[#This Row],[client]],ТабКлиенты[[name]:[_id]],2,0)</f>
        <v>67f56eca575fff8fe23c7ab6</v>
      </c>
      <c r="E256">
        <f>IFERROR(IF(ТабЗаказы[[#This Row],[orderSumm]]&gt;10000,10,VLOOKUP(ТабЗаказы[[#This Row],[client]],ТабКлиенты[[name]:[percent]],MATCH(E$1,ТабКлиенты[#Headers],0),0)),"")</f>
        <v>15</v>
      </c>
      <c r="F256" s="18">
        <f>IFERROR(SUMIF(ТабПозиции[orderNum],ТабЗаказы[[#This Row],[orderNum]],ТабПозиции[orderSumm]),"")</f>
        <v>9453</v>
      </c>
      <c r="G256" s="18">
        <f>SUMIF(ТабПозиции[orderNum],ТабЗаказы[[#This Row],[orderNum]],ТабПозиции[deliverySumm])</f>
        <v>1418</v>
      </c>
      <c r="H256" s="18">
        <f>SUMIF(ТабПозиции[orderNum],ТабЗаказы[[#This Row],[orderNum]],ТабПозиции[totalSumm])</f>
        <v>10871</v>
      </c>
      <c r="I256" s="18" t="str">
        <f>IFERROR(VLOOKUP(ТабЗаказы[[#This Row],[orderNum]],ТабПозиции[#Data],22,0),"")</f>
        <v>true</v>
      </c>
    </row>
    <row r="257" spans="1:9" x14ac:dyDescent="0.25">
      <c r="A257">
        <f t="shared" si="4"/>
        <v>256</v>
      </c>
      <c r="B257" s="1">
        <v>45552</v>
      </c>
      <c r="C257" t="s">
        <v>104</v>
      </c>
      <c r="D257" t="str">
        <f>VLOOKUP(ТабЗаказы[[#This Row],[client]],ТабКлиенты[[name]:[_id]],2,0)</f>
        <v>67f56eca575fff8fe23c7a2d</v>
      </c>
      <c r="E257">
        <f>IFERROR(IF(ТабЗаказы[[#This Row],[orderSumm]]&gt;10000,10,VLOOKUP(ТабЗаказы[[#This Row],[client]],ТабКлиенты[[name]:[percent]],MATCH(E$1,ТабКлиенты[#Headers],0),0)),"")</f>
        <v>10</v>
      </c>
      <c r="F257" s="18">
        <f>IFERROR(SUMIF(ТабПозиции[orderNum],ТабЗаказы[[#This Row],[orderNum]],ТабПозиции[orderSumm]),"")</f>
        <v>60267</v>
      </c>
      <c r="G257" s="18">
        <f>SUMIF(ТабПозиции[orderNum],ТабЗаказы[[#This Row],[orderNum]],ТабПозиции[deliverySumm])</f>
        <v>6027</v>
      </c>
      <c r="H257" s="18">
        <f>SUMIF(ТабПозиции[orderNum],ТабЗаказы[[#This Row],[orderNum]],ТабПозиции[totalSumm])</f>
        <v>6869</v>
      </c>
      <c r="I257" s="18" t="str">
        <f>IFERROR(VLOOKUP(ТабЗаказы[[#This Row],[orderNum]],ТабПозиции[#Data],22,0),"")</f>
        <v>true</v>
      </c>
    </row>
    <row r="258" spans="1:9" x14ac:dyDescent="0.25">
      <c r="A258">
        <f t="shared" si="4"/>
        <v>257</v>
      </c>
      <c r="B258" s="1">
        <v>45552</v>
      </c>
      <c r="C258" t="s">
        <v>295</v>
      </c>
      <c r="D258" t="str">
        <f>VLOOKUP(ТабЗаказы[[#This Row],[client]],ТабКлиенты[[name]:[_id]],2,0)</f>
        <v>67f56eca575fff8fe23c7a6b</v>
      </c>
      <c r="E258">
        <f>IFERROR(IF(ТабЗаказы[[#This Row],[orderSumm]]&gt;10000,10,VLOOKUP(ТабЗаказы[[#This Row],[client]],ТабКлиенты[[name]:[percent]],MATCH(E$1,ТабКлиенты[#Headers],0),0)),"")</f>
        <v>10</v>
      </c>
      <c r="F258" s="18">
        <f>IFERROR(SUMIF(ТабПозиции[orderNum],ТабЗаказы[[#This Row],[orderNum]],ТабПозиции[orderSumm]),"")</f>
        <v>13952</v>
      </c>
      <c r="G258" s="18">
        <f>SUMIF(ТабПозиции[orderNum],ТабЗаказы[[#This Row],[orderNum]],ТабПозиции[deliverySumm])</f>
        <v>1395</v>
      </c>
      <c r="H258" s="18">
        <f>SUMIF(ТабПозиции[orderNum],ТабЗаказы[[#This Row],[orderNum]],ТабПозиции[totalSumm])</f>
        <v>2152.5200000000004</v>
      </c>
      <c r="I258" s="18" t="str">
        <f>IFERROR(VLOOKUP(ТабЗаказы[[#This Row],[orderNum]],ТабПозиции[#Data],22,0),"")</f>
        <v>true</v>
      </c>
    </row>
    <row r="259" spans="1:9" x14ac:dyDescent="0.25">
      <c r="A259">
        <f t="shared" si="4"/>
        <v>258</v>
      </c>
      <c r="B259" s="1">
        <v>45554</v>
      </c>
      <c r="C259" t="s">
        <v>1482</v>
      </c>
      <c r="D259" t="str">
        <f>VLOOKUP(ТабЗаказы[[#This Row],[client]],ТабКлиенты[[name]:[_id]],2,0)</f>
        <v>67f56eca575fff8fe23c7ab7</v>
      </c>
      <c r="E259">
        <f>IFERROR(IF(ТабЗаказы[[#This Row],[orderSumm]]&gt;10000,10,VLOOKUP(ТабЗаказы[[#This Row],[client]],ТабКлиенты[[name]:[percent]],MATCH(E$1,ТабКлиенты[#Headers],0),0)),"")</f>
        <v>15</v>
      </c>
      <c r="F259" s="18">
        <f>IFERROR(SUMIF(ТабПозиции[orderNum],ТабЗаказы[[#This Row],[orderNum]],ТабПозиции[orderSumm]),"")</f>
        <v>6087</v>
      </c>
      <c r="G259" s="18">
        <f>SUMIF(ТабПозиции[orderNum],ТабЗаказы[[#This Row],[orderNum]],ТабПозиции[deliverySumm])</f>
        <v>913</v>
      </c>
      <c r="H259" s="18">
        <f>SUMIF(ТабПозиции[orderNum],ТабЗаказы[[#This Row],[orderNum]],ТабПозиции[totalSumm])</f>
        <v>7000</v>
      </c>
      <c r="I259" s="18" t="str">
        <f>IFERROR(VLOOKUP(ТабЗаказы[[#This Row],[orderNum]],ТабПозиции[#Data],22,0),"")</f>
        <v>true</v>
      </c>
    </row>
    <row r="260" spans="1:9" x14ac:dyDescent="0.25">
      <c r="A260">
        <f t="shared" si="4"/>
        <v>259</v>
      </c>
      <c r="B260" s="1">
        <v>45555</v>
      </c>
      <c r="C260" t="s">
        <v>456</v>
      </c>
      <c r="D260" t="str">
        <f>VLOOKUP(ТабЗаказы[[#This Row],[client]],ТабКлиенты[[name]:[_id]],2,0)</f>
        <v>67f56eca575fff8fe23c7a99</v>
      </c>
      <c r="E260">
        <f>IFERROR(IF(ТабЗаказы[[#This Row],[orderSumm]]&gt;10000,10,VLOOKUP(ТабЗаказы[[#This Row],[client]],ТабКлиенты[[name]:[percent]],MATCH(E$1,ТабКлиенты[#Headers],0),0)),"")</f>
        <v>15</v>
      </c>
      <c r="F260" s="18">
        <f>IFERROR(SUMIF(ТабПозиции[orderNum],ТабЗаказы[[#This Row],[orderNum]],ТабПозиции[orderSumm]),"")</f>
        <v>4792</v>
      </c>
      <c r="G260" s="18">
        <f>SUMIF(ТабПозиции[orderNum],ТабЗаказы[[#This Row],[orderNum]],ТабПозиции[deliverySumm])</f>
        <v>719</v>
      </c>
      <c r="H260" s="18">
        <f>SUMIF(ТабПозиции[orderNum],ТабЗаказы[[#This Row],[orderNum]],ТабПозиции[totalSumm])</f>
        <v>719</v>
      </c>
      <c r="I260" s="18" t="str">
        <f>IFERROR(VLOOKUP(ТабЗаказы[[#This Row],[orderNum]],ТабПозиции[#Data],22,0),"")</f>
        <v>true</v>
      </c>
    </row>
    <row r="261" spans="1:9" x14ac:dyDescent="0.25">
      <c r="A261">
        <f t="shared" ref="A261:A267" si="5">A260+1</f>
        <v>260</v>
      </c>
      <c r="B261" s="1">
        <v>45555</v>
      </c>
      <c r="C261" t="s">
        <v>1488</v>
      </c>
      <c r="D261" t="str">
        <f>VLOOKUP(ТабЗаказы[[#This Row],[client]],ТабКлиенты[[name]:[_id]],2,0)</f>
        <v>67f56eca575fff8fe23c7ab8</v>
      </c>
      <c r="E261">
        <f>IFERROR(IF(ТабЗаказы[[#This Row],[orderSumm]]&gt;10000,10,VLOOKUP(ТабЗаказы[[#This Row],[client]],ТабКлиенты[[name]:[percent]],MATCH(E$1,ТабКлиенты[#Headers],0),0)),"")</f>
        <v>10</v>
      </c>
      <c r="F261" s="18">
        <f>IFERROR(SUMIF(ТабПозиции[orderNum],ТабЗаказы[[#This Row],[orderNum]],ТабПозиции[orderSumm]),"")</f>
        <v>11179</v>
      </c>
      <c r="G261" s="18">
        <f>SUMIF(ТабПозиции[orderNum],ТабЗаказы[[#This Row],[orderNum]],ТабПозиции[deliverySumm])</f>
        <v>1118</v>
      </c>
      <c r="H261" s="18">
        <f>SUMIF(ТабПозиции[orderNum],ТабЗаказы[[#This Row],[orderNum]],ТабПозиции[totalSumm])</f>
        <v>1118</v>
      </c>
      <c r="I261" s="18" t="str">
        <f>IFERROR(VLOOKUP(ТабЗаказы[[#This Row],[orderNum]],ТабПозиции[#Data],22,0),"")</f>
        <v>true</v>
      </c>
    </row>
    <row r="262" spans="1:9" x14ac:dyDescent="0.25">
      <c r="A262">
        <f t="shared" si="5"/>
        <v>261</v>
      </c>
      <c r="B262" s="1">
        <v>45556</v>
      </c>
      <c r="C262" t="s">
        <v>231</v>
      </c>
      <c r="D262" t="str">
        <f>VLOOKUP(ТабЗаказы[[#This Row],[client]],ТабКлиенты[[name]:[_id]],2,0)</f>
        <v>67f56eca575fff8fe23c7a59</v>
      </c>
      <c r="E262">
        <f>IFERROR(IF(ТабЗаказы[[#This Row],[orderSumm]]&gt;10000,10,VLOOKUP(ТабЗаказы[[#This Row],[client]],ТабКлиенты[[name]:[percent]],MATCH(E$1,ТабКлиенты[#Headers],0),0)),"")</f>
        <v>15</v>
      </c>
      <c r="F262" s="18">
        <f>IFERROR(SUMIF(ТабПозиции[orderNum],ТабЗаказы[[#This Row],[orderNum]],ТабПозиции[orderSumm]),"")</f>
        <v>2422</v>
      </c>
      <c r="G262" s="18">
        <f>SUMIF(ТабПозиции[orderNum],ТабЗаказы[[#This Row],[orderNum]],ТабПозиции[deliverySumm])</f>
        <v>364</v>
      </c>
      <c r="H262" s="18">
        <f>SUMIF(ТабПозиции[orderNum],ТабЗаказы[[#This Row],[orderNum]],ТабПозиции[totalSumm])</f>
        <v>2786</v>
      </c>
      <c r="I262" s="18" t="str">
        <f>IFERROR(VLOOKUP(ТабЗаказы[[#This Row],[orderNum]],ТабПозиции[#Data],22,0),"")</f>
        <v>true</v>
      </c>
    </row>
    <row r="263" spans="1:9" x14ac:dyDescent="0.25">
      <c r="A263">
        <f t="shared" si="5"/>
        <v>262</v>
      </c>
      <c r="B263" s="1">
        <v>45663</v>
      </c>
      <c r="C263" t="s">
        <v>445</v>
      </c>
      <c r="D263" t="str">
        <f>VLOOKUP(ТабЗаказы[[#This Row],[client]],ТабКлиенты[[name]:[_id]],2,0)</f>
        <v>67f56eca575fff8fe23c7a96</v>
      </c>
      <c r="E263">
        <f>IFERROR(IF(ТабЗаказы[[#This Row],[orderSumm]]&gt;10000,10,VLOOKUP(ТабЗаказы[[#This Row],[client]],ТабКлиенты[[name]:[percent]],MATCH(E$1,ТабКлиенты[#Headers],0),0)),"")</f>
        <v>15</v>
      </c>
      <c r="F263" s="18">
        <f>IFERROR(SUMIF(ТабПозиции[orderNum],ТабЗаказы[[#This Row],[orderNum]],ТабПозиции[orderSumm]),"")</f>
        <v>7524</v>
      </c>
      <c r="G263" s="18">
        <f>SUMIF(ТабПозиции[orderNum],ТабЗаказы[[#This Row],[orderNum]],ТабПозиции[deliverySumm])</f>
        <v>1129</v>
      </c>
      <c r="H263" s="18">
        <f>SUMIF(ТабПозиции[orderNum],ТабЗаказы[[#This Row],[orderNum]],ТабПозиции[totalSumm])</f>
        <v>8653</v>
      </c>
      <c r="I263" s="18" t="str">
        <f>IFERROR(VLOOKUP(ТабЗаказы[[#This Row],[orderNum]],ТабПозиции[#Data],22,0),"")</f>
        <v>true</v>
      </c>
    </row>
    <row r="264" spans="1:9" x14ac:dyDescent="0.25">
      <c r="A264">
        <f t="shared" si="5"/>
        <v>263</v>
      </c>
      <c r="B264" s="1">
        <v>45560</v>
      </c>
      <c r="C264" t="s">
        <v>204</v>
      </c>
      <c r="D264" t="str">
        <f>VLOOKUP(ТабЗаказы[[#This Row],[client]],ТабКлиенты[[name]:[_id]],2,0)</f>
        <v>67f56eca575fff8fe23c7a50</v>
      </c>
      <c r="E264">
        <f>IFERROR(IF(ТабЗаказы[[#This Row],[orderSumm]]&gt;10000,10,VLOOKUP(ТабЗаказы[[#This Row],[client]],ТабКлиенты[[name]:[percent]],MATCH(E$1,ТабКлиенты[#Headers],0),0)),"")</f>
        <v>10</v>
      </c>
      <c r="F264" s="18">
        <f>IFERROR(SUMIF(ТабПозиции[orderNum],ТабЗаказы[[#This Row],[orderNum]],ТабПозиции[orderSumm]),"")</f>
        <v>2027</v>
      </c>
      <c r="G264" s="18">
        <f>SUMIF(ТабПозиции[orderNum],ТабЗаказы[[#This Row],[orderNum]],ТабПозиции[deliverySumm])</f>
        <v>203</v>
      </c>
      <c r="H264" s="18">
        <f>SUMIF(ТабПозиции[orderNum],ТабЗаказы[[#This Row],[orderNum]],ТабПозиции[totalSumm])</f>
        <v>2277</v>
      </c>
      <c r="I264" s="18" t="str">
        <f>IFERROR(VLOOKUP(ТабЗаказы[[#This Row],[orderNum]],ТабПозиции[#Data],22,0),"")</f>
        <v>true</v>
      </c>
    </row>
    <row r="265" spans="1:9" x14ac:dyDescent="0.25">
      <c r="A265">
        <f t="shared" si="5"/>
        <v>264</v>
      </c>
      <c r="B265" s="1">
        <v>45560</v>
      </c>
      <c r="C265" t="s">
        <v>112</v>
      </c>
      <c r="D265" t="str">
        <f>VLOOKUP(ТабЗаказы[[#This Row],[client]],ТабКлиенты[[name]:[_id]],2,0)</f>
        <v>67f56eca575fff8fe23c7a2f</v>
      </c>
      <c r="E265">
        <f>IFERROR(IF(ТабЗаказы[[#This Row],[orderSumm]]&gt;10000,10,VLOOKUP(ТабЗаказы[[#This Row],[client]],ТабКлиенты[[name]:[percent]],MATCH(E$1,ТабКлиенты[#Headers],0),0)),"")</f>
        <v>15</v>
      </c>
      <c r="F265" s="18">
        <f>IFERROR(SUMIF(ТабПозиции[orderNum],ТабЗаказы[[#This Row],[orderNum]],ТабПозиции[orderSumm]),"")</f>
        <v>6900</v>
      </c>
      <c r="G265" s="18">
        <f>SUMIF(ТабПозиции[orderNum],ТабЗаказы[[#This Row],[orderNum]],ТабПозиции[deliverySumm])</f>
        <v>1035</v>
      </c>
      <c r="H265" s="18">
        <f>SUMIF(ТабПозиции[orderNum],ТабЗаказы[[#This Row],[orderNum]],ТабПозиции[totalSumm])</f>
        <v>8104</v>
      </c>
      <c r="I265" s="18" t="str">
        <f>IFERROR(VLOOKUP(ТабЗаказы[[#This Row],[orderNum]],ТабПозиции[#Data],22,0),"")</f>
        <v>true</v>
      </c>
    </row>
    <row r="266" spans="1:9" x14ac:dyDescent="0.25">
      <c r="A266">
        <f t="shared" si="5"/>
        <v>265</v>
      </c>
      <c r="B266" s="1">
        <v>45562</v>
      </c>
      <c r="C266" t="s">
        <v>1509</v>
      </c>
      <c r="D266" t="str">
        <f>VLOOKUP(ТабЗаказы[[#This Row],[client]],ТабКлиенты[[name]:[_id]],2,0)</f>
        <v>67f56eca575fff8fe23c7aba</v>
      </c>
      <c r="E266">
        <f>IFERROR(IF(ТабЗаказы[[#This Row],[orderSumm]]&gt;10000,10,VLOOKUP(ТабЗаказы[[#This Row],[client]],ТабКлиенты[[name]:[percent]],MATCH(E$1,ТабКлиенты[#Headers],0),0)),"")</f>
        <v>15</v>
      </c>
      <c r="F266" s="18">
        <f>IFERROR(SUMIF(ТабПозиции[orderNum],ТабЗаказы[[#This Row],[orderNum]],ТабПозиции[orderSumm]),"")</f>
        <v>1240</v>
      </c>
      <c r="G266" s="18">
        <f>SUMIF(ТабПозиции[orderNum],ТабЗаказы[[#This Row],[orderNum]],ТабПозиции[deliverySumm])</f>
        <v>200</v>
      </c>
      <c r="H266" s="18">
        <f>SUMIF(ТабПозиции[orderNum],ТабЗаказы[[#This Row],[orderNum]],ТабПозиции[totalSumm])</f>
        <v>200</v>
      </c>
      <c r="I266" s="18" t="str">
        <f>IFERROR(VLOOKUP(ТабЗаказы[[#This Row],[orderNum]],ТабПозиции[#Data],22,0),"")</f>
        <v>true</v>
      </c>
    </row>
    <row r="267" spans="1:9" x14ac:dyDescent="0.25">
      <c r="A267">
        <f t="shared" si="5"/>
        <v>266</v>
      </c>
      <c r="B267" s="1">
        <v>45562</v>
      </c>
      <c r="C267" t="s">
        <v>485</v>
      </c>
      <c r="D267" t="str">
        <f>VLOOKUP(ТабЗаказы[[#This Row],[client]],ТабКлиенты[[name]:[_id]],2,0)</f>
        <v>67f56eca575fff8fe23c7aa1</v>
      </c>
      <c r="E267">
        <f>IFERROR(IF(ТабЗаказы[[#This Row],[orderSumm]]&gt;10000,10,VLOOKUP(ТабЗаказы[[#This Row],[client]],ТабКлиенты[[name]:[percent]],MATCH(E$1,ТабКлиенты[#Headers],0),0)),"")</f>
        <v>15</v>
      </c>
      <c r="F267" s="18">
        <f>IFERROR(SUMIF(ТабПозиции[orderNum],ТабЗаказы[[#This Row],[orderNum]],ТабПозиции[orderSumm]),"")</f>
        <v>525</v>
      </c>
      <c r="G267" s="18">
        <f>SUMIF(ТабПозиции[orderNum],ТабЗаказы[[#This Row],[orderNum]],ТабПозиции[deliverySumm])</f>
        <v>200</v>
      </c>
      <c r="H267" s="18">
        <f>SUMIF(ТабПозиции[orderNum],ТабЗаказы[[#This Row],[orderNum]],ТабПозиции[totalSumm])</f>
        <v>400</v>
      </c>
      <c r="I267" s="18" t="str">
        <f>IFERROR(VLOOKUP(ТабЗаказы[[#This Row],[orderNum]],ТабПозиции[#Data],22,0),"")</f>
        <v>true</v>
      </c>
    </row>
    <row r="268" spans="1:9" x14ac:dyDescent="0.25">
      <c r="A268">
        <f t="shared" ref="A268:A331" si="6">A267+1</f>
        <v>267</v>
      </c>
      <c r="B268" s="1">
        <v>45580</v>
      </c>
      <c r="C268" t="s">
        <v>204</v>
      </c>
      <c r="D268" t="str">
        <f>VLOOKUP(ТабЗаказы[[#This Row],[client]],ТабКлиенты[[name]:[_id]],2,0)</f>
        <v>67f56eca575fff8fe23c7a50</v>
      </c>
      <c r="E268">
        <f>IFERROR(IF(ТабЗаказы[[#This Row],[orderSumm]]&gt;10000,10,VLOOKUP(ТабЗаказы[[#This Row],[client]],ТабКлиенты[[name]:[percent]],MATCH(E$1,ТабКлиенты[#Headers],0),0)),"")</f>
        <v>10</v>
      </c>
      <c r="F268" s="18">
        <f>IFERROR(SUMIF(ТабПозиции[orderNum],ТабЗаказы[[#This Row],[orderNum]],ТабПозиции[orderSumm]),"")</f>
        <v>3077</v>
      </c>
      <c r="G268" s="18">
        <f>SUMIF(ТабПозиции[orderNum],ТабЗаказы[[#This Row],[orderNum]],ТабПозиции[deliverySumm])</f>
        <v>308</v>
      </c>
      <c r="H268" s="18">
        <f>SUMIF(ТабПозиции[orderNum],ТабЗаказы[[#This Row],[orderNum]],ТабПозиции[totalSumm])</f>
        <v>3385</v>
      </c>
      <c r="I268" s="18" t="str">
        <f>IFERROR(VLOOKUP(ТабЗаказы[[#This Row],[orderNum]],ТабПозиции[#Data],22,0),"")</f>
        <v>true</v>
      </c>
    </row>
    <row r="269" spans="1:9" x14ac:dyDescent="0.25">
      <c r="A269">
        <f t="shared" si="6"/>
        <v>268</v>
      </c>
      <c r="B269" s="1">
        <v>45562</v>
      </c>
      <c r="C269" t="s">
        <v>97</v>
      </c>
      <c r="D269" t="str">
        <f>VLOOKUP(ТабЗаказы[[#This Row],[client]],ТабКлиенты[[name]:[_id]],2,0)</f>
        <v>67f56eca575fff8fe23c7a2a</v>
      </c>
      <c r="E269">
        <f>IFERROR(IF(ТабЗаказы[[#This Row],[orderSumm]]&gt;10000,10,VLOOKUP(ТабЗаказы[[#This Row],[client]],ТабКлиенты[[name]:[percent]],MATCH(E$1,ТабКлиенты[#Headers],0),0)),"")</f>
        <v>10</v>
      </c>
      <c r="F269" s="18">
        <f>IFERROR(SUMIF(ТабПозиции[orderNum],ТабЗаказы[[#This Row],[orderNum]],ТабПозиции[orderSumm]),"")</f>
        <v>2674</v>
      </c>
      <c r="G269" s="18">
        <f>SUMIF(ТабПозиции[orderNum],ТабЗаказы[[#This Row],[orderNum]],ТабПозиции[deliverySumm])</f>
        <v>267</v>
      </c>
      <c r="H269" s="18">
        <f>SUMIF(ТабПозиции[orderNum],ТабЗаказы[[#This Row],[orderNum]],ТабПозиции[totalSumm])</f>
        <v>267</v>
      </c>
      <c r="I269" s="18" t="str">
        <f>IFERROR(VLOOKUP(ТабЗаказы[[#This Row],[orderNum]],ТабПозиции[#Data],22,0),"")</f>
        <v>true</v>
      </c>
    </row>
    <row r="270" spans="1:9" x14ac:dyDescent="0.25">
      <c r="A270">
        <f t="shared" si="6"/>
        <v>269</v>
      </c>
      <c r="B270" s="1">
        <v>45562</v>
      </c>
      <c r="C270" t="s">
        <v>456</v>
      </c>
      <c r="D270" t="str">
        <f>VLOOKUP(ТабЗаказы[[#This Row],[client]],ТабКлиенты[[name]:[_id]],2,0)</f>
        <v>67f56eca575fff8fe23c7a99</v>
      </c>
      <c r="E270">
        <f>IFERROR(IF(ТабЗаказы[[#This Row],[orderSumm]]&gt;10000,10,VLOOKUP(ТабЗаказы[[#This Row],[client]],ТабКлиенты[[name]:[percent]],MATCH(E$1,ТабКлиенты[#Headers],0),0)),"")</f>
        <v>15</v>
      </c>
      <c r="F270" s="18">
        <f>IFERROR(SUMIF(ТабПозиции[orderNum],ТабЗаказы[[#This Row],[orderNum]],ТабПозиции[orderSumm]),"")</f>
        <v>4428</v>
      </c>
      <c r="G270" s="18">
        <f>SUMIF(ТабПозиции[orderNum],ТабЗаказы[[#This Row],[orderNum]],ТабПозиции[deliverySumm])</f>
        <v>664</v>
      </c>
      <c r="H270" s="18">
        <f>SUMIF(ТабПозиции[orderNum],ТабЗаказы[[#This Row],[orderNum]],ТабПозиции[totalSumm])</f>
        <v>664</v>
      </c>
      <c r="I270" s="18" t="str">
        <f>IFERROR(VLOOKUP(ТабЗаказы[[#This Row],[orderNum]],ТабПозиции[#Data],22,0),"")</f>
        <v>true</v>
      </c>
    </row>
    <row r="271" spans="1:9" x14ac:dyDescent="0.25">
      <c r="A271">
        <f t="shared" si="6"/>
        <v>270</v>
      </c>
      <c r="B271" s="1">
        <v>45563</v>
      </c>
      <c r="C271" t="s">
        <v>1523</v>
      </c>
      <c r="D271" t="str">
        <f>VLOOKUP(ТабЗаказы[[#This Row],[client]],ТабКлиенты[[name]:[_id]],2,0)</f>
        <v>67f56eca575fff8fe23c7abb</v>
      </c>
      <c r="E271">
        <v>15</v>
      </c>
      <c r="F271" s="18">
        <f>IFERROR(SUMIF(ТабПозиции[orderNum],ТабЗаказы[[#This Row],[orderNum]],ТабПозиции[orderSumm]),"")</f>
        <v>3248</v>
      </c>
      <c r="G271" s="18">
        <f>SUMIF(ТабПозиции[orderNum],ТабЗаказы[[#This Row],[orderNum]],ТабПозиции[deliverySumm])</f>
        <v>488</v>
      </c>
      <c r="H271" s="18">
        <f>SUMIF(ТабПозиции[orderNum],ТабЗаказы[[#This Row],[orderNum]],ТабПозиции[totalSumm])</f>
        <v>3736</v>
      </c>
      <c r="I271" s="18" t="str">
        <f>IFERROR(VLOOKUP(ТабЗаказы[[#This Row],[orderNum]],ТабПозиции[#Data],22,0),"")</f>
        <v>true</v>
      </c>
    </row>
    <row r="272" spans="1:9" x14ac:dyDescent="0.25">
      <c r="A272">
        <f t="shared" si="6"/>
        <v>271</v>
      </c>
      <c r="B272" s="1">
        <v>45565</v>
      </c>
      <c r="C272" t="s">
        <v>231</v>
      </c>
      <c r="D272" t="str">
        <f>VLOOKUP(ТабЗаказы[[#This Row],[client]],ТабКлиенты[[name]:[_id]],2,0)</f>
        <v>67f56eca575fff8fe23c7a59</v>
      </c>
      <c r="E272">
        <f>IFERROR(IF(ТабЗаказы[[#This Row],[orderSumm]]&gt;10000,10,VLOOKUP(ТабЗаказы[[#This Row],[client]],ТабКлиенты[[name]:[percent]],MATCH(E$1,ТабКлиенты[#Headers],0),0)),"")</f>
        <v>15</v>
      </c>
      <c r="F272" s="18">
        <f>IFERROR(SUMIF(ТабПозиции[orderNum],ТабЗаказы[[#This Row],[orderNum]],ТабПозиции[orderSumm]),"")</f>
        <v>2039</v>
      </c>
      <c r="G272" s="18">
        <f>SUMIF(ТабПозиции[orderNum],ТабЗаказы[[#This Row],[orderNum]],ТабПозиции[deliverySumm])</f>
        <v>306</v>
      </c>
      <c r="H272" s="18">
        <f>SUMIF(ТабПозиции[orderNum],ТабЗаказы[[#This Row],[orderNum]],ТабПозиции[totalSumm])</f>
        <v>2345</v>
      </c>
      <c r="I272" s="18" t="str">
        <f>IFERROR(VLOOKUP(ТабЗаказы[[#This Row],[orderNum]],ТабПозиции[#Data],22,0),"")</f>
        <v>true</v>
      </c>
    </row>
    <row r="273" spans="1:9" x14ac:dyDescent="0.25">
      <c r="A273">
        <f t="shared" si="6"/>
        <v>272</v>
      </c>
      <c r="B273" s="1">
        <v>45565</v>
      </c>
      <c r="C273" t="s">
        <v>33</v>
      </c>
      <c r="D273" t="str">
        <f>VLOOKUP(ТабЗаказы[[#This Row],[client]],ТабКлиенты[[name]:[_id]],2,0)</f>
        <v>67f56eca575fff8fe23c7a15</v>
      </c>
      <c r="E273">
        <f>IFERROR(IF(ТабЗаказы[[#This Row],[orderSumm]]&gt;10000,10,VLOOKUP(ТабЗаказы[[#This Row],[client]],ТабКлиенты[[name]:[percent]],MATCH(E$1,ТабКлиенты[#Headers],0),0)),"")</f>
        <v>10</v>
      </c>
      <c r="F273" s="18">
        <f>IFERROR(SUMIF(ТабПозиции[orderNum],ТабЗаказы[[#This Row],[orderNum]],ТабПозиции[orderSumm]),"")</f>
        <v>17414</v>
      </c>
      <c r="G273" s="18">
        <f>SUMIF(ТабПозиции[orderNum],ТабЗаказы[[#This Row],[orderNum]],ТабПозиции[deliverySumm])</f>
        <v>1742</v>
      </c>
      <c r="H273" s="18">
        <f>SUMIF(ТабПозиции[orderNum],ТабЗаказы[[#This Row],[orderNum]],ТабПозиции[totalSumm])</f>
        <v>20002</v>
      </c>
      <c r="I273" s="18" t="str">
        <f>IFERROR(VLOOKUP(ТабЗаказы[[#This Row],[orderNum]],ТабПозиции[#Data],22,0),"")</f>
        <v>true</v>
      </c>
    </row>
    <row r="274" spans="1:9" x14ac:dyDescent="0.25">
      <c r="A274">
        <f t="shared" si="6"/>
        <v>273</v>
      </c>
      <c r="B274" s="1">
        <v>45568</v>
      </c>
      <c r="C274" t="s">
        <v>357</v>
      </c>
      <c r="D274" t="str">
        <f>VLOOKUP(ТабЗаказы[[#This Row],[client]],ТабКлиенты[[name]:[_id]],2,0)</f>
        <v>67f56eca575fff8fe23c7a7d</v>
      </c>
      <c r="E274">
        <f>IFERROR(IF(ТабЗаказы[[#This Row],[orderSumm]]&gt;10000,10,VLOOKUP(ТабЗаказы[[#This Row],[client]],ТабКлиенты[[name]:[percent]],MATCH(E$1,ТабКлиенты[#Headers],0),0)),"")</f>
        <v>15</v>
      </c>
      <c r="F274" s="18">
        <f>IFERROR(SUMIF(ТабПозиции[orderNum],ТабЗаказы[[#This Row],[orderNum]],ТабПозиции[orderSumm]),"")</f>
        <v>5477</v>
      </c>
      <c r="G274" s="18">
        <f>SUMIF(ТабПозиции[orderNum],ТабЗаказы[[#This Row],[orderNum]],ТабПозиции[deliverySumm])</f>
        <v>822</v>
      </c>
      <c r="H274" s="18">
        <f>SUMIF(ТабПозиции[orderNum],ТабЗаказы[[#This Row],[orderNum]],ТабПозиции[totalSumm])</f>
        <v>6299</v>
      </c>
      <c r="I274" s="18" t="str">
        <f>IFERROR(VLOOKUP(ТабЗаказы[[#This Row],[orderNum]],ТабПозиции[#Data],22,0),"")</f>
        <v>true</v>
      </c>
    </row>
    <row r="275" spans="1:9" x14ac:dyDescent="0.25">
      <c r="A275">
        <f t="shared" si="6"/>
        <v>274</v>
      </c>
      <c r="B275" s="1">
        <v>45569</v>
      </c>
      <c r="C275" t="s">
        <v>430</v>
      </c>
      <c r="D275" t="str">
        <f>VLOOKUP(ТабЗаказы[[#This Row],[client]],ТабКлиенты[[name]:[_id]],2,0)</f>
        <v>67f56eca575fff8fe23c7a92</v>
      </c>
      <c r="E275">
        <f>IFERROR(IF(ТабЗаказы[[#This Row],[orderSumm]]&gt;10000,10,VLOOKUP(ТабЗаказы[[#This Row],[client]],ТабКлиенты[[name]:[percent]],MATCH(E$1,ТабКлиенты[#Headers],0),0)),"")</f>
        <v>10</v>
      </c>
      <c r="F275" s="18">
        <f>IFERROR(SUMIF(ТабПозиции[orderNum],ТабЗаказы[[#This Row],[orderNum]],ТабПозиции[orderSumm]),"")</f>
        <v>30000</v>
      </c>
      <c r="G275" s="18">
        <f>SUMIF(ТабПозиции[orderNum],ТабЗаказы[[#This Row],[orderNum]],ТабПозиции[deliverySumm])</f>
        <v>3000</v>
      </c>
      <c r="H275" s="18">
        <f>SUMIF(ТабПозиции[orderNum],ТабЗаказы[[#This Row],[orderNum]],ТабПозиции[totalSumm])</f>
        <v>3200</v>
      </c>
      <c r="I275" s="18" t="str">
        <f>IFERROR(VLOOKUP(ТабЗаказы[[#This Row],[orderNum]],ТабПозиции[#Data],22,0),"")</f>
        <v>true</v>
      </c>
    </row>
    <row r="276" spans="1:9" x14ac:dyDescent="0.25">
      <c r="A276">
        <f t="shared" si="6"/>
        <v>275</v>
      </c>
      <c r="B276" s="1">
        <v>45569</v>
      </c>
      <c r="C276" t="s">
        <v>97</v>
      </c>
      <c r="D276" t="str">
        <f>VLOOKUP(ТабЗаказы[[#This Row],[client]],ТабКлиенты[[name]:[_id]],2,0)</f>
        <v>67f56eca575fff8fe23c7a2a</v>
      </c>
      <c r="E276">
        <f>IFERROR(IF(ТабЗаказы[[#This Row],[orderSumm]]&gt;10000,10,VLOOKUP(ТабЗаказы[[#This Row],[client]],ТабКлиенты[[name]:[percent]],MATCH(E$1,ТабКлиенты[#Headers],0),0)),"")</f>
        <v>10</v>
      </c>
      <c r="F276" s="18">
        <f>IFERROR(SUMIF(ТабПозиции[orderNum],ТабЗаказы[[#This Row],[orderNum]],ТабПозиции[orderSumm]),"")</f>
        <v>5133</v>
      </c>
      <c r="G276" s="18">
        <f>SUMIF(ТабПозиции[orderNum],ТабЗаказы[[#This Row],[orderNum]],ТабПозиции[deliverySumm])</f>
        <v>513</v>
      </c>
      <c r="H276" s="18">
        <f>SUMIF(ТабПозиции[orderNum],ТабЗаказы[[#This Row],[orderNum]],ТабПозиции[totalSumm])</f>
        <v>713</v>
      </c>
      <c r="I276" s="18" t="str">
        <f>IFERROR(VLOOKUP(ТабЗаказы[[#This Row],[orderNum]],ТабПозиции[#Data],22,0),"")</f>
        <v>true</v>
      </c>
    </row>
    <row r="277" spans="1:9" x14ac:dyDescent="0.25">
      <c r="A277">
        <f t="shared" si="6"/>
        <v>276</v>
      </c>
      <c r="B277" s="1">
        <v>45569</v>
      </c>
      <c r="C277" t="s">
        <v>1488</v>
      </c>
      <c r="D277" t="str">
        <f>VLOOKUP(ТабЗаказы[[#This Row],[client]],ТабКлиенты[[name]:[_id]],2,0)</f>
        <v>67f56eca575fff8fe23c7ab8</v>
      </c>
      <c r="E277">
        <f>IFERROR(IF(ТабЗаказы[[#This Row],[orderSumm]]&gt;10000,10,VLOOKUP(ТабЗаказы[[#This Row],[client]],ТабКлиенты[[name]:[percent]],MATCH(E$1,ТабКлиенты[#Headers],0),0)),"")</f>
        <v>15</v>
      </c>
      <c r="F277" s="18">
        <f>IFERROR(SUMIF(ТабПозиции[orderNum],ТабЗаказы[[#This Row],[orderNum]],ТабПозиции[orderSumm]),"")</f>
        <v>8838</v>
      </c>
      <c r="G277" s="18">
        <f>SUMIF(ТабПозиции[orderNum],ТабЗаказы[[#This Row],[orderNum]],ТабПозиции[deliverySumm])</f>
        <v>1326</v>
      </c>
      <c r="H277" s="18">
        <f>SUMIF(ТабПозиции[orderNum],ТабЗаказы[[#This Row],[orderNum]],ТабПозиции[totalSumm])</f>
        <v>1326</v>
      </c>
      <c r="I277" s="18" t="str">
        <f>IFERROR(VLOOKUP(ТабЗаказы[[#This Row],[orderNum]],ТабПозиции[#Data],22,0),"")</f>
        <v>true</v>
      </c>
    </row>
    <row r="278" spans="1:9" x14ac:dyDescent="0.25">
      <c r="A278">
        <f t="shared" si="6"/>
        <v>277</v>
      </c>
      <c r="B278" s="1">
        <v>45569</v>
      </c>
      <c r="C278" t="s">
        <v>1580</v>
      </c>
      <c r="D278" t="str">
        <f>VLOOKUP(ТабЗаказы[[#This Row],[client]],ТабКлиенты[[name]:[_id]],2,0)</f>
        <v>67f56eca575fff8fe23c7abc</v>
      </c>
      <c r="E278">
        <f>IFERROR(IF(ТабЗаказы[[#This Row],[orderSumm]]&gt;10000,10,VLOOKUP(ТабЗаказы[[#This Row],[client]],ТабКлиенты[[name]:[percent]],MATCH(E$1,ТабКлиенты[#Headers],0),0)),"")</f>
        <v>15</v>
      </c>
      <c r="F278" s="18">
        <f>IFERROR(SUMIF(ТабПозиции[orderNum],ТабЗаказы[[#This Row],[orderNum]],ТабПозиции[orderSumm]),"")</f>
        <v>4468</v>
      </c>
      <c r="G278" s="18">
        <f>SUMIF(ТабПозиции[orderNum],ТабЗаказы[[#This Row],[orderNum]],ТабПозиции[deliverySumm])</f>
        <v>670</v>
      </c>
      <c r="H278" s="18">
        <f>SUMIF(ТабПозиции[orderNum],ТабЗаказы[[#This Row],[orderNum]],ТабПозиции[totalSumm])</f>
        <v>670</v>
      </c>
      <c r="I278" s="18" t="str">
        <f>IFERROR(VLOOKUP(ТабЗаказы[[#This Row],[orderNum]],ТабПозиции[#Data],22,0),"")</f>
        <v>true</v>
      </c>
    </row>
    <row r="279" spans="1:9" x14ac:dyDescent="0.25">
      <c r="A279">
        <f t="shared" si="6"/>
        <v>278</v>
      </c>
      <c r="B279" s="1">
        <v>45569</v>
      </c>
      <c r="C279" t="s">
        <v>231</v>
      </c>
      <c r="D279" t="str">
        <f>VLOOKUP(ТабЗаказы[[#This Row],[client]],ТабКлиенты[[name]:[_id]],2,0)</f>
        <v>67f56eca575fff8fe23c7a59</v>
      </c>
      <c r="E279">
        <f>IFERROR(IF(ТабЗаказы[[#This Row],[orderSumm]]&gt;10000,10,VLOOKUP(ТабЗаказы[[#This Row],[client]],ТабКлиенты[[name]:[percent]],MATCH(E$1,ТабКлиенты[#Headers],0),0)),"")</f>
        <v>15</v>
      </c>
      <c r="F279" s="18">
        <f>IFERROR(SUMIF(ТабПозиции[orderNum],ТабЗаказы[[#This Row],[orderNum]],ТабПозиции[orderSumm]),"")</f>
        <v>3412</v>
      </c>
      <c r="G279" s="18">
        <f>SUMIF(ТабПозиции[orderNum],ТабЗаказы[[#This Row],[orderNum]],ТабПозиции[deliverySumm])</f>
        <v>513</v>
      </c>
      <c r="H279" s="18">
        <f>SUMIF(ТабПозиции[orderNum],ТабЗаказы[[#This Row],[orderNum]],ТабПозиции[totalSumm])</f>
        <v>3925</v>
      </c>
      <c r="I279" s="18" t="str">
        <f>IFERROR(VLOOKUP(ТабЗаказы[[#This Row],[orderNum]],ТабПозиции[#Data],22,0),"")</f>
        <v>true</v>
      </c>
    </row>
    <row r="280" spans="1:9" x14ac:dyDescent="0.25">
      <c r="A280">
        <f t="shared" si="6"/>
        <v>279</v>
      </c>
      <c r="B280" s="1">
        <v>45569</v>
      </c>
      <c r="C280" t="s">
        <v>39</v>
      </c>
      <c r="D280" t="str">
        <f>VLOOKUP(ТабЗаказы[[#This Row],[client]],ТабКлиенты[[name]:[_id]],2,0)</f>
        <v>67f56eca575fff8fe23c7a17</v>
      </c>
      <c r="E280">
        <f>IFERROR(IF(ТабЗаказы[[#This Row],[orderSumm]]&gt;10000,10,VLOOKUP(ТабЗаказы[[#This Row],[client]],ТабКлиенты[[name]:[percent]],MATCH(E$1,ТабКлиенты[#Headers],0),0)),"")</f>
        <v>15</v>
      </c>
      <c r="F280" s="18">
        <f>IFERROR(SUMIF(ТабПозиции[orderNum],ТабЗаказы[[#This Row],[orderNum]],ТабПозиции[orderSumm]),"")</f>
        <v>4262</v>
      </c>
      <c r="G280" s="18">
        <f>SUMIF(ТабПозиции[orderNum],ТабЗаказы[[#This Row],[orderNum]],ТабПозиции[deliverySumm])</f>
        <v>639</v>
      </c>
      <c r="H280" s="18">
        <f>SUMIF(ТабПозиции[orderNum],ТабЗаказы[[#This Row],[orderNum]],ТабПозиции[totalSumm])</f>
        <v>4901</v>
      </c>
      <c r="I280" s="18" t="str">
        <f>IFERROR(VLOOKUP(ТабЗаказы[[#This Row],[orderNum]],ТабПозиции[#Data],22,0),"")</f>
        <v>true</v>
      </c>
    </row>
    <row r="281" spans="1:9" x14ac:dyDescent="0.25">
      <c r="A281">
        <f t="shared" si="6"/>
        <v>280</v>
      </c>
      <c r="B281" s="1">
        <v>45571</v>
      </c>
      <c r="C281" t="s">
        <v>204</v>
      </c>
      <c r="D281" t="str">
        <f>VLOOKUP(ТабЗаказы[[#This Row],[client]],ТабКлиенты[[name]:[_id]],2,0)</f>
        <v>67f56eca575fff8fe23c7a50</v>
      </c>
      <c r="E281">
        <f>IFERROR(IF(ТабЗаказы[[#This Row],[orderSumm]]&gt;10000,10,VLOOKUP(ТабЗаказы[[#This Row],[client]],ТабКлиенты[[name]:[percent]],MATCH(E$1,ТабКлиенты[#Headers],0),0)),"")</f>
        <v>10</v>
      </c>
      <c r="F281" s="18">
        <f>IFERROR(SUMIF(ТабПозиции[orderNum],ТабЗаказы[[#This Row],[orderNum]],ТабПозиции[orderSumm]),"")</f>
        <v>1655</v>
      </c>
      <c r="G281" s="18">
        <f>SUMIF(ТабПозиции[orderNum],ТабЗаказы[[#This Row],[orderNum]],ТабПозиции[deliverySumm])</f>
        <v>166</v>
      </c>
      <c r="H281" s="18">
        <f>SUMIF(ТабПозиции[orderNum],ТабЗаказы[[#This Row],[orderNum]],ТабПозиции[totalSumm])</f>
        <v>1821</v>
      </c>
      <c r="I281" s="18" t="str">
        <f>IFERROR(VLOOKUP(ТабЗаказы[[#This Row],[orderNum]],ТабПозиции[#Data],22,0),"")</f>
        <v>true</v>
      </c>
    </row>
    <row r="282" spans="1:9" x14ac:dyDescent="0.25">
      <c r="A282">
        <f t="shared" si="6"/>
        <v>281</v>
      </c>
      <c r="B282" s="1">
        <v>45572</v>
      </c>
      <c r="C282" t="s">
        <v>210</v>
      </c>
      <c r="D282" t="str">
        <f>VLOOKUP(ТабЗаказы[[#This Row],[client]],ТабКлиенты[[name]:[_id]],2,0)</f>
        <v>67f56eca575fff8fe23c7a52</v>
      </c>
      <c r="E282">
        <f>IFERROR(IF(ТабЗаказы[[#This Row],[orderSumm]]&gt;10000,10,VLOOKUP(ТабЗаказы[[#This Row],[client]],ТабКлиенты[[name]:[percent]],MATCH(E$1,ТабКлиенты[#Headers],0),0)),"")</f>
        <v>15</v>
      </c>
      <c r="F282" s="18">
        <f>IFERROR(SUMIF(ТабПозиции[orderNum],ТабЗаказы[[#This Row],[orderNum]],ТабПозиции[orderSumm]),"")</f>
        <v>1104</v>
      </c>
      <c r="G282" s="18">
        <f>SUMIF(ТабПозиции[orderNum],ТабЗаказы[[#This Row],[orderNum]],ТабПозиции[deliverySumm])</f>
        <v>200</v>
      </c>
      <c r="H282" s="18">
        <f>SUMIF(ТабПозиции[orderNum],ТабЗаказы[[#This Row],[orderNum]],ТабПозиции[totalSumm])</f>
        <v>1304</v>
      </c>
      <c r="I282" s="18" t="str">
        <f>IFERROR(VLOOKUP(ТабЗаказы[[#This Row],[orderNum]],ТабПозиции[#Data],22,0),"")</f>
        <v>true</v>
      </c>
    </row>
    <row r="283" spans="1:9" x14ac:dyDescent="0.25">
      <c r="A283">
        <f t="shared" si="6"/>
        <v>282</v>
      </c>
      <c r="B283" s="1">
        <v>45572</v>
      </c>
      <c r="C283" t="s">
        <v>112</v>
      </c>
      <c r="D283" t="str">
        <f>VLOOKUP(ТабЗаказы[[#This Row],[client]],ТабКлиенты[[name]:[_id]],2,0)</f>
        <v>67f56eca575fff8fe23c7a2f</v>
      </c>
      <c r="E283">
        <f>IFERROR(IF(ТабЗаказы[[#This Row],[orderSumm]]&gt;10000,10,VLOOKUP(ТабЗаказы[[#This Row],[client]],ТабКлиенты[[name]:[percent]],MATCH(E$1,ТабКлиенты[#Headers],0),0)),"")</f>
        <v>15</v>
      </c>
      <c r="F283" s="18">
        <f>IFERROR(SUMIF(ТабПозиции[orderNum],ТабЗаказы[[#This Row],[orderNum]],ТабПозиции[orderSumm]),"")</f>
        <v>5000</v>
      </c>
      <c r="G283" s="18">
        <f>SUMIF(ТабПозиции[orderNum],ТабЗаказы[[#This Row],[orderNum]],ТабПозиции[deliverySumm])</f>
        <v>750</v>
      </c>
      <c r="H283" s="18">
        <f>SUMIF(ТабПозиции[orderNum],ТабЗаказы[[#This Row],[orderNum]],ТабПозиции[totalSumm])</f>
        <v>5940</v>
      </c>
      <c r="I283" s="18" t="str">
        <f>IFERROR(VLOOKUP(ТабЗаказы[[#This Row],[orderNum]],ТабПозиции[#Data],22,0),"")</f>
        <v>true</v>
      </c>
    </row>
    <row r="284" spans="1:9" x14ac:dyDescent="0.25">
      <c r="A284">
        <f t="shared" si="6"/>
        <v>283</v>
      </c>
      <c r="B284" s="1">
        <v>45575</v>
      </c>
      <c r="C284" t="s">
        <v>104</v>
      </c>
      <c r="D284" t="str">
        <f>VLOOKUP(ТабЗаказы[[#This Row],[client]],ТабКлиенты[[name]:[_id]],2,0)</f>
        <v>67f56eca575fff8fe23c7a2d</v>
      </c>
      <c r="E284">
        <f>IFERROR(IF(ТабЗаказы[[#This Row],[orderSumm]]&gt;10000,10,VLOOKUP(ТабЗаказы[[#This Row],[client]],ТабКлиенты[[name]:[percent]],MATCH(E$1,ТабКлиенты[#Headers],0),0)),"")</f>
        <v>10</v>
      </c>
      <c r="F284" s="18">
        <f>IFERROR(SUMIF(ТабПозиции[orderNum],ТабЗаказы[[#This Row],[orderNum]],ТабПозиции[orderSumm]),"")</f>
        <v>66480</v>
      </c>
      <c r="G284" s="18">
        <f>SUMIF(ТабПозиции[orderNum],ТабЗаказы[[#This Row],[orderNum]],ТабПозиции[deliverySumm])</f>
        <v>6648</v>
      </c>
      <c r="H284" s="18">
        <f>SUMIF(ТабПозиции[orderNum],ТабЗаказы[[#This Row],[orderNum]],ТабПозиции[totalSumm])</f>
        <v>6648</v>
      </c>
      <c r="I284" s="18" t="str">
        <f>IFERROR(VLOOKUP(ТабЗаказы[[#This Row],[orderNum]],ТабПозиции[#Data],22,0),"")</f>
        <v>true</v>
      </c>
    </row>
    <row r="285" spans="1:9" x14ac:dyDescent="0.25">
      <c r="A285">
        <f t="shared" si="6"/>
        <v>284</v>
      </c>
      <c r="B285" s="1">
        <v>45575</v>
      </c>
      <c r="C285" t="s">
        <v>1626</v>
      </c>
      <c r="D285" t="str">
        <f>VLOOKUP(ТабЗаказы[[#This Row],[client]],ТабКлиенты[[name]:[_id]],2,0)</f>
        <v>67f56eca575fff8fe23c7abf</v>
      </c>
      <c r="E285">
        <f>IFERROR(IF(ТабЗаказы[[#This Row],[orderSumm]]&gt;10000,10,VLOOKUP(ТабЗаказы[[#This Row],[client]],ТабКлиенты[[name]:[percent]],MATCH(E$1,ТабКлиенты[#Headers],0),0)),"")</f>
        <v>15</v>
      </c>
      <c r="F285" s="18">
        <f>IFERROR(SUMIF(ТабПозиции[orderNum],ТабЗаказы[[#This Row],[orderNum]],ТабПозиции[orderSumm]),"")</f>
        <v>2100</v>
      </c>
      <c r="G285" s="18">
        <f>SUMIF(ТабПозиции[orderNum],ТабЗаказы[[#This Row],[orderNum]],ТабПозиции[deliverySumm])</f>
        <v>315</v>
      </c>
      <c r="H285" s="18">
        <f>SUMIF(ТабПозиции[orderNum],ТабЗаказы[[#This Row],[orderNum]],ТабПозиции[totalSumm])</f>
        <v>315</v>
      </c>
      <c r="I285" s="18" t="str">
        <f>IFERROR(VLOOKUP(ТабЗаказы[[#This Row],[orderNum]],ТабПозиции[#Data],22,0),"")</f>
        <v>true</v>
      </c>
    </row>
    <row r="286" spans="1:9" x14ac:dyDescent="0.25">
      <c r="A286">
        <f t="shared" si="6"/>
        <v>285</v>
      </c>
      <c r="B286" s="1">
        <v>45576</v>
      </c>
      <c r="C286" t="s">
        <v>1629</v>
      </c>
      <c r="D286" t="str">
        <f>VLOOKUP(ТабЗаказы[[#This Row],[client]],ТабКлиенты[[name]:[_id]],2,0)</f>
        <v>67f56eca575fff8fe23c7ac0</v>
      </c>
      <c r="E286">
        <f>IFERROR(IF(ТабЗаказы[[#This Row],[orderSumm]]&gt;10000,10,VLOOKUP(ТабЗаказы[[#This Row],[client]],ТабКлиенты[[name]:[percent]],MATCH(E$1,ТабКлиенты[#Headers],0),0)),"")</f>
        <v>15</v>
      </c>
      <c r="F286" s="18">
        <f>IFERROR(SUMIF(ТабПозиции[orderNum],ТабЗаказы[[#This Row],[orderNum]],ТабПозиции[orderSumm]),"")</f>
        <v>2807</v>
      </c>
      <c r="G286" s="18">
        <f>SUMIF(ТабПозиции[orderNum],ТабЗаказы[[#This Row],[orderNum]],ТабПозиции[deliverySumm])</f>
        <v>421</v>
      </c>
      <c r="H286" s="18">
        <f>SUMIF(ТабПозиции[orderNum],ТабЗаказы[[#This Row],[orderNum]],ТабПозиции[totalSumm])</f>
        <v>421</v>
      </c>
      <c r="I286" s="18" t="str">
        <f>IFERROR(VLOOKUP(ТабЗаказы[[#This Row],[orderNum]],ТабПозиции[#Data],22,0),"")</f>
        <v>true</v>
      </c>
    </row>
    <row r="287" spans="1:9" x14ac:dyDescent="0.25">
      <c r="A287">
        <f t="shared" si="6"/>
        <v>286</v>
      </c>
      <c r="B287" s="1">
        <v>45576</v>
      </c>
      <c r="C287" t="s">
        <v>485</v>
      </c>
      <c r="D287" t="str">
        <f>VLOOKUP(ТабЗаказы[[#This Row],[client]],ТабКлиенты[[name]:[_id]],2,0)</f>
        <v>67f56eca575fff8fe23c7aa1</v>
      </c>
      <c r="E287">
        <f>IFERROR(IF(ТабЗаказы[[#This Row],[orderSumm]]&gt;10000,10,VLOOKUP(ТабЗаказы[[#This Row],[client]],ТабКлиенты[[name]:[percent]],MATCH(E$1,ТабКлиенты[#Headers],0),0)),"")</f>
        <v>10</v>
      </c>
      <c r="F287" s="18">
        <f>IFERROR(SUMIF(ТабПозиции[orderNum],ТабЗаказы[[#This Row],[orderNum]],ТабПозиции[orderSumm]),"")</f>
        <v>38955</v>
      </c>
      <c r="G287" s="18">
        <f>SUMIF(ТабПозиции[orderNum],ТабЗаказы[[#This Row],[orderNum]],ТабПозиции[deliverySumm])</f>
        <v>3896</v>
      </c>
      <c r="H287" s="18">
        <f>SUMIF(ТабПозиции[orderNum],ТабЗаказы[[#This Row],[orderNum]],ТабПозиции[totalSumm])</f>
        <v>3896</v>
      </c>
      <c r="I287" s="18" t="str">
        <f>IFERROR(VLOOKUP(ТабЗаказы[[#This Row],[orderNum]],ТабПозиции[#Data],22,0),"")</f>
        <v>true</v>
      </c>
    </row>
    <row r="288" spans="1:9" x14ac:dyDescent="0.25">
      <c r="A288">
        <f t="shared" si="6"/>
        <v>287</v>
      </c>
      <c r="B288" s="1">
        <v>45576</v>
      </c>
      <c r="C288" t="s">
        <v>456</v>
      </c>
      <c r="D288" t="str">
        <f>VLOOKUP(ТабЗаказы[[#This Row],[client]],ТабКлиенты[[name]:[_id]],2,0)</f>
        <v>67f56eca575fff8fe23c7a99</v>
      </c>
      <c r="E288">
        <f>IFERROR(IF(ТабЗаказы[[#This Row],[orderSumm]]&gt;10000,10,VLOOKUP(ТабЗаказы[[#This Row],[client]],ТабКлиенты[[name]:[percent]],MATCH(E$1,ТабКлиенты[#Headers],0),0)),"")</f>
        <v>15</v>
      </c>
      <c r="F288" s="18">
        <f>IFERROR(SUMIF(ТабПозиции[orderNum],ТабЗаказы[[#This Row],[orderNum]],ТабПозиции[orderSumm]),"")</f>
        <v>1230</v>
      </c>
      <c r="G288" s="18">
        <f>SUMIF(ТабПозиции[orderNum],ТабЗаказы[[#This Row],[orderNum]],ТабПозиции[deliverySumm])</f>
        <v>200</v>
      </c>
      <c r="H288" s="18">
        <f>SUMIF(ТабПозиции[orderNum],ТабЗаказы[[#This Row],[orderNum]],ТабПозиции[totalSumm])</f>
        <v>200</v>
      </c>
      <c r="I288" s="18" t="str">
        <f>IFERROR(VLOOKUP(ТабЗаказы[[#This Row],[orderNum]],ТабПозиции[#Data],22,0),"")</f>
        <v>true</v>
      </c>
    </row>
    <row r="289" spans="1:9" x14ac:dyDescent="0.25">
      <c r="A289">
        <f t="shared" si="6"/>
        <v>288</v>
      </c>
      <c r="B289" s="1">
        <v>45576</v>
      </c>
      <c r="C289" t="s">
        <v>97</v>
      </c>
      <c r="D289" t="str">
        <f>VLOOKUP(ТабЗаказы[[#This Row],[client]],ТабКлиенты[[name]:[_id]],2,0)</f>
        <v>67f56eca575fff8fe23c7a2a</v>
      </c>
      <c r="E289">
        <f>IFERROR(IF(ТабЗаказы[[#This Row],[orderSumm]]&gt;10000,10,VLOOKUP(ТабЗаказы[[#This Row],[client]],ТабКлиенты[[name]:[percent]],MATCH(E$1,ТабКлиенты[#Headers],0),0)),"")</f>
        <v>10</v>
      </c>
      <c r="F289" s="18">
        <f>IFERROR(SUMIF(ТабПозиции[orderNum],ТабЗаказы[[#This Row],[orderNum]],ТабПозиции[orderSumm]),"")</f>
        <v>5138</v>
      </c>
      <c r="G289" s="18">
        <f>SUMIF(ТабПозиции[orderNum],ТабЗаказы[[#This Row],[orderNum]],ТабПозиции[deliverySumm])</f>
        <v>514</v>
      </c>
      <c r="H289" s="18">
        <f>SUMIF(ТабПозиции[orderNum],ТабЗаказы[[#This Row],[orderNum]],ТабПозиции[totalSumm])</f>
        <v>514</v>
      </c>
      <c r="I289" s="18" t="str">
        <f>IFERROR(VLOOKUP(ТабЗаказы[[#This Row],[orderNum]],ТабПозиции[#Data],22,0),"")</f>
        <v>true</v>
      </c>
    </row>
    <row r="290" spans="1:9" x14ac:dyDescent="0.25">
      <c r="A290">
        <f t="shared" si="6"/>
        <v>289</v>
      </c>
      <c r="B290" s="1">
        <v>45576</v>
      </c>
      <c r="C290" t="s">
        <v>1633</v>
      </c>
      <c r="D290" t="str">
        <f>VLOOKUP(ТабЗаказы[[#This Row],[client]],ТабКлиенты[[name]:[_id]],2,0)</f>
        <v>67f56eca575fff8fe23c7ac1</v>
      </c>
      <c r="E290">
        <f>IFERROR(IF(ТабЗаказы[[#This Row],[orderSumm]]&gt;10000,10,VLOOKUP(ТабЗаказы[[#This Row],[client]],ТабКлиенты[[name]:[percent]],MATCH(E$1,ТабКлиенты[#Headers],0),0)),"")</f>
        <v>15</v>
      </c>
      <c r="F290" s="18">
        <f>IFERROR(SUMIF(ТабПозиции[orderNum],ТабЗаказы[[#This Row],[orderNum]],ТабПозиции[orderSumm]),"")</f>
        <v>3810</v>
      </c>
      <c r="G290" s="18">
        <f>SUMIF(ТабПозиции[orderNum],ТабЗаказы[[#This Row],[orderNum]],ТабПозиции[deliverySumm])</f>
        <v>572</v>
      </c>
      <c r="H290" s="18">
        <f>SUMIF(ТабПозиции[orderNum],ТабЗаказы[[#This Row],[orderNum]],ТабПозиции[totalSumm])</f>
        <v>572</v>
      </c>
      <c r="I290" s="18" t="str">
        <f>IFERROR(VLOOKUP(ТабЗаказы[[#This Row],[orderNum]],ТабПозиции[#Data],22,0),"")</f>
        <v>true</v>
      </c>
    </row>
    <row r="291" spans="1:9" x14ac:dyDescent="0.25">
      <c r="A291">
        <f t="shared" si="6"/>
        <v>290</v>
      </c>
      <c r="B291" s="1">
        <v>45575</v>
      </c>
      <c r="C291" t="s">
        <v>123</v>
      </c>
      <c r="D291" t="str">
        <f>VLOOKUP(ТабЗаказы[[#This Row],[client]],ТабКлиенты[[name]:[_id]],2,0)</f>
        <v>67f56eca575fff8fe23c7a32</v>
      </c>
      <c r="E291">
        <f>IFERROR(IF(ТабЗаказы[[#This Row],[orderSumm]]&gt;10000,10,VLOOKUP(ТабЗаказы[[#This Row],[client]],ТабКлиенты[[name]:[percent]],MATCH(E$1,ТабКлиенты[#Headers],0),0)),"")</f>
        <v>15</v>
      </c>
      <c r="F291" s="18">
        <f>IFERROR(SUMIF(ТабПозиции[orderNum],ТабЗаказы[[#This Row],[orderNum]],ТабПозиции[orderSumm]),"")</f>
        <v>4634</v>
      </c>
      <c r="G291" s="18">
        <f>SUMIF(ТабПозиции[orderNum],ТабЗаказы[[#This Row],[orderNum]],ТабПозиции[deliverySumm])</f>
        <v>695</v>
      </c>
      <c r="H291" s="18">
        <f>SUMIF(ТабПозиции[orderNum],ТабЗаказы[[#This Row],[orderNum]],ТабПозиции[totalSumm])</f>
        <v>5329</v>
      </c>
      <c r="I291" s="18" t="str">
        <f>IFERROR(VLOOKUP(ТабЗаказы[[#This Row],[orderNum]],ТабПозиции[#Data],22,0),"")</f>
        <v>true</v>
      </c>
    </row>
    <row r="292" spans="1:9" x14ac:dyDescent="0.25">
      <c r="A292">
        <f t="shared" si="6"/>
        <v>291</v>
      </c>
      <c r="B292" s="1">
        <v>45578</v>
      </c>
      <c r="C292" t="s">
        <v>231</v>
      </c>
      <c r="D292" t="str">
        <f>VLOOKUP(ТабЗаказы[[#This Row],[client]],ТабКлиенты[[name]:[_id]],2,0)</f>
        <v>67f56eca575fff8fe23c7a59</v>
      </c>
      <c r="E292">
        <f>IFERROR(IF(ТабЗаказы[[#This Row],[orderSumm]]&gt;10000,10,VLOOKUP(ТабЗаказы[[#This Row],[client]],ТабКлиенты[[name]:[percent]],MATCH(E$1,ТабКлиенты[#Headers],0),0)),"")</f>
        <v>15</v>
      </c>
      <c r="F292" s="18">
        <f>IFERROR(SUMIF(ТабПозиции[orderNum],ТабЗаказы[[#This Row],[orderNum]],ТабПозиции[orderSumm]),"")</f>
        <v>2079</v>
      </c>
      <c r="G292" s="18">
        <f>SUMIF(ТабПозиции[orderNum],ТабЗаказы[[#This Row],[orderNum]],ТабПозиции[deliverySumm])</f>
        <v>312</v>
      </c>
      <c r="H292" s="18">
        <f>SUMIF(ТабПозиции[orderNum],ТабЗаказы[[#This Row],[orderNum]],ТабПозиции[totalSumm])</f>
        <v>2391</v>
      </c>
      <c r="I292" s="18" t="str">
        <f>IFERROR(VLOOKUP(ТабЗаказы[[#This Row],[orderNum]],ТабПозиции[#Data],22,0),"")</f>
        <v>true</v>
      </c>
    </row>
    <row r="293" spans="1:9" x14ac:dyDescent="0.25">
      <c r="A293">
        <f t="shared" si="6"/>
        <v>292</v>
      </c>
      <c r="B293" s="1">
        <v>45579</v>
      </c>
      <c r="C293" t="s">
        <v>1646</v>
      </c>
      <c r="D293" t="str">
        <f>VLOOKUP(ТабЗаказы[[#This Row],[client]],ТабКлиенты[[name]:[_id]],2,0)</f>
        <v>67f56eca575fff8fe23c7ac2</v>
      </c>
      <c r="E293">
        <f>IFERROR(IF(ТабЗаказы[[#This Row],[orderSumm]]&gt;10000,10,VLOOKUP(ТабЗаказы[[#This Row],[client]],ТабКлиенты[[name]:[percent]],MATCH(E$1,ТабКлиенты[#Headers],0),0)),"")</f>
        <v>15</v>
      </c>
      <c r="F293" s="18">
        <f>IFERROR(SUMIF(ТабПозиции[orderNum],ТабЗаказы[[#This Row],[orderNum]],ТабПозиции[orderSumm]),"")</f>
        <v>1458</v>
      </c>
      <c r="G293" s="18">
        <f>SUMIF(ТабПозиции[orderNum],ТабЗаказы[[#This Row],[orderNum]],ТабПозиции[deliverySumm])</f>
        <v>200</v>
      </c>
      <c r="H293" s="18">
        <f>SUMIF(ТабПозиции[orderNum],ТабЗаказы[[#This Row],[orderNum]],ТабПозиции[totalSumm])</f>
        <v>1658</v>
      </c>
      <c r="I293" s="18" t="str">
        <f>IFERROR(VLOOKUP(ТабЗаказы[[#This Row],[orderNum]],ТабПозиции[#Data],22,0),"")</f>
        <v>true</v>
      </c>
    </row>
    <row r="294" spans="1:9" x14ac:dyDescent="0.25">
      <c r="A294">
        <f t="shared" si="6"/>
        <v>293</v>
      </c>
      <c r="B294" s="1">
        <v>45579</v>
      </c>
      <c r="C294" t="s">
        <v>1502</v>
      </c>
      <c r="D294" t="str">
        <f>VLOOKUP(ТабЗаказы[[#This Row],[client]],ТабКлиенты[[name]:[_id]],2,0)</f>
        <v>67f56eca575fff8fe23c7a28</v>
      </c>
      <c r="E294">
        <f>IFERROR(IF(ТабЗаказы[[#This Row],[orderSumm]]&gt;10000,10,VLOOKUP(ТабЗаказы[[#This Row],[client]],ТабКлиенты[[name]:[percent]],MATCH(E$1,ТабКлиенты[#Headers],0),0)),"")</f>
        <v>15</v>
      </c>
      <c r="F294" s="18">
        <f>IFERROR(SUMIF(ТабПозиции[orderNum],ТабЗаказы[[#This Row],[orderNum]],ТабПозиции[orderSumm]),"")</f>
        <v>2789</v>
      </c>
      <c r="G294" s="18">
        <f>SUMIF(ТабПозиции[orderNum],ТабЗаказы[[#This Row],[orderNum]],ТабПозиции[deliverySumm])</f>
        <v>418</v>
      </c>
      <c r="H294" s="18">
        <f>SUMIF(ТабПозиции[orderNum],ТабЗаказы[[#This Row],[orderNum]],ТабПозиции[totalSumm])</f>
        <v>3207</v>
      </c>
      <c r="I294" s="18" t="str">
        <f>IFERROR(VLOOKUP(ТабЗаказы[[#This Row],[orderNum]],ТабПозиции[#Data],22,0),"")</f>
        <v>true</v>
      </c>
    </row>
    <row r="295" spans="1:9" x14ac:dyDescent="0.25">
      <c r="A295">
        <f t="shared" si="6"/>
        <v>294</v>
      </c>
      <c r="B295" s="1">
        <v>45580</v>
      </c>
      <c r="C295" t="s">
        <v>33</v>
      </c>
      <c r="D295" t="str">
        <f>VLOOKUP(ТабЗаказы[[#This Row],[client]],ТабКлиенты[[name]:[_id]],2,0)</f>
        <v>67f56eca575fff8fe23c7a15</v>
      </c>
      <c r="E295">
        <f>IFERROR(IF(ТабЗаказы[[#This Row],[orderSumm]]&gt;10000,10,VLOOKUP(ТабЗаказы[[#This Row],[client]],ТабКлиенты[[name]:[percent]],MATCH(E$1,ТабКлиенты[#Headers],0),0)),"")</f>
        <v>15</v>
      </c>
      <c r="F295" s="18">
        <f>IFERROR(SUMIF(ТабПозиции[orderNum],ТабЗаказы[[#This Row],[orderNum]],ТабПозиции[orderSumm]),"")</f>
        <v>4263</v>
      </c>
      <c r="G295" s="18">
        <f>SUMIF(ТабПозиции[orderNum],ТабЗаказы[[#This Row],[orderNum]],ТабПозиции[deliverySumm])</f>
        <v>640</v>
      </c>
      <c r="H295" s="18">
        <f>SUMIF(ТабПозиции[orderNum],ТабЗаказы[[#This Row],[orderNum]],ТабПозиции[totalSumm])</f>
        <v>4903</v>
      </c>
      <c r="I295" s="18" t="str">
        <f>IFERROR(VLOOKUP(ТабЗаказы[[#This Row],[orderNum]],ТабПозиции[#Data],22,0),"")</f>
        <v>true</v>
      </c>
    </row>
    <row r="296" spans="1:9" x14ac:dyDescent="0.25">
      <c r="A296">
        <f t="shared" si="6"/>
        <v>295</v>
      </c>
      <c r="B296" s="1">
        <v>45580</v>
      </c>
      <c r="C296" t="s">
        <v>357</v>
      </c>
      <c r="D296" t="str">
        <f>VLOOKUP(ТабЗаказы[[#This Row],[client]],ТабКлиенты[[name]:[_id]],2,0)</f>
        <v>67f56eca575fff8fe23c7a7d</v>
      </c>
      <c r="E296">
        <f>IFERROR(IF(ТабЗаказы[[#This Row],[orderSumm]]&gt;10000,10,VLOOKUP(ТабЗаказы[[#This Row],[client]],ТабКлиенты[[name]:[percent]],MATCH(E$1,ТабКлиенты[#Headers],0),0)),"")</f>
        <v>15</v>
      </c>
      <c r="F296" s="18">
        <f>IFERROR(SUMIF(ТабПозиции[orderNum],ТабЗаказы[[#This Row],[orderNum]],ТабПозиции[orderSumm]),"")</f>
        <v>4286</v>
      </c>
      <c r="G296" s="18">
        <f>SUMIF(ТабПозиции[orderNum],ТабЗаказы[[#This Row],[orderNum]],ТабПозиции[deliverySumm])</f>
        <v>645</v>
      </c>
      <c r="H296" s="18">
        <f>SUMIF(ТабПозиции[orderNum],ТабЗаказы[[#This Row],[orderNum]],ТабПозиции[totalSumm])</f>
        <v>4931</v>
      </c>
      <c r="I296" s="18" t="str">
        <f>IFERROR(VLOOKUP(ТабЗаказы[[#This Row],[orderNum]],ТабПозиции[#Data],22,0),"")</f>
        <v>true</v>
      </c>
    </row>
    <row r="297" spans="1:9" x14ac:dyDescent="0.25">
      <c r="A297">
        <f t="shared" si="6"/>
        <v>296</v>
      </c>
      <c r="B297" s="1">
        <v>45583</v>
      </c>
      <c r="C297" t="s">
        <v>485</v>
      </c>
      <c r="D297" t="str">
        <f>VLOOKUP(ТабЗаказы[[#This Row],[client]],ТабКлиенты[[name]:[_id]],2,0)</f>
        <v>67f56eca575fff8fe23c7aa1</v>
      </c>
      <c r="E297">
        <f>IFERROR(IF(ТабЗаказы[[#This Row],[orderSumm]]&gt;10000,10,VLOOKUP(ТабЗаказы[[#This Row],[client]],ТабКлиенты[[name]:[percent]],MATCH(E$1,ТабКлиенты[#Headers],0),0)),"")</f>
        <v>15</v>
      </c>
      <c r="F297" s="18">
        <f>IFERROR(SUMIF(ТабПозиции[orderNum],ТабЗаказы[[#This Row],[orderNum]],ТабПозиции[orderSumm]),"")</f>
        <v>8283</v>
      </c>
      <c r="G297" s="18">
        <f>SUMIF(ТабПозиции[orderNum],ТабЗаказы[[#This Row],[orderNum]],ТабПозиции[deliverySumm])</f>
        <v>1242</v>
      </c>
      <c r="H297" s="18">
        <f>SUMIF(ТабПозиции[orderNum],ТабЗаказы[[#This Row],[orderNum]],ТабПозиции[totalSumm])</f>
        <v>1242</v>
      </c>
      <c r="I297" s="18" t="str">
        <f>IFERROR(VLOOKUP(ТабЗаказы[[#This Row],[orderNum]],ТабПозиции[#Data],22,0),"")</f>
        <v>true</v>
      </c>
    </row>
    <row r="298" spans="1:9" x14ac:dyDescent="0.25">
      <c r="A298">
        <f t="shared" si="6"/>
        <v>297</v>
      </c>
      <c r="B298" s="1">
        <v>45583</v>
      </c>
      <c r="C298" t="s">
        <v>456</v>
      </c>
      <c r="D298" t="str">
        <f>VLOOKUP(ТабЗаказы[[#This Row],[client]],ТабКлиенты[[name]:[_id]],2,0)</f>
        <v>67f56eca575fff8fe23c7a99</v>
      </c>
      <c r="E298">
        <f>IFERROR(IF(ТабЗаказы[[#This Row],[orderSumm]]&gt;10000,10,VLOOKUP(ТабЗаказы[[#This Row],[client]],ТабКлиенты[[name]:[percent]],MATCH(E$1,ТабКлиенты[#Headers],0),0)),"")</f>
        <v>15</v>
      </c>
      <c r="F298" s="18">
        <f>IFERROR(SUMIF(ТабПозиции[orderNum],ТабЗаказы[[#This Row],[orderNum]],ТабПозиции[orderSumm]),"")</f>
        <v>1589</v>
      </c>
      <c r="G298" s="18">
        <f>SUMIF(ТабПозиции[orderNum],ТабЗаказы[[#This Row],[orderNum]],ТабПозиции[deliverySumm])</f>
        <v>238</v>
      </c>
      <c r="H298" s="18">
        <f>SUMIF(ТабПозиции[orderNum],ТабЗаказы[[#This Row],[orderNum]],ТабПозиции[totalSumm])</f>
        <v>238</v>
      </c>
      <c r="I298" s="18" t="str">
        <f>IFERROR(VLOOKUP(ТабЗаказы[[#This Row],[orderNum]],ТабПозиции[#Data],22,0),"")</f>
        <v>true</v>
      </c>
    </row>
    <row r="299" spans="1:9" x14ac:dyDescent="0.25">
      <c r="A299">
        <f t="shared" si="6"/>
        <v>298</v>
      </c>
      <c r="B299" s="1">
        <v>45583</v>
      </c>
      <c r="C299" t="s">
        <v>1629</v>
      </c>
      <c r="D299" t="str">
        <f>VLOOKUP(ТабЗаказы[[#This Row],[client]],ТабКлиенты[[name]:[_id]],2,0)</f>
        <v>67f56eca575fff8fe23c7ac0</v>
      </c>
      <c r="E299">
        <f>IFERROR(IF(ТабЗаказы[[#This Row],[orderSumm]]&gt;10000,10,VLOOKUP(ТабЗаказы[[#This Row],[client]],ТабКлиенты[[name]:[percent]],MATCH(E$1,ТабКлиенты[#Headers],0),0)),"")</f>
        <v>15</v>
      </c>
      <c r="F299" s="18">
        <f>IFERROR(SUMIF(ТабПозиции[orderNum],ТабЗаказы[[#This Row],[orderNum]],ТабПозиции[orderSumm]),"")</f>
        <v>3189</v>
      </c>
      <c r="G299" s="18">
        <f>SUMIF(ТабПозиции[orderNum],ТабЗаказы[[#This Row],[orderNum]],ТабПозиции[deliverySumm])</f>
        <v>478</v>
      </c>
      <c r="H299" s="18">
        <f>SUMIF(ТабПозиции[orderNum],ТабЗаказы[[#This Row],[orderNum]],ТабПозиции[totalSumm])</f>
        <v>478</v>
      </c>
      <c r="I299" s="18" t="str">
        <f>IFERROR(VLOOKUP(ТабЗаказы[[#This Row],[orderNum]],ТабПозиции[#Data],22,0),"")</f>
        <v>true</v>
      </c>
    </row>
    <row r="300" spans="1:9" x14ac:dyDescent="0.25">
      <c r="A300">
        <f t="shared" si="6"/>
        <v>299</v>
      </c>
      <c r="B300" s="1">
        <v>45584</v>
      </c>
      <c r="C300" t="s">
        <v>1482</v>
      </c>
      <c r="D300" t="str">
        <f>VLOOKUP(ТабЗаказы[[#This Row],[client]],ТабКлиенты[[name]:[_id]],2,0)</f>
        <v>67f56eca575fff8fe23c7ab7</v>
      </c>
      <c r="E300">
        <f>IFERROR(IF(ТабЗаказы[[#This Row],[orderSumm]]&gt;10000,10,VLOOKUP(ТабЗаказы[[#This Row],[client]],ТабКлиенты[[name]:[percent]],MATCH(E$1,ТабКлиенты[#Headers],0),0)),"")</f>
        <v>10</v>
      </c>
      <c r="F300" s="18">
        <f>IFERROR(SUMIF(ТабПозиции[orderNum],ТабЗаказы[[#This Row],[orderNum]],ТабПозиции[orderSumm]),"")</f>
        <v>10268</v>
      </c>
      <c r="G300" s="18">
        <f>SUMIF(ТабПозиции[orderNum],ТабЗаказы[[#This Row],[orderNum]],ТабПозиции[deliverySumm])</f>
        <v>1028</v>
      </c>
      <c r="H300" s="18">
        <f>SUMIF(ТабПозиции[orderNum],ТабЗаказы[[#This Row],[orderNum]],ТабПозиции[totalSumm])</f>
        <v>11296</v>
      </c>
      <c r="I300" s="18" t="str">
        <f>IFERROR(VLOOKUP(ТабЗаказы[[#This Row],[orderNum]],ТабПозиции[#Data],22,0),"")</f>
        <v>true</v>
      </c>
    </row>
    <row r="301" spans="1:9" x14ac:dyDescent="0.25">
      <c r="A301">
        <f t="shared" si="6"/>
        <v>300</v>
      </c>
      <c r="B301" s="1">
        <v>45584</v>
      </c>
      <c r="C301" t="s">
        <v>210</v>
      </c>
      <c r="D301" t="str">
        <f>VLOOKUP(ТабЗаказы[[#This Row],[client]],ТабКлиенты[[name]:[_id]],2,0)</f>
        <v>67f56eca575fff8fe23c7a52</v>
      </c>
      <c r="E301">
        <f>IFERROR(IF(ТабЗаказы[[#This Row],[orderSumm]]&gt;10000,10,VLOOKUP(ТабЗаказы[[#This Row],[client]],ТабКлиенты[[name]:[percent]],MATCH(E$1,ТабКлиенты[#Headers],0),0)),"")</f>
        <v>15</v>
      </c>
      <c r="F301" s="18">
        <f>IFERROR(SUMIF(ТабПозиции[orderNum],ТабЗаказы[[#This Row],[orderNum]],ТабПозиции[orderSumm]),"")</f>
        <v>341</v>
      </c>
      <c r="G301" s="18">
        <f>SUMIF(ТабПозиции[orderNum],ТабЗаказы[[#This Row],[orderNum]],ТабПозиции[deliverySumm])</f>
        <v>200</v>
      </c>
      <c r="H301" s="18">
        <f>SUMIF(ТабПозиции[orderNum],ТабЗаказы[[#This Row],[orderNum]],ТабПозиции[totalSumm])</f>
        <v>541</v>
      </c>
      <c r="I301" s="18" t="str">
        <f>IFERROR(VLOOKUP(ТабЗаказы[[#This Row],[orderNum]],ТабПозиции[#Data],22,0),"")</f>
        <v>true</v>
      </c>
    </row>
    <row r="302" spans="1:9" x14ac:dyDescent="0.25">
      <c r="A302">
        <f t="shared" si="6"/>
        <v>301</v>
      </c>
      <c r="B302" s="1">
        <v>45584</v>
      </c>
      <c r="C302" t="s">
        <v>1726</v>
      </c>
      <c r="D302" t="str">
        <f>VLOOKUP(ТабЗаказы[[#This Row],[client]],ТабКлиенты[[name]:[_id]],2,0)</f>
        <v>67f56eca575fff8fe23c7ac3</v>
      </c>
      <c r="E302">
        <f>IFERROR(IF(ТабЗаказы[[#This Row],[orderSumm]]&gt;10000,10,VLOOKUP(ТабЗаказы[[#This Row],[client]],ТабКлиенты[[name]:[percent]],MATCH(E$1,ТабКлиенты[#Headers],0),0)),"")</f>
        <v>15</v>
      </c>
      <c r="F302" s="18">
        <f>IFERROR(SUMIF(ТабПозиции[orderNum],ТабЗаказы[[#This Row],[orderNum]],ТабПозиции[orderSumm]),"")</f>
        <v>1016</v>
      </c>
      <c r="G302" s="18">
        <f>SUMIF(ТабПозиции[orderNum],ТабЗаказы[[#This Row],[orderNum]],ТабПозиции[deliverySumm])</f>
        <v>200</v>
      </c>
      <c r="H302" s="18">
        <f>SUMIF(ТабПозиции[orderNum],ТабЗаказы[[#This Row],[orderNum]],ТабПозиции[totalSumm])</f>
        <v>1216</v>
      </c>
      <c r="I302" s="18" t="str">
        <f>IFERROR(VLOOKUP(ТабЗаказы[[#This Row],[orderNum]],ТабПозиции[#Data],22,0),"")</f>
        <v>true</v>
      </c>
    </row>
    <row r="303" spans="1:9" x14ac:dyDescent="0.25">
      <c r="A303">
        <f t="shared" si="6"/>
        <v>302</v>
      </c>
      <c r="B303" s="1">
        <v>45584</v>
      </c>
      <c r="C303" t="s">
        <v>231</v>
      </c>
      <c r="D303" t="str">
        <f>VLOOKUP(ТабЗаказы[[#This Row],[client]],ТабКлиенты[[name]:[_id]],2,0)</f>
        <v>67f56eca575fff8fe23c7a59</v>
      </c>
      <c r="E303">
        <f>IFERROR(IF(ТабЗаказы[[#This Row],[orderSumm]]&gt;10000,10,VLOOKUP(ТабЗаказы[[#This Row],[client]],ТабКлиенты[[name]:[percent]],MATCH(E$1,ТабКлиенты[#Headers],0),0)),"")</f>
        <v>15</v>
      </c>
      <c r="F303" s="18">
        <f>IFERROR(SUMIF(ТабПозиции[orderNum],ТабЗаказы[[#This Row],[orderNum]],ТабПозиции[orderSumm]),"")</f>
        <v>4381</v>
      </c>
      <c r="G303" s="18">
        <f>SUMIF(ТабПозиции[orderNum],ТабЗаказы[[#This Row],[orderNum]],ТабПозиции[deliverySumm])</f>
        <v>657</v>
      </c>
      <c r="H303" s="18">
        <f>SUMIF(ТабПозиции[orderNum],ТабЗаказы[[#This Row],[orderNum]],ТабПозиции[totalSumm])</f>
        <v>5038</v>
      </c>
      <c r="I303" s="18" t="str">
        <f>IFERROR(VLOOKUP(ТабЗаказы[[#This Row],[orderNum]],ТабПозиции[#Data],22,0),"")</f>
        <v>true</v>
      </c>
    </row>
    <row r="304" spans="1:9" x14ac:dyDescent="0.25">
      <c r="A304">
        <f t="shared" si="6"/>
        <v>303</v>
      </c>
      <c r="B304" s="1">
        <v>45585</v>
      </c>
      <c r="C304" t="s">
        <v>210</v>
      </c>
      <c r="D304" t="str">
        <f>VLOOKUP(ТабЗаказы[[#This Row],[client]],ТабКлиенты[[name]:[_id]],2,0)</f>
        <v>67f56eca575fff8fe23c7a52</v>
      </c>
      <c r="E304">
        <f>IFERROR(IF(ТабЗаказы[[#This Row],[orderSumm]]&gt;10000,10,VLOOKUP(ТабЗаказы[[#This Row],[client]],ТабКлиенты[[name]:[percent]],MATCH(E$1,ТабКлиенты[#Headers],0),0)),"")</f>
        <v>10</v>
      </c>
      <c r="F304" s="18">
        <f>IFERROR(SUMIF(ТабПозиции[orderNum],ТабЗаказы[[#This Row],[orderNum]],ТабПозиции[orderSumm]),"")</f>
        <v>11200</v>
      </c>
      <c r="G304" s="18">
        <f>SUMIF(ТабПозиции[orderNum],ТабЗаказы[[#This Row],[orderNum]],ТабПозиции[deliverySumm])</f>
        <v>1119</v>
      </c>
      <c r="H304" s="18">
        <f>SUMIF(ТабПозиции[orderNum],ТабЗаказы[[#This Row],[orderNum]],ТабПозиции[totalSumm])</f>
        <v>12319</v>
      </c>
      <c r="I304" s="18" t="str">
        <f>IFERROR(VLOOKUP(ТабЗаказы[[#This Row],[orderNum]],ТабПозиции[#Data],22,0),"")</f>
        <v>true</v>
      </c>
    </row>
    <row r="305" spans="1:9" x14ac:dyDescent="0.25">
      <c r="A305">
        <f t="shared" si="6"/>
        <v>304</v>
      </c>
      <c r="B305" s="1">
        <v>45585</v>
      </c>
      <c r="C305" t="s">
        <v>1502</v>
      </c>
      <c r="D305" t="str">
        <f>VLOOKUP(ТабЗаказы[[#This Row],[client]],ТабКлиенты[[name]:[_id]],2,0)</f>
        <v>67f56eca575fff8fe23c7a28</v>
      </c>
      <c r="E305">
        <f>IFERROR(IF(ТабЗаказы[[#This Row],[orderSumm]]&gt;10000,10,VLOOKUP(ТабЗаказы[[#This Row],[client]],ТабКлиенты[[name]:[percent]],MATCH(E$1,ТабКлиенты[#Headers],0),0)),"")</f>
        <v>15</v>
      </c>
      <c r="F305" s="18">
        <f>IFERROR(SUMIF(ТабПозиции[orderNum],ТабЗаказы[[#This Row],[orderNum]],ТабПозиции[orderSumm]),"")</f>
        <v>3313</v>
      </c>
      <c r="G305" s="18">
        <f>SUMIF(ТабПозиции[orderNum],ТабЗаказы[[#This Row],[orderNum]],ТабПозиции[deliverySumm])</f>
        <v>497</v>
      </c>
      <c r="H305" s="18">
        <f>SUMIF(ТабПозиции[orderNum],ТабЗаказы[[#This Row],[orderNum]],ТабПозиции[totalSumm])</f>
        <v>3810</v>
      </c>
      <c r="I305" s="18" t="str">
        <f>IFERROR(VLOOKUP(ТабЗаказы[[#This Row],[orderNum]],ТабПозиции[#Data],22,0),"")</f>
        <v>true</v>
      </c>
    </row>
    <row r="306" spans="1:9" x14ac:dyDescent="0.25">
      <c r="A306">
        <f t="shared" si="6"/>
        <v>305</v>
      </c>
      <c r="B306" s="1">
        <v>45586</v>
      </c>
      <c r="C306" t="s">
        <v>204</v>
      </c>
      <c r="D306" t="str">
        <f>VLOOKUP(ТабЗаказы[[#This Row],[client]],ТабКлиенты[[name]:[_id]],2,0)</f>
        <v>67f56eca575fff8fe23c7a50</v>
      </c>
      <c r="E306">
        <f>IFERROR(IF(ТабЗаказы[[#This Row],[orderSumm]]&gt;10000,10,VLOOKUP(ТабЗаказы[[#This Row],[client]],ТабКлиенты[[name]:[percent]],MATCH(E$1,ТабКлиенты[#Headers],0),0)),"")</f>
        <v>10</v>
      </c>
      <c r="F306" s="18">
        <f>IFERROR(SUMIF(ТабПозиции[orderNum],ТабЗаказы[[#This Row],[orderNum]],ТабПозиции[orderSumm]),"")</f>
        <v>1701</v>
      </c>
      <c r="G306" s="18">
        <f>SUMIF(ТабПозиции[orderNum],ТабЗаказы[[#This Row],[orderNum]],ТабПозиции[deliverySumm])</f>
        <v>171</v>
      </c>
      <c r="H306" s="18">
        <f>SUMIF(ТабПозиции[orderNum],ТабЗаказы[[#This Row],[orderNum]],ТабПозиции[totalSumm])</f>
        <v>1872</v>
      </c>
      <c r="I306" s="18" t="str">
        <f>IFERROR(VLOOKUP(ТабЗаказы[[#This Row],[orderNum]],ТабПозиции[#Data],22,0),"")</f>
        <v>true</v>
      </c>
    </row>
    <row r="307" spans="1:9" x14ac:dyDescent="0.25">
      <c r="A307">
        <f t="shared" si="6"/>
        <v>306</v>
      </c>
      <c r="B307" s="1">
        <v>45588</v>
      </c>
      <c r="C307" t="s">
        <v>445</v>
      </c>
      <c r="D307" t="str">
        <f>VLOOKUP(ТабЗаказы[[#This Row],[client]],ТабКлиенты[[name]:[_id]],2,0)</f>
        <v>67f56eca575fff8fe23c7a96</v>
      </c>
      <c r="E307">
        <f>IFERROR(IF(ТабЗаказы[[#This Row],[orderSumm]]&gt;10000,10,VLOOKUP(ТабЗаказы[[#This Row],[client]],ТабКлиенты[[name]:[percent]],MATCH(E$1,ТабКлиенты[#Headers],0),0)),"")</f>
        <v>15</v>
      </c>
      <c r="F307" s="18">
        <f>IFERROR(SUMIF(ТабПозиции[orderNum],ТабЗаказы[[#This Row],[orderNum]],ТабПозиции[orderSumm]),"")</f>
        <v>2482</v>
      </c>
      <c r="G307" s="18">
        <f>SUMIF(ТабПозиции[orderNum],ТабЗаказы[[#This Row],[orderNum]],ТабПозиции[deliverySumm])</f>
        <v>372</v>
      </c>
      <c r="H307" s="18">
        <f>SUMIF(ТабПозиции[orderNum],ТабЗаказы[[#This Row],[orderNum]],ТабПозиции[totalSumm])</f>
        <v>2854</v>
      </c>
      <c r="I307" s="18" t="str">
        <f>IFERROR(VLOOKUP(ТабЗаказы[[#This Row],[orderNum]],ТабПозиции[#Data],22,0),"")</f>
        <v>true</v>
      </c>
    </row>
    <row r="308" spans="1:9" x14ac:dyDescent="0.25">
      <c r="A308">
        <f t="shared" si="6"/>
        <v>307</v>
      </c>
      <c r="B308" s="1">
        <v>45588</v>
      </c>
      <c r="C308" t="s">
        <v>357</v>
      </c>
      <c r="D308" t="str">
        <f>VLOOKUP(ТабЗаказы[[#This Row],[client]],ТабКлиенты[[name]:[_id]],2,0)</f>
        <v>67f56eca575fff8fe23c7a7d</v>
      </c>
      <c r="E308">
        <f>IFERROR(IF(ТабЗаказы[[#This Row],[orderSumm]]&gt;10000,10,VLOOKUP(ТабЗаказы[[#This Row],[client]],ТабКлиенты[[name]:[percent]],MATCH(E$1,ТабКлиенты[#Headers],0),0)),"")</f>
        <v>15</v>
      </c>
      <c r="F308" s="18">
        <f>IFERROR(SUMIF(ТабПозиции[orderNum],ТабЗаказы[[#This Row],[orderNum]],ТабПозиции[orderSumm]),"")</f>
        <v>3524</v>
      </c>
      <c r="G308" s="18">
        <f>SUMIF(ТабПозиции[orderNum],ТабЗаказы[[#This Row],[orderNum]],ТабПозиции[deliverySumm])</f>
        <v>529</v>
      </c>
      <c r="H308" s="18">
        <f>SUMIF(ТабПозиции[orderNum],ТабЗаказы[[#This Row],[orderNum]],ТабПозиции[totalSumm])</f>
        <v>4053</v>
      </c>
      <c r="I308" s="18" t="str">
        <f>IFERROR(VLOOKUP(ТабЗаказы[[#This Row],[orderNum]],ТабПозиции[#Data],22,0),"")</f>
        <v>true</v>
      </c>
    </row>
    <row r="309" spans="1:9" x14ac:dyDescent="0.25">
      <c r="A309">
        <f t="shared" si="6"/>
        <v>308</v>
      </c>
      <c r="B309" s="1">
        <v>45590</v>
      </c>
      <c r="C309" t="s">
        <v>112</v>
      </c>
      <c r="D309" t="str">
        <f>VLOOKUP(ТабЗаказы[[#This Row],[client]],ТабКлиенты[[name]:[_id]],2,0)</f>
        <v>67f56eca575fff8fe23c7a2f</v>
      </c>
      <c r="E309">
        <f>IFERROR(IF(ТабЗаказы[[#This Row],[orderSumm]]&gt;10000,10,VLOOKUP(ТабЗаказы[[#This Row],[client]],ТабКлиенты[[name]:[percent]],MATCH(E$1,ТабКлиенты[#Headers],0),0)),"")</f>
        <v>15</v>
      </c>
      <c r="F309" s="18">
        <f>IFERROR(SUMIF(ТабПозиции[orderNum],ТабЗаказы[[#This Row],[orderNum]],ТабПозиции[orderSumm]),"")</f>
        <v>1</v>
      </c>
      <c r="G309" s="18">
        <f>SUMIF(ТабПозиции[orderNum],ТабЗаказы[[#This Row],[orderNum]],ТабПозиции[deliverySumm])</f>
        <v>200</v>
      </c>
      <c r="H309" s="18">
        <f>SUMIF(ТабПозиции[orderNum],ТабЗаказы[[#This Row],[orderNum]],ТабПозиции[totalSumm])</f>
        <v>200</v>
      </c>
      <c r="I309" s="18" t="str">
        <f>IFERROR(VLOOKUP(ТабЗаказы[[#This Row],[orderNum]],ТабПозиции[#Data],22,0),"")</f>
        <v>true</v>
      </c>
    </row>
    <row r="310" spans="1:9" x14ac:dyDescent="0.25">
      <c r="A310">
        <f t="shared" si="6"/>
        <v>309</v>
      </c>
      <c r="B310" s="1">
        <v>45590</v>
      </c>
      <c r="C310" t="s">
        <v>1629</v>
      </c>
      <c r="D310" t="str">
        <f>VLOOKUP(ТабЗаказы[[#This Row],[client]],ТабКлиенты[[name]:[_id]],2,0)</f>
        <v>67f56eca575fff8fe23c7ac0</v>
      </c>
      <c r="E310">
        <f>IFERROR(IF(ТабЗаказы[[#This Row],[orderSumm]]&gt;10000,10,VLOOKUP(ТабЗаказы[[#This Row],[client]],ТабКлиенты[[name]:[percent]],MATCH(E$1,ТабКлиенты[#Headers],0),0)),"")</f>
        <v>15</v>
      </c>
      <c r="F310" s="18">
        <f>IFERROR(SUMIF(ТабПозиции[orderNum],ТабЗаказы[[#This Row],[orderNum]],ТабПозиции[orderSumm]),"")</f>
        <v>3712</v>
      </c>
      <c r="G310" s="18">
        <f>SUMIF(ТабПозиции[orderNum],ТабЗаказы[[#This Row],[orderNum]],ТабПозиции[deliverySumm])</f>
        <v>557</v>
      </c>
      <c r="H310" s="18">
        <f>SUMIF(ТабПозиции[orderNum],ТабЗаказы[[#This Row],[orderNum]],ТабПозиции[totalSumm])</f>
        <v>557</v>
      </c>
      <c r="I310" s="18" t="str">
        <f>IFERROR(VLOOKUP(ТабЗаказы[[#This Row],[orderNum]],ТабПозиции[#Data],22,0),"")</f>
        <v>true</v>
      </c>
    </row>
    <row r="311" spans="1:9" x14ac:dyDescent="0.25">
      <c r="A311">
        <f t="shared" si="6"/>
        <v>310</v>
      </c>
      <c r="B311" s="1">
        <v>45592</v>
      </c>
      <c r="C311" t="s">
        <v>204</v>
      </c>
      <c r="D311" t="str">
        <f>VLOOKUP(ТабЗаказы[[#This Row],[client]],ТабКлиенты[[name]:[_id]],2,0)</f>
        <v>67f56eca575fff8fe23c7a50</v>
      </c>
      <c r="E311">
        <f>IFERROR(IF(ТабЗаказы[[#This Row],[orderSumm]]&gt;10000,10,VLOOKUP(ТабЗаказы[[#This Row],[client]],ТабКлиенты[[name]:[percent]],MATCH(E$1,ТабКлиенты[#Headers],0),0)),"")</f>
        <v>10</v>
      </c>
      <c r="F311" s="18">
        <f>IFERROR(SUMIF(ТабПозиции[orderNum],ТабЗаказы[[#This Row],[orderNum]],ТабПозиции[orderSumm]),"")</f>
        <v>3067</v>
      </c>
      <c r="G311" s="18">
        <f>SUMIF(ТабПозиции[orderNum],ТабЗаказы[[#This Row],[orderNum]],ТабПозиции[deliverySumm])</f>
        <v>307</v>
      </c>
      <c r="H311" s="18">
        <f>SUMIF(ТабПозиции[orderNum],ТабЗаказы[[#This Row],[orderNum]],ТабПозиции[totalSumm])</f>
        <v>3374</v>
      </c>
      <c r="I311" s="18" t="str">
        <f>IFERROR(VLOOKUP(ТабЗаказы[[#This Row],[orderNum]],ТабПозиции[#Data],22,0),"")</f>
        <v>true</v>
      </c>
    </row>
    <row r="312" spans="1:9" x14ac:dyDescent="0.25">
      <c r="A312">
        <f t="shared" si="6"/>
        <v>311</v>
      </c>
      <c r="B312" s="1">
        <v>45593</v>
      </c>
      <c r="C312" t="s">
        <v>108</v>
      </c>
      <c r="D312" t="str">
        <f>VLOOKUP(ТабЗаказы[[#This Row],[client]],ТабКлиенты[[name]:[_id]],2,0)</f>
        <v>67f56eca575fff8fe23c7a2e</v>
      </c>
      <c r="E312">
        <f>IFERROR(IF(ТабЗаказы[[#This Row],[orderSumm]]&gt;10000,10,VLOOKUP(ТабЗаказы[[#This Row],[client]],ТабКлиенты[[name]:[percent]],MATCH(E$1,ТабКлиенты[#Headers],0),0)),"")</f>
        <v>15</v>
      </c>
      <c r="F312" s="18">
        <f>IFERROR(SUMIF(ТабПозиции[orderNum],ТабЗаказы[[#This Row],[orderNum]],ТабПозиции[orderSumm]),"")</f>
        <v>3000</v>
      </c>
      <c r="G312" s="18">
        <f>SUMIF(ТабПозиции[orderNum],ТабЗаказы[[#This Row],[orderNum]],ТабПозиции[deliverySumm])</f>
        <v>450</v>
      </c>
      <c r="H312" s="18">
        <f>SUMIF(ТабПозиции[orderNum],ТабЗаказы[[#This Row],[orderNum]],ТабПозиции[totalSumm])</f>
        <v>3850</v>
      </c>
      <c r="I312" s="18" t="str">
        <f>IFERROR(VLOOKUP(ТабЗаказы[[#This Row],[orderNum]],ТабПозиции[#Data],22,0),"")</f>
        <v>true</v>
      </c>
    </row>
    <row r="313" spans="1:9" x14ac:dyDescent="0.25">
      <c r="A313">
        <f t="shared" si="6"/>
        <v>312</v>
      </c>
      <c r="B313" s="1">
        <v>45593</v>
      </c>
      <c r="C313" t="s">
        <v>287</v>
      </c>
      <c r="D313" t="str">
        <f>VLOOKUP(ТабЗаказы[[#This Row],[client]],ТабКлиенты[[name]:[_id]],2,0)</f>
        <v>67f56eca575fff8fe23c7a68</v>
      </c>
      <c r="E313">
        <f>IFERROR(IF(ТабЗаказы[[#This Row],[orderSumm]]&gt;10000,10,VLOOKUP(ТабЗаказы[[#This Row],[client]],ТабКлиенты[[name]:[percent]],MATCH(E$1,ТабКлиенты[#Headers],0),0)),"")</f>
        <v>15</v>
      </c>
      <c r="F313" s="18">
        <f>IFERROR(SUMIF(ТабПозиции[orderNum],ТабЗаказы[[#This Row],[orderNum]],ТабПозиции[orderSumm]),"")</f>
        <v>4728</v>
      </c>
      <c r="G313" s="18">
        <f>SUMIF(ТабПозиции[orderNum],ТабЗаказы[[#This Row],[orderNum]],ТабПозиции[deliverySumm])</f>
        <v>710</v>
      </c>
      <c r="H313" s="18">
        <f>SUMIF(ТабПозиции[orderNum],ТабЗаказы[[#This Row],[orderNum]],ТабПозиции[totalSumm])</f>
        <v>5438</v>
      </c>
      <c r="I313" s="18" t="str">
        <f>IFERROR(VLOOKUP(ТабЗаказы[[#This Row],[orderNum]],ТабПозиции[#Data],22,0),"")</f>
        <v>true</v>
      </c>
    </row>
    <row r="314" spans="1:9" x14ac:dyDescent="0.25">
      <c r="A314">
        <f t="shared" si="6"/>
        <v>313</v>
      </c>
      <c r="B314" s="1">
        <v>45593</v>
      </c>
      <c r="C314" t="s">
        <v>123</v>
      </c>
      <c r="D314" t="str">
        <f>VLOOKUP(ТабЗаказы[[#This Row],[client]],ТабКлиенты[[name]:[_id]],2,0)</f>
        <v>67f56eca575fff8fe23c7a32</v>
      </c>
      <c r="E314">
        <f>IFERROR(IF(ТабЗаказы[[#This Row],[orderSumm]]&gt;10000,10,VLOOKUP(ТабЗаказы[[#This Row],[client]],ТабКлиенты[[name]:[percent]],MATCH(E$1,ТабКлиенты[#Headers],0),0)),"")</f>
        <v>15</v>
      </c>
      <c r="F314" s="18">
        <f>IFERROR(SUMIF(ТабПозиции[orderNum],ТабЗаказы[[#This Row],[orderNum]],ТабПозиции[orderSumm]),"")</f>
        <v>4750</v>
      </c>
      <c r="G314" s="18">
        <f>SUMIF(ТабПозиции[orderNum],ТабЗаказы[[#This Row],[orderNum]],ТабПозиции[deliverySumm])</f>
        <v>712</v>
      </c>
      <c r="H314" s="18">
        <f>SUMIF(ТабПозиции[orderNum],ТабЗаказы[[#This Row],[orderNum]],ТабПозиции[totalSumm])</f>
        <v>5462</v>
      </c>
      <c r="I314" s="18" t="str">
        <f>IFERROR(VLOOKUP(ТабЗаказы[[#This Row],[orderNum]],ТабПозиции[#Data],22,0),"")</f>
        <v>true</v>
      </c>
    </row>
    <row r="315" spans="1:9" x14ac:dyDescent="0.25">
      <c r="A315">
        <f t="shared" si="6"/>
        <v>314</v>
      </c>
      <c r="B315" s="1">
        <v>45594</v>
      </c>
      <c r="C315" t="s">
        <v>445</v>
      </c>
      <c r="D315" t="str">
        <f>VLOOKUP(ТабЗаказы[[#This Row],[client]],ТабКлиенты[[name]:[_id]],2,0)</f>
        <v>67f56eca575fff8fe23c7a96</v>
      </c>
      <c r="E315">
        <f>IFERROR(IF(ТабЗаказы[[#This Row],[orderSumm]]&gt;10000,10,VLOOKUP(ТабЗаказы[[#This Row],[client]],ТабКлиенты[[name]:[percent]],MATCH(E$1,ТабКлиенты[#Headers],0),0)),"")</f>
        <v>15</v>
      </c>
      <c r="F315" s="18">
        <f>IFERROR(SUMIF(ТабПозиции[orderNum],ТабЗаказы[[#This Row],[orderNum]],ТабПозиции[orderSumm]),"")</f>
        <v>1791</v>
      </c>
      <c r="G315" s="18">
        <f>SUMIF(ТабПозиции[orderNum],ТабЗаказы[[#This Row],[orderNum]],ТабПозиции[deliverySumm])</f>
        <v>267</v>
      </c>
      <c r="H315" s="18">
        <f>SUMIF(ТабПозиции[orderNum],ТабЗаказы[[#This Row],[orderNum]],ТабПозиции[totalSumm])</f>
        <v>2058</v>
      </c>
      <c r="I315" s="18" t="str">
        <f>IFERROR(VLOOKUP(ТабЗаказы[[#This Row],[orderNum]],ТабПозиции[#Data],22,0),"")</f>
        <v>true</v>
      </c>
    </row>
    <row r="316" spans="1:9" x14ac:dyDescent="0.25">
      <c r="A316">
        <f t="shared" si="6"/>
        <v>315</v>
      </c>
      <c r="B316" s="1">
        <v>45594</v>
      </c>
      <c r="C316" t="s">
        <v>1523</v>
      </c>
      <c r="D316" t="str">
        <f>VLOOKUP(ТабЗаказы[[#This Row],[client]],ТабКлиенты[[name]:[_id]],2,0)</f>
        <v>67f56eca575fff8fe23c7abb</v>
      </c>
      <c r="E316">
        <v>15</v>
      </c>
      <c r="F316" s="18">
        <f>IFERROR(SUMIF(ТабПозиции[orderNum],ТабЗаказы[[#This Row],[orderNum]],ТабПозиции[orderSumm]),"")</f>
        <v>3091</v>
      </c>
      <c r="G316" s="18">
        <f>SUMIF(ТабПозиции[orderNum],ТабЗаказы[[#This Row],[orderNum]],ТабПозиции[deliverySumm])</f>
        <v>464</v>
      </c>
      <c r="H316" s="18">
        <f>SUMIF(ТабПозиции[orderNum],ТабЗаказы[[#This Row],[orderNum]],ТабПозиции[totalSumm])</f>
        <v>3555</v>
      </c>
      <c r="I316" s="18" t="str">
        <f>IFERROR(VLOOKUP(ТабЗаказы[[#This Row],[orderNum]],ТабПозиции[#Data],22,0),"")</f>
        <v>true</v>
      </c>
    </row>
    <row r="317" spans="1:9" x14ac:dyDescent="0.25">
      <c r="A317">
        <f t="shared" si="6"/>
        <v>316</v>
      </c>
      <c r="B317" s="1">
        <v>45595</v>
      </c>
      <c r="C317" t="s">
        <v>283</v>
      </c>
      <c r="D317" t="str">
        <f>VLOOKUP(ТабЗаказы[[#This Row],[client]],ТабКлиенты[[name]:[_id]],2,0)</f>
        <v>67f56eca575fff8fe23c7a67</v>
      </c>
      <c r="E317">
        <f>IFERROR(IF(ТабЗаказы[[#This Row],[orderSumm]]&gt;10000,10,VLOOKUP(ТабЗаказы[[#This Row],[client]],ТабКлиенты[[name]:[percent]],MATCH(E$1,ТабКлиенты[#Headers],0),0)),"")</f>
        <v>15</v>
      </c>
      <c r="F317" s="18">
        <f>IFERROR(SUMIF(ТабПозиции[orderNum],ТабЗаказы[[#This Row],[orderNum]],ТабПозиции[orderSumm]),"")</f>
        <v>4417</v>
      </c>
      <c r="G317" s="18">
        <f>SUMIF(ТабПозиции[orderNum],ТабЗаказы[[#This Row],[orderNum]],ТабПозиции[deliverySumm])</f>
        <v>662</v>
      </c>
      <c r="H317" s="18">
        <f>SUMIF(ТабПозиции[orderNum],ТабЗаказы[[#This Row],[orderNum]],ТабПозиции[totalSumm])</f>
        <v>5729</v>
      </c>
      <c r="I317" s="18" t="str">
        <f>IFERROR(VLOOKUP(ТабЗаказы[[#This Row],[orderNum]],ТабПозиции[#Data],22,0),"")</f>
        <v>true</v>
      </c>
    </row>
    <row r="318" spans="1:9" x14ac:dyDescent="0.25">
      <c r="A318">
        <f t="shared" si="6"/>
        <v>317</v>
      </c>
      <c r="B318" s="1">
        <v>45596</v>
      </c>
      <c r="C318" t="s">
        <v>445</v>
      </c>
      <c r="D318" t="str">
        <f>VLOOKUP(ТабЗаказы[[#This Row],[client]],ТабКлиенты[[name]:[_id]],2,0)</f>
        <v>67f56eca575fff8fe23c7a96</v>
      </c>
      <c r="E318">
        <f>IFERROR(IF(ТабЗаказы[[#This Row],[orderSumm]]&gt;10000,10,VLOOKUP(ТабЗаказы[[#This Row],[client]],ТабКлиенты[[name]:[percent]],MATCH(E$1,ТабКлиенты[#Headers],0),0)),"")</f>
        <v>15</v>
      </c>
      <c r="F318" s="18">
        <f>IFERROR(SUMIF(ТабПозиции[orderNum],ТабЗаказы[[#This Row],[orderNum]],ТабПозиции[orderSumm]),"")</f>
        <v>3655</v>
      </c>
      <c r="G318" s="18">
        <f>SUMIF(ТабПозиции[orderNum],ТабЗаказы[[#This Row],[orderNum]],ТабПозиции[deliverySumm])</f>
        <v>549</v>
      </c>
      <c r="H318" s="18">
        <f>SUMIF(ТабПозиции[orderNum],ТабЗаказы[[#This Row],[orderNum]],ТабПозиции[totalSumm])</f>
        <v>4204</v>
      </c>
      <c r="I318" s="18" t="str">
        <f>IFERROR(VLOOKUP(ТабЗаказы[[#This Row],[orderNum]],ТабПозиции[#Data],22,0),"")</f>
        <v>true</v>
      </c>
    </row>
    <row r="319" spans="1:9" x14ac:dyDescent="0.25">
      <c r="A319">
        <f t="shared" si="6"/>
        <v>318</v>
      </c>
      <c r="B319" s="1">
        <v>45596</v>
      </c>
      <c r="C319" t="s">
        <v>231</v>
      </c>
      <c r="D319" t="str">
        <f>VLOOKUP(ТабЗаказы[[#This Row],[client]],ТабКлиенты[[name]:[_id]],2,0)</f>
        <v>67f56eca575fff8fe23c7a59</v>
      </c>
      <c r="E319">
        <f>IFERROR(IF(ТабЗаказы[[#This Row],[orderSumm]]&gt;10000,10,VLOOKUP(ТабЗаказы[[#This Row],[client]],ТабКлиенты[[name]:[percent]],MATCH(E$1,ТабКлиенты[#Headers],0),0)),"")</f>
        <v>15</v>
      </c>
      <c r="F319" s="18">
        <f>IFERROR(SUMIF(ТабПозиции[orderNum],ТабЗаказы[[#This Row],[orderNum]],ТабПозиции[orderSumm]),"")</f>
        <v>1647</v>
      </c>
      <c r="G319" s="18">
        <f>SUMIF(ТабПозиции[orderNum],ТабЗаказы[[#This Row],[orderNum]],ТабПозиции[deliverySumm])</f>
        <v>247</v>
      </c>
      <c r="H319" s="18">
        <f>SUMIF(ТабПозиции[orderNum],ТабЗаказы[[#This Row],[orderNum]],ТабПозиции[totalSumm])</f>
        <v>1894</v>
      </c>
      <c r="I319" s="18" t="str">
        <f>IFERROR(VLOOKUP(ТабЗаказы[[#This Row],[orderNum]],ТабПозиции[#Data],22,0),"")</f>
        <v>true</v>
      </c>
    </row>
    <row r="320" spans="1:9" x14ac:dyDescent="0.25">
      <c r="A320">
        <f t="shared" si="6"/>
        <v>319</v>
      </c>
      <c r="B320" s="1">
        <v>45596</v>
      </c>
      <c r="C320" t="s">
        <v>1771</v>
      </c>
      <c r="D320" t="str">
        <f>VLOOKUP(ТабЗаказы[[#This Row],[client]],ТабКлиенты[[name]:[_id]],2,0)</f>
        <v>67f56eca575fff8fe23c7ac6</v>
      </c>
      <c r="E320">
        <f>IFERROR(IF(ТабЗаказы[[#This Row],[orderSumm]]&gt;10000,10,VLOOKUP(ТабЗаказы[[#This Row],[client]],ТабКлиенты[[name]:[percent]],MATCH(E$1,ТабКлиенты[#Headers],0),0)),"")</f>
        <v>15</v>
      </c>
      <c r="F320" s="18">
        <f>IFERROR(SUMIF(ТабПозиции[orderNum],ТабЗаказы[[#This Row],[orderNum]],ТабПозиции[orderSumm]),"")</f>
        <v>1843</v>
      </c>
      <c r="G320" s="18">
        <f>SUMIF(ТабПозиции[orderNum],ТабЗаказы[[#This Row],[orderNum]],ТабПозиции[deliverySumm])</f>
        <v>277</v>
      </c>
      <c r="H320" s="18">
        <f>SUMIF(ТабПозиции[orderNum],ТабЗаказы[[#This Row],[orderNum]],ТабПозиции[totalSumm])</f>
        <v>2120</v>
      </c>
      <c r="I320" s="18" t="str">
        <f>IFERROR(VLOOKUP(ТабЗаказы[[#This Row],[orderNum]],ТабПозиции[#Data],22,0),"")</f>
        <v>true</v>
      </c>
    </row>
    <row r="321" spans="1:9" x14ac:dyDescent="0.25">
      <c r="A321">
        <f t="shared" si="6"/>
        <v>320</v>
      </c>
      <c r="B321" s="1">
        <v>45597</v>
      </c>
      <c r="C321" t="s">
        <v>104</v>
      </c>
      <c r="D321" t="str">
        <f>VLOOKUP(ТабЗаказы[[#This Row],[client]],ТабКлиенты[[name]:[_id]],2,0)</f>
        <v>67f56eca575fff8fe23c7a2d</v>
      </c>
      <c r="E321">
        <f>IFERROR(IF(ТабЗаказы[[#This Row],[orderSumm]]&gt;10000,10,VLOOKUP(ТабЗаказы[[#This Row],[client]],ТабКлиенты[[name]:[percent]],MATCH(E$1,ТабКлиенты[#Headers],0),0)),"")</f>
        <v>10</v>
      </c>
      <c r="F321" s="18">
        <f>IFERROR(SUMIF(ТабПозиции[orderNum],ТабЗаказы[[#This Row],[orderNum]],ТабПозиции[orderSumm]),"")</f>
        <v>100695</v>
      </c>
      <c r="G321" s="18">
        <f>SUMIF(ТабПозиции[orderNum],ТабЗаказы[[#This Row],[orderNum]],ТабПозиции[deliverySumm])</f>
        <v>10070</v>
      </c>
      <c r="H321" s="18">
        <f>SUMIF(ТабПозиции[orderNum],ТабЗаказы[[#This Row],[orderNum]],ТабПозиции[totalSumm])</f>
        <v>10710</v>
      </c>
      <c r="I321" s="18" t="str">
        <f>IFERROR(VLOOKUP(ТабЗаказы[[#This Row],[orderNum]],ТабПозиции[#Data],22,0),"")</f>
        <v>true</v>
      </c>
    </row>
    <row r="322" spans="1:9" x14ac:dyDescent="0.25">
      <c r="A322">
        <f t="shared" si="6"/>
        <v>321</v>
      </c>
      <c r="B322" s="1">
        <v>45597</v>
      </c>
      <c r="C322" t="s">
        <v>485</v>
      </c>
      <c r="D322" t="str">
        <f>VLOOKUP(ТабЗаказы[[#This Row],[client]],ТабКлиенты[[name]:[_id]],2,0)</f>
        <v>67f56eca575fff8fe23c7aa1</v>
      </c>
      <c r="E322">
        <f>IFERROR(IF(ТабЗаказы[[#This Row],[orderSumm]]&gt;10000,10,VLOOKUP(ТабЗаказы[[#This Row],[client]],ТабКлиенты[[name]:[percent]],MATCH(E$1,ТабКлиенты[#Headers],0),0)),"")</f>
        <v>15</v>
      </c>
      <c r="F322" s="18">
        <f>IFERROR(SUMIF(ТабПозиции[orderNum],ТабЗаказы[[#This Row],[orderNum]],ТабПозиции[orderSumm]),"")</f>
        <v>3366</v>
      </c>
      <c r="G322" s="18">
        <f>SUMIF(ТабПозиции[orderNum],ТабЗаказы[[#This Row],[orderNum]],ТабПозиции[deliverySumm])</f>
        <v>505</v>
      </c>
      <c r="H322" s="18">
        <f>SUMIF(ТабПозиции[orderNum],ТабЗаказы[[#This Row],[orderNum]],ТабПозиции[totalSumm])</f>
        <v>505</v>
      </c>
      <c r="I322" s="18" t="str">
        <f>IFERROR(VLOOKUP(ТабЗаказы[[#This Row],[orderNum]],ТабПозиции[#Data],22,0),"")</f>
        <v>true</v>
      </c>
    </row>
    <row r="323" spans="1:9" x14ac:dyDescent="0.25">
      <c r="A323">
        <f t="shared" si="6"/>
        <v>322</v>
      </c>
      <c r="B323" s="1">
        <v>45597</v>
      </c>
      <c r="C323" t="s">
        <v>1629</v>
      </c>
      <c r="D323" t="str">
        <f>VLOOKUP(ТабЗаказы[[#This Row],[client]],ТабКлиенты[[name]:[_id]],2,0)</f>
        <v>67f56eca575fff8fe23c7ac0</v>
      </c>
      <c r="E323">
        <f>IFERROR(IF(ТабЗаказы[[#This Row],[orderSumm]]&gt;10000,10,VLOOKUP(ТабЗаказы[[#This Row],[client]],ТабКлиенты[[name]:[percent]],MATCH(E$1,ТабКлиенты[#Headers],0),0)),"")</f>
        <v>15</v>
      </c>
      <c r="F323" s="18">
        <f>IFERROR(SUMIF(ТабПозиции[orderNum],ТабЗаказы[[#This Row],[orderNum]],ТабПозиции[orderSumm]),"")</f>
        <v>4219</v>
      </c>
      <c r="G323" s="18">
        <f>SUMIF(ТабПозиции[orderNum],ТабЗаказы[[#This Row],[orderNum]],ТабПозиции[deliverySumm])</f>
        <v>633</v>
      </c>
      <c r="H323" s="18">
        <f>SUMIF(ТабПозиции[orderNum],ТабЗаказы[[#This Row],[orderNum]],ТабПозиции[totalSumm])</f>
        <v>633</v>
      </c>
      <c r="I323" s="18" t="str">
        <f>IFERROR(VLOOKUP(ТабЗаказы[[#This Row],[orderNum]],ТабПозиции[#Data],22,0),"")</f>
        <v>true</v>
      </c>
    </row>
    <row r="324" spans="1:9" x14ac:dyDescent="0.25">
      <c r="A324">
        <f t="shared" si="6"/>
        <v>323</v>
      </c>
      <c r="B324" s="1">
        <v>45598</v>
      </c>
      <c r="C324" t="s">
        <v>1482</v>
      </c>
      <c r="D324" t="str">
        <f>VLOOKUP(ТабЗаказы[[#This Row],[client]],ТабКлиенты[[name]:[_id]],2,0)</f>
        <v>67f56eca575fff8fe23c7ab7</v>
      </c>
      <c r="E324">
        <f>IFERROR(IF(ТабЗаказы[[#This Row],[orderSumm]]&gt;10000,10,VLOOKUP(ТабЗаказы[[#This Row],[client]],ТабКлиенты[[name]:[percent]],MATCH(E$1,ТабКлиенты[#Headers],0),0)),"")</f>
        <v>10</v>
      </c>
      <c r="F324" s="18">
        <f>IFERROR(SUMIF(ТабПозиции[orderNum],ТабЗаказы[[#This Row],[orderNum]],ТабПозиции[orderSumm]),"")</f>
        <v>13452</v>
      </c>
      <c r="G324" s="18">
        <f>SUMIF(ТабПозиции[orderNum],ТабЗаказы[[#This Row],[orderNum]],ТабПозиции[deliverySumm])</f>
        <v>1347</v>
      </c>
      <c r="H324" s="18">
        <f>SUMIF(ТабПозиции[orderNum],ТабЗаказы[[#This Row],[orderNum]],ТабПозиции[totalSumm])</f>
        <v>14799</v>
      </c>
      <c r="I324" s="18" t="str">
        <f>IFERROR(VLOOKUP(ТабЗаказы[[#This Row],[orderNum]],ТабПозиции[#Data],22,0),"")</f>
        <v>true</v>
      </c>
    </row>
    <row r="325" spans="1:9" x14ac:dyDescent="0.25">
      <c r="A325">
        <f t="shared" si="6"/>
        <v>324</v>
      </c>
      <c r="B325" s="1">
        <v>45599</v>
      </c>
      <c r="C325" t="s">
        <v>1797</v>
      </c>
      <c r="D325" t="str">
        <f>VLOOKUP(ТабЗаказы[[#This Row],[client]],ТабКлиенты[[name]:[_id]],2,0)</f>
        <v>67f56eca575fff8fe23c7ac7</v>
      </c>
      <c r="E325">
        <v>10</v>
      </c>
      <c r="F325" s="18">
        <f>IFERROR(SUMIF(ТабПозиции[orderNum],ТабЗаказы[[#This Row],[orderNum]],ТабПозиции[orderSumm]),"")</f>
        <v>6376</v>
      </c>
      <c r="G325" s="18">
        <f>SUMIF(ТабПозиции[orderNum],ТабЗаказы[[#This Row],[orderNum]],ТабПозиции[deliverySumm])</f>
        <v>637</v>
      </c>
      <c r="H325" s="18">
        <f>SUMIF(ТабПозиции[orderNum],ТабЗаказы[[#This Row],[orderNum]],ТабПозиции[totalSumm])</f>
        <v>7013</v>
      </c>
      <c r="I325" s="18" t="str">
        <f>IFERROR(VLOOKUP(ТабЗаказы[[#This Row],[orderNum]],ТабПозиции[#Data],22,0),"")</f>
        <v>true</v>
      </c>
    </row>
    <row r="326" spans="1:9" x14ac:dyDescent="0.25">
      <c r="A326">
        <f t="shared" si="6"/>
        <v>325</v>
      </c>
      <c r="B326" s="1">
        <v>45600</v>
      </c>
      <c r="C326" t="s">
        <v>1808</v>
      </c>
      <c r="D326" t="str">
        <f>VLOOKUP(ТабЗаказы[[#This Row],[client]],ТабКлиенты[[name]:[_id]],2,0)</f>
        <v>67f56eca575fff8fe23c7ac8</v>
      </c>
      <c r="E326">
        <f>IFERROR(IF(ТабЗаказы[[#This Row],[orderSumm]]&gt;10000,10,VLOOKUP(ТабЗаказы[[#This Row],[client]],ТабКлиенты[[name]:[percent]],MATCH(E$1,ТабКлиенты[#Headers],0),0)),"")</f>
        <v>15</v>
      </c>
      <c r="F326" s="18">
        <f>IFERROR(SUMIF(ТабПозиции[orderNum],ТабЗаказы[[#This Row],[orderNum]],ТабПозиции[orderSumm]),"")</f>
        <v>1046</v>
      </c>
      <c r="G326" s="18">
        <f>SUMIF(ТабПозиции[orderNum],ТабЗаказы[[#This Row],[orderNum]],ТабПозиции[deliverySumm])</f>
        <v>200</v>
      </c>
      <c r="H326" s="18">
        <f>SUMIF(ТабПозиции[orderNum],ТабЗаказы[[#This Row],[orderNum]],ТабПозиции[totalSumm])</f>
        <v>1246</v>
      </c>
      <c r="I326" s="18" t="str">
        <f>IFERROR(VLOOKUP(ТабЗаказы[[#This Row],[orderNum]],ТабПозиции[#Data],22,0),"")</f>
        <v>true</v>
      </c>
    </row>
    <row r="327" spans="1:9" x14ac:dyDescent="0.25">
      <c r="A327">
        <f t="shared" si="6"/>
        <v>326</v>
      </c>
      <c r="B327" s="1">
        <v>46020</v>
      </c>
      <c r="C327" t="s">
        <v>1482</v>
      </c>
      <c r="D327" t="str">
        <f>VLOOKUP(ТабЗаказы[[#This Row],[client]],ТабКлиенты[[name]:[_id]],2,0)</f>
        <v>67f56eca575fff8fe23c7ab7</v>
      </c>
      <c r="E327">
        <f>IFERROR(IF(ТабЗаказы[[#This Row],[orderSumm]]&gt;10000,10,VLOOKUP(ТабЗаказы[[#This Row],[client]],ТабКлиенты[[name]:[percent]],MATCH(E$1,ТабКлиенты[#Headers],0),0)),"")</f>
        <v>15</v>
      </c>
      <c r="F327" s="18">
        <f>IFERROR(SUMIF(ТабПозиции[orderNum],ТабЗаказы[[#This Row],[orderNum]],ТабПозиции[orderSumm]),"")</f>
        <v>2358</v>
      </c>
      <c r="G327" s="18">
        <f>SUMIF(ТабПозиции[orderNum],ТабЗаказы[[#This Row],[orderNum]],ТабПозиции[deliverySumm])</f>
        <v>354</v>
      </c>
      <c r="H327" s="18">
        <f>SUMIF(ТабПозиции[orderNum],ТабЗаказы[[#This Row],[orderNum]],ТабПозиции[totalSumm])</f>
        <v>2712</v>
      </c>
      <c r="I327" s="18" t="str">
        <f>IFERROR(VLOOKUP(ТабЗаказы[[#This Row],[orderNum]],ТабПозиции[#Data],22,0),"")</f>
        <v>true</v>
      </c>
    </row>
    <row r="328" spans="1:9" x14ac:dyDescent="0.25">
      <c r="A328">
        <f t="shared" si="6"/>
        <v>327</v>
      </c>
      <c r="B328" s="1">
        <v>45604</v>
      </c>
      <c r="C328" t="s">
        <v>1818</v>
      </c>
      <c r="D328" t="str">
        <f>VLOOKUP(ТабЗаказы[[#This Row],[client]],ТабКлиенты[[name]:[_id]],2,0)</f>
        <v>67f56eca575fff8fe23c7ac9</v>
      </c>
      <c r="E328">
        <f>IFERROR(IF(ТабЗаказы[[#This Row],[orderSumm]]&gt;10000,10,VLOOKUP(ТабЗаказы[[#This Row],[client]],ТабКлиенты[[name]:[percent]],MATCH(E$1,ТабКлиенты[#Headers],0),0)),"")</f>
        <v>10</v>
      </c>
      <c r="F328" s="18">
        <f>IFERROR(SUMIF(ТабПозиции[orderNum],ТабЗаказы[[#This Row],[orderNum]],ТабПозиции[orderSumm]),"")</f>
        <v>25600</v>
      </c>
      <c r="G328" s="18">
        <f>SUMIF(ТабПозиции[orderNum],ТабЗаказы[[#This Row],[orderNum]],ТабПозиции[deliverySumm])</f>
        <v>2560</v>
      </c>
      <c r="H328" s="18">
        <f>SUMIF(ТабПозиции[orderNum],ТабЗаказы[[#This Row],[orderNum]],ТабПозиции[totalSumm])</f>
        <v>2560</v>
      </c>
      <c r="I328" s="18" t="str">
        <f>IFERROR(VLOOKUP(ТабЗаказы[[#This Row],[orderNum]],ТабПозиции[#Data],22,0),"")</f>
        <v>true</v>
      </c>
    </row>
    <row r="329" spans="1:9" x14ac:dyDescent="0.25">
      <c r="A329">
        <f t="shared" si="6"/>
        <v>328</v>
      </c>
      <c r="B329" s="1">
        <v>45604</v>
      </c>
      <c r="C329" t="s">
        <v>295</v>
      </c>
      <c r="D329" t="str">
        <f>VLOOKUP(ТабЗаказы[[#This Row],[client]],ТабКлиенты[[name]:[_id]],2,0)</f>
        <v>67f56eca575fff8fe23c7a6b</v>
      </c>
      <c r="E329">
        <f>IFERROR(IF(ТабЗаказы[[#This Row],[orderSumm]]&gt;10000,10,VLOOKUP(ТабЗаказы[[#This Row],[client]],ТабКлиенты[[name]:[percent]],MATCH(E$1,ТабКлиенты[#Headers],0),0)),"")</f>
        <v>10</v>
      </c>
      <c r="F329" s="18">
        <f>IFERROR(SUMIF(ТабПозиции[orderNum],ТабЗаказы[[#This Row],[orderNum]],ТабПозиции[orderSumm]),"")</f>
        <v>15000</v>
      </c>
      <c r="G329" s="18">
        <f>SUMIF(ТабПозиции[orderNum],ТабЗаказы[[#This Row],[orderNum]],ТабПозиции[deliverySumm])</f>
        <v>1500</v>
      </c>
      <c r="H329" s="18">
        <f>SUMIF(ТабПозиции[orderNum],ТабЗаказы[[#This Row],[orderNum]],ТабПозиции[totalSumm])</f>
        <v>1500</v>
      </c>
      <c r="I329" s="18" t="str">
        <f>IFERROR(VLOOKUP(ТабЗаказы[[#This Row],[orderNum]],ТабПозиции[#Data],22,0),"")</f>
        <v>true</v>
      </c>
    </row>
    <row r="330" spans="1:9" x14ac:dyDescent="0.25">
      <c r="A330">
        <f t="shared" si="6"/>
        <v>329</v>
      </c>
      <c r="B330" s="1">
        <v>45604</v>
      </c>
      <c r="C330" t="s">
        <v>456</v>
      </c>
      <c r="D330" t="str">
        <f>VLOOKUP(ТабЗаказы[[#This Row],[client]],ТабКлиенты[[name]:[_id]],2,0)</f>
        <v>67f56eca575fff8fe23c7a99</v>
      </c>
      <c r="E330">
        <f>IFERROR(IF(ТабЗаказы[[#This Row],[orderSumm]]&gt;10000,10,VLOOKUP(ТабЗаказы[[#This Row],[client]],ТабКлиенты[[name]:[percent]],MATCH(E$1,ТабКлиенты[#Headers],0),0)),"")</f>
        <v>15</v>
      </c>
      <c r="F330" s="18">
        <f>IFERROR(SUMIF(ТабПозиции[orderNum],ТабЗаказы[[#This Row],[orderNum]],ТабПозиции[orderSumm]),"")</f>
        <v>5288</v>
      </c>
      <c r="G330" s="18">
        <f>SUMIF(ТабПозиции[orderNum],ТабЗаказы[[#This Row],[orderNum]],ТабПозиции[deliverySumm])</f>
        <v>793</v>
      </c>
      <c r="H330" s="18">
        <f>SUMIF(ТабПозиции[orderNum],ТабЗаказы[[#This Row],[orderNum]],ТабПозиции[totalSumm])</f>
        <v>793</v>
      </c>
      <c r="I330" s="18" t="str">
        <f>IFERROR(VLOOKUP(ТабЗаказы[[#This Row],[orderNum]],ТабПозиции[#Data],22,0),"")</f>
        <v>true</v>
      </c>
    </row>
    <row r="331" spans="1:9" x14ac:dyDescent="0.25">
      <c r="A331">
        <f t="shared" si="6"/>
        <v>330</v>
      </c>
      <c r="B331" s="1">
        <v>45604</v>
      </c>
      <c r="C331" t="s">
        <v>1629</v>
      </c>
      <c r="D331" t="str">
        <f>VLOOKUP(ТабЗаказы[[#This Row],[client]],ТабКлиенты[[name]:[_id]],2,0)</f>
        <v>67f56eca575fff8fe23c7ac0</v>
      </c>
      <c r="E331">
        <f>IFERROR(IF(ТабЗаказы[[#This Row],[orderSumm]]&gt;10000,10,VLOOKUP(ТабЗаказы[[#This Row],[client]],ТабКлиенты[[name]:[percent]],MATCH(E$1,ТабКлиенты[#Headers],0),0)),"")</f>
        <v>15</v>
      </c>
      <c r="F331" s="18">
        <f>IFERROR(SUMIF(ТабПозиции[orderNum],ТабЗаказы[[#This Row],[orderNum]],ТабПозиции[orderSumm]),"")</f>
        <v>1638</v>
      </c>
      <c r="G331" s="18">
        <f>SUMIF(ТабПозиции[orderNum],ТабЗаказы[[#This Row],[orderNum]],ТабПозиции[deliverySumm])</f>
        <v>246</v>
      </c>
      <c r="H331" s="18">
        <f>SUMIF(ТабПозиции[orderNum],ТабЗаказы[[#This Row],[orderNum]],ТабПозиции[totalSumm])</f>
        <v>246</v>
      </c>
      <c r="I331" s="18" t="str">
        <f>IFERROR(VLOOKUP(ТабЗаказы[[#This Row],[orderNum]],ТабПозиции[#Data],22,0),"")</f>
        <v>true</v>
      </c>
    </row>
    <row r="332" spans="1:9" x14ac:dyDescent="0.25">
      <c r="A332">
        <f t="shared" ref="A332:A395" si="7">A331+1</f>
        <v>331</v>
      </c>
      <c r="B332" s="1">
        <v>45604</v>
      </c>
      <c r="C332" t="s">
        <v>231</v>
      </c>
      <c r="D332" t="str">
        <f>VLOOKUP(ТабЗаказы[[#This Row],[client]],ТабКлиенты[[name]:[_id]],2,0)</f>
        <v>67f56eca575fff8fe23c7a59</v>
      </c>
      <c r="E332">
        <f>IFERROR(IF(ТабЗаказы[[#This Row],[orderSumm]]&gt;10000,10,VLOOKUP(ТабЗаказы[[#This Row],[client]],ТабКлиенты[[name]:[percent]],MATCH(E$1,ТабКлиенты[#Headers],0),0)),"")</f>
        <v>15</v>
      </c>
      <c r="F332" s="18">
        <f>IFERROR(SUMIF(ТабПозиции[orderNum],ТабЗаказы[[#This Row],[orderNum]],ТабПозиции[orderSumm]),"")</f>
        <v>1708</v>
      </c>
      <c r="G332" s="18">
        <f>SUMIF(ТабПозиции[orderNum],ТабЗаказы[[#This Row],[orderNum]],ТабПозиции[deliverySumm])</f>
        <v>257</v>
      </c>
      <c r="H332" s="18">
        <f>SUMIF(ТабПозиции[orderNum],ТабЗаказы[[#This Row],[orderNum]],ТабПозиции[totalSumm])</f>
        <v>1965</v>
      </c>
      <c r="I332" s="18" t="str">
        <f>IFERROR(VLOOKUP(ТабЗаказы[[#This Row],[orderNum]],ТабПозиции[#Data],22,0),"")</f>
        <v>true</v>
      </c>
    </row>
    <row r="333" spans="1:9" x14ac:dyDescent="0.25">
      <c r="A333">
        <f t="shared" si="7"/>
        <v>332</v>
      </c>
      <c r="B333" s="1">
        <v>45604</v>
      </c>
      <c r="C333" t="s">
        <v>357</v>
      </c>
      <c r="D333" t="str">
        <f>VLOOKUP(ТабЗаказы[[#This Row],[client]],ТабКлиенты[[name]:[_id]],2,0)</f>
        <v>67f56eca575fff8fe23c7a7d</v>
      </c>
      <c r="E333">
        <f>IFERROR(IF(ТабЗаказы[[#This Row],[orderSumm]]&gt;10000,10,VLOOKUP(ТабЗаказы[[#This Row],[client]],ТабКлиенты[[name]:[percent]],MATCH(E$1,ТабКлиенты[#Headers],0),0)),"")</f>
        <v>15</v>
      </c>
      <c r="F333" s="18">
        <f>IFERROR(SUMIF(ТабПозиции[orderNum],ТабЗаказы[[#This Row],[orderNum]],ТабПозиции[orderSumm]),"")</f>
        <v>5221</v>
      </c>
      <c r="G333" s="18">
        <f>SUMIF(ТабПозиции[orderNum],ТабЗаказы[[#This Row],[orderNum]],ТабПозиции[deliverySumm])</f>
        <v>783</v>
      </c>
      <c r="H333" s="18">
        <f>SUMIF(ТабПозиции[orderNum],ТабЗаказы[[#This Row],[orderNum]],ТабПозиции[totalSumm])</f>
        <v>6004</v>
      </c>
      <c r="I333" s="18" t="str">
        <f>IFERROR(VLOOKUP(ТабЗаказы[[#This Row],[orderNum]],ТабПозиции[#Data],22,0),"")</f>
        <v>true</v>
      </c>
    </row>
    <row r="334" spans="1:9" x14ac:dyDescent="0.25">
      <c r="A334">
        <f t="shared" si="7"/>
        <v>333</v>
      </c>
      <c r="B334" s="1">
        <v>45604</v>
      </c>
      <c r="C334" t="s">
        <v>204</v>
      </c>
      <c r="D334" t="str">
        <f>VLOOKUP(ТабЗаказы[[#This Row],[client]],ТабКлиенты[[name]:[_id]],2,0)</f>
        <v>67f56eca575fff8fe23c7a50</v>
      </c>
      <c r="E334">
        <f>IFERROR(IF(ТабЗаказы[[#This Row],[orderSumm]]&gt;10000,10,VLOOKUP(ТабЗаказы[[#This Row],[client]],ТабКлиенты[[name]:[percent]],MATCH(E$1,ТабКлиенты[#Headers],0),0)),"")</f>
        <v>10</v>
      </c>
      <c r="F334" s="18">
        <f>IFERROR(SUMIF(ТабПозиции[orderNum],ТабЗаказы[[#This Row],[orderNum]],ТабПозиции[orderSumm]),"")</f>
        <v>5571</v>
      </c>
      <c r="G334" s="18">
        <f>SUMIF(ТабПозиции[orderNum],ТабЗаказы[[#This Row],[orderNum]],ТабПозиции[deliverySumm])</f>
        <v>557</v>
      </c>
      <c r="H334" s="18">
        <f>SUMIF(ТабПозиции[orderNum],ТабЗаказы[[#This Row],[orderNum]],ТабПозиции[totalSumm])</f>
        <v>6128</v>
      </c>
      <c r="I334" s="18" t="str">
        <f>IFERROR(VLOOKUP(ТабЗаказы[[#This Row],[orderNum]],ТабПозиции[#Data],22,0),"")</f>
        <v>true</v>
      </c>
    </row>
    <row r="335" spans="1:9" x14ac:dyDescent="0.25">
      <c r="A335">
        <f t="shared" si="7"/>
        <v>334</v>
      </c>
      <c r="B335" s="1">
        <v>45604</v>
      </c>
      <c r="C335" t="s">
        <v>204</v>
      </c>
      <c r="D335" t="str">
        <f>VLOOKUP(ТабЗаказы[[#This Row],[client]],ТабКлиенты[[name]:[_id]],2,0)</f>
        <v>67f56eca575fff8fe23c7a50</v>
      </c>
      <c r="E335">
        <f>IFERROR(IF(ТабЗаказы[[#This Row],[orderSumm]]&gt;10000,10,VLOOKUP(ТабЗаказы[[#This Row],[client]],ТабКлиенты[[name]:[percent]],MATCH(E$1,ТабКлиенты[#Headers],0),0)),"")</f>
        <v>10</v>
      </c>
      <c r="F335" s="18">
        <f>IFERROR(SUMIF(ТабПозиции[orderNum],ТабЗаказы[[#This Row],[orderNum]],ТабПозиции[orderSumm]),"")</f>
        <v>7555</v>
      </c>
      <c r="G335" s="18">
        <f>SUMIF(ТабПозиции[orderNum],ТабЗаказы[[#This Row],[orderNum]],ТабПозиции[deliverySumm])</f>
        <v>757</v>
      </c>
      <c r="H335" s="18">
        <f>SUMIF(ТабПозиции[orderNum],ТабЗаказы[[#This Row],[orderNum]],ТабПозиции[totalSumm])</f>
        <v>8312</v>
      </c>
      <c r="I335" s="18" t="str">
        <f>IFERROR(VLOOKUP(ТабЗаказы[[#This Row],[orderNum]],ТабПозиции[#Data],22,0),"")</f>
        <v>true</v>
      </c>
    </row>
    <row r="336" spans="1:9" x14ac:dyDescent="0.25">
      <c r="A336">
        <f t="shared" si="7"/>
        <v>335</v>
      </c>
      <c r="B336" s="1">
        <v>45607</v>
      </c>
      <c r="C336" t="s">
        <v>33</v>
      </c>
      <c r="D336" t="str">
        <f>VLOOKUP(ТабЗаказы[[#This Row],[client]],ТабКлиенты[[name]:[_id]],2,0)</f>
        <v>67f56eca575fff8fe23c7a15</v>
      </c>
      <c r="E336">
        <f>IFERROR(IF(ТабЗаказы[[#This Row],[orderSumm]]&gt;10000,10,VLOOKUP(ТабЗаказы[[#This Row],[client]],ТабКлиенты[[name]:[percent]],MATCH(E$1,ТабКлиенты[#Headers],0),0)),"")</f>
        <v>15</v>
      </c>
      <c r="F336" s="18">
        <f>IFERROR(SUMIF(ТабПозиции[orderNum],ТабЗаказы[[#This Row],[orderNum]],ТабПозиции[orderSumm]),"")</f>
        <v>4770</v>
      </c>
      <c r="G336" s="18">
        <f>SUMIF(ТабПозиции[orderNum],ТабЗаказы[[#This Row],[orderNum]],ТабПозиции[deliverySumm])</f>
        <v>716</v>
      </c>
      <c r="H336" s="18">
        <f>SUMIF(ТабПозиции[orderNum],ТабЗаказы[[#This Row],[orderNum]],ТабПозиции[totalSumm])</f>
        <v>5555</v>
      </c>
      <c r="I336" s="18" t="str">
        <f>IFERROR(VLOOKUP(ТабЗаказы[[#This Row],[orderNum]],ТабПозиции[#Data],22,0),"")</f>
        <v>true</v>
      </c>
    </row>
    <row r="337" spans="1:9" x14ac:dyDescent="0.25">
      <c r="A337">
        <f t="shared" si="7"/>
        <v>336</v>
      </c>
      <c r="B337" s="1">
        <v>45607</v>
      </c>
      <c r="C337" t="s">
        <v>39</v>
      </c>
      <c r="D337" t="str">
        <f>VLOOKUP(ТабЗаказы[[#This Row],[client]],ТабКлиенты[[name]:[_id]],2,0)</f>
        <v>67f56eca575fff8fe23c7a17</v>
      </c>
      <c r="E337">
        <f>IFERROR(IF(ТабЗаказы[[#This Row],[orderSumm]]&gt;10000,10,VLOOKUP(ТабЗаказы[[#This Row],[client]],ТабКлиенты[[name]:[percent]],MATCH(E$1,ТабКлиенты[#Headers],0),0)),"")</f>
        <v>15</v>
      </c>
      <c r="F337" s="18">
        <f>IFERROR(SUMIF(ТабПозиции[orderNum],ТабЗаказы[[#This Row],[orderNum]],ТабПозиции[orderSumm]),"")</f>
        <v>5034</v>
      </c>
      <c r="G337" s="18">
        <f>SUMIF(ТабПозиции[orderNum],ТабЗаказы[[#This Row],[orderNum]],ТабПозиции[deliverySumm])</f>
        <v>757</v>
      </c>
      <c r="H337" s="18">
        <f>SUMIF(ТабПозиции[orderNum],ТабЗаказы[[#This Row],[orderNum]],ТабПозиции[totalSumm])</f>
        <v>5791</v>
      </c>
      <c r="I337" s="18" t="str">
        <f>IFERROR(VLOOKUP(ТабЗаказы[[#This Row],[orderNum]],ТабПозиции[#Data],22,0),"")</f>
        <v>true</v>
      </c>
    </row>
    <row r="338" spans="1:9" x14ac:dyDescent="0.25">
      <c r="A338">
        <f t="shared" si="7"/>
        <v>337</v>
      </c>
      <c r="B338" s="1">
        <v>45610</v>
      </c>
      <c r="C338" t="s">
        <v>1482</v>
      </c>
      <c r="D338" t="str">
        <f>VLOOKUP(ТабЗаказы[[#This Row],[client]],ТабКлиенты[[name]:[_id]],2,0)</f>
        <v>67f56eca575fff8fe23c7ab7</v>
      </c>
      <c r="E338">
        <f>IFERROR(IF(ТабЗаказы[[#This Row],[orderSumm]]&gt;10000,10,VLOOKUP(ТабЗаказы[[#This Row],[client]],ТабКлиенты[[name]:[percent]],MATCH(E$1,ТабКлиенты[#Headers],0),0)),"")</f>
        <v>15</v>
      </c>
      <c r="F338" s="18">
        <f>IFERROR(SUMIF(ТабПозиции[orderNum],ТабЗаказы[[#This Row],[orderNum]],ТабПозиции[orderSumm]),"")</f>
        <v>6947</v>
      </c>
      <c r="G338" s="18">
        <f>SUMIF(ТабПозиции[orderNum],ТабЗаказы[[#This Row],[orderNum]],ТабПозиции[deliverySumm])</f>
        <v>1041</v>
      </c>
      <c r="H338" s="18">
        <f>SUMIF(ТабПозиции[orderNum],ТабЗаказы[[#This Row],[orderNum]],ТабПозиции[totalSumm])</f>
        <v>7988</v>
      </c>
      <c r="I338" s="18" t="str">
        <f>IFERROR(VLOOKUP(ТабЗаказы[[#This Row],[orderNum]],ТабПозиции[#Data],22,0),"")</f>
        <v>true</v>
      </c>
    </row>
    <row r="339" spans="1:9" x14ac:dyDescent="0.25">
      <c r="A339">
        <f t="shared" si="7"/>
        <v>338</v>
      </c>
      <c r="B339" s="1">
        <v>45610</v>
      </c>
      <c r="C339" t="s">
        <v>283</v>
      </c>
      <c r="D339" t="str">
        <f>VLOOKUP(ТабЗаказы[[#This Row],[client]],ТабКлиенты[[name]:[_id]],2,0)</f>
        <v>67f56eca575fff8fe23c7a67</v>
      </c>
      <c r="E339">
        <f>IFERROR(IF(ТабЗаказы[[#This Row],[orderSumm]]&gt;10000,10,VLOOKUP(ТабЗаказы[[#This Row],[client]],ТабКлиенты[[name]:[percent]],MATCH(E$1,ТабКлиенты[#Headers],0),0)),"")</f>
        <v>15</v>
      </c>
      <c r="F339" s="18">
        <f>IFERROR(SUMIF(ТабПозиции[orderNum],ТабЗаказы[[#This Row],[orderNum]],ТабПозиции[orderSumm]),"")</f>
        <v>7933</v>
      </c>
      <c r="G339" s="18">
        <f>SUMIF(ТабПозиции[orderNum],ТабЗаказы[[#This Row],[orderNum]],ТабПозиции[deliverySumm])</f>
        <v>1191</v>
      </c>
      <c r="H339" s="18">
        <f>SUMIF(ТабПозиции[orderNum],ТабЗаказы[[#This Row],[orderNum]],ТабПозиции[totalSumm])</f>
        <v>9124</v>
      </c>
      <c r="I339" s="18" t="str">
        <f>IFERROR(VLOOKUP(ТабЗаказы[[#This Row],[orderNum]],ТабПозиции[#Data],22,0),"")</f>
        <v>true</v>
      </c>
    </row>
    <row r="340" spans="1:9" x14ac:dyDescent="0.25">
      <c r="A340">
        <f t="shared" si="7"/>
        <v>339</v>
      </c>
      <c r="B340" s="1">
        <v>45610</v>
      </c>
      <c r="C340" t="s">
        <v>295</v>
      </c>
      <c r="D340" t="str">
        <f>VLOOKUP(ТабЗаказы[[#This Row],[client]],ТабКлиенты[[name]:[_id]],2,0)</f>
        <v>67f56eca575fff8fe23c7a6b</v>
      </c>
      <c r="E340">
        <f>IFERROR(IF(ТабЗаказы[[#This Row],[orderSumm]]&gt;10000,10,VLOOKUP(ТабЗаказы[[#This Row],[client]],ТабКлиенты[[name]:[percent]],MATCH(E$1,ТабКлиенты[#Headers],0),0)),"")</f>
        <v>10</v>
      </c>
      <c r="F340" s="18">
        <f>IFERROR(SUMIF(ТабПозиции[orderNum],ТабЗаказы[[#This Row],[orderNum]],ТабПозиции[orderSumm]),"")</f>
        <v>30160</v>
      </c>
      <c r="G340" s="18">
        <f>SUMIF(ТабПозиции[orderNum],ТабЗаказы[[#This Row],[orderNum]],ТабПозиции[deliverySumm])</f>
        <v>3016</v>
      </c>
      <c r="H340" s="18">
        <f>SUMIF(ТабПозиции[orderNum],ТабЗаказы[[#This Row],[orderNum]],ТабПозиции[totalSumm])</f>
        <v>3016</v>
      </c>
      <c r="I340" s="18" t="str">
        <f>IFERROR(VLOOKUP(ТабЗаказы[[#This Row],[orderNum]],ТабПозиции[#Data],22,0),"")</f>
        <v>true</v>
      </c>
    </row>
    <row r="341" spans="1:9" x14ac:dyDescent="0.25">
      <c r="A341">
        <f t="shared" si="7"/>
        <v>340</v>
      </c>
      <c r="B341" s="1">
        <v>45610</v>
      </c>
      <c r="C341" t="s">
        <v>1890</v>
      </c>
      <c r="D341" t="str">
        <f>VLOOKUP(ТабЗаказы[[#This Row],[client]],ТабКлиенты[[name]:[_id]],2,0)</f>
        <v>67f56eca575fff8fe23c7acc</v>
      </c>
      <c r="E341">
        <f>IFERROR(IF(ТабЗаказы[[#This Row],[orderSumm]]&gt;10000,10,VLOOKUP(ТабЗаказы[[#This Row],[client]],ТабКлиенты[[name]:[percent]],MATCH(E$1,ТабКлиенты[#Headers],0),0)),"")</f>
        <v>15</v>
      </c>
      <c r="F341" s="18">
        <f>IFERROR(SUMIF(ТабПозиции[orderNum],ТабЗаказы[[#This Row],[orderNum]],ТабПозиции[orderSumm]),"")</f>
        <v>5200</v>
      </c>
      <c r="G341" s="18">
        <f>SUMIF(ТабПозиции[orderNum],ТабЗаказы[[#This Row],[orderNum]],ТабПозиции[deliverySumm])</f>
        <v>780</v>
      </c>
      <c r="H341" s="18">
        <f>SUMIF(ТабПозиции[orderNum],ТабЗаказы[[#This Row],[orderNum]],ТабПозиции[totalSumm])</f>
        <v>1435</v>
      </c>
      <c r="I341" s="18" t="str">
        <f>IFERROR(VLOOKUP(ТабЗаказы[[#This Row],[orderNum]],ТабПозиции[#Data],22,0),"")</f>
        <v>true</v>
      </c>
    </row>
    <row r="342" spans="1:9" x14ac:dyDescent="0.25">
      <c r="A342">
        <f t="shared" si="7"/>
        <v>341</v>
      </c>
      <c r="B342" s="1">
        <v>45611</v>
      </c>
      <c r="C342" t="s">
        <v>485</v>
      </c>
      <c r="D342" t="str">
        <f>VLOOKUP(ТабЗаказы[[#This Row],[client]],ТабКлиенты[[name]:[_id]],2,0)</f>
        <v>67f56eca575fff8fe23c7aa1</v>
      </c>
      <c r="E342">
        <f>IFERROR(IF(ТабЗаказы[[#This Row],[orderSumm]]&gt;10000,10,VLOOKUP(ТабЗаказы[[#This Row],[client]],ТабКлиенты[[name]:[percent]],MATCH(E$1,ТабКлиенты[#Headers],0),0)),"")</f>
        <v>15</v>
      </c>
      <c r="F342" s="18">
        <f>IFERROR(SUMIF(ТабПозиции[orderNum],ТабЗаказы[[#This Row],[orderNum]],ТабПозиции[orderSumm]),"")</f>
        <v>1243</v>
      </c>
      <c r="G342" s="18">
        <f>SUMIF(ТабПозиции[orderNum],ТабЗаказы[[#This Row],[orderNum]],ТабПозиции[deliverySumm])</f>
        <v>200</v>
      </c>
      <c r="H342" s="18">
        <f>SUMIF(ТабПозиции[orderNum],ТабЗаказы[[#This Row],[orderNum]],ТабПозиции[totalSumm])</f>
        <v>200</v>
      </c>
      <c r="I342" s="18" t="str">
        <f>IFERROR(VLOOKUP(ТабЗаказы[[#This Row],[orderNum]],ТабПозиции[#Data],22,0),"")</f>
        <v>true</v>
      </c>
    </row>
    <row r="343" spans="1:9" x14ac:dyDescent="0.25">
      <c r="A343">
        <f t="shared" si="7"/>
        <v>342</v>
      </c>
      <c r="B343" s="1">
        <v>45611</v>
      </c>
      <c r="C343" t="s">
        <v>456</v>
      </c>
      <c r="D343" t="str">
        <f>VLOOKUP(ТабЗаказы[[#This Row],[client]],ТабКлиенты[[name]:[_id]],2,0)</f>
        <v>67f56eca575fff8fe23c7a99</v>
      </c>
      <c r="E343">
        <f>IFERROR(IF(ТабЗаказы[[#This Row],[orderSumm]]&gt;10000,10,VLOOKUP(ТабЗаказы[[#This Row],[client]],ТабКлиенты[[name]:[percent]],MATCH(E$1,ТабКлиенты[#Headers],0),0)),"")</f>
        <v>15</v>
      </c>
      <c r="F343" s="18">
        <f>IFERROR(SUMIF(ТабПозиции[orderNum],ТабЗаказы[[#This Row],[orderNum]],ТабПозиции[orderSumm]),"")</f>
        <v>1035</v>
      </c>
      <c r="G343" s="18">
        <f>SUMIF(ТабПозиции[orderNum],ТабЗаказы[[#This Row],[orderNum]],ТабПозиции[deliverySumm])</f>
        <v>200</v>
      </c>
      <c r="H343" s="18">
        <f>SUMIF(ТабПозиции[orderNum],ТабЗаказы[[#This Row],[orderNum]],ТабПозиции[totalSumm])</f>
        <v>200</v>
      </c>
      <c r="I343" s="18" t="str">
        <f>IFERROR(VLOOKUP(ТабЗаказы[[#This Row],[orderNum]],ТабПозиции[#Data],22,0),"")</f>
        <v>true</v>
      </c>
    </row>
    <row r="344" spans="1:9" x14ac:dyDescent="0.25">
      <c r="A344">
        <f t="shared" si="7"/>
        <v>343</v>
      </c>
      <c r="B344" s="1">
        <v>45611</v>
      </c>
      <c r="C344" t="s">
        <v>1629</v>
      </c>
      <c r="D344" t="str">
        <f>VLOOKUP(ТабЗаказы[[#This Row],[client]],ТабКлиенты[[name]:[_id]],2,0)</f>
        <v>67f56eca575fff8fe23c7ac0</v>
      </c>
      <c r="E344">
        <f>IFERROR(IF(ТабЗаказы[[#This Row],[orderSumm]]&gt;10000,10,VLOOKUP(ТабЗаказы[[#This Row],[client]],ТабКлиенты[[name]:[percent]],MATCH(E$1,ТабКлиенты[#Headers],0),0)),"")</f>
        <v>15</v>
      </c>
      <c r="F344" s="18">
        <f>IFERROR(SUMIF(ТабПозиции[orderNum],ТабЗаказы[[#This Row],[orderNum]],ТабПозиции[orderSumm]),"")</f>
        <v>714</v>
      </c>
      <c r="G344" s="18">
        <f>SUMIF(ТабПозиции[orderNum],ТабЗаказы[[#This Row],[orderNum]],ТабПозиции[deliverySumm])</f>
        <v>200</v>
      </c>
      <c r="H344" s="18">
        <f>SUMIF(ТабПозиции[orderNum],ТабЗаказы[[#This Row],[orderNum]],ТабПозиции[totalSumm])</f>
        <v>200</v>
      </c>
      <c r="I344" s="18" t="str">
        <f>IFERROR(VLOOKUP(ТабЗаказы[[#This Row],[orderNum]],ТабПозиции[#Data],22,0),"")</f>
        <v>true</v>
      </c>
    </row>
    <row r="345" spans="1:9" x14ac:dyDescent="0.25">
      <c r="A345">
        <f t="shared" si="7"/>
        <v>344</v>
      </c>
      <c r="B345" s="1">
        <v>45612</v>
      </c>
      <c r="C345" t="s">
        <v>1908</v>
      </c>
      <c r="D345" t="str">
        <f>VLOOKUP(ТабЗаказы[[#This Row],[client]],ТабКлиенты[[name]:[_id]],2,0)</f>
        <v>67f56eca575fff8fe23c7ace</v>
      </c>
      <c r="E345">
        <f>IFERROR(IF(ТабЗаказы[[#This Row],[orderSumm]]&gt;10000,10,VLOOKUP(ТабЗаказы[[#This Row],[client]],ТабКлиенты[[name]:[percent]],MATCH(E$1,ТабКлиенты[#Headers],0),0)),"")</f>
        <v>15</v>
      </c>
      <c r="F345" s="18">
        <f>IFERROR(SUMIF(ТабПозиции[orderNum],ТабЗаказы[[#This Row],[orderNum]],ТабПозиции[orderSumm]),"")</f>
        <v>2192</v>
      </c>
      <c r="G345" s="18">
        <f>SUMIF(ТабПозиции[orderNum],ТабЗаказы[[#This Row],[orderNum]],ТабПозиции[deliverySumm])</f>
        <v>329</v>
      </c>
      <c r="H345" s="18">
        <f>SUMIF(ТабПозиции[orderNum],ТабЗаказы[[#This Row],[orderNum]],ТабПозиции[totalSumm])</f>
        <v>2521</v>
      </c>
      <c r="I345" s="18" t="str">
        <f>IFERROR(VLOOKUP(ТабЗаказы[[#This Row],[orderNum]],ТабПозиции[#Data],22,0),"")</f>
        <v>true</v>
      </c>
    </row>
    <row r="346" spans="1:9" x14ac:dyDescent="0.25">
      <c r="A346">
        <f t="shared" si="7"/>
        <v>345</v>
      </c>
      <c r="B346" s="1">
        <v>45614</v>
      </c>
      <c r="C346" t="s">
        <v>445</v>
      </c>
      <c r="D346" t="str">
        <f>VLOOKUP(ТабЗаказы[[#This Row],[client]],ТабКлиенты[[name]:[_id]],2,0)</f>
        <v>67f56eca575fff8fe23c7a96</v>
      </c>
      <c r="E346">
        <f>IFERROR(IF(ТабЗаказы[[#This Row],[orderSumm]]&gt;10000,10,VLOOKUP(ТабЗаказы[[#This Row],[client]],ТабКлиенты[[name]:[percent]],MATCH(E$1,ТабКлиенты[#Headers],0),0)),"")</f>
        <v>15</v>
      </c>
      <c r="F346" s="18">
        <f>IFERROR(SUMIF(ТабПозиции[orderNum],ТабЗаказы[[#This Row],[orderNum]],ТабПозиции[orderSumm]),"")</f>
        <v>2343</v>
      </c>
      <c r="G346" s="18">
        <f>SUMIF(ТабПозиции[orderNum],ТабЗаказы[[#This Row],[orderNum]],ТабПозиции[deliverySumm])</f>
        <v>352</v>
      </c>
      <c r="H346" s="18">
        <f>SUMIF(ТабПозиции[orderNum],ТабЗаказы[[#This Row],[orderNum]],ТабПозиции[totalSumm])</f>
        <v>2695</v>
      </c>
      <c r="I346" s="18" t="str">
        <f>IFERROR(VLOOKUP(ТабЗаказы[[#This Row],[orderNum]],ТабПозиции[#Data],22,0),"")</f>
        <v>true</v>
      </c>
    </row>
    <row r="347" spans="1:9" x14ac:dyDescent="0.25">
      <c r="A347">
        <f t="shared" si="7"/>
        <v>346</v>
      </c>
      <c r="B347" s="1">
        <v>45614</v>
      </c>
      <c r="C347" t="s">
        <v>204</v>
      </c>
      <c r="D347" t="str">
        <f>VLOOKUP(ТабЗаказы[[#This Row],[client]],ТабКлиенты[[name]:[_id]],2,0)</f>
        <v>67f56eca575fff8fe23c7a50</v>
      </c>
      <c r="E347">
        <f>IFERROR(IF(ТабЗаказы[[#This Row],[orderSumm]]&gt;10000,10,VLOOKUP(ТабЗаказы[[#This Row],[client]],ТабКлиенты[[name]:[percent]],MATCH(E$1,ТабКлиенты[#Headers],0),0)),"")</f>
        <v>10</v>
      </c>
      <c r="F347" s="18">
        <f>IFERROR(SUMIF(ТабПозиции[orderNum],ТабЗаказы[[#This Row],[orderNum]],ТабПозиции[orderSumm]),"")</f>
        <v>4339</v>
      </c>
      <c r="G347" s="18">
        <f>SUMIF(ТабПозиции[orderNum],ТабЗаказы[[#This Row],[orderNum]],ТабПозиции[deliverySumm])</f>
        <v>434</v>
      </c>
      <c r="H347" s="18">
        <f>SUMIF(ТабПозиции[orderNum],ТабЗаказы[[#This Row],[orderNum]],ТабПозиции[totalSumm])</f>
        <v>4773</v>
      </c>
      <c r="I347" s="18" t="str">
        <f>IFERROR(VLOOKUP(ТабЗаказы[[#This Row],[orderNum]],ТабПозиции[#Data],22,0),"")</f>
        <v>true</v>
      </c>
    </row>
    <row r="348" spans="1:9" x14ac:dyDescent="0.25">
      <c r="A348">
        <f t="shared" si="7"/>
        <v>347</v>
      </c>
      <c r="B348" s="1">
        <v>45614</v>
      </c>
      <c r="C348" t="s">
        <v>422</v>
      </c>
      <c r="D348" t="str">
        <f>VLOOKUP(ТабЗаказы[[#This Row],[client]],ТабКлиенты[[name]:[_id]],2,0)</f>
        <v>67f56eca575fff8fe23c7a90</v>
      </c>
      <c r="E348">
        <f>IFERROR(IF(ТабЗаказы[[#This Row],[orderSumm]]&gt;10000,10,VLOOKUP(ТабЗаказы[[#This Row],[client]],ТабКлиенты[[name]:[percent]],MATCH(E$1,ТабКлиенты[#Headers],0),0)),"")</f>
        <v>15</v>
      </c>
      <c r="F348" s="18">
        <f>IFERROR(SUMIF(ТабПозиции[orderNum],ТабЗаказы[[#This Row],[orderNum]],ТабПозиции[orderSumm]),"")</f>
        <v>800</v>
      </c>
      <c r="G348" s="18">
        <f>SUMIF(ТабПозиции[orderNum],ТабЗаказы[[#This Row],[orderNum]],ТабПозиции[deliverySumm])</f>
        <v>200</v>
      </c>
      <c r="H348" s="18">
        <f>SUMIF(ТабПозиции[orderNum],ТабЗаказы[[#This Row],[orderNum]],ТабПозиции[totalSumm])</f>
        <v>1094</v>
      </c>
      <c r="I348" s="18" t="str">
        <f>IFERROR(VLOOKUP(ТабЗаказы[[#This Row],[orderNum]],ТабПозиции[#Data],22,0),"")</f>
        <v>true</v>
      </c>
    </row>
    <row r="349" spans="1:9" x14ac:dyDescent="0.25">
      <c r="A349">
        <f t="shared" si="7"/>
        <v>348</v>
      </c>
      <c r="B349" s="1">
        <v>45615</v>
      </c>
      <c r="C349" t="s">
        <v>1523</v>
      </c>
      <c r="D349" t="str">
        <f>VLOOKUP(ТабЗаказы[[#This Row],[client]],ТабКлиенты[[name]:[_id]],2,0)</f>
        <v>67f56eca575fff8fe23c7abb</v>
      </c>
      <c r="E349">
        <v>15</v>
      </c>
      <c r="F349" s="18">
        <f>IFERROR(SUMIF(ТабПозиции[orderNum],ТабЗаказы[[#This Row],[orderNum]],ТабПозиции[orderSumm]),"")</f>
        <v>5836</v>
      </c>
      <c r="G349" s="18">
        <f>SUMIF(ТабПозиции[orderNum],ТабЗаказы[[#This Row],[orderNum]],ТабПозиции[deliverySumm])</f>
        <v>876</v>
      </c>
      <c r="H349" s="18">
        <f>SUMIF(ТабПозиции[orderNum],ТабЗаказы[[#This Row],[orderNum]],ТабПозиции[totalSumm])</f>
        <v>6712</v>
      </c>
      <c r="I349" s="18" t="str">
        <f>IFERROR(VLOOKUP(ТабЗаказы[[#This Row],[orderNum]],ТабПозиции[#Data],22,0),"")</f>
        <v>true</v>
      </c>
    </row>
    <row r="350" spans="1:9" x14ac:dyDescent="0.25">
      <c r="A350">
        <f t="shared" si="7"/>
        <v>349</v>
      </c>
      <c r="B350" s="1">
        <v>45616</v>
      </c>
      <c r="C350" t="s">
        <v>445</v>
      </c>
      <c r="D350" t="str">
        <f>VLOOKUP(ТабЗаказы[[#This Row],[client]],ТабКлиенты[[name]:[_id]],2,0)</f>
        <v>67f56eca575fff8fe23c7a96</v>
      </c>
      <c r="E350">
        <f>IFERROR(IF(ТабЗаказы[[#This Row],[orderSumm]]&gt;10000,10,VLOOKUP(ТабЗаказы[[#This Row],[client]],ТабКлиенты[[name]:[percent]],MATCH(E$1,ТабКлиенты[#Headers],0),0)),"")</f>
        <v>15</v>
      </c>
      <c r="F350" s="18">
        <f>IFERROR(SUMIF(ТабПозиции[orderNum],ТабЗаказы[[#This Row],[orderNum]],ТабПозиции[orderSumm]),"")</f>
        <v>2294</v>
      </c>
      <c r="G350" s="18">
        <f>SUMIF(ТабПозиции[orderNum],ТабЗаказы[[#This Row],[orderNum]],ТабПозиции[deliverySumm])</f>
        <v>344</v>
      </c>
      <c r="H350" s="18">
        <f>SUMIF(ТабПозиции[orderNum],ТабЗаказы[[#This Row],[orderNum]],ТабПозиции[totalSumm])</f>
        <v>2638</v>
      </c>
      <c r="I350" s="18" t="str">
        <f>IFERROR(VLOOKUP(ТабЗаказы[[#This Row],[orderNum]],ТабПозиции[#Data],22,0),"")</f>
        <v>true</v>
      </c>
    </row>
    <row r="351" spans="1:9" x14ac:dyDescent="0.25">
      <c r="A351">
        <f t="shared" si="7"/>
        <v>350</v>
      </c>
      <c r="B351" s="1">
        <v>45617</v>
      </c>
      <c r="C351" t="s">
        <v>1927</v>
      </c>
      <c r="D351" t="str">
        <f>VLOOKUP(ТабЗаказы[[#This Row],[client]],ТабКлиенты[[name]:[_id]],2,0)</f>
        <v>67f56eca575fff8fe23c7acf</v>
      </c>
      <c r="E351">
        <f>IFERROR(IF(ТабЗаказы[[#This Row],[orderSumm]]&gt;10000,10,VLOOKUP(ТабЗаказы[[#This Row],[client]],ТабКлиенты[[name]:[percent]],MATCH(E$1,ТабКлиенты[#Headers],0),0)),"")</f>
        <v>15</v>
      </c>
      <c r="F351" s="18">
        <f>IFERROR(SUMIF(ТабПозиции[orderNum],ТабЗаказы[[#This Row],[orderNum]],ТабПозиции[orderSumm]),"")</f>
        <v>4000</v>
      </c>
      <c r="G351" s="18">
        <f>SUMIF(ТабПозиции[orderNum],ТабЗаказы[[#This Row],[orderNum]],ТабПозиции[deliverySumm])</f>
        <v>600</v>
      </c>
      <c r="H351" s="18">
        <f>SUMIF(ТабПозиции[orderNum],ТабЗаказы[[#This Row],[orderNum]],ТабПозиции[totalSumm])</f>
        <v>4834</v>
      </c>
      <c r="I351" s="18" t="str">
        <f>IFERROR(VLOOKUP(ТабЗаказы[[#This Row],[orderNum]],ТабПозиции[#Data],22,0),"")</f>
        <v>true</v>
      </c>
    </row>
    <row r="352" spans="1:9" x14ac:dyDescent="0.25">
      <c r="A352">
        <f t="shared" si="7"/>
        <v>351</v>
      </c>
      <c r="B352" s="1">
        <v>45618</v>
      </c>
      <c r="C352" t="s">
        <v>219</v>
      </c>
      <c r="D352" t="str">
        <f>VLOOKUP(ТабЗаказы[[#This Row],[client]],ТабКлиенты[[name]:[_id]],2,0)</f>
        <v>67f56eca575fff8fe23c7a55</v>
      </c>
      <c r="E352">
        <f>IFERROR(IF(ТабЗаказы[[#This Row],[orderSumm]]&gt;10000,10,VLOOKUP(ТабЗаказы[[#This Row],[client]],ТабКлиенты[[name]:[percent]],MATCH(E$1,ТабКлиенты[#Headers],0),0)),"")</f>
        <v>15</v>
      </c>
      <c r="F352" s="18">
        <f>IFERROR(SUMIF(ТабПозиции[orderNum],ТабЗаказы[[#This Row],[orderNum]],ТабПозиции[orderSumm]),"")</f>
        <v>4000</v>
      </c>
      <c r="G352" s="18">
        <f>SUMIF(ТабПозиции[orderNum],ТабЗаказы[[#This Row],[orderNum]],ТабПозиции[deliverySumm])</f>
        <v>600</v>
      </c>
      <c r="H352" s="18">
        <f>SUMIF(ТабПозиции[orderNum],ТабЗаказы[[#This Row],[orderNum]],ТабПозиции[totalSumm])</f>
        <v>600</v>
      </c>
      <c r="I352" s="18" t="str">
        <f>IFERROR(VLOOKUP(ТабЗаказы[[#This Row],[orderNum]],ТабПозиции[#Data],22,0),"")</f>
        <v>true</v>
      </c>
    </row>
    <row r="353" spans="1:9" x14ac:dyDescent="0.25">
      <c r="A353">
        <f t="shared" si="7"/>
        <v>352</v>
      </c>
      <c r="B353" s="1">
        <v>45618</v>
      </c>
      <c r="C353" t="s">
        <v>1629</v>
      </c>
      <c r="D353" t="str">
        <f>VLOOKUP(ТабЗаказы[[#This Row],[client]],ТабКлиенты[[name]:[_id]],2,0)</f>
        <v>67f56eca575fff8fe23c7ac0</v>
      </c>
      <c r="E353">
        <f>IFERROR(IF(ТабЗаказы[[#This Row],[orderSumm]]&gt;10000,10,VLOOKUP(ТабЗаказы[[#This Row],[client]],ТабКлиенты[[name]:[percent]],MATCH(E$1,ТабКлиенты[#Headers],0),0)),"")</f>
        <v>15</v>
      </c>
      <c r="F353" s="18">
        <f>IFERROR(SUMIF(ТабПозиции[orderNum],ТабЗаказы[[#This Row],[orderNum]],ТабПозиции[orderSumm]),"")</f>
        <v>1099</v>
      </c>
      <c r="G353" s="18">
        <f>SUMIF(ТабПозиции[orderNum],ТабЗаказы[[#This Row],[orderNum]],ТабПозиции[deliverySumm])</f>
        <v>200</v>
      </c>
      <c r="H353" s="18">
        <f>SUMIF(ТабПозиции[orderNum],ТабЗаказы[[#This Row],[orderNum]],ТабПозиции[totalSumm])</f>
        <v>200</v>
      </c>
      <c r="I353" s="18" t="str">
        <f>IFERROR(VLOOKUP(ТабЗаказы[[#This Row],[orderNum]],ТабПозиции[#Data],22,0),"")</f>
        <v>true</v>
      </c>
    </row>
    <row r="354" spans="1:9" x14ac:dyDescent="0.25">
      <c r="A354">
        <f t="shared" si="7"/>
        <v>353</v>
      </c>
      <c r="B354" s="1">
        <v>45618</v>
      </c>
      <c r="C354" t="s">
        <v>1488</v>
      </c>
      <c r="D354" t="str">
        <f>VLOOKUP(ТабЗаказы[[#This Row],[client]],ТабКлиенты[[name]:[_id]],2,0)</f>
        <v>67f56eca575fff8fe23c7ab8</v>
      </c>
      <c r="E354">
        <f>IFERROR(IF(ТабЗаказы[[#This Row],[orderSumm]]&gt;10000,10,VLOOKUP(ТабЗаказы[[#This Row],[client]],ТабКлиенты[[name]:[percent]],MATCH(E$1,ТабКлиенты[#Headers],0),0)),"")</f>
        <v>15</v>
      </c>
      <c r="F354" s="18">
        <f>IFERROR(SUMIF(ТабПозиции[orderNum],ТабЗаказы[[#This Row],[orderNum]],ТабПозиции[orderSumm]),"")</f>
        <v>9219</v>
      </c>
      <c r="G354" s="18">
        <f>SUMIF(ТабПозиции[orderNum],ТабЗаказы[[#This Row],[orderNum]],ТабПозиции[deliverySumm])</f>
        <v>1383</v>
      </c>
      <c r="H354" s="18">
        <f>SUMIF(ТабПозиции[orderNum],ТабЗаказы[[#This Row],[orderNum]],ТабПозиции[totalSumm])</f>
        <v>1383</v>
      </c>
      <c r="I354" s="18" t="str">
        <f>IFERROR(VLOOKUP(ТабЗаказы[[#This Row],[orderNum]],ТабПозиции[#Data],22,0),"")</f>
        <v>true</v>
      </c>
    </row>
    <row r="355" spans="1:9" x14ac:dyDescent="0.25">
      <c r="A355">
        <f t="shared" si="7"/>
        <v>354</v>
      </c>
      <c r="B355" s="1">
        <v>45618</v>
      </c>
      <c r="C355" t="s">
        <v>1934</v>
      </c>
      <c r="D355" t="str">
        <f>VLOOKUP(ТабЗаказы[[#This Row],[client]],ТабКлиенты[[name]:[_id]],2,0)</f>
        <v>67f56eca575fff8fe23c7ad0</v>
      </c>
      <c r="E355">
        <f>IFERROR(IF(ТабЗаказы[[#This Row],[orderSumm]]&gt;10000,10,VLOOKUP(ТабЗаказы[[#This Row],[client]],ТабКлиенты[[name]:[percent]],MATCH(E$1,ТабКлиенты[#Headers],0),0)),"")</f>
        <v>15</v>
      </c>
      <c r="F355" s="18">
        <f>IFERROR(SUMIF(ТабПозиции[orderNum],ТабЗаказы[[#This Row],[orderNum]],ТабПозиции[orderSumm]),"")</f>
        <v>4808</v>
      </c>
      <c r="G355" s="18">
        <f>SUMIF(ТабПозиции[orderNum],ТабЗаказы[[#This Row],[orderNum]],ТабПозиции[deliverySumm])</f>
        <v>721</v>
      </c>
      <c r="H355" s="18">
        <f>SUMIF(ТабПозиции[orderNum],ТабЗаказы[[#This Row],[orderNum]],ТабПозиции[totalSumm])</f>
        <v>721</v>
      </c>
      <c r="I355" s="18" t="str">
        <f>IFERROR(VLOOKUP(ТабЗаказы[[#This Row],[orderNum]],ТабПозиции[#Data],22,0),"")</f>
        <v>true</v>
      </c>
    </row>
    <row r="356" spans="1:9" x14ac:dyDescent="0.25">
      <c r="A356">
        <f t="shared" si="7"/>
        <v>355</v>
      </c>
      <c r="B356" s="1">
        <v>45620</v>
      </c>
      <c r="C356" t="s">
        <v>357</v>
      </c>
      <c r="D356" t="str">
        <f>VLOOKUP(ТабЗаказы[[#This Row],[client]],ТабКлиенты[[name]:[_id]],2,0)</f>
        <v>67f56eca575fff8fe23c7a7d</v>
      </c>
      <c r="E356">
        <f>IFERROR(IF(ТабЗаказы[[#This Row],[orderSumm]]&gt;10000,10,VLOOKUP(ТабЗаказы[[#This Row],[client]],ТабКлиенты[[name]:[percent]],MATCH(E$1,ТабКлиенты[#Headers],0),0)),"")</f>
        <v>15</v>
      </c>
      <c r="F356" s="18">
        <f>IFERROR(SUMIF(ТабПозиции[orderNum],ТабЗаказы[[#This Row],[orderNum]],ТабПозиции[orderSumm]),"")</f>
        <v>4859</v>
      </c>
      <c r="G356" s="18">
        <f>SUMIF(ТабПозиции[orderNum],ТабЗаказы[[#This Row],[orderNum]],ТабПозиции[deliverySumm])</f>
        <v>729</v>
      </c>
      <c r="H356" s="18">
        <f>SUMIF(ТабПозиции[orderNum],ТабЗаказы[[#This Row],[orderNum]],ТабПозиции[totalSumm])</f>
        <v>5588</v>
      </c>
      <c r="I356" s="18" t="str">
        <f>IFERROR(VLOOKUP(ТабЗаказы[[#This Row],[orderNum]],ТабПозиции[#Data],22,0),"")</f>
        <v>true</v>
      </c>
    </row>
    <row r="357" spans="1:9" x14ac:dyDescent="0.25">
      <c r="A357">
        <f t="shared" si="7"/>
        <v>356</v>
      </c>
      <c r="B357" s="1">
        <v>45622</v>
      </c>
      <c r="C357" t="s">
        <v>1482</v>
      </c>
      <c r="D357" t="str">
        <f>VLOOKUP(ТабЗаказы[[#This Row],[client]],ТабКлиенты[[name]:[_id]],2,0)</f>
        <v>67f56eca575fff8fe23c7ab7</v>
      </c>
      <c r="E357">
        <f>IFERROR(IF(ТабЗаказы[[#This Row],[orderSumm]]&gt;10000,10,VLOOKUP(ТабЗаказы[[#This Row],[client]],ТабКлиенты[[name]:[percent]],MATCH(E$1,ТабКлиенты[#Headers],0),0)),"")</f>
        <v>15</v>
      </c>
      <c r="F357" s="18">
        <f>IFERROR(SUMIF(ТабПозиции[orderNum],ТабЗаказы[[#This Row],[orderNum]],ТабПозиции[orderSumm]),"")</f>
        <v>2825</v>
      </c>
      <c r="G357" s="18">
        <f>SUMIF(ТабПозиции[orderNum],ТабЗаказы[[#This Row],[orderNum]],ТабПозиции[deliverySumm])</f>
        <v>423</v>
      </c>
      <c r="H357" s="18">
        <f>SUMIF(ТабПозиции[orderNum],ТабЗаказы[[#This Row],[orderNum]],ТабПозиции[totalSumm])</f>
        <v>3248</v>
      </c>
      <c r="I357" s="18" t="str">
        <f>IFERROR(VLOOKUP(ТабЗаказы[[#This Row],[orderNum]],ТабПозиции[#Data],22,0),"")</f>
        <v>true</v>
      </c>
    </row>
    <row r="358" spans="1:9" x14ac:dyDescent="0.25">
      <c r="A358">
        <f t="shared" si="7"/>
        <v>357</v>
      </c>
      <c r="B358" s="1">
        <v>45622</v>
      </c>
      <c r="C358" t="s">
        <v>1964</v>
      </c>
      <c r="D358" t="str">
        <f>VLOOKUP(ТабЗаказы[[#This Row],[client]],ТабКлиенты[[name]:[_id]],2,0)</f>
        <v>67f56eca575fff8fe23c7ad4</v>
      </c>
      <c r="E358">
        <f>IFERROR(IF(ТабЗаказы[[#This Row],[orderSumm]]&gt;10000,10,VLOOKUP(ТабЗаказы[[#This Row],[client]],ТабКлиенты[[name]:[percent]],MATCH(E$1,ТабКлиенты[#Headers],0),0)),"")</f>
        <v>10</v>
      </c>
      <c r="F358" s="18">
        <f>IFERROR(SUMIF(ТабПозиции[orderNum],ТабЗаказы[[#This Row],[orderNum]],ТабПозиции[orderSumm]),"")</f>
        <v>26472</v>
      </c>
      <c r="G358" s="18">
        <f>SUMIF(ТабПозиции[orderNum],ТабЗаказы[[#This Row],[orderNum]],ТабПозиции[deliverySumm])</f>
        <v>2647</v>
      </c>
      <c r="H358" s="18">
        <f>SUMIF(ТабПозиции[orderNum],ТабЗаказы[[#This Row],[orderNum]],ТабПозиции[totalSumm])</f>
        <v>29119</v>
      </c>
      <c r="I358" s="18" t="str">
        <f>IFERROR(VLOOKUP(ТабЗаказы[[#This Row],[orderNum]],ТабПозиции[#Data],22,0),"")</f>
        <v>true</v>
      </c>
    </row>
    <row r="359" spans="1:9" x14ac:dyDescent="0.25">
      <c r="A359">
        <f t="shared" si="7"/>
        <v>358</v>
      </c>
      <c r="B359" s="1">
        <v>45622</v>
      </c>
      <c r="C359" t="s">
        <v>1771</v>
      </c>
      <c r="D359" t="str">
        <f>VLOOKUP(ТабЗаказы[[#This Row],[client]],ТабКлиенты[[name]:[_id]],2,0)</f>
        <v>67f56eca575fff8fe23c7ac6</v>
      </c>
      <c r="E359">
        <f>IFERROR(IF(ТабЗаказы[[#This Row],[orderSumm]]&gt;10000,10,VLOOKUP(ТабЗаказы[[#This Row],[client]],ТабКлиенты[[name]:[percent]],MATCH(E$1,ТабКлиенты[#Headers],0),0)),"")</f>
        <v>15</v>
      </c>
      <c r="F359" s="18">
        <f>IFERROR(SUMIF(ТабПозиции[orderNum],ТабЗаказы[[#This Row],[orderNum]],ТабПозиции[orderSumm]),"")</f>
        <v>2639</v>
      </c>
      <c r="G359" s="18">
        <f>SUMIF(ТабПозиции[orderNum],ТабЗаказы[[#This Row],[orderNum]],ТабПозиции[deliverySumm])</f>
        <v>396</v>
      </c>
      <c r="H359" s="18">
        <f>SUMIF(ТабПозиции[orderNum],ТабЗаказы[[#This Row],[orderNum]],ТабПозиции[totalSumm])</f>
        <v>3035</v>
      </c>
      <c r="I359" s="18" t="str">
        <f>IFERROR(VLOOKUP(ТабЗаказы[[#This Row],[orderNum]],ТабПозиции[#Data],22,0),"")</f>
        <v>true</v>
      </c>
    </row>
    <row r="360" spans="1:9" x14ac:dyDescent="0.25">
      <c r="A360">
        <f t="shared" si="7"/>
        <v>359</v>
      </c>
      <c r="B360" s="1">
        <v>45624</v>
      </c>
      <c r="C360" t="s">
        <v>1974</v>
      </c>
      <c r="D360" t="str">
        <f>VLOOKUP(ТабЗаказы[[#This Row],[client]],ТабКлиенты[[name]:[_id]],2,0)</f>
        <v>67f56eca575fff8fe23c7ad5</v>
      </c>
      <c r="E360">
        <f>IFERROR(IF(ТабЗаказы[[#This Row],[orderSumm]]&gt;10000,10,VLOOKUP(ТабЗаказы[[#This Row],[client]],ТабКлиенты[[name]:[percent]],MATCH(E$1,ТабКлиенты[#Headers],0),0)),"")</f>
        <v>10</v>
      </c>
      <c r="F360" s="18">
        <f>IFERROR(SUMIF(ТабПозиции[orderNum],ТабЗаказы[[#This Row],[orderNum]],ТабПозиции[orderSumm]),"")</f>
        <v>13285</v>
      </c>
      <c r="G360" s="18">
        <f>SUMIF(ТабПозиции[orderNum],ТабЗаказы[[#This Row],[orderNum]],ТабПозиции[deliverySumm])</f>
        <v>1329</v>
      </c>
      <c r="H360" s="18">
        <f>SUMIF(ТабПозиции[orderNum],ТабЗаказы[[#This Row],[orderNum]],ТабПозиции[totalSumm])</f>
        <v>14614</v>
      </c>
      <c r="I360" s="18" t="str">
        <f>IFERROR(VLOOKUP(ТабЗаказы[[#This Row],[orderNum]],ТабПозиции[#Data],22,0),"")</f>
        <v>true</v>
      </c>
    </row>
    <row r="361" spans="1:9" x14ac:dyDescent="0.25">
      <c r="A361">
        <f t="shared" si="7"/>
        <v>360</v>
      </c>
      <c r="B361" s="1">
        <v>45624</v>
      </c>
      <c r="C361" t="s">
        <v>287</v>
      </c>
      <c r="D361" t="str">
        <f>VLOOKUP(ТабЗаказы[[#This Row],[client]],ТабКлиенты[[name]:[_id]],2,0)</f>
        <v>67f56eca575fff8fe23c7a68</v>
      </c>
      <c r="E361">
        <f>IFERROR(IF(ТабЗаказы[[#This Row],[orderSumm]]&gt;10000,10,VLOOKUP(ТабЗаказы[[#This Row],[client]],ТабКлиенты[[name]:[percent]],MATCH(E$1,ТабКлиенты[#Headers],0),0)),"")</f>
        <v>10</v>
      </c>
      <c r="F361" s="18">
        <f>IFERROR(SUMIF(ТабПозиции[orderNum],ТабЗаказы[[#This Row],[orderNum]],ТабПозиции[orderSumm]),"")</f>
        <v>10052</v>
      </c>
      <c r="G361" s="18">
        <f>SUMIF(ТабПозиции[orderNum],ТабЗаказы[[#This Row],[orderNum]],ТабПозиции[deliverySumm])</f>
        <v>1005</v>
      </c>
      <c r="H361" s="18">
        <f>SUMIF(ТабПозиции[orderNum],ТабЗаказы[[#This Row],[orderNum]],ТабПозиции[totalSumm])</f>
        <v>11057</v>
      </c>
      <c r="I361" s="18" t="str">
        <f>IFERROR(VLOOKUP(ТабЗаказы[[#This Row],[orderNum]],ТабПозиции[#Data],22,0),"")</f>
        <v>true</v>
      </c>
    </row>
    <row r="362" spans="1:9" x14ac:dyDescent="0.25">
      <c r="A362">
        <f t="shared" si="7"/>
        <v>361</v>
      </c>
      <c r="B362" s="1">
        <v>45625</v>
      </c>
      <c r="C362" t="s">
        <v>1934</v>
      </c>
      <c r="D362" t="str">
        <f>VLOOKUP(ТабЗаказы[[#This Row],[client]],ТабКлиенты[[name]:[_id]],2,0)</f>
        <v>67f56eca575fff8fe23c7ad0</v>
      </c>
      <c r="E362">
        <f>IFERROR(IF(ТабЗаказы[[#This Row],[orderSumm]]&gt;10000,10,VLOOKUP(ТабЗаказы[[#This Row],[client]],ТабКлиенты[[name]:[percent]],MATCH(E$1,ТабКлиенты[#Headers],0),0)),"")</f>
        <v>10</v>
      </c>
      <c r="F362" s="18">
        <f>IFERROR(SUMIF(ТабПозиции[orderNum],ТабЗаказы[[#This Row],[orderNum]],ТабПозиции[orderSumm]),"")</f>
        <v>23000</v>
      </c>
      <c r="G362" s="18">
        <f>SUMIF(ТабПозиции[orderNum],ТабЗаказы[[#This Row],[orderNum]],ТабПозиции[deliverySumm])</f>
        <v>2300</v>
      </c>
      <c r="H362" s="18">
        <f>SUMIF(ТабПозиции[orderNum],ТабЗаказы[[#This Row],[orderNum]],ТабПозиции[totalSumm])</f>
        <v>2300</v>
      </c>
      <c r="I362" s="18" t="str">
        <f>IFERROR(VLOOKUP(ТабЗаказы[[#This Row],[orderNum]],ТабПозиции[#Data],22,0),"")</f>
        <v>true</v>
      </c>
    </row>
    <row r="363" spans="1:9" x14ac:dyDescent="0.25">
      <c r="A363">
        <f t="shared" si="7"/>
        <v>362</v>
      </c>
      <c r="B363" s="1">
        <v>45625</v>
      </c>
      <c r="C363" t="s">
        <v>1633</v>
      </c>
      <c r="D363" t="str">
        <f>VLOOKUP(ТабЗаказы[[#This Row],[client]],ТабКлиенты[[name]:[_id]],2,0)</f>
        <v>67f56eca575fff8fe23c7ac1</v>
      </c>
      <c r="E363">
        <f>IFERROR(IF(ТабЗаказы[[#This Row],[orderSumm]]&gt;10000,10,VLOOKUP(ТабЗаказы[[#This Row],[client]],ТабКлиенты[[name]:[percent]],MATCH(E$1,ТабКлиенты[#Headers],0),0)),"")</f>
        <v>15</v>
      </c>
      <c r="F363" s="18">
        <f>IFERROR(SUMIF(ТабПозиции[orderNum],ТабЗаказы[[#This Row],[orderNum]],ТабПозиции[orderSumm]),"")</f>
        <v>256</v>
      </c>
      <c r="G363" s="18">
        <f>SUMIF(ТабПозиции[orderNum],ТабЗаказы[[#This Row],[orderNum]],ТабПозиции[deliverySumm])</f>
        <v>200</v>
      </c>
      <c r="H363" s="18">
        <f>SUMIF(ТабПозиции[orderNum],ТабЗаказы[[#This Row],[orderNum]],ТабПозиции[totalSumm])</f>
        <v>200</v>
      </c>
      <c r="I363" s="18" t="str">
        <f>IFERROR(VLOOKUP(ТабЗаказы[[#This Row],[orderNum]],ТабПозиции[#Data],22,0),"")</f>
        <v>true</v>
      </c>
    </row>
    <row r="364" spans="1:9" x14ac:dyDescent="0.25">
      <c r="A364">
        <f t="shared" si="7"/>
        <v>363</v>
      </c>
      <c r="B364" s="1">
        <v>45625</v>
      </c>
      <c r="C364" t="s">
        <v>1991</v>
      </c>
      <c r="D364" t="str">
        <f>VLOOKUP(ТабЗаказы[[#This Row],[client]],ТабКлиенты[[name]:[_id]],2,0)</f>
        <v>67f56eca575fff8fe23c7ad6</v>
      </c>
      <c r="E364">
        <f>IFERROR(IF(ТабЗаказы[[#This Row],[orderSumm]]&gt;10000,10,VLOOKUP(ТабЗаказы[[#This Row],[client]],ТабКлиенты[[name]:[percent]],MATCH(E$1,ТабКлиенты[#Headers],0),0)),"")</f>
        <v>10</v>
      </c>
      <c r="F364" s="18">
        <f>IFERROR(SUMIF(ТабПозиции[orderNum],ТабЗаказы[[#This Row],[orderNum]],ТабПозиции[orderSumm]),"")</f>
        <v>20470</v>
      </c>
      <c r="G364" s="18">
        <f>SUMIF(ТабПозиции[orderNum],ТабЗаказы[[#This Row],[orderNum]],ТабПозиции[deliverySumm])</f>
        <v>2047</v>
      </c>
      <c r="H364" s="18">
        <f>SUMIF(ТабПозиции[orderNum],ТабЗаказы[[#This Row],[orderNum]],ТабПозиции[totalSumm])</f>
        <v>2047</v>
      </c>
      <c r="I364" s="18" t="str">
        <f>IFERROR(VLOOKUP(ТабЗаказы[[#This Row],[orderNum]],ТабПозиции[#Data],22,0),"")</f>
        <v>true</v>
      </c>
    </row>
    <row r="365" spans="1:9" x14ac:dyDescent="0.25">
      <c r="A365">
        <f t="shared" si="7"/>
        <v>364</v>
      </c>
      <c r="B365" s="1">
        <v>45625</v>
      </c>
      <c r="C365" t="s">
        <v>1996</v>
      </c>
      <c r="D365" t="str">
        <f>VLOOKUP(ТабЗаказы[[#This Row],[client]],ТабКлиенты[[name]:[_id]],2,0)</f>
        <v>67f56eca575fff8fe23c7ad8</v>
      </c>
      <c r="E365">
        <f>IFERROR(IF(ТабЗаказы[[#This Row],[orderSumm]]&gt;10000,10,VLOOKUP(ТабЗаказы[[#This Row],[client]],ТабКлиенты[[name]:[percent]],MATCH(E$1,ТабКлиенты[#Headers],0),0)),"")</f>
        <v>15</v>
      </c>
      <c r="F365" s="18">
        <f>IFERROR(SUMIF(ТабПозиции[orderNum],ТабЗаказы[[#This Row],[orderNum]],ТабПозиции[orderSumm]),"")</f>
        <v>4158</v>
      </c>
      <c r="G365" s="18">
        <f>SUMIF(ТабПозиции[orderNum],ТабЗаказы[[#This Row],[orderNum]],ТабПозиции[deliverySumm])</f>
        <v>624</v>
      </c>
      <c r="H365" s="18">
        <f>SUMIF(ТабПозиции[orderNum],ТабЗаказы[[#This Row],[orderNum]],ТабПозиции[totalSumm])</f>
        <v>624</v>
      </c>
      <c r="I365" s="18" t="str">
        <f>IFERROR(VLOOKUP(ТабЗаказы[[#This Row],[orderNum]],ТабПозиции[#Data],22,0),"")</f>
        <v>true</v>
      </c>
    </row>
    <row r="366" spans="1:9" x14ac:dyDescent="0.25">
      <c r="A366">
        <f t="shared" si="7"/>
        <v>365</v>
      </c>
      <c r="B366" s="1">
        <v>45625</v>
      </c>
      <c r="C366" t="s">
        <v>1482</v>
      </c>
      <c r="D366" t="str">
        <f>VLOOKUP(ТабЗаказы[[#This Row],[client]],ТабКлиенты[[name]:[_id]],2,0)</f>
        <v>67f56eca575fff8fe23c7ab7</v>
      </c>
      <c r="E366">
        <f>IFERROR(IF(ТабЗаказы[[#This Row],[orderSumm]]&gt;10000,10,VLOOKUP(ТабЗаказы[[#This Row],[client]],ТабКлиенты[[name]:[percent]],MATCH(E$1,ТабКлиенты[#Headers],0),0)),"")</f>
        <v>15</v>
      </c>
      <c r="F366" s="18">
        <f>IFERROR(SUMIF(ТабПозиции[orderNum],ТабЗаказы[[#This Row],[orderNum]],ТабПозиции[orderSumm]),"")</f>
        <v>6205</v>
      </c>
      <c r="G366" s="18">
        <f>SUMIF(ТабПозиции[orderNum],ТабЗаказы[[#This Row],[orderNum]],ТабПозиции[deliverySumm])</f>
        <v>931</v>
      </c>
      <c r="H366" s="18">
        <f>SUMIF(ТабПозиции[orderNum],ТабЗаказы[[#This Row],[orderNum]],ТабПозиции[totalSumm])</f>
        <v>7136</v>
      </c>
      <c r="I366" s="18" t="str">
        <f>IFERROR(VLOOKUP(ТабЗаказы[[#This Row],[orderNum]],ТабПозиции[#Data],22,0),"")</f>
        <v>true</v>
      </c>
    </row>
    <row r="367" spans="1:9" x14ac:dyDescent="0.25">
      <c r="A367">
        <f t="shared" si="7"/>
        <v>366</v>
      </c>
      <c r="B367" s="1">
        <v>45625</v>
      </c>
      <c r="C367" t="s">
        <v>445</v>
      </c>
      <c r="D367" t="str">
        <f>VLOOKUP(ТабЗаказы[[#This Row],[client]],ТабКлиенты[[name]:[_id]],2,0)</f>
        <v>67f56eca575fff8fe23c7a96</v>
      </c>
      <c r="E367">
        <f>IFERROR(IF(ТабЗаказы[[#This Row],[orderSumm]]&gt;10000,10,VLOOKUP(ТабЗаказы[[#This Row],[client]],ТабКлиенты[[name]:[percent]],MATCH(E$1,ТабКлиенты[#Headers],0),0)),"")</f>
        <v>10</v>
      </c>
      <c r="F367" s="18">
        <f>IFERROR(SUMIF(ТабПозиции[orderNum],ТабЗаказы[[#This Row],[orderNum]],ТабПозиции[orderSumm]),"")</f>
        <v>16394</v>
      </c>
      <c r="G367" s="18">
        <f>SUMIF(ТабПозиции[orderNum],ТабЗаказы[[#This Row],[orderNum]],ТабПозиции[deliverySumm])</f>
        <v>1639</v>
      </c>
      <c r="H367" s="18">
        <f>SUMIF(ТабПозиции[orderNum],ТабЗаказы[[#This Row],[orderNum]],ТабПозиции[totalSumm])</f>
        <v>18033</v>
      </c>
      <c r="I367" s="18" t="str">
        <f>IFERROR(VLOOKUP(ТабЗаказы[[#This Row],[orderNum]],ТабПозиции[#Data],22,0),"")</f>
        <v>true</v>
      </c>
    </row>
    <row r="368" spans="1:9" x14ac:dyDescent="0.25">
      <c r="A368">
        <f t="shared" si="7"/>
        <v>367</v>
      </c>
      <c r="B368" s="1">
        <v>45629</v>
      </c>
      <c r="C368" t="s">
        <v>1771</v>
      </c>
      <c r="D368" t="str">
        <f>VLOOKUP(ТабЗаказы[[#This Row],[client]],ТабКлиенты[[name]:[_id]],2,0)</f>
        <v>67f56eca575fff8fe23c7ac6</v>
      </c>
      <c r="E368">
        <f>IFERROR(IF(ТабЗаказы[[#This Row],[orderSumm]]&gt;10000,10,VLOOKUP(ТабЗаказы[[#This Row],[client]],ТабКлиенты[[name]:[percent]],MATCH(E$1,ТабКлиенты[#Headers],0),0)),"")</f>
        <v>15</v>
      </c>
      <c r="F368" s="18">
        <f>IFERROR(SUMIF(ТабПозиции[orderNum],ТабЗаказы[[#This Row],[orderNum]],ТабПозиции[orderSumm]),"")</f>
        <v>3564</v>
      </c>
      <c r="G368" s="18">
        <f>SUMIF(ТабПозиции[orderNum],ТабЗаказы[[#This Row],[orderNum]],ТабПозиции[deliverySumm])</f>
        <v>534</v>
      </c>
      <c r="H368" s="18">
        <f>SUMIF(ТабПозиции[orderNum],ТабЗаказы[[#This Row],[orderNum]],ТабПозиции[totalSumm])</f>
        <v>4098</v>
      </c>
      <c r="I368" s="18" t="str">
        <f>IFERROR(VLOOKUP(ТабЗаказы[[#This Row],[orderNum]],ТабПозиции[#Data],22,0),"")</f>
        <v>true</v>
      </c>
    </row>
    <row r="369" spans="1:9" x14ac:dyDescent="0.25">
      <c r="A369">
        <f t="shared" si="7"/>
        <v>368</v>
      </c>
      <c r="B369" s="1">
        <v>45629</v>
      </c>
      <c r="C369" t="s">
        <v>1908</v>
      </c>
      <c r="D369" t="str">
        <f>VLOOKUP(ТабЗаказы[[#This Row],[client]],ТабКлиенты[[name]:[_id]],2,0)</f>
        <v>67f56eca575fff8fe23c7ace</v>
      </c>
      <c r="E369">
        <f>IFERROR(IF(ТабЗаказы[[#This Row],[orderSumm]]&gt;10000,10,VLOOKUP(ТабЗаказы[[#This Row],[client]],ТабКлиенты[[name]:[percent]],MATCH(E$1,ТабКлиенты[#Headers],0),0)),"")</f>
        <v>15</v>
      </c>
      <c r="F369" s="18">
        <f>IFERROR(SUMIF(ТабПозиции[orderNum],ТабЗаказы[[#This Row],[orderNum]],ТабПозиции[orderSumm]),"")</f>
        <v>4136</v>
      </c>
      <c r="G369" s="18">
        <f>SUMIF(ТабПозиции[orderNum],ТабЗаказы[[#This Row],[orderNum]],ТабПозиции[deliverySumm])</f>
        <v>621</v>
      </c>
      <c r="H369" s="18">
        <f>SUMIF(ТабПозиции[orderNum],ТабЗаказы[[#This Row],[orderNum]],ТабПозиции[totalSumm])</f>
        <v>4757</v>
      </c>
      <c r="I369" s="18" t="str">
        <f>IFERROR(VLOOKUP(ТабЗаказы[[#This Row],[orderNum]],ТабПозиции[#Data],22,0),"")</f>
        <v>true</v>
      </c>
    </row>
    <row r="370" spans="1:9" x14ac:dyDescent="0.25">
      <c r="A370">
        <f t="shared" si="7"/>
        <v>369</v>
      </c>
      <c r="B370" s="1">
        <v>45630</v>
      </c>
      <c r="C370" t="s">
        <v>204</v>
      </c>
      <c r="D370" t="str">
        <f>VLOOKUP(ТабЗаказы[[#This Row],[client]],ТабКлиенты[[name]:[_id]],2,0)</f>
        <v>67f56eca575fff8fe23c7a50</v>
      </c>
      <c r="E370">
        <f>IFERROR(IF(ТабЗаказы[[#This Row],[orderSumm]]&gt;10000,10,VLOOKUP(ТабЗаказы[[#This Row],[client]],ТабКлиенты[[name]:[percent]],MATCH(E$1,ТабКлиенты[#Headers],0),0)),"")</f>
        <v>10</v>
      </c>
      <c r="F370" s="18">
        <f>IFERROR(SUMIF(ТабПозиции[orderNum],ТабЗаказы[[#This Row],[orderNum]],ТабПозиции[orderSumm]),"")</f>
        <v>7926</v>
      </c>
      <c r="G370" s="18">
        <f>SUMIF(ТабПозиции[orderNum],ТабЗаказы[[#This Row],[orderNum]],ТабПозиции[deliverySumm])</f>
        <v>792</v>
      </c>
      <c r="H370" s="18">
        <f>SUMIF(ТабПозиции[orderNum],ТабЗаказы[[#This Row],[orderNum]],ТабПозиции[totalSumm])</f>
        <v>8718</v>
      </c>
      <c r="I370" s="18" t="str">
        <f>IFERROR(VLOOKUP(ТабЗаказы[[#This Row],[orderNum]],ТабПозиции[#Data],22,0),"")</f>
        <v>true</v>
      </c>
    </row>
    <row r="371" spans="1:9" x14ac:dyDescent="0.25">
      <c r="A371">
        <f t="shared" si="7"/>
        <v>370</v>
      </c>
      <c r="B371" s="1">
        <v>45630</v>
      </c>
      <c r="C371" t="s">
        <v>283</v>
      </c>
      <c r="D371" t="str">
        <f>VLOOKUP(ТабЗаказы[[#This Row],[client]],ТабКлиенты[[name]:[_id]],2,0)</f>
        <v>67f56eca575fff8fe23c7a67</v>
      </c>
      <c r="E371">
        <f>IFERROR(IF(ТабЗаказы[[#This Row],[orderSumm]]&gt;10000,10,VLOOKUP(ТабЗаказы[[#This Row],[client]],ТабКлиенты[[name]:[percent]],MATCH(E$1,ТабКлиенты[#Headers],0),0)),"")</f>
        <v>15</v>
      </c>
      <c r="F371" s="18">
        <f>IFERROR(SUMIF(ТабПозиции[orderNum],ТабЗаказы[[#This Row],[orderNum]],ТабПозиции[orderSumm]),"")</f>
        <v>4746</v>
      </c>
      <c r="G371" s="18">
        <f>SUMIF(ТабПозиции[orderNum],ТабЗаказы[[#This Row],[orderNum]],ТабПозиции[deliverySumm])</f>
        <v>712</v>
      </c>
      <c r="H371" s="18">
        <f>SUMIF(ТабПозиции[orderNum],ТабЗаказы[[#This Row],[orderNum]],ТабПозиции[totalSumm])</f>
        <v>5458</v>
      </c>
      <c r="I371" s="18" t="str">
        <f>IFERROR(VLOOKUP(ТабЗаказы[[#This Row],[orderNum]],ТабПозиции[#Data],22,0),"")</f>
        <v>true</v>
      </c>
    </row>
    <row r="372" spans="1:9" x14ac:dyDescent="0.25">
      <c r="A372">
        <f t="shared" si="7"/>
        <v>371</v>
      </c>
      <c r="B372" s="1">
        <v>45632</v>
      </c>
      <c r="C372" t="s">
        <v>1964</v>
      </c>
      <c r="D372" t="str">
        <f>VLOOKUP(ТабЗаказы[[#This Row],[client]],ТабКлиенты[[name]:[_id]],2,0)</f>
        <v>67f56eca575fff8fe23c7ad4</v>
      </c>
      <c r="E372">
        <f>IFERROR(IF(ТабЗаказы[[#This Row],[orderSumm]]&gt;10000,10,VLOOKUP(ТабЗаказы[[#This Row],[client]],ТабКлиенты[[name]:[percent]],MATCH(E$1,ТабКлиенты[#Headers],0),0)),"")</f>
        <v>10</v>
      </c>
      <c r="F372" s="18">
        <f>IFERROR(SUMIF(ТабПозиции[orderNum],ТабЗаказы[[#This Row],[orderNum]],ТабПозиции[orderSumm]),"")</f>
        <v>22789</v>
      </c>
      <c r="G372" s="18">
        <f>SUMIF(ТабПозиции[orderNum],ТабЗаказы[[#This Row],[orderNum]],ТабПозиции[deliverySumm])</f>
        <v>2279</v>
      </c>
      <c r="H372" s="18">
        <f>SUMIF(ТабПозиции[orderNum],ТабЗаказы[[#This Row],[orderNum]],ТабПозиции[totalSumm])</f>
        <v>25068</v>
      </c>
      <c r="I372" s="18" t="str">
        <f>IFERROR(VLOOKUP(ТабЗаказы[[#This Row],[orderNum]],ТабПозиции[#Data],22,0),"")</f>
        <v>true</v>
      </c>
    </row>
    <row r="373" spans="1:9" x14ac:dyDescent="0.25">
      <c r="A373">
        <f t="shared" si="7"/>
        <v>372</v>
      </c>
      <c r="B373" s="1">
        <v>45632</v>
      </c>
      <c r="C373" t="s">
        <v>485</v>
      </c>
      <c r="D373" t="str">
        <f>VLOOKUP(ТабЗаказы[[#This Row],[client]],ТабКлиенты[[name]:[_id]],2,0)</f>
        <v>67f56eca575fff8fe23c7aa1</v>
      </c>
      <c r="E373">
        <f>IFERROR(IF(ТабЗаказы[[#This Row],[orderSumm]]&gt;10000,10,VLOOKUP(ТабЗаказы[[#This Row],[client]],ТабКлиенты[[name]:[percent]],MATCH(E$1,ТабКлиенты[#Headers],0),0)),"")</f>
        <v>10</v>
      </c>
      <c r="F373" s="18">
        <f>IFERROR(SUMIF(ТабПозиции[orderNum],ТабЗаказы[[#This Row],[orderNum]],ТабПозиции[orderSumm]),"")</f>
        <v>54592</v>
      </c>
      <c r="G373" s="18">
        <f>SUMIF(ТабПозиции[orderNum],ТабЗаказы[[#This Row],[orderNum]],ТабПозиции[deliverySumm])</f>
        <v>5459</v>
      </c>
      <c r="H373" s="18">
        <f>SUMIF(ТабПозиции[orderNum],ТабЗаказы[[#This Row],[orderNum]],ТабПозиции[totalSumm])</f>
        <v>5459</v>
      </c>
      <c r="I373" s="18" t="str">
        <f>IFERROR(VLOOKUP(ТабЗаказы[[#This Row],[orderNum]],ТабПозиции[#Data],22,0),"")</f>
        <v>true</v>
      </c>
    </row>
    <row r="374" spans="1:9" x14ac:dyDescent="0.25">
      <c r="A374">
        <f t="shared" si="7"/>
        <v>373</v>
      </c>
      <c r="B374" s="1">
        <v>45632</v>
      </c>
      <c r="C374" t="s">
        <v>456</v>
      </c>
      <c r="D374" t="str">
        <f>VLOOKUP(ТабЗаказы[[#This Row],[client]],ТабКлиенты[[name]:[_id]],2,0)</f>
        <v>67f56eca575fff8fe23c7a99</v>
      </c>
      <c r="E374">
        <f>IFERROR(IF(ТабЗаказы[[#This Row],[orderSumm]]&gt;10000,10,VLOOKUP(ТабЗаказы[[#This Row],[client]],ТабКлиенты[[name]:[percent]],MATCH(E$1,ТабКлиенты[#Headers],0),0)),"")</f>
        <v>15</v>
      </c>
      <c r="F374" s="18">
        <f>IFERROR(SUMIF(ТабПозиции[orderNum],ТабЗаказы[[#This Row],[orderNum]],ТабПозиции[orderSumm]),"")</f>
        <v>2752</v>
      </c>
      <c r="G374" s="18">
        <f>SUMIF(ТабПозиции[orderNum],ТабЗаказы[[#This Row],[orderNum]],ТабПозиции[deliverySumm])</f>
        <v>413</v>
      </c>
      <c r="H374" s="18">
        <f>SUMIF(ТабПозиции[orderNum],ТабЗаказы[[#This Row],[orderNum]],ТабПозиции[totalSumm])</f>
        <v>413</v>
      </c>
      <c r="I374" s="18" t="str">
        <f>IFERROR(VLOOKUP(ТабЗаказы[[#This Row],[orderNum]],ТабПозиции[#Data],22,0),"")</f>
        <v>true</v>
      </c>
    </row>
    <row r="375" spans="1:9" x14ac:dyDescent="0.25">
      <c r="A375">
        <f t="shared" si="7"/>
        <v>374</v>
      </c>
      <c r="B375" s="1">
        <v>45632</v>
      </c>
      <c r="C375" t="s">
        <v>1934</v>
      </c>
      <c r="D375" t="str">
        <f>VLOOKUP(ТабЗаказы[[#This Row],[client]],ТабКлиенты[[name]:[_id]],2,0)</f>
        <v>67f56eca575fff8fe23c7ad0</v>
      </c>
      <c r="E375">
        <f>IFERROR(IF(ТабЗаказы[[#This Row],[orderSumm]]&gt;10000,10,VLOOKUP(ТабЗаказы[[#This Row],[client]],ТабКлиенты[[name]:[percent]],MATCH(E$1,ТабКлиенты[#Headers],0),0)),"")</f>
        <v>15</v>
      </c>
      <c r="F375" s="18">
        <f>IFERROR(SUMIF(ТабПозиции[orderNum],ТабЗаказы[[#This Row],[orderNum]],ТабПозиции[orderSumm]),"")</f>
        <v>6614</v>
      </c>
      <c r="G375" s="18">
        <f>SUMIF(ТабПозиции[orderNum],ТабЗаказы[[#This Row],[orderNum]],ТабПозиции[deliverySumm])</f>
        <v>992</v>
      </c>
      <c r="H375" s="18">
        <f>SUMIF(ТабПозиции[orderNum],ТабЗаказы[[#This Row],[orderNum]],ТабПозиции[totalSumm])</f>
        <v>1192</v>
      </c>
      <c r="I375" s="18" t="str">
        <f>IFERROR(VLOOKUP(ТабЗаказы[[#This Row],[orderNum]],ТабПозиции[#Data],22,0),"")</f>
        <v>true</v>
      </c>
    </row>
    <row r="376" spans="1:9" x14ac:dyDescent="0.25">
      <c r="A376">
        <f t="shared" si="7"/>
        <v>375</v>
      </c>
      <c r="B376" s="1">
        <v>45632</v>
      </c>
      <c r="C376" t="s">
        <v>1996</v>
      </c>
      <c r="D376" t="str">
        <f>VLOOKUP(ТабЗаказы[[#This Row],[client]],ТабКлиенты[[name]:[_id]],2,0)</f>
        <v>67f56eca575fff8fe23c7ad8</v>
      </c>
      <c r="E376">
        <f>IFERROR(IF(ТабЗаказы[[#This Row],[orderSumm]]&gt;10000,10,VLOOKUP(ТабЗаказы[[#This Row],[client]],ТабКлиенты[[name]:[percent]],MATCH(E$1,ТабКлиенты[#Headers],0),0)),"")</f>
        <v>15</v>
      </c>
      <c r="F376" s="18">
        <f>IFERROR(SUMIF(ТабПозиции[orderNum],ТабЗаказы[[#This Row],[orderNum]],ТабПозиции[orderSumm]),"")</f>
        <v>3084</v>
      </c>
      <c r="G376" s="18">
        <f>SUMIF(ТабПозиции[orderNum],ТабЗаказы[[#This Row],[orderNum]],ТабПозиции[deliverySumm])</f>
        <v>463</v>
      </c>
      <c r="H376" s="18">
        <f>SUMIF(ТабПозиции[orderNum],ТабЗаказы[[#This Row],[orderNum]],ТабПозиции[totalSumm])</f>
        <v>463</v>
      </c>
      <c r="I376" s="18" t="str">
        <f>IFERROR(VLOOKUP(ТабЗаказы[[#This Row],[orderNum]],ТабПозиции[#Data],22,0),"")</f>
        <v>true</v>
      </c>
    </row>
    <row r="377" spans="1:9" x14ac:dyDescent="0.25">
      <c r="A377">
        <f t="shared" si="7"/>
        <v>376</v>
      </c>
      <c r="B377" s="1">
        <v>45632</v>
      </c>
      <c r="C377" t="s">
        <v>283</v>
      </c>
      <c r="D377" t="str">
        <f>VLOOKUP(ТабЗаказы[[#This Row],[client]],ТабКлиенты[[name]:[_id]],2,0)</f>
        <v>67f56eca575fff8fe23c7a67</v>
      </c>
      <c r="E377">
        <f>IFERROR(IF(ТабЗаказы[[#This Row],[orderSumm]]&gt;10000,10,VLOOKUP(ТабЗаказы[[#This Row],[client]],ТабКлиенты[[name]:[percent]],MATCH(E$1,ТабКлиенты[#Headers],0),0)),"")</f>
        <v>15</v>
      </c>
      <c r="F377" s="18">
        <f>IFERROR(SUMIF(ТабПозиции[orderNum],ТабЗаказы[[#This Row],[orderNum]],ТабПозиции[orderSumm]),"")</f>
        <v>2717</v>
      </c>
      <c r="G377" s="18">
        <f>SUMIF(ТабПозиции[orderNum],ТабЗаказы[[#This Row],[orderNum]],ТабПозиции[deliverySumm])</f>
        <v>408</v>
      </c>
      <c r="H377" s="18">
        <f>SUMIF(ТабПозиции[orderNum],ТабЗаказы[[#This Row],[orderNum]],ТабПозиции[totalSumm])</f>
        <v>3125</v>
      </c>
      <c r="I377" s="18" t="str">
        <f>IFERROR(VLOOKUP(ТабЗаказы[[#This Row],[orderNum]],ТабПозиции[#Data],22,0),"")</f>
        <v>true</v>
      </c>
    </row>
    <row r="378" spans="1:9" x14ac:dyDescent="0.25">
      <c r="A378">
        <f t="shared" si="7"/>
        <v>377</v>
      </c>
      <c r="B378" s="1">
        <v>45632</v>
      </c>
      <c r="C378" t="s">
        <v>108</v>
      </c>
      <c r="D378" t="str">
        <f>VLOOKUP(ТабЗаказы[[#This Row],[client]],ТабКлиенты[[name]:[_id]],2,0)</f>
        <v>67f56eca575fff8fe23c7a2e</v>
      </c>
      <c r="E378">
        <f>IFERROR(IF(ТабЗаказы[[#This Row],[orderSumm]]&gt;10000,10,VLOOKUP(ТабЗаказы[[#This Row],[client]],ТабКлиенты[[name]:[percent]],MATCH(E$1,ТабКлиенты[#Headers],0),0)),"")</f>
        <v>15</v>
      </c>
      <c r="F378" s="18">
        <f>IFERROR(SUMIF(ТабПозиции[orderNum],ТабЗаказы[[#This Row],[orderNum]],ТабПозиции[orderSumm]),"")</f>
        <v>1500</v>
      </c>
      <c r="G378" s="18">
        <f>SUMIF(ТабПозиции[orderNum],ТабЗаказы[[#This Row],[orderNum]],ТабПозиции[deliverySumm])</f>
        <v>200</v>
      </c>
      <c r="H378" s="18">
        <f>SUMIF(ТабПозиции[orderNum],ТабЗаказы[[#This Row],[orderNum]],ТабПозиции[totalSumm])</f>
        <v>3194</v>
      </c>
      <c r="I378" s="18" t="str">
        <f>IFERROR(VLOOKUP(ТабЗаказы[[#This Row],[orderNum]],ТабПозиции[#Data],22,0),"")</f>
        <v>true</v>
      </c>
    </row>
    <row r="379" spans="1:9" x14ac:dyDescent="0.25">
      <c r="A379">
        <f t="shared" si="7"/>
        <v>378</v>
      </c>
      <c r="B379" s="1">
        <v>45632</v>
      </c>
      <c r="C379" t="s">
        <v>2050</v>
      </c>
      <c r="D379" t="str">
        <f>VLOOKUP(ТабЗаказы[[#This Row],[client]],ТабКлиенты[[name]:[_id]],2,0)</f>
        <v>67f56eca575fff8fe23c7ad9</v>
      </c>
      <c r="E379">
        <f>IFERROR(IF(ТабЗаказы[[#This Row],[orderSumm]]&gt;10000,10,VLOOKUP(ТабЗаказы[[#This Row],[client]],ТабКлиенты[[name]:[percent]],MATCH(E$1,ТабКлиенты[#Headers],0),0)),"")</f>
        <v>15</v>
      </c>
      <c r="F379" s="18">
        <f>IFERROR(SUMIF(ТабПозиции[orderNum],ТабЗаказы[[#This Row],[orderNum]],ТабПозиции[orderSumm]),"")</f>
        <v>3015</v>
      </c>
      <c r="G379" s="18">
        <f>SUMIF(ТабПозиции[orderNum],ТабЗаказы[[#This Row],[orderNum]],ТабПозиции[deliverySumm])</f>
        <v>452</v>
      </c>
      <c r="H379" s="18">
        <f>SUMIF(ТабПозиции[orderNum],ТабЗаказы[[#This Row],[orderNum]],ТабПозиции[totalSumm])</f>
        <v>3467</v>
      </c>
      <c r="I379" s="18" t="str">
        <f>IFERROR(VLOOKUP(ТабЗаказы[[#This Row],[orderNum]],ТабПозиции[#Data],22,0),"")</f>
        <v>true</v>
      </c>
    </row>
    <row r="380" spans="1:9" x14ac:dyDescent="0.25">
      <c r="A380">
        <f t="shared" si="7"/>
        <v>379</v>
      </c>
      <c r="B380" s="1">
        <v>45632</v>
      </c>
      <c r="C380" t="s">
        <v>445</v>
      </c>
      <c r="D380" t="str">
        <f>VLOOKUP(ТабЗаказы[[#This Row],[client]],ТабКлиенты[[name]:[_id]],2,0)</f>
        <v>67f56eca575fff8fe23c7a96</v>
      </c>
      <c r="E380">
        <f>IFERROR(IF(ТабЗаказы[[#This Row],[orderSumm]]&gt;10000,10,VLOOKUP(ТабЗаказы[[#This Row],[client]],ТабКлиенты[[name]:[percent]],MATCH(E$1,ТабКлиенты[#Headers],0),0)),"")</f>
        <v>15</v>
      </c>
      <c r="F380" s="18">
        <f>IFERROR(SUMIF(ТабПозиции[orderNum],ТабЗаказы[[#This Row],[orderNum]],ТабПозиции[orderSumm]),"")</f>
        <v>2833</v>
      </c>
      <c r="G380" s="18">
        <f>SUMIF(ТабПозиции[orderNum],ТабЗаказы[[#This Row],[orderNum]],ТабПозиции[deliverySumm])</f>
        <v>425</v>
      </c>
      <c r="H380" s="18">
        <f>SUMIF(ТабПозиции[orderNum],ТабЗаказы[[#This Row],[orderNum]],ТабПозиции[totalSumm])</f>
        <v>3258</v>
      </c>
      <c r="I380" s="18" t="str">
        <f>IFERROR(VLOOKUP(ТабЗаказы[[#This Row],[orderNum]],ТабПозиции[#Data],22,0),"")</f>
        <v>true</v>
      </c>
    </row>
    <row r="381" spans="1:9" x14ac:dyDescent="0.25">
      <c r="A381">
        <f t="shared" si="7"/>
        <v>380</v>
      </c>
      <c r="B381" s="1">
        <v>45634</v>
      </c>
      <c r="C381" t="s">
        <v>357</v>
      </c>
      <c r="D381" t="str">
        <f>VLOOKUP(ТабЗаказы[[#This Row],[client]],ТабКлиенты[[name]:[_id]],2,0)</f>
        <v>67f56eca575fff8fe23c7a7d</v>
      </c>
      <c r="E381">
        <f>IFERROR(IF(ТабЗаказы[[#This Row],[orderSumm]]&gt;10000,10,VLOOKUP(ТабЗаказы[[#This Row],[client]],ТабКлиенты[[name]:[percent]],MATCH(E$1,ТабКлиенты[#Headers],0),0)),"")</f>
        <v>15</v>
      </c>
      <c r="F381" s="18">
        <f>IFERROR(SUMIF(ТабПозиции[orderNum],ТабЗаказы[[#This Row],[orderNum]],ТабПозиции[orderSumm]),"")</f>
        <v>4801</v>
      </c>
      <c r="G381" s="18">
        <f>SUMIF(ТабПозиции[orderNum],ТабЗаказы[[#This Row],[orderNum]],ТабПозиции[deliverySumm])</f>
        <v>720</v>
      </c>
      <c r="H381" s="18">
        <f>SUMIF(ТабПозиции[orderNum],ТабЗаказы[[#This Row],[orderNum]],ТабПозиции[totalSumm])</f>
        <v>5521</v>
      </c>
      <c r="I381" s="18" t="str">
        <f>IFERROR(VLOOKUP(ТабЗаказы[[#This Row],[orderNum]],ТабПозиции[#Data],22,0),"")</f>
        <v>true</v>
      </c>
    </row>
    <row r="382" spans="1:9" x14ac:dyDescent="0.25">
      <c r="A382">
        <f t="shared" si="7"/>
        <v>381</v>
      </c>
      <c r="B382" s="1">
        <v>45634</v>
      </c>
      <c r="C382" t="s">
        <v>204</v>
      </c>
      <c r="D382" t="str">
        <f>VLOOKUP(ТабЗаказы[[#This Row],[client]],ТабКлиенты[[name]:[_id]],2,0)</f>
        <v>67f56eca575fff8fe23c7a50</v>
      </c>
      <c r="E382">
        <f>IFERROR(IF(ТабЗаказы[[#This Row],[orderSumm]]&gt;10000,10,VLOOKUP(ТабЗаказы[[#This Row],[client]],ТабКлиенты[[name]:[percent]],MATCH(E$1,ТабКлиенты[#Headers],0),0)),"")</f>
        <v>10</v>
      </c>
      <c r="F382" s="18">
        <f>IFERROR(SUMIF(ТабПозиции[orderNum],ТабЗаказы[[#This Row],[orderNum]],ТабПозиции[orderSumm]),"")</f>
        <v>2766</v>
      </c>
      <c r="G382" s="18">
        <f>SUMIF(ТабПозиции[orderNum],ТабЗаказы[[#This Row],[orderNum]],ТабПозиции[deliverySumm])</f>
        <v>278</v>
      </c>
      <c r="H382" s="18">
        <f>SUMIF(ТабПозиции[orderNum],ТабЗаказы[[#This Row],[orderNum]],ТабПозиции[totalSumm])</f>
        <v>3044</v>
      </c>
      <c r="I382" s="18" t="str">
        <f>IFERROR(VLOOKUP(ТабЗаказы[[#This Row],[orderNum]],ТабПозиции[#Data],22,0),"")</f>
        <v>true</v>
      </c>
    </row>
    <row r="383" spans="1:9" x14ac:dyDescent="0.25">
      <c r="A383">
        <f t="shared" si="7"/>
        <v>382</v>
      </c>
      <c r="B383" s="1">
        <v>45635</v>
      </c>
      <c r="C383" t="s">
        <v>33</v>
      </c>
      <c r="D383" t="str">
        <f>VLOOKUP(ТабЗаказы[[#This Row],[client]],ТабКлиенты[[name]:[_id]],2,0)</f>
        <v>67f56eca575fff8fe23c7a15</v>
      </c>
      <c r="E383">
        <f>IFERROR(IF(ТабЗаказы[[#This Row],[orderSumm]]&gt;10000,10,VLOOKUP(ТабЗаказы[[#This Row],[client]],ТабКлиенты[[name]:[percent]],MATCH(E$1,ТабКлиенты[#Headers],0),0)),"")</f>
        <v>10</v>
      </c>
      <c r="F383" s="18">
        <f>IFERROR(SUMIF(ТабПозиции[orderNum],ТабЗаказы[[#This Row],[orderNum]],ТабПозиции[orderSumm]),"")</f>
        <v>12517</v>
      </c>
      <c r="G383" s="18">
        <f>SUMIF(ТабПозиции[orderNum],ТабЗаказы[[#This Row],[orderNum]],ТабПозиции[deliverySumm])</f>
        <v>1252</v>
      </c>
      <c r="H383" s="18">
        <f>SUMIF(ТабПозиции[orderNum],ТабЗаказы[[#This Row],[orderNum]],ТабПозиции[totalSumm])</f>
        <v>13769</v>
      </c>
      <c r="I383" s="18" t="str">
        <f>IFERROR(VLOOKUP(ТабЗаказы[[#This Row],[orderNum]],ТабПозиции[#Data],22,0),"")</f>
        <v>true</v>
      </c>
    </row>
    <row r="384" spans="1:9" x14ac:dyDescent="0.25">
      <c r="A384">
        <f t="shared" si="7"/>
        <v>383</v>
      </c>
      <c r="B384" s="1">
        <v>45635</v>
      </c>
      <c r="C384" t="s">
        <v>1482</v>
      </c>
      <c r="D384" t="str">
        <f>VLOOKUP(ТабЗаказы[[#This Row],[client]],ТабКлиенты[[name]:[_id]],2,0)</f>
        <v>67f56eca575fff8fe23c7ab7</v>
      </c>
      <c r="E384">
        <f>IFERROR(IF(ТабЗаказы[[#This Row],[orderSumm]]&gt;10000,10,VLOOKUP(ТабЗаказы[[#This Row],[client]],ТабКлиенты[[name]:[percent]],MATCH(E$1,ТабКлиенты[#Headers],0),0)),"")</f>
        <v>15</v>
      </c>
      <c r="F384" s="18">
        <f>IFERROR(SUMIF(ТабПозиции[orderNum],ТабЗаказы[[#This Row],[orderNum]],ТабПозиции[orderSumm]),"")</f>
        <v>2410</v>
      </c>
      <c r="G384" s="18">
        <f>SUMIF(ТабПозиции[orderNum],ТабЗаказы[[#This Row],[orderNum]],ТабПозиции[deliverySumm])</f>
        <v>362</v>
      </c>
      <c r="H384" s="18">
        <f>SUMIF(ТабПозиции[orderNum],ТабЗаказы[[#This Row],[orderNum]],ТабПозиции[totalSumm])</f>
        <v>2772</v>
      </c>
      <c r="I384" s="18" t="str">
        <f>IFERROR(VLOOKUP(ТабЗаказы[[#This Row],[orderNum]],ТабПозиции[#Data],22,0),"")</f>
        <v>true</v>
      </c>
    </row>
    <row r="385" spans="1:9" x14ac:dyDescent="0.25">
      <c r="A385">
        <f t="shared" si="7"/>
        <v>384</v>
      </c>
      <c r="B385" s="1">
        <v>45635</v>
      </c>
      <c r="C385" t="s">
        <v>1523</v>
      </c>
      <c r="D385" t="str">
        <f>VLOOKUP(ТабЗаказы[[#This Row],[client]],ТабКлиенты[[name]:[_id]],2,0)</f>
        <v>67f56eca575fff8fe23c7abb</v>
      </c>
      <c r="E385">
        <v>10</v>
      </c>
      <c r="F385" s="18">
        <f>IFERROR(SUMIF(ТабПозиции[orderNum],ТабЗаказы[[#This Row],[orderNum]],ТабПозиции[orderSumm]),"")</f>
        <v>11309</v>
      </c>
      <c r="G385" s="18">
        <f>SUMIF(ТабПозиции[orderNum],ТабЗаказы[[#This Row],[orderNum]],ТабПозиции[deliverySumm])</f>
        <v>1131</v>
      </c>
      <c r="H385" s="18">
        <f>SUMIF(ТабПозиции[orderNum],ТабЗаказы[[#This Row],[orderNum]],ТабПозиции[totalSumm])</f>
        <v>12440</v>
      </c>
      <c r="I385" s="18" t="str">
        <f>IFERROR(VLOOKUP(ТабЗаказы[[#This Row],[orderNum]],ТабПозиции[#Data],22,0),"")</f>
        <v>true</v>
      </c>
    </row>
    <row r="386" spans="1:9" x14ac:dyDescent="0.25">
      <c r="A386">
        <f t="shared" si="7"/>
        <v>385</v>
      </c>
      <c r="B386" s="1">
        <v>45636</v>
      </c>
      <c r="C386" t="s">
        <v>287</v>
      </c>
      <c r="D386" t="str">
        <f>VLOOKUP(ТабЗаказы[[#This Row],[client]],ТабКлиенты[[name]:[_id]],2,0)</f>
        <v>67f56eca575fff8fe23c7a68</v>
      </c>
      <c r="E386">
        <f>IFERROR(IF(ТабЗаказы[[#This Row],[orderSumm]]&gt;10000,10,VLOOKUP(ТабЗаказы[[#This Row],[client]],ТабКлиенты[[name]:[percent]],MATCH(E$1,ТабКлиенты[#Headers],0),0)),"")</f>
        <v>15</v>
      </c>
      <c r="F386" s="18">
        <f>IFERROR(SUMIF(ТабПозиции[orderNum],ТабЗаказы[[#This Row],[orderNum]],ТабПозиции[orderSumm]),"")</f>
        <v>8145</v>
      </c>
      <c r="G386" s="18">
        <f>SUMIF(ТабПозиции[orderNum],ТабЗаказы[[#This Row],[orderNum]],ТабПозиции[deliverySumm])</f>
        <v>1223</v>
      </c>
      <c r="H386" s="18">
        <f>SUMIF(ТабПозиции[orderNum],ТабЗаказы[[#This Row],[orderNum]],ТабПозиции[totalSumm])</f>
        <v>9368</v>
      </c>
      <c r="I386" s="18" t="str">
        <f>IFERROR(VLOOKUP(ТабЗаказы[[#This Row],[orderNum]],ТабПозиции[#Data],22,0),"")</f>
        <v>true</v>
      </c>
    </row>
    <row r="387" spans="1:9" x14ac:dyDescent="0.25">
      <c r="A387">
        <f t="shared" si="7"/>
        <v>386</v>
      </c>
      <c r="B387" s="1">
        <v>45636</v>
      </c>
      <c r="C387" t="s">
        <v>1927</v>
      </c>
      <c r="D387" t="str">
        <f>VLOOKUP(ТабЗаказы[[#This Row],[client]],ТабКлиенты[[name]:[_id]],2,0)</f>
        <v>67f56eca575fff8fe23c7acf</v>
      </c>
      <c r="E387">
        <f>IFERROR(IF(ТабЗаказы[[#This Row],[orderSumm]]&gt;10000,10,VLOOKUP(ТабЗаказы[[#This Row],[client]],ТабКлиенты[[name]:[percent]],MATCH(E$1,ТабКлиенты[#Headers],0),0)),"")</f>
        <v>15</v>
      </c>
      <c r="F387" s="18">
        <f>IFERROR(SUMIF(ТабПозиции[orderNum],ТабЗаказы[[#This Row],[orderNum]],ТабПозиции[orderSumm]),"")</f>
        <v>466</v>
      </c>
      <c r="G387" s="18">
        <f>SUMIF(ТабПозиции[orderNum],ТабЗаказы[[#This Row],[orderNum]],ТабПозиции[deliverySumm])</f>
        <v>200</v>
      </c>
      <c r="H387" s="18">
        <f>SUMIF(ТабПозиции[orderNum],ТабЗаказы[[#This Row],[orderNum]],ТабПозиции[totalSumm])</f>
        <v>666</v>
      </c>
      <c r="I387" s="18" t="str">
        <f>IFERROR(VLOOKUP(ТабЗаказы[[#This Row],[orderNum]],ТабПозиции[#Data],22,0),"")</f>
        <v>true</v>
      </c>
    </row>
    <row r="388" spans="1:9" x14ac:dyDescent="0.25">
      <c r="A388">
        <f t="shared" si="7"/>
        <v>387</v>
      </c>
      <c r="B388" s="1">
        <v>45638</v>
      </c>
      <c r="C388" t="s">
        <v>295</v>
      </c>
      <c r="D388" t="str">
        <f>VLOOKUP(ТабЗаказы[[#This Row],[client]],ТабКлиенты[[name]:[_id]],2,0)</f>
        <v>67f56eca575fff8fe23c7a6b</v>
      </c>
      <c r="E388">
        <f>IFERROR(IF(ТабЗаказы[[#This Row],[orderSumm]]&gt;10000,10,VLOOKUP(ТабЗаказы[[#This Row],[client]],ТабКлиенты[[name]:[percent]],MATCH(E$1,ТабКлиенты[#Headers],0),0)),"")</f>
        <v>10</v>
      </c>
      <c r="F388" s="18">
        <f>IFERROR(SUMIF(ТабПозиции[orderNum],ТабЗаказы[[#This Row],[orderNum]],ТабПозиции[orderSumm]),"")</f>
        <v>21650</v>
      </c>
      <c r="G388" s="18">
        <f>SUMIF(ТабПозиции[orderNum],ТабЗаказы[[#This Row],[orderNum]],ТабПозиции[deliverySumm])</f>
        <v>2165</v>
      </c>
      <c r="H388" s="18">
        <f>SUMIF(ТабПозиции[orderNum],ТабЗаказы[[#This Row],[orderNum]],ТабПозиции[totalSumm])</f>
        <v>2165</v>
      </c>
      <c r="I388" s="18" t="str">
        <f>IFERROR(VLOOKUP(ТабЗаказы[[#This Row],[orderNum]],ТабПозиции[#Data],22,0),"")</f>
        <v>true</v>
      </c>
    </row>
    <row r="389" spans="1:9" x14ac:dyDescent="0.25">
      <c r="A389">
        <f t="shared" si="7"/>
        <v>388</v>
      </c>
      <c r="B389" s="1">
        <v>45638</v>
      </c>
      <c r="C389" t="s">
        <v>104</v>
      </c>
      <c r="D389" t="str">
        <f>VLOOKUP(ТабЗаказы[[#This Row],[client]],ТабКлиенты[[name]:[_id]],2,0)</f>
        <v>67f56eca575fff8fe23c7a2d</v>
      </c>
      <c r="E389">
        <f>IFERROR(IF(ТабЗаказы[[#This Row],[orderSumm]]&gt;10000,10,VLOOKUP(ТабЗаказы[[#This Row],[client]],ТабКлиенты[[name]:[percent]],MATCH(E$1,ТабКлиенты[#Headers],0),0)),"")</f>
        <v>10</v>
      </c>
      <c r="F389" s="18">
        <f>IFERROR(SUMIF(ТабПозиции[orderNum],ТабЗаказы[[#This Row],[orderNum]],ТабПозиции[orderSumm]),"")</f>
        <v>13900</v>
      </c>
      <c r="G389" s="18">
        <f>SUMIF(ТабПозиции[orderNum],ТабЗаказы[[#This Row],[orderNum]],ТабПозиции[deliverySumm])</f>
        <v>1390</v>
      </c>
      <c r="H389" s="18">
        <f>SUMIF(ТабПозиции[orderNum],ТабЗаказы[[#This Row],[orderNum]],ТабПозиции[totalSumm])</f>
        <v>2580</v>
      </c>
      <c r="I389" s="18" t="str">
        <f>IFERROR(VLOOKUP(ТабЗаказы[[#This Row],[orderNum]],ТабПозиции[#Data],22,0),"")</f>
        <v>true</v>
      </c>
    </row>
    <row r="390" spans="1:9" x14ac:dyDescent="0.25">
      <c r="A390">
        <f t="shared" si="7"/>
        <v>389</v>
      </c>
      <c r="B390" s="1">
        <v>45639</v>
      </c>
      <c r="C390" t="s">
        <v>1488</v>
      </c>
      <c r="D390" t="str">
        <f>VLOOKUP(ТабЗаказы[[#This Row],[client]],ТабКлиенты[[name]:[_id]],2,0)</f>
        <v>67f56eca575fff8fe23c7ab8</v>
      </c>
      <c r="E390">
        <f>IFERROR(IF(ТабЗаказы[[#This Row],[orderSumm]]&gt;10000,10,VLOOKUP(ТабЗаказы[[#This Row],[client]],ТабКлиенты[[name]:[percent]],MATCH(E$1,ТабКлиенты[#Headers],0),0)),"")</f>
        <v>15</v>
      </c>
      <c r="F390" s="18">
        <f>IFERROR(SUMIF(ТабПозиции[orderNum],ТабЗаказы[[#This Row],[orderNum]],ТабПозиции[orderSumm]),"")</f>
        <v>6703</v>
      </c>
      <c r="G390" s="18">
        <f>SUMIF(ТабПозиции[orderNum],ТабЗаказы[[#This Row],[orderNum]],ТабПозиции[deliverySumm])</f>
        <v>1005</v>
      </c>
      <c r="H390" s="18">
        <f>SUMIF(ТабПозиции[orderNum],ТабЗаказы[[#This Row],[orderNum]],ТабПозиции[totalSumm])</f>
        <v>1005</v>
      </c>
      <c r="I390" s="18" t="str">
        <f>IFERROR(VLOOKUP(ТабЗаказы[[#This Row],[orderNum]],ТабПозиции[#Data],22,0),"")</f>
        <v>true</v>
      </c>
    </row>
    <row r="391" spans="1:9" x14ac:dyDescent="0.25">
      <c r="A391">
        <f t="shared" si="7"/>
        <v>390</v>
      </c>
      <c r="B391" s="1">
        <v>45639</v>
      </c>
      <c r="C391" t="s">
        <v>456</v>
      </c>
      <c r="D391" t="str">
        <f>VLOOKUP(ТабЗаказы[[#This Row],[client]],ТабКлиенты[[name]:[_id]],2,0)</f>
        <v>67f56eca575fff8fe23c7a99</v>
      </c>
      <c r="E391">
        <f>IFERROR(IF(ТабЗаказы[[#This Row],[orderSumm]]&gt;10000,10,VLOOKUP(ТабЗаказы[[#This Row],[client]],ТабКлиенты[[name]:[percent]],MATCH(E$1,ТабКлиенты[#Headers],0),0)),"")</f>
        <v>15</v>
      </c>
      <c r="F391" s="18">
        <f>IFERROR(SUMIF(ТабПозиции[orderNum],ТабЗаказы[[#This Row],[orderNum]],ТабПозиции[orderSumm]),"")</f>
        <v>1232</v>
      </c>
      <c r="G391" s="18">
        <f>SUMIF(ТабПозиции[orderNum],ТабЗаказы[[#This Row],[orderNum]],ТабПозиции[deliverySumm])</f>
        <v>200</v>
      </c>
      <c r="H391" s="18">
        <f>SUMIF(ТабПозиции[orderNum],ТабЗаказы[[#This Row],[orderNum]],ТабПозиции[totalSumm])</f>
        <v>200</v>
      </c>
      <c r="I391" s="18" t="str">
        <f>IFERROR(VLOOKUP(ТабЗаказы[[#This Row],[orderNum]],ТабПозиции[#Data],22,0),"")</f>
        <v>true</v>
      </c>
    </row>
    <row r="392" spans="1:9" x14ac:dyDescent="0.25">
      <c r="A392">
        <f t="shared" si="7"/>
        <v>391</v>
      </c>
      <c r="B392" s="1">
        <v>45639</v>
      </c>
      <c r="C392" t="s">
        <v>1629</v>
      </c>
      <c r="D392" t="str">
        <f>VLOOKUP(ТабЗаказы[[#This Row],[client]],ТабКлиенты[[name]:[_id]],2,0)</f>
        <v>67f56eca575fff8fe23c7ac0</v>
      </c>
      <c r="E392">
        <f>IFERROR(IF(ТабЗаказы[[#This Row],[orderSumm]]&gt;10000,10,VLOOKUP(ТабЗаказы[[#This Row],[client]],ТабКлиенты[[name]:[percent]],MATCH(E$1,ТабКлиенты[#Headers],0),0)),"")</f>
        <v>15</v>
      </c>
      <c r="F392" s="18">
        <f>IFERROR(SUMIF(ТабПозиции[orderNum],ТабЗаказы[[#This Row],[orderNum]],ТабПозиции[orderSumm]),"")</f>
        <v>1123</v>
      </c>
      <c r="G392" s="18">
        <f>SUMIF(ТабПозиции[orderNum],ТабЗаказы[[#This Row],[orderNum]],ТабПозиции[deliverySumm])</f>
        <v>200</v>
      </c>
      <c r="H392" s="18">
        <f>SUMIF(ТабПозиции[orderNum],ТабЗаказы[[#This Row],[orderNum]],ТабПозиции[totalSumm])</f>
        <v>200</v>
      </c>
      <c r="I392" s="18" t="str">
        <f>IFERROR(VLOOKUP(ТабЗаказы[[#This Row],[orderNum]],ТабПозиции[#Data],22,0),"")</f>
        <v>true</v>
      </c>
    </row>
    <row r="393" spans="1:9" x14ac:dyDescent="0.25">
      <c r="A393">
        <f t="shared" si="7"/>
        <v>392</v>
      </c>
      <c r="B393" s="1">
        <v>45639</v>
      </c>
      <c r="C393" t="s">
        <v>445</v>
      </c>
      <c r="D393" t="str">
        <f>VLOOKUP(ТабЗаказы[[#This Row],[client]],ТабКлиенты[[name]:[_id]],2,0)</f>
        <v>67f56eca575fff8fe23c7a96</v>
      </c>
      <c r="E393">
        <f>IFERROR(IF(ТабЗаказы[[#This Row],[orderSumm]]&gt;10000,10,VLOOKUP(ТабЗаказы[[#This Row],[client]],ТабКлиенты[[name]:[percent]],MATCH(E$1,ТабКлиенты[#Headers],0),0)),"")</f>
        <v>15</v>
      </c>
      <c r="F393" s="18">
        <f>IFERROR(SUMIF(ТабПозиции[orderNum],ТабЗаказы[[#This Row],[orderNum]],ТабПозиции[orderSumm]),"")</f>
        <v>3497</v>
      </c>
      <c r="G393" s="18">
        <f>SUMIF(ТабПозиции[orderNum],ТабЗаказы[[#This Row],[orderNum]],ТабПозиции[deliverySumm])</f>
        <v>525</v>
      </c>
      <c r="H393" s="18">
        <f>SUMIF(ТабПозиции[orderNum],ТабЗаказы[[#This Row],[orderNum]],ТабПозиции[totalSumm])</f>
        <v>4022</v>
      </c>
      <c r="I393" s="18" t="str">
        <f>IFERROR(VLOOKUP(ТабЗаказы[[#This Row],[orderNum]],ТабПозиции[#Data],22,0),"")</f>
        <v>true</v>
      </c>
    </row>
    <row r="394" spans="1:9" x14ac:dyDescent="0.25">
      <c r="A394">
        <f t="shared" si="7"/>
        <v>393</v>
      </c>
      <c r="B394" s="1">
        <v>45641</v>
      </c>
      <c r="C394" t="s">
        <v>1502</v>
      </c>
      <c r="D394" t="str">
        <f>VLOOKUP(ТабЗаказы[[#This Row],[client]],ТабКлиенты[[name]:[_id]],2,0)</f>
        <v>67f56eca575fff8fe23c7a28</v>
      </c>
      <c r="E394">
        <f>IFERROR(IF(ТабЗаказы[[#This Row],[orderSumm]]&gt;10000,10,VLOOKUP(ТабЗаказы[[#This Row],[client]],ТабКлиенты[[name]:[percent]],MATCH(E$1,ТабКлиенты[#Headers],0),0)),"")</f>
        <v>15</v>
      </c>
      <c r="F394" s="18">
        <f>IFERROR(SUMIF(ТабПозиции[orderNum],ТабЗаказы[[#This Row],[orderNum]],ТабПозиции[orderSumm]),"")</f>
        <v>5435</v>
      </c>
      <c r="G394" s="18">
        <f>SUMIF(ТабПозиции[orderNum],ТабЗаказы[[#This Row],[orderNum]],ТабПозиции[deliverySumm])</f>
        <v>816</v>
      </c>
      <c r="H394" s="18">
        <f>SUMIF(ТабПозиции[orderNum],ТабЗаказы[[#This Row],[orderNum]],ТабПозиции[totalSumm])</f>
        <v>6251</v>
      </c>
      <c r="I394" s="18" t="str">
        <f>IFERROR(VLOOKUP(ТабЗаказы[[#This Row],[orderNum]],ТабПозиции[#Data],22,0),"")</f>
        <v>true</v>
      </c>
    </row>
    <row r="395" spans="1:9" x14ac:dyDescent="0.25">
      <c r="A395">
        <f t="shared" si="7"/>
        <v>394</v>
      </c>
      <c r="B395" s="1">
        <v>45641</v>
      </c>
      <c r="C395" t="s">
        <v>283</v>
      </c>
      <c r="D395" t="str">
        <f>VLOOKUP(ТабЗаказы[[#This Row],[client]],ТабКлиенты[[name]:[_id]],2,0)</f>
        <v>67f56eca575fff8fe23c7a67</v>
      </c>
      <c r="E395">
        <f>IFERROR(IF(ТабЗаказы[[#This Row],[orderSumm]]&gt;10000,10,VLOOKUP(ТабЗаказы[[#This Row],[client]],ТабКлиенты[[name]:[percent]],MATCH(E$1,ТабКлиенты[#Headers],0),0)),"")</f>
        <v>15</v>
      </c>
      <c r="F395" s="18">
        <f>IFERROR(SUMIF(ТабПозиции[orderNum],ТабЗаказы[[#This Row],[orderNum]],ТабПозиции[orderSumm]),"")</f>
        <v>3726</v>
      </c>
      <c r="G395" s="18">
        <f>SUMIF(ТабПозиции[orderNum],ТабЗаказы[[#This Row],[orderNum]],ТабПозиции[deliverySumm])</f>
        <v>559</v>
      </c>
      <c r="H395" s="18">
        <f>SUMIF(ТабПозиции[orderNum],ТабЗаказы[[#This Row],[orderNum]],ТабПозиции[totalSumm])</f>
        <v>4285</v>
      </c>
      <c r="I395" s="18" t="str">
        <f>IFERROR(VLOOKUP(ТабЗаказы[[#This Row],[orderNum]],ТабПозиции[#Data],22,0),"")</f>
        <v>true</v>
      </c>
    </row>
    <row r="396" spans="1:9" x14ac:dyDescent="0.25">
      <c r="A396">
        <f t="shared" ref="A396:A459" si="8">A395+1</f>
        <v>395</v>
      </c>
      <c r="B396" s="1">
        <v>45642</v>
      </c>
      <c r="C396" t="s">
        <v>204</v>
      </c>
      <c r="D396" t="str">
        <f>VLOOKUP(ТабЗаказы[[#This Row],[client]],ТабКлиенты[[name]:[_id]],2,0)</f>
        <v>67f56eca575fff8fe23c7a50</v>
      </c>
      <c r="E396">
        <f>IFERROR(IF(ТабЗаказы[[#This Row],[orderSumm]]&gt;10000,10,VLOOKUP(ТабЗаказы[[#This Row],[client]],ТабКлиенты[[name]:[percent]],MATCH(E$1,ТабКлиенты[#Headers],0),0)),"")</f>
        <v>10</v>
      </c>
      <c r="F396" s="18">
        <f>IFERROR(SUMIF(ТабПозиции[orderNum],ТабЗаказы[[#This Row],[orderNum]],ТабПозиции[orderSumm]),"")</f>
        <v>3473</v>
      </c>
      <c r="G396" s="18">
        <f>SUMIF(ТабПозиции[orderNum],ТабЗаказы[[#This Row],[orderNum]],ТабПозиции[deliverySumm])</f>
        <v>348</v>
      </c>
      <c r="H396" s="18">
        <f>SUMIF(ТабПозиции[orderNum],ТабЗаказы[[#This Row],[orderNum]],ТабПозиции[totalSumm])</f>
        <v>3821</v>
      </c>
      <c r="I396" s="18" t="str">
        <f>IFERROR(VLOOKUP(ТабЗаказы[[#This Row],[orderNum]],ТабПозиции[#Data],22,0),"")</f>
        <v>true</v>
      </c>
    </row>
    <row r="397" spans="1:9" x14ac:dyDescent="0.25">
      <c r="A397">
        <f t="shared" si="8"/>
        <v>396</v>
      </c>
      <c r="B397" s="1">
        <v>45642</v>
      </c>
      <c r="C397" t="s">
        <v>1771</v>
      </c>
      <c r="D397" t="str">
        <f>VLOOKUP(ТабЗаказы[[#This Row],[client]],ТабКлиенты[[name]:[_id]],2,0)</f>
        <v>67f56eca575fff8fe23c7ac6</v>
      </c>
      <c r="E397">
        <f>IFERROR(IF(ТабЗаказы[[#This Row],[orderSumm]]&gt;10000,10,VLOOKUP(ТабЗаказы[[#This Row],[client]],ТабКлиенты[[name]:[percent]],MATCH(E$1,ТабКлиенты[#Headers],0),0)),"")</f>
        <v>15</v>
      </c>
      <c r="F397" s="18">
        <f>IFERROR(SUMIF(ТабПозиции[orderNum],ТабЗаказы[[#This Row],[orderNum]],ТабПозиции[orderSumm]),"")</f>
        <v>2563</v>
      </c>
      <c r="G397" s="18">
        <f>SUMIF(ТабПозиции[orderNum],ТабЗаказы[[#This Row],[orderNum]],ТабПозиции[deliverySumm])</f>
        <v>384</v>
      </c>
      <c r="H397" s="18">
        <f>SUMIF(ТабПозиции[orderNum],ТабЗаказы[[#This Row],[orderNum]],ТабПозиции[totalSumm])</f>
        <v>2947</v>
      </c>
      <c r="I397" s="18" t="str">
        <f>IFERROR(VLOOKUP(ТабЗаказы[[#This Row],[orderNum]],ТабПозиции[#Data],22,0),"")</f>
        <v>true</v>
      </c>
    </row>
    <row r="398" spans="1:9" x14ac:dyDescent="0.25">
      <c r="A398">
        <f t="shared" si="8"/>
        <v>397</v>
      </c>
      <c r="B398" s="1">
        <v>45644</v>
      </c>
      <c r="C398" t="s">
        <v>1482</v>
      </c>
      <c r="D398" t="str">
        <f>VLOOKUP(ТабЗаказы[[#This Row],[client]],ТабКлиенты[[name]:[_id]],2,0)</f>
        <v>67f56eca575fff8fe23c7ab7</v>
      </c>
      <c r="E398">
        <f>IFERROR(IF(ТабЗаказы[[#This Row],[orderSumm]]&gt;10000,10,VLOOKUP(ТабЗаказы[[#This Row],[client]],ТабКлиенты[[name]:[percent]],MATCH(E$1,ТабКлиенты[#Headers],0),0)),"")</f>
        <v>15</v>
      </c>
      <c r="F398" s="18">
        <f>IFERROR(SUMIF(ТабПозиции[orderNum],ТабЗаказы[[#This Row],[orderNum]],ТабПозиции[orderSumm]),"")</f>
        <v>4002</v>
      </c>
      <c r="G398" s="18">
        <f>SUMIF(ТабПозиции[orderNum],ТабЗаказы[[#This Row],[orderNum]],ТабПозиции[deliverySumm])</f>
        <v>601</v>
      </c>
      <c r="H398" s="18">
        <f>SUMIF(ТабПозиции[orderNum],ТабЗаказы[[#This Row],[orderNum]],ТабПозиции[totalSumm])</f>
        <v>4603</v>
      </c>
      <c r="I398" s="18" t="str">
        <f>IFERROR(VLOOKUP(ТабЗаказы[[#This Row],[orderNum]],ТабПозиции[#Data],22,0),"")</f>
        <v>true</v>
      </c>
    </row>
    <row r="399" spans="1:9" x14ac:dyDescent="0.25">
      <c r="A399">
        <f t="shared" si="8"/>
        <v>398</v>
      </c>
      <c r="B399" s="1">
        <v>45645</v>
      </c>
      <c r="C399" t="s">
        <v>1996</v>
      </c>
      <c r="D399" t="str">
        <f>VLOOKUP(ТабЗаказы[[#This Row],[client]],ТабКлиенты[[name]:[_id]],2,0)</f>
        <v>67f56eca575fff8fe23c7ad8</v>
      </c>
      <c r="E399">
        <v>10</v>
      </c>
      <c r="F399" s="18">
        <f>IFERROR(SUMIF(ТабПозиции[orderNum],ТабЗаказы[[#This Row],[orderNum]],ТабПозиции[orderSumm]),"")</f>
        <v>8236</v>
      </c>
      <c r="G399" s="18">
        <f>SUMIF(ТабПозиции[orderNum],ТабЗаказы[[#This Row],[orderNum]],ТабПозиции[deliverySumm])</f>
        <v>824</v>
      </c>
      <c r="H399" s="18">
        <f>SUMIF(ТабПозиции[orderNum],ТабЗаказы[[#This Row],[orderNum]],ТабПозиции[totalSumm])</f>
        <v>824</v>
      </c>
      <c r="I399" s="18" t="str">
        <f>IFERROR(VLOOKUP(ТабЗаказы[[#This Row],[orderNum]],ТабПозиции[#Data],22,0),"")</f>
        <v>true</v>
      </c>
    </row>
    <row r="400" spans="1:9" x14ac:dyDescent="0.25">
      <c r="A400">
        <f t="shared" si="8"/>
        <v>399</v>
      </c>
      <c r="B400" s="1">
        <v>45646</v>
      </c>
      <c r="C400" t="s">
        <v>456</v>
      </c>
      <c r="D400" t="str">
        <f>VLOOKUP(ТабЗаказы[[#This Row],[client]],ТабКлиенты[[name]:[_id]],2,0)</f>
        <v>67f56eca575fff8fe23c7a99</v>
      </c>
      <c r="E400">
        <f>IFERROR(IF(ТабЗаказы[[#This Row],[orderSumm]]&gt;10000,10,VLOOKUP(ТабЗаказы[[#This Row],[client]],ТабКлиенты[[name]:[percent]],MATCH(E$1,ТабКлиенты[#Headers],0),0)),"")</f>
        <v>15</v>
      </c>
      <c r="F400" s="18">
        <f>IFERROR(SUMIF(ТабПозиции[orderNum],ТабЗаказы[[#This Row],[orderNum]],ТабПозиции[orderSumm]),"")</f>
        <v>1939</v>
      </c>
      <c r="G400" s="18">
        <f>SUMIF(ТабПозиции[orderNum],ТабЗаказы[[#This Row],[orderNum]],ТабПозиции[deliverySumm])</f>
        <v>291</v>
      </c>
      <c r="H400" s="18">
        <f>SUMIF(ТабПозиции[orderNum],ТабЗаказы[[#This Row],[orderNum]],ТабПозиции[totalSumm])</f>
        <v>291</v>
      </c>
      <c r="I400" s="18" t="str">
        <f>IFERROR(VLOOKUP(ТабЗаказы[[#This Row],[orderNum]],ТабПозиции[#Data],22,0),"")</f>
        <v>true</v>
      </c>
    </row>
    <row r="401" spans="1:9" x14ac:dyDescent="0.25">
      <c r="A401">
        <f t="shared" si="8"/>
        <v>400</v>
      </c>
      <c r="B401" s="1">
        <v>45646</v>
      </c>
      <c r="C401" t="s">
        <v>1629</v>
      </c>
      <c r="D401" t="str">
        <f>VLOOKUP(ТабЗаказы[[#This Row],[client]],ТабКлиенты[[name]:[_id]],2,0)</f>
        <v>67f56eca575fff8fe23c7ac0</v>
      </c>
      <c r="E401">
        <f>IFERROR(IF(ТабЗаказы[[#This Row],[orderSumm]]&gt;10000,10,VLOOKUP(ТабЗаказы[[#This Row],[client]],ТабКлиенты[[name]:[percent]],MATCH(E$1,ТабКлиенты[#Headers],0),0)),"")</f>
        <v>15</v>
      </c>
      <c r="F401" s="18">
        <f>IFERROR(SUMIF(ТабПозиции[orderNum],ТабЗаказы[[#This Row],[orderNum]],ТабПозиции[orderSumm]),"")</f>
        <v>2898</v>
      </c>
      <c r="G401" s="18">
        <f>SUMIF(ТабПозиции[orderNum],ТабЗаказы[[#This Row],[orderNum]],ТабПозиции[deliverySumm])</f>
        <v>435</v>
      </c>
      <c r="H401" s="18">
        <f>SUMIF(ТабПозиции[orderNum],ТабЗаказы[[#This Row],[orderNum]],ТабПозиции[totalSumm])</f>
        <v>435</v>
      </c>
      <c r="I401" s="18" t="str">
        <f>IFERROR(VLOOKUP(ТабЗаказы[[#This Row],[orderNum]],ТабПозиции[#Data],22,0),"")</f>
        <v>true</v>
      </c>
    </row>
    <row r="402" spans="1:9" x14ac:dyDescent="0.25">
      <c r="A402">
        <f t="shared" si="8"/>
        <v>401</v>
      </c>
      <c r="B402" s="1">
        <v>45646</v>
      </c>
      <c r="C402" t="s">
        <v>2146</v>
      </c>
      <c r="D402" t="str">
        <f>VLOOKUP(ТабЗаказы[[#This Row],[client]],ТабКлиенты[[name]:[_id]],2,0)</f>
        <v>67f56eca575fff8fe23c7adc</v>
      </c>
      <c r="E402">
        <f>IFERROR(IF(ТабЗаказы[[#This Row],[orderSumm]]&gt;10000,10,VLOOKUP(ТабЗаказы[[#This Row],[client]],ТабКлиенты[[name]:[percent]],MATCH(E$1,ТабКлиенты[#Headers],0),0)),"")</f>
        <v>10</v>
      </c>
      <c r="F402" s="18">
        <f>IFERROR(SUMIF(ТабПозиции[orderNum],ТабЗаказы[[#This Row],[orderNum]],ТабПозиции[orderSumm]),"")</f>
        <v>18039</v>
      </c>
      <c r="G402" s="18">
        <f>SUMIF(ТабПозиции[orderNum],ТабЗаказы[[#This Row],[orderNum]],ТабПозиции[deliverySumm])</f>
        <v>1804</v>
      </c>
      <c r="H402" s="18">
        <f>SUMIF(ТабПозиции[orderNum],ТабЗаказы[[#This Row],[orderNum]],ТабПозиции[totalSumm])</f>
        <v>1804</v>
      </c>
      <c r="I402" s="18" t="str">
        <f>IFERROR(VLOOKUP(ТабЗаказы[[#This Row],[orderNum]],ТабПозиции[#Data],22,0),"")</f>
        <v>true</v>
      </c>
    </row>
    <row r="403" spans="1:9" x14ac:dyDescent="0.25">
      <c r="A403">
        <f t="shared" si="8"/>
        <v>402</v>
      </c>
      <c r="B403" s="1">
        <v>45646</v>
      </c>
      <c r="C403" t="s">
        <v>204</v>
      </c>
      <c r="D403" t="str">
        <f>VLOOKUP(ТабЗаказы[[#This Row],[client]],ТабКлиенты[[name]:[_id]],2,0)</f>
        <v>67f56eca575fff8fe23c7a50</v>
      </c>
      <c r="E403">
        <f>IFERROR(IF(ТабЗаказы[[#This Row],[orderSumm]]&gt;10000,10,VLOOKUP(ТабЗаказы[[#This Row],[client]],ТабКлиенты[[name]:[percent]],MATCH(E$1,ТабКлиенты[#Headers],0),0)),"")</f>
        <v>10</v>
      </c>
      <c r="F403" s="18">
        <f>IFERROR(SUMIF(ТабПозиции[orderNum],ТабЗаказы[[#This Row],[orderNum]],ТабПозиции[orderSumm]),"")</f>
        <v>5204</v>
      </c>
      <c r="G403" s="18">
        <f>SUMIF(ТабПозиции[orderNum],ТабЗаказы[[#This Row],[orderNum]],ТабПозиции[deliverySumm])</f>
        <v>520</v>
      </c>
      <c r="H403" s="18">
        <f>SUMIF(ТабПозиции[orderNum],ТабЗаказы[[#This Row],[orderNum]],ТабПозиции[totalSumm])</f>
        <v>5724</v>
      </c>
      <c r="I403" s="18" t="str">
        <f>IFERROR(VLOOKUP(ТабЗаказы[[#This Row],[orderNum]],ТабПозиции[#Data],22,0),"")</f>
        <v>true</v>
      </c>
    </row>
    <row r="404" spans="1:9" x14ac:dyDescent="0.25">
      <c r="A404">
        <f t="shared" si="8"/>
        <v>403</v>
      </c>
      <c r="B404" s="1">
        <v>45649</v>
      </c>
      <c r="C404" t="s">
        <v>33</v>
      </c>
      <c r="D404" t="str">
        <f>VLOOKUP(ТабЗаказы[[#This Row],[client]],ТабКлиенты[[name]:[_id]],2,0)</f>
        <v>67f56eca575fff8fe23c7a15</v>
      </c>
      <c r="E404">
        <f>IFERROR(IF(ТабЗаказы[[#This Row],[orderSumm]]&gt;10000,10,VLOOKUP(ТабЗаказы[[#This Row],[client]],ТабКлиенты[[name]:[percent]],MATCH(E$1,ТабКлиенты[#Headers],0),0)),"")</f>
        <v>15</v>
      </c>
      <c r="F404" s="18">
        <f>IFERROR(SUMIF(ТабПозиции[orderNum],ТабЗаказы[[#This Row],[orderNum]],ТабПозиции[orderSumm]),"")</f>
        <v>4750</v>
      </c>
      <c r="G404" s="18">
        <f>SUMIF(ТабПозиции[orderNum],ТабЗаказы[[#This Row],[orderNum]],ТабПозиции[deliverySumm])</f>
        <v>714</v>
      </c>
      <c r="H404" s="18">
        <f>SUMIF(ТабПозиции[orderNum],ТабЗаказы[[#This Row],[orderNum]],ТабПозиции[totalSumm])</f>
        <v>6055</v>
      </c>
      <c r="I404" s="18" t="str">
        <f>IFERROR(VLOOKUP(ТабЗаказы[[#This Row],[orderNum]],ТабПозиции[#Data],22,0),"")</f>
        <v>true</v>
      </c>
    </row>
    <row r="405" spans="1:9" x14ac:dyDescent="0.25">
      <c r="A405">
        <f t="shared" si="8"/>
        <v>404</v>
      </c>
      <c r="B405" s="1">
        <v>45649</v>
      </c>
      <c r="C405" t="s">
        <v>2201</v>
      </c>
      <c r="D405" t="str">
        <f>VLOOKUP(ТабЗаказы[[#This Row],[client]],ТабКлиенты[[name]:[_id]],2,0)</f>
        <v>67f56eca575fff8fe23c7ae1</v>
      </c>
      <c r="E405">
        <v>10</v>
      </c>
      <c r="F405" s="18">
        <f>IFERROR(SUMIF(ТабПозиции[orderNum],ТабЗаказы[[#This Row],[orderNum]],ТабПозиции[orderSumm]),"")</f>
        <v>1935</v>
      </c>
      <c r="G405" s="18">
        <f>SUMIF(ТабПозиции[orderNum],ТабЗаказы[[#This Row],[orderNum]],ТабПозиции[deliverySumm])</f>
        <v>194</v>
      </c>
      <c r="H405" s="18">
        <f>SUMIF(ТабПозиции[orderNum],ТабЗаказы[[#This Row],[orderNum]],ТабПозиции[totalSumm])</f>
        <v>2129</v>
      </c>
      <c r="I405" s="18" t="str">
        <f>IFERROR(VLOOKUP(ТабЗаказы[[#This Row],[orderNum]],ТабПозиции[#Data],22,0),"")</f>
        <v>true</v>
      </c>
    </row>
    <row r="406" spans="1:9" x14ac:dyDescent="0.25">
      <c r="A406">
        <f t="shared" si="8"/>
        <v>405</v>
      </c>
      <c r="B406" s="1">
        <v>45649</v>
      </c>
      <c r="C406" t="s">
        <v>2162</v>
      </c>
      <c r="D406" t="str">
        <f>VLOOKUP(ТабЗаказы[[#This Row],[client]],ТабКлиенты[[name]:[_id]],2,0)</f>
        <v>67f56eca575fff8fe23c7ade</v>
      </c>
      <c r="E406">
        <v>15</v>
      </c>
      <c r="F406" s="18">
        <f>IFERROR(SUMIF(ТабПозиции[orderNum],ТабЗаказы[[#This Row],[orderNum]],ТабПозиции[orderSumm]),"")</f>
        <v>2951</v>
      </c>
      <c r="G406" s="18">
        <f>SUMIF(ТабПозиции[orderNum],ТабЗаказы[[#This Row],[orderNum]],ТабПозиции[deliverySumm])</f>
        <v>443</v>
      </c>
      <c r="H406" s="18">
        <f>SUMIF(ТабПозиции[orderNum],ТабЗаказы[[#This Row],[orderNum]],ТабПозиции[totalSumm])</f>
        <v>3394</v>
      </c>
      <c r="I406" s="18" t="str">
        <f>IFERROR(VLOOKUP(ТабЗаказы[[#This Row],[orderNum]],ТабПозиции[#Data],22,0),"")</f>
        <v>true</v>
      </c>
    </row>
    <row r="407" spans="1:9" x14ac:dyDescent="0.25">
      <c r="A407">
        <f t="shared" si="8"/>
        <v>406</v>
      </c>
      <c r="B407" s="1">
        <v>45649</v>
      </c>
      <c r="C407" t="s">
        <v>2167</v>
      </c>
      <c r="D407" t="str">
        <f>VLOOKUP(ТабЗаказы[[#This Row],[client]],ТабКлиенты[[name]:[_id]],2,0)</f>
        <v>67f56eca575fff8fe23c7adf</v>
      </c>
      <c r="E407">
        <f>IFERROR(IF(ТабЗаказы[[#This Row],[orderSumm]]&gt;10000,10,VLOOKUP(ТабЗаказы[[#This Row],[client]],ТабКлиенты[[name]:[percent]],MATCH(E$1,ТабКлиенты[#Headers],0),0)),"")</f>
        <v>15</v>
      </c>
      <c r="F407" s="18">
        <f>IFERROR(SUMIF(ТабПозиции[orderNum],ТабЗаказы[[#This Row],[orderNum]],ТабПозиции[orderSumm]),"")</f>
        <v>5988</v>
      </c>
      <c r="G407" s="18">
        <f>SUMIF(ТабПозиции[orderNum],ТабЗаказы[[#This Row],[orderNum]],ТабПозиции[deliverySumm])</f>
        <v>898</v>
      </c>
      <c r="H407" s="18">
        <f>SUMIF(ТабПозиции[orderNum],ТабЗаказы[[#This Row],[orderNum]],ТабПозиции[totalSumm])</f>
        <v>6886</v>
      </c>
      <c r="I407" s="18" t="str">
        <f>IFERROR(VLOOKUP(ТабЗаказы[[#This Row],[orderNum]],ТабПозиции[#Data],22,0),"")</f>
        <v>true</v>
      </c>
    </row>
    <row r="408" spans="1:9" x14ac:dyDescent="0.25">
      <c r="A408">
        <f t="shared" si="8"/>
        <v>407</v>
      </c>
      <c r="B408" s="1">
        <v>45650</v>
      </c>
      <c r="C408" t="s">
        <v>1482</v>
      </c>
      <c r="D408" t="str">
        <f>VLOOKUP(ТабЗаказы[[#This Row],[client]],ТабКлиенты[[name]:[_id]],2,0)</f>
        <v>67f56eca575fff8fe23c7ab7</v>
      </c>
      <c r="E408">
        <f>IFERROR(IF(ТабЗаказы[[#This Row],[orderSumm]]&gt;10000,10,VLOOKUP(ТабЗаказы[[#This Row],[client]],ТабКлиенты[[name]:[percent]],MATCH(E$1,ТабКлиенты[#Headers],0),0)),"")</f>
        <v>15</v>
      </c>
      <c r="F408" s="18">
        <f>IFERROR(SUMIF(ТабПозиции[orderNum],ТабЗаказы[[#This Row],[orderNum]],ТабПозиции[orderSumm]),"")</f>
        <v>6148</v>
      </c>
      <c r="G408" s="18">
        <f>SUMIF(ТабПозиции[orderNum],ТабЗаказы[[#This Row],[orderNum]],ТабПозиции[deliverySumm])</f>
        <v>922</v>
      </c>
      <c r="H408" s="18">
        <f>SUMIF(ТабПозиции[orderNum],ТабЗаказы[[#This Row],[orderNum]],ТабПозиции[totalSumm])</f>
        <v>7070</v>
      </c>
      <c r="I408" s="18" t="str">
        <f>IFERROR(VLOOKUP(ТабЗаказы[[#This Row],[orderNum]],ТабПозиции[#Data],22,0),"")</f>
        <v>true</v>
      </c>
    </row>
    <row r="409" spans="1:9" x14ac:dyDescent="0.25">
      <c r="A409">
        <f t="shared" si="8"/>
        <v>408</v>
      </c>
      <c r="B409" s="1">
        <v>45650</v>
      </c>
      <c r="C409" t="s">
        <v>357</v>
      </c>
      <c r="D409" t="str">
        <f>VLOOKUP(ТабЗаказы[[#This Row],[client]],ТабКлиенты[[name]:[_id]],2,0)</f>
        <v>67f56eca575fff8fe23c7a7d</v>
      </c>
      <c r="E409">
        <f>IFERROR(IF(ТабЗаказы[[#This Row],[orderSumm]]&gt;10000,10,VLOOKUP(ТабЗаказы[[#This Row],[client]],ТабКлиенты[[name]:[percent]],MATCH(E$1,ТабКлиенты[#Headers],0),0)),"")</f>
        <v>15</v>
      </c>
      <c r="F409" s="18">
        <f>IFERROR(SUMIF(ТабПозиции[orderNum],ТабЗаказы[[#This Row],[orderNum]],ТабПозиции[orderSumm]),"")</f>
        <v>1391</v>
      </c>
      <c r="G409" s="18">
        <f>SUMIF(ТабПозиции[orderNum],ТабЗаказы[[#This Row],[orderNum]],ТабПозиции[deliverySumm])</f>
        <v>200</v>
      </c>
      <c r="H409" s="18">
        <f>SUMIF(ТабПозиции[orderNum],ТабЗаказы[[#This Row],[orderNum]],ТабПозиции[totalSumm])</f>
        <v>1591</v>
      </c>
      <c r="I409" s="18" t="str">
        <f>IFERROR(VLOOKUP(ТабЗаказы[[#This Row],[orderNum]],ТабПозиции[#Data],22,0),"")</f>
        <v>true</v>
      </c>
    </row>
    <row r="410" spans="1:9" x14ac:dyDescent="0.25">
      <c r="A410">
        <f t="shared" si="8"/>
        <v>409</v>
      </c>
      <c r="B410" s="1">
        <v>45650</v>
      </c>
      <c r="C410" t="s">
        <v>112</v>
      </c>
      <c r="D410" t="str">
        <f>VLOOKUP(ТабЗаказы[[#This Row],[client]],ТабКлиенты[[name]:[_id]],2,0)</f>
        <v>67f56eca575fff8fe23c7a2f</v>
      </c>
      <c r="E410">
        <f>IFERROR(IF(ТабЗаказы[[#This Row],[orderSumm]]&gt;10000,10,VLOOKUP(ТабЗаказы[[#This Row],[client]],ТабКлиенты[[name]:[percent]],MATCH(E$1,ТабКлиенты[#Headers],0),0)),"")</f>
        <v>15</v>
      </c>
      <c r="F410" s="18">
        <f>IFERROR(SUMIF(ТабПозиции[orderNum],ТабЗаказы[[#This Row],[orderNum]],ТабПозиции[orderSumm]),"")</f>
        <v>1937</v>
      </c>
      <c r="G410" s="18">
        <f>SUMIF(ТабПозиции[orderNum],ТабЗаказы[[#This Row],[orderNum]],ТабПозиции[deliverySumm])</f>
        <v>291</v>
      </c>
      <c r="H410" s="18">
        <f>SUMIF(ТабПозиции[orderNum],ТабЗаказы[[#This Row],[orderNum]],ТабПозиции[totalSumm])</f>
        <v>2228</v>
      </c>
      <c r="I410" s="18" t="str">
        <f>IFERROR(VLOOKUP(ТабЗаказы[[#This Row],[orderNum]],ТабПозиции[#Data],22,0),"")</f>
        <v>true</v>
      </c>
    </row>
    <row r="411" spans="1:9" x14ac:dyDescent="0.25">
      <c r="A411">
        <f t="shared" si="8"/>
        <v>410</v>
      </c>
      <c r="B411" s="1">
        <v>45652</v>
      </c>
      <c r="C411" t="s">
        <v>1934</v>
      </c>
      <c r="D411" t="str">
        <f>VLOOKUP(ТабЗаказы[[#This Row],[client]],ТабКлиенты[[name]:[_id]],2,0)</f>
        <v>67f56eca575fff8fe23c7ad0</v>
      </c>
      <c r="E411">
        <f>IFERROR(IF(ТабЗаказы[[#This Row],[orderSumm]]&gt;10000,10,VLOOKUP(ТабЗаказы[[#This Row],[client]],ТабКлиенты[[name]:[percent]],MATCH(E$1,ТабКлиенты[#Headers],0),0)),"")</f>
        <v>15</v>
      </c>
      <c r="F411" s="18">
        <f>IFERROR(SUMIF(ТабПозиции[orderNum],ТабЗаказы[[#This Row],[orderNum]],ТабПозиции[orderSumm]),"")</f>
        <v>7805</v>
      </c>
      <c r="G411" s="18">
        <f>SUMIF(ТабПозиции[orderNum],ТабЗаказы[[#This Row],[orderNum]],ТабПозиции[deliverySumm])</f>
        <v>1171</v>
      </c>
      <c r="H411" s="18">
        <f>SUMIF(ТабПозиции[orderNum],ТабЗаказы[[#This Row],[orderNum]],ТабПозиции[totalSumm])</f>
        <v>1171</v>
      </c>
      <c r="I411" s="18" t="str">
        <f>IFERROR(VLOOKUP(ТабЗаказы[[#This Row],[orderNum]],ТабПозиции[#Data],22,0),"")</f>
        <v>true</v>
      </c>
    </row>
    <row r="412" spans="1:9" x14ac:dyDescent="0.25">
      <c r="A412">
        <f t="shared" si="8"/>
        <v>411</v>
      </c>
      <c r="B412" s="1">
        <v>45653</v>
      </c>
      <c r="C412" t="s">
        <v>97</v>
      </c>
      <c r="D412" t="str">
        <f>VLOOKUP(ТабЗаказы[[#This Row],[client]],ТабКлиенты[[name]:[_id]],2,0)</f>
        <v>67f56eca575fff8fe23c7a2a</v>
      </c>
      <c r="E412">
        <f>IFERROR(IF(ТабЗаказы[[#This Row],[orderSumm]]&gt;10000,10,VLOOKUP(ТабЗаказы[[#This Row],[client]],ТабКлиенты[[name]:[percent]],MATCH(E$1,ТабКлиенты[#Headers],0),0)),"")</f>
        <v>10</v>
      </c>
      <c r="F412" s="18">
        <f>IFERROR(SUMIF(ТабПозиции[orderNum],ТабЗаказы[[#This Row],[orderNum]],ТабПозиции[orderSumm]),"")</f>
        <v>8028</v>
      </c>
      <c r="G412" s="18">
        <f>SUMIF(ТабПозиции[orderNum],ТабЗаказы[[#This Row],[orderNum]],ТабПозиции[deliverySumm])</f>
        <v>803</v>
      </c>
      <c r="H412" s="18">
        <f>SUMIF(ТабПозиции[orderNum],ТабЗаказы[[#This Row],[orderNum]],ТабПозиции[totalSumm])</f>
        <v>1003</v>
      </c>
      <c r="I412" s="18" t="str">
        <f>IFERROR(VLOOKUP(ТабЗаказы[[#This Row],[orderNum]],ТабПозиции[#Data],22,0),"")</f>
        <v>true</v>
      </c>
    </row>
    <row r="413" spans="1:9" x14ac:dyDescent="0.25">
      <c r="A413">
        <f t="shared" si="8"/>
        <v>412</v>
      </c>
      <c r="B413" s="1">
        <v>45653</v>
      </c>
      <c r="C413" t="s">
        <v>1629</v>
      </c>
      <c r="D413" t="str">
        <f>VLOOKUP(ТабЗаказы[[#This Row],[client]],ТабКлиенты[[name]:[_id]],2,0)</f>
        <v>67f56eca575fff8fe23c7ac0</v>
      </c>
      <c r="E413">
        <f>IFERROR(IF(ТабЗаказы[[#This Row],[orderSumm]]&gt;10000,10,VLOOKUP(ТабЗаказы[[#This Row],[client]],ТабКлиенты[[name]:[percent]],MATCH(E$1,ТабКлиенты[#Headers],0),0)),"")</f>
        <v>15</v>
      </c>
      <c r="F413" s="18">
        <f>IFERROR(SUMIF(ТабПозиции[orderNum],ТабЗаказы[[#This Row],[orderNum]],ТабПозиции[orderSumm]),"")</f>
        <v>1229</v>
      </c>
      <c r="G413" s="18">
        <f>SUMIF(ТабПозиции[orderNum],ТабЗаказы[[#This Row],[orderNum]],ТабПозиции[deliverySumm])</f>
        <v>200</v>
      </c>
      <c r="H413" s="18">
        <f>SUMIF(ТабПозиции[orderNum],ТабЗаказы[[#This Row],[orderNum]],ТабПозиции[totalSumm])</f>
        <v>200</v>
      </c>
      <c r="I413" s="18" t="str">
        <f>IFERROR(VLOOKUP(ТабЗаказы[[#This Row],[orderNum]],ТабПозиции[#Data],22,0),"")</f>
        <v>true</v>
      </c>
    </row>
    <row r="414" spans="1:9" x14ac:dyDescent="0.25">
      <c r="A414">
        <f t="shared" si="8"/>
        <v>413</v>
      </c>
      <c r="B414" s="1">
        <v>45653</v>
      </c>
      <c r="C414" t="s">
        <v>493</v>
      </c>
      <c r="D414" t="str">
        <f>VLOOKUP(ТабЗаказы[[#This Row],[client]],ТабКлиенты[[name]:[_id]],2,0)</f>
        <v>67f56eca575fff8fe23c7aa4</v>
      </c>
      <c r="E414">
        <f>IFERROR(IF(ТабЗаказы[[#This Row],[orderSumm]]&gt;10000,10,VLOOKUP(ТабЗаказы[[#This Row],[client]],ТабКлиенты[[name]:[percent]],MATCH(E$1,ТабКлиенты[#Headers],0),0)),"")</f>
        <v>15</v>
      </c>
      <c r="F414" s="18">
        <f>IFERROR(SUMIF(ТабПозиции[orderNum],ТабЗаказы[[#This Row],[orderNum]],ТабПозиции[orderSumm]),"")</f>
        <v>8468</v>
      </c>
      <c r="G414" s="18">
        <f>SUMIF(ТабПозиции[orderNum],ТабЗаказы[[#This Row],[orderNum]],ТабПозиции[deliverySumm])</f>
        <v>1270</v>
      </c>
      <c r="H414" s="18">
        <f>SUMIF(ТабПозиции[orderNum],ТабЗаказы[[#This Row],[orderNum]],ТабПозиции[totalSumm])</f>
        <v>1270</v>
      </c>
      <c r="I414" s="18" t="str">
        <f>IFERROR(VLOOKUP(ТабЗаказы[[#This Row],[orderNum]],ТабПозиции[#Data],22,0),"")</f>
        <v>true</v>
      </c>
    </row>
    <row r="415" spans="1:9" x14ac:dyDescent="0.25">
      <c r="A415">
        <f t="shared" si="8"/>
        <v>414</v>
      </c>
      <c r="B415" s="1">
        <v>46019</v>
      </c>
      <c r="C415" t="s">
        <v>210</v>
      </c>
      <c r="D415" t="str">
        <f>VLOOKUP(ТабЗаказы[[#This Row],[client]],ТабКлиенты[[name]:[_id]],2,0)</f>
        <v>67f56eca575fff8fe23c7a52</v>
      </c>
      <c r="E415">
        <f>IFERROR(IF(ТабЗаказы[[#This Row],[orderSumm]]&gt;10000,10,VLOOKUP(ТабЗаказы[[#This Row],[client]],ТабКлиенты[[name]:[percent]],MATCH(E$1,ТабКлиенты[#Headers],0),0)),"")</f>
        <v>15</v>
      </c>
      <c r="F415" s="18">
        <f>IFERROR(SUMIF(ТабПозиции[orderNum],ТабЗаказы[[#This Row],[orderNum]],ТабПозиции[orderSumm]),"")</f>
        <v>890</v>
      </c>
      <c r="G415" s="18">
        <f>SUMIF(ТабПозиции[orderNum],ТабЗаказы[[#This Row],[orderNum]],ТабПозиции[deliverySumm])</f>
        <v>200</v>
      </c>
      <c r="H415" s="18">
        <f>SUMIF(ТабПозиции[orderNum],ТабЗаказы[[#This Row],[orderNum]],ТабПозиции[totalSumm])</f>
        <v>1090</v>
      </c>
      <c r="I415" s="18" t="str">
        <f>IFERROR(VLOOKUP(ТабЗаказы[[#This Row],[orderNum]],ТабПозиции[#Data],22,0),"")</f>
        <v>true</v>
      </c>
    </row>
    <row r="416" spans="1:9" x14ac:dyDescent="0.25">
      <c r="A416">
        <f t="shared" si="8"/>
        <v>415</v>
      </c>
      <c r="B416" s="1">
        <v>45656</v>
      </c>
      <c r="C416" t="s">
        <v>2209</v>
      </c>
      <c r="D416" t="str">
        <f>VLOOKUP(ТабЗаказы[[#This Row],[client]],ТабКлиенты[[name]:[_id]],2,0)</f>
        <v>67f56eca575fff8fe23c7ae2</v>
      </c>
      <c r="E416">
        <f>IFERROR(IF(ТабЗаказы[[#This Row],[orderSumm]]&gt;10000,10,VLOOKUP(ТабЗаказы[[#This Row],[client]],ТабКлиенты[[name]:[percent]],MATCH(E$1,ТабКлиенты[#Headers],0),0)),"")</f>
        <v>15</v>
      </c>
      <c r="F416" s="18">
        <f>IFERROR(SUMIF(ТабПозиции[orderNum],ТабЗаказы[[#This Row],[orderNum]],ТабПозиции[orderSumm]),"")</f>
        <v>501</v>
      </c>
      <c r="G416" s="18">
        <f>SUMIF(ТабПозиции[orderNum],ТабЗаказы[[#This Row],[orderNum]],ТабПозиции[deliverySumm])</f>
        <v>200</v>
      </c>
      <c r="H416" s="18">
        <f>SUMIF(ТабПозиции[orderNum],ТабЗаказы[[#This Row],[orderNum]],ТабПозиции[totalSumm])</f>
        <v>701</v>
      </c>
      <c r="I416" s="18" t="str">
        <f>IFERROR(VLOOKUP(ТабЗаказы[[#This Row],[orderNum]],ТабПозиции[#Data],22,0),"")</f>
        <v>true</v>
      </c>
    </row>
    <row r="417" spans="1:9" x14ac:dyDescent="0.25">
      <c r="A417">
        <f t="shared" si="8"/>
        <v>416</v>
      </c>
      <c r="B417" s="1">
        <v>45656</v>
      </c>
      <c r="C417" t="s">
        <v>211</v>
      </c>
      <c r="D417" t="str">
        <f>VLOOKUP(ТабЗаказы[[#This Row],[client]],ТабКлиенты[[name]:[_id]],2,0)</f>
        <v>67f56eca575fff8fe23c7a53</v>
      </c>
      <c r="E417">
        <f>IFERROR(IF(ТабЗаказы[[#This Row],[orderSumm]]&gt;10000,10,VLOOKUP(ТабЗаказы[[#This Row],[client]],ТабКлиенты[[name]:[percent]],MATCH(E$1,ТабКлиенты[#Headers],0),0)),"")</f>
        <v>15</v>
      </c>
      <c r="F417" s="18">
        <f>IFERROR(SUMIF(ТабПозиции[orderNum],ТабЗаказы[[#This Row],[orderNum]],ТабПозиции[orderSumm]),"")</f>
        <v>906</v>
      </c>
      <c r="G417" s="18">
        <f>SUMIF(ТабПозиции[orderNum],ТабЗаказы[[#This Row],[orderNum]],ТабПозиции[deliverySumm])</f>
        <v>200</v>
      </c>
      <c r="H417" s="18">
        <f>SUMIF(ТабПозиции[orderNum],ТабЗаказы[[#This Row],[orderNum]],ТабПозиции[totalSumm])</f>
        <v>1106</v>
      </c>
      <c r="I417" s="18" t="str">
        <f>IFERROR(VLOOKUP(ТабЗаказы[[#This Row],[orderNum]],ТабПозиции[#Data],22,0),"")</f>
        <v>true</v>
      </c>
    </row>
    <row r="418" spans="1:9" x14ac:dyDescent="0.25">
      <c r="A418">
        <f t="shared" si="8"/>
        <v>417</v>
      </c>
      <c r="B418" s="1">
        <v>45656</v>
      </c>
      <c r="C418" t="s">
        <v>2201</v>
      </c>
      <c r="D418" t="str">
        <f>VLOOKUP(ТабЗаказы[[#This Row],[client]],ТабКлиенты[[name]:[_id]],2,0)</f>
        <v>67f56eca575fff8fe23c7ae1</v>
      </c>
      <c r="E418">
        <f>IFERROR(IF(ТабЗаказы[[#This Row],[orderSumm]]&gt;10000,10,VLOOKUP(ТабЗаказы[[#This Row],[client]],ТабКлиенты[[name]:[percent]],MATCH(E$1,ТабКлиенты[#Headers],0),0)),"")</f>
        <v>15</v>
      </c>
      <c r="F418" s="18">
        <f>IFERROR(SUMIF(ТабПозиции[orderNum],ТабЗаказы[[#This Row],[orderNum]],ТабПозиции[orderSumm]),"")</f>
        <v>4830</v>
      </c>
      <c r="G418" s="18">
        <f>SUMIF(ТабПозиции[orderNum],ТабЗаказы[[#This Row],[orderNum]],ТабПозиции[deliverySumm])</f>
        <v>724</v>
      </c>
      <c r="H418" s="18">
        <f>SUMIF(ТабПозиции[orderNum],ТабЗаказы[[#This Row],[orderNum]],ТабПозиции[totalSumm])</f>
        <v>5943</v>
      </c>
      <c r="I418" s="18" t="str">
        <f>IFERROR(VLOOKUP(ТабЗаказы[[#This Row],[orderNum]],ТабПозиции[#Data],22,0),"")</f>
        <v>true</v>
      </c>
    </row>
    <row r="419" spans="1:9" x14ac:dyDescent="0.25">
      <c r="A419">
        <f t="shared" si="8"/>
        <v>418</v>
      </c>
      <c r="B419" s="1">
        <v>45661</v>
      </c>
      <c r="C419" t="s">
        <v>283</v>
      </c>
      <c r="D419" t="str">
        <f>VLOOKUP(ТабЗаказы[[#This Row],[client]],ТабКлиенты[[name]:[_id]],2,0)</f>
        <v>67f56eca575fff8fe23c7a67</v>
      </c>
      <c r="E419">
        <f>IFERROR(IF(ТабЗаказы[[#This Row],[orderSumm]]&gt;10000,10,VLOOKUP(ТабЗаказы[[#This Row],[client]],ТабКлиенты[[name]:[percent]],MATCH(E$1,ТабКлиенты[#Headers],0),0)),"")</f>
        <v>15</v>
      </c>
      <c r="F419" s="18">
        <f>IFERROR(SUMIF(ТабПозиции[orderNum],ТабЗаказы[[#This Row],[orderNum]],ТабПозиции[orderSumm]),"")</f>
        <v>8242</v>
      </c>
      <c r="G419" s="18">
        <f>SUMIF(ТабПозиции[orderNum],ТабЗаказы[[#This Row],[orderNum]],ТабПозиции[deliverySumm])</f>
        <v>1236</v>
      </c>
      <c r="H419" s="18">
        <f>SUMIF(ТабПозиции[orderNum],ТабЗаказы[[#This Row],[orderNum]],ТабПозиции[totalSumm])</f>
        <v>12078</v>
      </c>
      <c r="I419" s="18" t="str">
        <f>IFERROR(VLOOKUP(ТабЗаказы[[#This Row],[orderNum]],ТабПозиции[#Data],22,0),"")</f>
        <v>true</v>
      </c>
    </row>
    <row r="420" spans="1:9" x14ac:dyDescent="0.25">
      <c r="A420">
        <f t="shared" si="8"/>
        <v>419</v>
      </c>
      <c r="B420" s="1">
        <v>45661</v>
      </c>
      <c r="C420" t="s">
        <v>204</v>
      </c>
      <c r="D420" t="str">
        <f>VLOOKUP(ТабЗаказы[[#This Row],[client]],ТабКлиенты[[name]:[_id]],2,0)</f>
        <v>67f56eca575fff8fe23c7a50</v>
      </c>
      <c r="E420">
        <f>IFERROR(IF(ТабЗаказы[[#This Row],[orderSumm]]&gt;10000,10,VLOOKUP(ТабЗаказы[[#This Row],[client]],ТабКлиенты[[name]:[percent]],MATCH(E$1,ТабКлиенты[#Headers],0),0)),"")</f>
        <v>10</v>
      </c>
      <c r="F420" s="18">
        <f>IFERROR(SUMIF(ТабПозиции[orderNum],ТабЗаказы[[#This Row],[orderNum]],ТабПозиции[orderSumm]),"")</f>
        <v>5852</v>
      </c>
      <c r="G420" s="18">
        <f>SUMIF(ТабПозиции[orderNum],ТабЗаказы[[#This Row],[orderNum]],ТабПозиции[deliverySumm])</f>
        <v>585</v>
      </c>
      <c r="H420" s="18">
        <f>SUMIF(ТабПозиции[orderNum],ТабЗаказы[[#This Row],[orderNum]],ТабПозиции[totalSumm])</f>
        <v>6437</v>
      </c>
      <c r="I420" s="18" t="str">
        <f>IFERROR(VLOOKUP(ТабЗаказы[[#This Row],[orderNum]],ТабПозиции[#Data],22,0),"")</f>
        <v>true</v>
      </c>
    </row>
    <row r="421" spans="1:9" x14ac:dyDescent="0.25">
      <c r="A421">
        <f t="shared" si="8"/>
        <v>420</v>
      </c>
      <c r="B421" s="1">
        <v>45665</v>
      </c>
      <c r="C421" t="s">
        <v>357</v>
      </c>
      <c r="D421" t="str">
        <f>VLOOKUP(ТабЗаказы[[#This Row],[client]],ТабКлиенты[[name]:[_id]],2,0)</f>
        <v>67f56eca575fff8fe23c7a7d</v>
      </c>
      <c r="E421">
        <f>IFERROR(IF(ТабЗаказы[[#This Row],[orderSumm]]&gt;10000,10,VLOOKUP(ТабЗаказы[[#This Row],[client]],ТабКлиенты[[name]:[percent]],MATCH(E$1,ТабКлиенты[#Headers],0),0)),"")</f>
        <v>15</v>
      </c>
      <c r="F421" s="18">
        <f>IFERROR(SUMIF(ТабПозиции[orderNum],ТабЗаказы[[#This Row],[orderNum]],ТабПозиции[orderSumm]),"")</f>
        <v>2986</v>
      </c>
      <c r="G421" s="18">
        <f>SUMIF(ТабПозиции[orderNum],ТабЗаказы[[#This Row],[orderNum]],ТабПозиции[deliverySumm])</f>
        <v>448</v>
      </c>
      <c r="H421" s="18">
        <f>SUMIF(ТабПозиции[orderNum],ТабЗаказы[[#This Row],[orderNum]],ТабПозиции[totalSumm])</f>
        <v>3434</v>
      </c>
      <c r="I421" s="18" t="str">
        <f>IFERROR(VLOOKUP(ТабЗаказы[[#This Row],[orderNum]],ТабПозиции[#Data],22,0),"")</f>
        <v>true</v>
      </c>
    </row>
    <row r="422" spans="1:9" x14ac:dyDescent="0.25">
      <c r="A422">
        <f t="shared" si="8"/>
        <v>421</v>
      </c>
      <c r="B422" s="1">
        <v>45666</v>
      </c>
      <c r="C422" t="s">
        <v>1890</v>
      </c>
      <c r="D422" t="str">
        <f>VLOOKUP(ТабЗаказы[[#This Row],[client]],ТабКлиенты[[name]:[_id]],2,0)</f>
        <v>67f56eca575fff8fe23c7acc</v>
      </c>
      <c r="E422">
        <f>IFERROR(IF(ТабЗаказы[[#This Row],[orderSumm]]&gt;10000,10,VLOOKUP(ТабЗаказы[[#This Row],[client]],ТабКлиенты[[name]:[percent]],MATCH(E$1,ТабКлиенты[#Headers],0),0)),"")</f>
        <v>15</v>
      </c>
      <c r="F422" s="18">
        <f>IFERROR(SUMIF(ТабПозиции[orderNum],ТабЗаказы[[#This Row],[orderNum]],ТабПозиции[orderSumm]),"")</f>
        <v>5200</v>
      </c>
      <c r="G422" s="18">
        <f>SUMIF(ТабПозиции[orderNum],ТабЗаказы[[#This Row],[orderNum]],ТабПозиции[deliverySumm])</f>
        <v>780</v>
      </c>
      <c r="H422" s="18">
        <f>SUMIF(ТабПозиции[orderNum],ТабЗаказы[[#This Row],[orderNum]],ТабПозиции[totalSumm])</f>
        <v>1520</v>
      </c>
      <c r="I422" s="18" t="str">
        <f>IFERROR(VLOOKUP(ТабЗаказы[[#This Row],[orderNum]],ТабПозиции[#Data],22,0),"")</f>
        <v>true</v>
      </c>
    </row>
    <row r="423" spans="1:9" x14ac:dyDescent="0.25">
      <c r="A423">
        <f t="shared" si="8"/>
        <v>422</v>
      </c>
      <c r="B423" s="1">
        <v>45674</v>
      </c>
      <c r="C423" t="s">
        <v>97</v>
      </c>
      <c r="D423" t="str">
        <f>VLOOKUP(ТабЗаказы[[#This Row],[client]],ТабКлиенты[[name]:[_id]],2,0)</f>
        <v>67f56eca575fff8fe23c7a2a</v>
      </c>
      <c r="E423">
        <f>IFERROR(IF(ТабЗаказы[[#This Row],[orderSumm]]&gt;10000,10,VLOOKUP(ТабЗаказы[[#This Row],[client]],ТабКлиенты[[name]:[percent]],MATCH(E$1,ТабКлиенты[#Headers],0),0)),"")</f>
        <v>10</v>
      </c>
      <c r="F423" s="18">
        <f>IFERROR(SUMIF(ТабПозиции[orderNum],ТабЗаказы[[#This Row],[orderNum]],ТабПозиции[orderSumm]),"")</f>
        <v>23559</v>
      </c>
      <c r="G423" s="18">
        <f>SUMIF(ТабПозиции[orderNum],ТабЗаказы[[#This Row],[orderNum]],ТабПозиции[deliverySumm])</f>
        <v>2356</v>
      </c>
      <c r="H423" s="18">
        <f>SUMIF(ТабПозиции[orderNum],ТабЗаказы[[#This Row],[orderNum]],ТабПозиции[totalSumm])</f>
        <v>2356</v>
      </c>
      <c r="I423" s="18" t="str">
        <f>IFERROR(VLOOKUP(ТабЗаказы[[#This Row],[orderNum]],ТабПозиции[#Data],22,0),"")</f>
        <v>true</v>
      </c>
    </row>
    <row r="424" spans="1:9" x14ac:dyDescent="0.25">
      <c r="A424">
        <f t="shared" si="8"/>
        <v>423</v>
      </c>
      <c r="B424" s="1">
        <v>45667</v>
      </c>
      <c r="C424" t="s">
        <v>2253</v>
      </c>
      <c r="D424" t="str">
        <f>VLOOKUP(ТабЗаказы[[#This Row],[client]],ТабКлиенты[[name]:[_id]],2,0)</f>
        <v>67f56eca575fff8fe23c7ae3</v>
      </c>
      <c r="E424">
        <f>IFERROR(IF(ТабЗаказы[[#This Row],[orderSumm]]&gt;10000,10,VLOOKUP(ТабЗаказы[[#This Row],[client]],ТабКлиенты[[name]:[percent]],MATCH(E$1,ТабКлиенты[#Headers],0),0)),"")</f>
        <v>15</v>
      </c>
      <c r="F424" s="18">
        <f>IFERROR(SUMIF(ТабПозиции[orderNum],ТабЗаказы[[#This Row],[orderNum]],ТабПозиции[orderSumm]),"")</f>
        <v>682</v>
      </c>
      <c r="G424" s="18">
        <f>SUMIF(ТабПозиции[orderNum],ТабЗаказы[[#This Row],[orderNum]],ТабПозиции[deliverySumm])</f>
        <v>200</v>
      </c>
      <c r="H424" s="18">
        <f>SUMIF(ТабПозиции[orderNum],ТабЗаказы[[#This Row],[orderNum]],ТабПозиции[totalSumm])</f>
        <v>882</v>
      </c>
      <c r="I424" s="18" t="str">
        <f>IFERROR(VLOOKUP(ТабЗаказы[[#This Row],[orderNum]],ТабПозиции[#Data],22,0),"")</f>
        <v>true</v>
      </c>
    </row>
    <row r="425" spans="1:9" x14ac:dyDescent="0.25">
      <c r="A425">
        <f t="shared" si="8"/>
        <v>424</v>
      </c>
      <c r="B425" s="1">
        <v>45667</v>
      </c>
      <c r="C425" t="s">
        <v>485</v>
      </c>
      <c r="D425" t="str">
        <f>VLOOKUP(ТабЗаказы[[#This Row],[client]],ТабКлиенты[[name]:[_id]],2,0)</f>
        <v>67f56eca575fff8fe23c7aa1</v>
      </c>
      <c r="E425">
        <f>IFERROR(IF(ТабЗаказы[[#This Row],[orderSumm]]&gt;10000,10,VLOOKUP(ТабЗаказы[[#This Row],[client]],ТабКлиенты[[name]:[percent]],MATCH(E$1,ТабКлиенты[#Headers],0),0)),"")</f>
        <v>15</v>
      </c>
      <c r="F425" s="18">
        <f>IFERROR(SUMIF(ТабПозиции[orderNum],ТабЗаказы[[#This Row],[orderNum]],ТабПозиции[orderSumm]),"")</f>
        <v>8543</v>
      </c>
      <c r="G425" s="18">
        <f>SUMIF(ТабПозиции[orderNum],ТабЗаказы[[#This Row],[orderNum]],ТабПозиции[deliverySumm])</f>
        <v>1281</v>
      </c>
      <c r="H425" s="18">
        <f>SUMIF(ТабПозиции[orderNum],ТабЗаказы[[#This Row],[orderNum]],ТабПозиции[totalSumm])</f>
        <v>1281</v>
      </c>
      <c r="I425" s="18" t="str">
        <f>IFERROR(VLOOKUP(ТабЗаказы[[#This Row],[orderNum]],ТабПозиции[#Data],22,0),"")</f>
        <v>true</v>
      </c>
    </row>
    <row r="426" spans="1:9" x14ac:dyDescent="0.25">
      <c r="A426">
        <f t="shared" si="8"/>
        <v>425</v>
      </c>
      <c r="B426" s="1">
        <v>45667</v>
      </c>
      <c r="C426" t="s">
        <v>456</v>
      </c>
      <c r="D426" t="str">
        <f>VLOOKUP(ТабЗаказы[[#This Row],[client]],ТабКлиенты[[name]:[_id]],2,0)</f>
        <v>67f56eca575fff8fe23c7a99</v>
      </c>
      <c r="E426">
        <f>IFERROR(IF(ТабЗаказы[[#This Row],[orderSumm]]&gt;10000,10,VLOOKUP(ТабЗаказы[[#This Row],[client]],ТабКлиенты[[name]:[percent]],MATCH(E$1,ТабКлиенты[#Headers],0),0)),"")</f>
        <v>15</v>
      </c>
      <c r="F426" s="18">
        <f>IFERROR(SUMIF(ТабПозиции[orderNum],ТабЗаказы[[#This Row],[orderNum]],ТабПозиции[orderSumm]),"")</f>
        <v>2450</v>
      </c>
      <c r="G426" s="18">
        <f>SUMIF(ТабПозиции[orderNum],ТабЗаказы[[#This Row],[orderNum]],ТабПозиции[deliverySumm])</f>
        <v>368</v>
      </c>
      <c r="H426" s="18">
        <f>SUMIF(ТабПозиции[orderNum],ТабЗаказы[[#This Row],[orderNum]],ТабПозиции[totalSumm])</f>
        <v>368</v>
      </c>
      <c r="I426" s="18" t="str">
        <f>IFERROR(VLOOKUP(ТабЗаказы[[#This Row],[orderNum]],ТабПозиции[#Data],22,0),"")</f>
        <v>true</v>
      </c>
    </row>
    <row r="427" spans="1:9" x14ac:dyDescent="0.25">
      <c r="A427">
        <f t="shared" si="8"/>
        <v>426</v>
      </c>
      <c r="B427" s="1">
        <v>45667</v>
      </c>
      <c r="C427" t="s">
        <v>211</v>
      </c>
      <c r="D427" t="str">
        <f>VLOOKUP(ТабЗаказы[[#This Row],[client]],ТабКлиенты[[name]:[_id]],2,0)</f>
        <v>67f56eca575fff8fe23c7a53</v>
      </c>
      <c r="E427">
        <f>IFERROR(IF(ТабЗаказы[[#This Row],[orderSumm]]&gt;10000,10,VLOOKUP(ТабЗаказы[[#This Row],[client]],ТабКлиенты[[name]:[percent]],MATCH(E$1,ТабКлиенты[#Headers],0),0)),"")</f>
        <v>15</v>
      </c>
      <c r="F427" s="18">
        <f>IFERROR(SUMIF(ТабПозиции[orderNum],ТабЗаказы[[#This Row],[orderNum]],ТабПозиции[orderSumm]),"")</f>
        <v>4666</v>
      </c>
      <c r="G427" s="18">
        <f>SUMIF(ТабПозиции[orderNum],ТабЗаказы[[#This Row],[orderNum]],ТабПозиции[deliverySumm])</f>
        <v>700</v>
      </c>
      <c r="H427" s="18">
        <f>SUMIF(ТабПозиции[orderNum],ТабЗаказы[[#This Row],[orderNum]],ТабПозиции[totalSumm])</f>
        <v>700</v>
      </c>
      <c r="I427" s="18" t="str">
        <f>IFERROR(VLOOKUP(ТабЗаказы[[#This Row],[orderNum]],ТабПозиции[#Data],22,0),"")</f>
        <v>true</v>
      </c>
    </row>
    <row r="428" spans="1:9" x14ac:dyDescent="0.25">
      <c r="A428">
        <f t="shared" si="8"/>
        <v>427</v>
      </c>
      <c r="B428" s="1">
        <v>45667</v>
      </c>
      <c r="C428" t="s">
        <v>2258</v>
      </c>
      <c r="D428" t="str">
        <f>VLOOKUP(ТабЗаказы[[#This Row],[client]],ТабКлиенты[[name]:[_id]],2,0)</f>
        <v>67f56eca575fff8fe23c7ae4</v>
      </c>
      <c r="E428">
        <f>IFERROR(IF(ТабЗаказы[[#This Row],[orderSumm]]&gt;10000,10,VLOOKUP(ТабЗаказы[[#This Row],[client]],ТабКлиенты[[name]:[percent]],MATCH(E$1,ТабКлиенты[#Headers],0),0)),"")</f>
        <v>10</v>
      </c>
      <c r="F428" s="18">
        <f>IFERROR(SUMIF(ТабПозиции[orderNum],ТабЗаказы[[#This Row],[orderNum]],ТабПозиции[orderSumm]),"")</f>
        <v>31000</v>
      </c>
      <c r="G428" s="18">
        <f>SUMIF(ТабПозиции[orderNum],ТабЗаказы[[#This Row],[orderNum]],ТабПозиции[deliverySumm])</f>
        <v>3100</v>
      </c>
      <c r="H428" s="18">
        <f>SUMIF(ТабПозиции[orderNum],ТабЗаказы[[#This Row],[orderNum]],ТабПозиции[totalSumm])</f>
        <v>4453</v>
      </c>
      <c r="I428" s="18" t="str">
        <f>IFERROR(VLOOKUP(ТабЗаказы[[#This Row],[orderNum]],ТабПозиции[#Data],22,0),"")</f>
        <v>true</v>
      </c>
    </row>
    <row r="429" spans="1:9" x14ac:dyDescent="0.25">
      <c r="A429">
        <f t="shared" si="8"/>
        <v>428</v>
      </c>
      <c r="B429" s="1">
        <v>45667</v>
      </c>
      <c r="C429" t="s">
        <v>445</v>
      </c>
      <c r="D429" t="str">
        <f>VLOOKUP(ТабЗаказы[[#This Row],[client]],ТабКлиенты[[name]:[_id]],2,0)</f>
        <v>67f56eca575fff8fe23c7a96</v>
      </c>
      <c r="E429">
        <f>IFERROR(IF(ТабЗаказы[[#This Row],[orderSumm]]&gt;10000,10,VLOOKUP(ТабЗаказы[[#This Row],[client]],ТабКлиенты[[name]:[percent]],MATCH(E$1,ТабКлиенты[#Headers],0),0)),"")</f>
        <v>15</v>
      </c>
      <c r="F429" s="18">
        <f>IFERROR(SUMIF(ТабПозиции[orderNum],ТабЗаказы[[#This Row],[orderNum]],ТабПозиции[orderSumm]),"")</f>
        <v>7725</v>
      </c>
      <c r="G429" s="18">
        <f>SUMIF(ТабПозиции[orderNum],ТабЗаказы[[#This Row],[orderNum]],ТабПозиции[deliverySumm])</f>
        <v>1159</v>
      </c>
      <c r="H429" s="18">
        <f>SUMIF(ТабПозиции[orderNum],ТабЗаказы[[#This Row],[orderNum]],ТабПозиции[totalSumm])</f>
        <v>8884</v>
      </c>
      <c r="I429" s="18" t="str">
        <f>IFERROR(VLOOKUP(ТабЗаказы[[#This Row],[orderNum]],ТабПозиции[#Data],22,0),"")</f>
        <v>true</v>
      </c>
    </row>
    <row r="430" spans="1:9" x14ac:dyDescent="0.25">
      <c r="A430">
        <f t="shared" si="8"/>
        <v>429</v>
      </c>
      <c r="B430" s="1">
        <v>45668</v>
      </c>
      <c r="C430" t="s">
        <v>204</v>
      </c>
      <c r="D430" t="str">
        <f>VLOOKUP(ТабЗаказы[[#This Row],[client]],ТабКлиенты[[name]:[_id]],2,0)</f>
        <v>67f56eca575fff8fe23c7a50</v>
      </c>
      <c r="E430">
        <f>IFERROR(IF(ТабЗаказы[[#This Row],[orderSumm]]&gt;10000,10,VLOOKUP(ТабЗаказы[[#This Row],[client]],ТабКлиенты[[name]:[percent]],MATCH(E$1,ТабКлиенты[#Headers],0),0)),"")</f>
        <v>10</v>
      </c>
      <c r="F430" s="18">
        <f>IFERROR(SUMIF(ТабПозиции[orderNum],ТабЗаказы[[#This Row],[orderNum]],ТабПозиции[orderSumm]),"")</f>
        <v>6779</v>
      </c>
      <c r="G430" s="18">
        <f>SUMIF(ТабПозиции[orderNum],ТабЗаказы[[#This Row],[orderNum]],ТабПозиции[deliverySumm])</f>
        <v>678</v>
      </c>
      <c r="H430" s="18">
        <f>SUMIF(ТабПозиции[orderNum],ТабЗаказы[[#This Row],[orderNum]],ТабПозиции[totalSumm])</f>
        <v>7457</v>
      </c>
      <c r="I430" s="18" t="str">
        <f>IFERROR(VLOOKUP(ТабЗаказы[[#This Row],[orderNum]],ТабПозиции[#Data],22,0),"")</f>
        <v>true</v>
      </c>
    </row>
    <row r="431" spans="1:9" x14ac:dyDescent="0.25">
      <c r="A431">
        <f t="shared" si="8"/>
        <v>430</v>
      </c>
      <c r="B431" s="1">
        <v>45669</v>
      </c>
      <c r="C431" t="s">
        <v>2276</v>
      </c>
      <c r="D431" t="str">
        <f>VLOOKUP(ТабЗаказы[[#This Row],[client]],ТабКлиенты[[name]:[_id]],2,0)</f>
        <v>67f56eca575fff8fe23c7ae6</v>
      </c>
      <c r="E431">
        <f>IFERROR(IF(ТабЗаказы[[#This Row],[orderSumm]]&gt;10000,10,VLOOKUP(ТабЗаказы[[#This Row],[client]],ТабКлиенты[[name]:[percent]],MATCH(E$1,ТабКлиенты[#Headers],0),0)),"")</f>
        <v>15</v>
      </c>
      <c r="F431" s="18">
        <f>IFERROR(SUMIF(ТабПозиции[orderNum],ТабЗаказы[[#This Row],[orderNum]],ТабПозиции[orderSumm]),"")</f>
        <v>4197</v>
      </c>
      <c r="G431" s="18">
        <f>SUMIF(ТабПозиции[orderNum],ТабЗаказы[[#This Row],[orderNum]],ТабПозиции[deliverySumm])</f>
        <v>631</v>
      </c>
      <c r="H431" s="18">
        <f>SUMIF(ТабПозиции[orderNum],ТабЗаказы[[#This Row],[orderNum]],ТабПозиции[totalSumm])</f>
        <v>4828</v>
      </c>
      <c r="I431" s="18" t="str">
        <f>IFERROR(VLOOKUP(ТабЗаказы[[#This Row],[orderNum]],ТабПозиции[#Data],22,0),"")</f>
        <v>true</v>
      </c>
    </row>
    <row r="432" spans="1:9" x14ac:dyDescent="0.25">
      <c r="A432">
        <f t="shared" si="8"/>
        <v>431</v>
      </c>
      <c r="B432" s="1">
        <v>45671</v>
      </c>
      <c r="C432" t="s">
        <v>283</v>
      </c>
      <c r="D432" t="str">
        <f>VLOOKUP(ТабЗаказы[[#This Row],[client]],ТабКлиенты[[name]:[_id]],2,0)</f>
        <v>67f56eca575fff8fe23c7a67</v>
      </c>
      <c r="E432">
        <f>IFERROR(IF(ТабЗаказы[[#This Row],[orderSumm]]&gt;10000,10,VLOOKUP(ТабЗаказы[[#This Row],[client]],ТабКлиенты[[name]:[percent]],MATCH(E$1,ТабКлиенты[#Headers],0),0)),"")</f>
        <v>15</v>
      </c>
      <c r="F432" s="18">
        <f>IFERROR(SUMIF(ТабПозиции[orderNum],ТабЗаказы[[#This Row],[orderNum]],ТабПозиции[orderSumm]),"")</f>
        <v>2164</v>
      </c>
      <c r="G432" s="18">
        <f>SUMIF(ТабПозиции[orderNum],ТабЗаказы[[#This Row],[orderNum]],ТабПозиции[deliverySumm])</f>
        <v>325</v>
      </c>
      <c r="H432" s="18">
        <f>SUMIF(ТабПозиции[orderNum],ТабЗаказы[[#This Row],[orderNum]],ТабПозиции[totalSumm])</f>
        <v>2489</v>
      </c>
      <c r="I432" s="18" t="str">
        <f>IFERROR(VLOOKUP(ТабЗаказы[[#This Row],[orderNum]],ТабПозиции[#Data],22,0),"")</f>
        <v>true</v>
      </c>
    </row>
    <row r="433" spans="1:9" x14ac:dyDescent="0.25">
      <c r="A433">
        <f t="shared" si="8"/>
        <v>432</v>
      </c>
      <c r="B433" s="1">
        <v>45671</v>
      </c>
      <c r="C433" t="s">
        <v>1523</v>
      </c>
      <c r="D433" t="str">
        <f>VLOOKUP(ТабЗаказы[[#This Row],[client]],ТабКлиенты[[name]:[_id]],2,0)</f>
        <v>67f56eca575fff8fe23c7abb</v>
      </c>
      <c r="E433">
        <v>15</v>
      </c>
      <c r="F433" s="18">
        <f>IFERROR(SUMIF(ТабПозиции[orderNum],ТабЗаказы[[#This Row],[orderNum]],ТабПозиции[orderSumm]),"")</f>
        <v>6009</v>
      </c>
      <c r="G433" s="18">
        <f>SUMIF(ТабПозиции[orderNum],ТабЗаказы[[#This Row],[orderNum]],ТабПозиции[deliverySumm])</f>
        <v>901</v>
      </c>
      <c r="H433" s="18">
        <f>SUMIF(ТабПозиции[orderNum],ТабЗаказы[[#This Row],[orderNum]],ТабПозиции[totalSumm])</f>
        <v>6910</v>
      </c>
      <c r="I433" s="18" t="str">
        <f>IFERROR(VLOOKUP(ТабЗаказы[[#This Row],[orderNum]],ТабПозиции[#Data],22,0),"")</f>
        <v>true</v>
      </c>
    </row>
    <row r="434" spans="1:9" x14ac:dyDescent="0.25">
      <c r="A434">
        <f t="shared" si="8"/>
        <v>433</v>
      </c>
      <c r="B434" s="1">
        <v>45673</v>
      </c>
      <c r="C434" t="s">
        <v>137</v>
      </c>
      <c r="D434" t="str">
        <f>VLOOKUP(ТабЗаказы[[#This Row],[client]],ТабКлиенты[[name]:[_id]],2,0)</f>
        <v>67f56eca575fff8fe23c7a37</v>
      </c>
      <c r="E434">
        <f>IFERROR(IF(ТабЗаказы[[#This Row],[orderSumm]]&gt;10000,10,VLOOKUP(ТабЗаказы[[#This Row],[client]],ТабКлиенты[[name]:[percent]],MATCH(E$1,ТабКлиенты[#Headers],0),0)),"")</f>
        <v>15</v>
      </c>
      <c r="F434" s="18">
        <f>IFERROR(SUMIF(ТабПозиции[orderNum],ТабЗаказы[[#This Row],[orderNum]],ТабПозиции[orderSumm]),"")</f>
        <v>4900</v>
      </c>
      <c r="G434" s="18">
        <f>SUMIF(ТабПозиции[orderNum],ТабЗаказы[[#This Row],[orderNum]],ТабПозиции[deliverySumm])</f>
        <v>735</v>
      </c>
      <c r="H434" s="18">
        <f>SUMIF(ТабПозиции[orderNum],ТабЗаказы[[#This Row],[orderNum]],ТабПозиции[totalSumm])</f>
        <v>2485</v>
      </c>
      <c r="I434" s="18" t="str">
        <f>IFERROR(VLOOKUP(ТабЗаказы[[#This Row],[orderNum]],ТабПозиции[#Data],22,0),"")</f>
        <v>true</v>
      </c>
    </row>
    <row r="435" spans="1:9" x14ac:dyDescent="0.25">
      <c r="A435">
        <f t="shared" si="8"/>
        <v>434</v>
      </c>
      <c r="B435" s="1">
        <v>45674</v>
      </c>
      <c r="C435" t="s">
        <v>1488</v>
      </c>
      <c r="D435" t="str">
        <f>VLOOKUP(ТабЗаказы[[#This Row],[client]],ТабКлиенты[[name]:[_id]],2,0)</f>
        <v>67f56eca575fff8fe23c7ab8</v>
      </c>
      <c r="E435">
        <f>IFERROR(IF(ТабЗаказы[[#This Row],[orderSumm]]&gt;10000,10,VLOOKUP(ТабЗаказы[[#This Row],[client]],ТабКлиенты[[name]:[percent]],MATCH(E$1,ТабКлиенты[#Headers],0),0)),"")</f>
        <v>10</v>
      </c>
      <c r="F435" s="18">
        <f>IFERROR(SUMIF(ТабПозиции[orderNum],ТабЗаказы[[#This Row],[orderNum]],ТабПозиции[orderSumm]),"")</f>
        <v>16692</v>
      </c>
      <c r="G435" s="18">
        <f>SUMIF(ТабПозиции[orderNum],ТабЗаказы[[#This Row],[orderNum]],ТабПозиции[deliverySumm])</f>
        <v>1669</v>
      </c>
      <c r="H435" s="18">
        <f>SUMIF(ТабПозиции[orderNum],ТабЗаказы[[#This Row],[orderNum]],ТабПозиции[totalSumm])</f>
        <v>1669</v>
      </c>
      <c r="I435" s="18" t="str">
        <f>IFERROR(VLOOKUP(ТабЗаказы[[#This Row],[orderNum]],ТабПозиции[#Data],22,0),"")</f>
        <v>true</v>
      </c>
    </row>
    <row r="436" spans="1:9" x14ac:dyDescent="0.25">
      <c r="A436">
        <f t="shared" si="8"/>
        <v>435</v>
      </c>
      <c r="B436" s="1">
        <v>45674</v>
      </c>
      <c r="C436" t="s">
        <v>456</v>
      </c>
      <c r="D436" t="str">
        <f>VLOOKUP(ТабЗаказы[[#This Row],[client]],ТабКлиенты[[name]:[_id]],2,0)</f>
        <v>67f56eca575fff8fe23c7a99</v>
      </c>
      <c r="E436">
        <f>IFERROR(IF(ТабЗаказы[[#This Row],[orderSumm]]&gt;10000,10,VLOOKUP(ТабЗаказы[[#This Row],[client]],ТабКлиенты[[name]:[percent]],MATCH(E$1,ТабКлиенты[#Headers],0),0)),"")</f>
        <v>15</v>
      </c>
      <c r="F436" s="18">
        <f>IFERROR(SUMIF(ТабПозиции[orderNum],ТабЗаказы[[#This Row],[orderNum]],ТабПозиции[orderSumm]),"")</f>
        <v>2870</v>
      </c>
      <c r="G436" s="18">
        <f>SUMIF(ТабПозиции[orderNum],ТабЗаказы[[#This Row],[orderNum]],ТабПозиции[deliverySumm])</f>
        <v>431</v>
      </c>
      <c r="H436" s="18">
        <f>SUMIF(ТабПозиции[orderNum],ТабЗаказы[[#This Row],[orderNum]],ТабПозиции[totalSumm])</f>
        <v>431</v>
      </c>
      <c r="I436" s="18" t="str">
        <f>IFERROR(VLOOKUP(ТабЗаказы[[#This Row],[orderNum]],ТабПозиции[#Data],22,0),"")</f>
        <v>true</v>
      </c>
    </row>
    <row r="437" spans="1:9" x14ac:dyDescent="0.25">
      <c r="A437">
        <f t="shared" si="8"/>
        <v>436</v>
      </c>
      <c r="B437" s="1">
        <v>45674</v>
      </c>
      <c r="C437" t="s">
        <v>493</v>
      </c>
      <c r="D437" t="str">
        <f>VLOOKUP(ТабЗаказы[[#This Row],[client]],ТабКлиенты[[name]:[_id]],2,0)</f>
        <v>67f56eca575fff8fe23c7aa4</v>
      </c>
      <c r="E437">
        <f>IFERROR(IF(ТабЗаказы[[#This Row],[orderSumm]]&gt;10000,10,VLOOKUP(ТабЗаказы[[#This Row],[client]],ТабКлиенты[[name]:[percent]],MATCH(E$1,ТабКлиенты[#Headers],0),0)),"")</f>
        <v>15</v>
      </c>
      <c r="F437" s="18">
        <f>IFERROR(SUMIF(ТабПозиции[orderNum],ТабЗаказы[[#This Row],[orderNum]],ТабПозиции[orderSumm]),"")</f>
        <v>5914</v>
      </c>
      <c r="G437" s="18">
        <f>SUMIF(ТабПозиции[orderNum],ТабЗаказы[[#This Row],[orderNum]],ТабПозиции[deliverySumm])</f>
        <v>887</v>
      </c>
      <c r="H437" s="18">
        <f>SUMIF(ТабПозиции[orderNum],ТабЗаказы[[#This Row],[orderNum]],ТабПозиции[totalSumm])</f>
        <v>887</v>
      </c>
      <c r="I437" s="18" t="str">
        <f>IFERROR(VLOOKUP(ТабЗаказы[[#This Row],[orderNum]],ТабПозиции[#Data],22,0),"")</f>
        <v>true</v>
      </c>
    </row>
    <row r="438" spans="1:9" x14ac:dyDescent="0.25">
      <c r="A438">
        <f t="shared" si="8"/>
        <v>437</v>
      </c>
      <c r="B438" s="1">
        <v>45674</v>
      </c>
      <c r="C438" t="s">
        <v>1629</v>
      </c>
      <c r="D438" t="str">
        <f>VLOOKUP(ТабЗаказы[[#This Row],[client]],ТабКлиенты[[name]:[_id]],2,0)</f>
        <v>67f56eca575fff8fe23c7ac0</v>
      </c>
      <c r="E438">
        <f>IFERROR(IF(ТабЗаказы[[#This Row],[orderSumm]]&gt;10000,10,VLOOKUP(ТабЗаказы[[#This Row],[client]],ТабКлиенты[[name]:[percent]],MATCH(E$1,ТабКлиенты[#Headers],0),0)),"")</f>
        <v>15</v>
      </c>
      <c r="F438" s="18">
        <f>IFERROR(SUMIF(ТабПозиции[orderNum],ТабЗаказы[[#This Row],[orderNum]],ТабПозиции[orderSumm]),"")</f>
        <v>1601</v>
      </c>
      <c r="G438" s="18">
        <f>SUMIF(ТабПозиции[orderNum],ТабЗаказы[[#This Row],[orderNum]],ТабПозиции[deliverySumm])</f>
        <v>240</v>
      </c>
      <c r="H438" s="18">
        <f>SUMIF(ТабПозиции[orderNum],ТабЗаказы[[#This Row],[orderNum]],ТабПозиции[totalSumm])</f>
        <v>240</v>
      </c>
      <c r="I438" s="18" t="str">
        <f>IFERROR(VLOOKUP(ТабЗаказы[[#This Row],[orderNum]],ТабПозиции[#Data],22,0),"")</f>
        <v>true</v>
      </c>
    </row>
    <row r="439" spans="1:9" x14ac:dyDescent="0.25">
      <c r="A439">
        <f t="shared" si="8"/>
        <v>438</v>
      </c>
      <c r="B439" s="1">
        <v>45677</v>
      </c>
      <c r="C439" t="s">
        <v>283</v>
      </c>
      <c r="D439" t="str">
        <f>VLOOKUP(ТабЗаказы[[#This Row],[client]],ТабКлиенты[[name]:[_id]],2,0)</f>
        <v>67f56eca575fff8fe23c7a67</v>
      </c>
      <c r="E439">
        <f>IFERROR(IF(ТабЗаказы[[#This Row],[orderSumm]]&gt;10000,10,VLOOKUP(ТабЗаказы[[#This Row],[client]],ТабКлиенты[[name]:[percent]],MATCH(E$1,ТабКлиенты[#Headers],0),0)),"")</f>
        <v>15</v>
      </c>
      <c r="F439" s="18">
        <f>IFERROR(SUMIF(ТабПозиции[orderNum],ТабЗаказы[[#This Row],[orderNum]],ТабПозиции[orderSumm]),"")</f>
        <v>1844</v>
      </c>
      <c r="G439" s="18">
        <f>SUMIF(ТабПозиции[orderNum],ТабЗаказы[[#This Row],[orderNum]],ТабПозиции[deliverySumm])</f>
        <v>277</v>
      </c>
      <c r="H439" s="18">
        <f>SUMIF(ТабПозиции[orderNum],ТабЗаказы[[#This Row],[orderNum]],ТабПозиции[totalSumm])</f>
        <v>2121</v>
      </c>
      <c r="I439" s="18" t="str">
        <f>IFERROR(VLOOKUP(ТабЗаказы[[#This Row],[orderNum]],ТабПозиции[#Data],22,0),"")</f>
        <v>true</v>
      </c>
    </row>
    <row r="440" spans="1:9" x14ac:dyDescent="0.25">
      <c r="A440">
        <f t="shared" si="8"/>
        <v>439</v>
      </c>
      <c r="B440" s="1">
        <v>45677</v>
      </c>
      <c r="C440" t="s">
        <v>204</v>
      </c>
      <c r="D440" t="str">
        <f>VLOOKUP(ТабЗаказы[[#This Row],[client]],ТабКлиенты[[name]:[_id]],2,0)</f>
        <v>67f56eca575fff8fe23c7a50</v>
      </c>
      <c r="E440">
        <f>IFERROR(IF(ТабЗаказы[[#This Row],[orderSumm]]&gt;10000,10,VLOOKUP(ТабЗаказы[[#This Row],[client]],ТабКлиенты[[name]:[percent]],MATCH(E$1,ТабКлиенты[#Headers],0),0)),"")</f>
        <v>10</v>
      </c>
      <c r="F440" s="18">
        <f>IFERROR(SUMIF(ТабПозиции[orderNum],ТабЗаказы[[#This Row],[orderNum]],ТабПозиции[orderSumm]),"")</f>
        <v>2723</v>
      </c>
      <c r="G440" s="18">
        <f>SUMIF(ТабПозиции[orderNum],ТабЗаказы[[#This Row],[orderNum]],ТабПозиции[deliverySumm])</f>
        <v>273</v>
      </c>
      <c r="H440" s="18">
        <f>SUMIF(ТабПозиции[orderNum],ТабЗаказы[[#This Row],[orderNum]],ТабПозиции[totalSumm])</f>
        <v>2996</v>
      </c>
      <c r="I440" s="18" t="str">
        <f>IFERROR(VLOOKUP(ТабЗаказы[[#This Row],[orderNum]],ТабПозиции[#Data],22,0),"")</f>
        <v>true</v>
      </c>
    </row>
    <row r="441" spans="1:9" x14ac:dyDescent="0.25">
      <c r="A441">
        <f t="shared" si="8"/>
        <v>440</v>
      </c>
      <c r="B441" s="1">
        <v>45677</v>
      </c>
      <c r="C441" t="s">
        <v>2312</v>
      </c>
      <c r="D441" t="str">
        <f>VLOOKUP(ТабЗаказы[[#This Row],[client]],ТабКлиенты[[name]:[_id]],2,0)</f>
        <v>67f56eca575fff8fe23c7ae9</v>
      </c>
      <c r="E441">
        <f>IFERROR(IF(ТабЗаказы[[#This Row],[orderSumm]]&gt;10000,10,VLOOKUP(ТабЗаказы[[#This Row],[client]],ТабКлиенты[[name]:[percent]],MATCH(E$1,ТабКлиенты[#Headers],0),0)),"")</f>
        <v>15</v>
      </c>
      <c r="F441" s="18">
        <f>IFERROR(SUMIF(ТабПозиции[orderNum],ТабЗаказы[[#This Row],[orderNum]],ТабПозиции[orderSumm]),"")</f>
        <v>1899</v>
      </c>
      <c r="G441" s="18">
        <f>SUMIF(ТабПозиции[orderNum],ТабЗаказы[[#This Row],[orderNum]],ТабПозиции[deliverySumm])</f>
        <v>285</v>
      </c>
      <c r="H441" s="18">
        <f>SUMIF(ТабПозиции[orderNum],ТабЗаказы[[#This Row],[orderNum]],ТабПозиции[totalSumm])</f>
        <v>2184</v>
      </c>
      <c r="I441" s="18" t="str">
        <f>IFERROR(VLOOKUP(ТабЗаказы[[#This Row],[orderNum]],ТабПозиции[#Data],22,0),"")</f>
        <v>true</v>
      </c>
    </row>
    <row r="442" spans="1:9" x14ac:dyDescent="0.25">
      <c r="A442">
        <f t="shared" si="8"/>
        <v>441</v>
      </c>
      <c r="B442" s="1">
        <v>45679</v>
      </c>
      <c r="C442" t="s">
        <v>2325</v>
      </c>
      <c r="D442" t="str">
        <f>VLOOKUP(ТабЗаказы[[#This Row],[client]],ТабКлиенты[[name]:[_id]],2,0)</f>
        <v>67f56eca575fff8fe23c7aea</v>
      </c>
      <c r="E442">
        <f>IFERROR(IF(ТабЗаказы[[#This Row],[orderSumm]]&gt;10000,10,VLOOKUP(ТабЗаказы[[#This Row],[client]],ТабКлиенты[[name]:[percent]],MATCH(E$1,ТабКлиенты[#Headers],0),0)),"")</f>
        <v>10</v>
      </c>
      <c r="F442" s="18">
        <f>IFERROR(SUMIF(ТабПозиции[orderNum],ТабЗаказы[[#This Row],[orderNum]],ТабПозиции[orderSumm]),"")</f>
        <v>26410</v>
      </c>
      <c r="G442" s="18">
        <f>SUMIF(ТабПозиции[orderNum],ТабЗаказы[[#This Row],[orderNum]],ТабПозиции[deliverySumm])</f>
        <v>2641</v>
      </c>
      <c r="H442" s="18">
        <f>SUMIF(ТабПозиции[orderNum],ТабЗаказы[[#This Row],[orderNum]],ТабПозиции[totalSumm])</f>
        <v>29051</v>
      </c>
      <c r="I442" s="18" t="str">
        <f>IFERROR(VLOOKUP(ТабЗаказы[[#This Row],[orderNum]],ТабПозиции[#Data],22,0),"")</f>
        <v>true</v>
      </c>
    </row>
    <row r="443" spans="1:9" x14ac:dyDescent="0.25">
      <c r="A443">
        <f t="shared" si="8"/>
        <v>442</v>
      </c>
      <c r="B443" s="1">
        <v>45678</v>
      </c>
      <c r="C443" t="s">
        <v>33</v>
      </c>
      <c r="D443" t="str">
        <f>VLOOKUP(ТабЗаказы[[#This Row],[client]],ТабКлиенты[[name]:[_id]],2,0)</f>
        <v>67f56eca575fff8fe23c7a15</v>
      </c>
      <c r="E443">
        <f>IFERROR(IF(ТабЗаказы[[#This Row],[orderSumm]]&gt;10000,10,VLOOKUP(ТабЗаказы[[#This Row],[client]],ТабКлиенты[[name]:[percent]],MATCH(E$1,ТабКлиенты[#Headers],0),0)),"")</f>
        <v>15</v>
      </c>
      <c r="F443" s="18">
        <f>IFERROR(SUMIF(ТабПозиции[orderNum],ТабЗаказы[[#This Row],[orderNum]],ТабПозиции[orderSumm]),"")</f>
        <v>6903</v>
      </c>
      <c r="G443" s="18">
        <f>SUMIF(ТабПозиции[orderNum],ТабЗаказы[[#This Row],[orderNum]],ТабПозиции[deliverySumm])</f>
        <v>1036</v>
      </c>
      <c r="H443" s="18">
        <f>SUMIF(ТабПозиции[orderNum],ТабЗаказы[[#This Row],[orderNum]],ТабПозиции[totalSumm])</f>
        <v>7939</v>
      </c>
      <c r="I443" s="18" t="str">
        <f>IFERROR(VLOOKUP(ТабЗаказы[[#This Row],[orderNum]],ТабПозиции[#Data],22,0),"")</f>
        <v>true</v>
      </c>
    </row>
    <row r="444" spans="1:9" x14ac:dyDescent="0.25">
      <c r="A444">
        <f t="shared" si="8"/>
        <v>443</v>
      </c>
      <c r="B444" s="1">
        <v>45680</v>
      </c>
      <c r="C444" t="s">
        <v>2328</v>
      </c>
      <c r="D444" t="str">
        <f>VLOOKUP(ТабЗаказы[[#This Row],[client]],ТабКлиенты[[name]:[_id]],2,0)</f>
        <v>67f56eca575fff8fe23c7aeb</v>
      </c>
      <c r="E444">
        <f>IFERROR(IF(ТабЗаказы[[#This Row],[orderSumm]]&gt;10000,10,VLOOKUP(ТабЗаказы[[#This Row],[client]],ТабКлиенты[[name]:[percent]],MATCH(E$1,ТабКлиенты[#Headers],0),0)),"")</f>
        <v>15</v>
      </c>
      <c r="F444" s="18">
        <f>IFERROR(SUMIF(ТабПозиции[orderNum],ТабЗаказы[[#This Row],[orderNum]],ТабПозиции[orderSumm]),"")</f>
        <v>1700</v>
      </c>
      <c r="G444" s="18">
        <f>SUMIF(ТабПозиции[orderNum],ТабЗаказы[[#This Row],[orderNum]],ТабПозиции[deliverySumm])</f>
        <v>255</v>
      </c>
      <c r="H444" s="18">
        <f>SUMIF(ТабПозиции[orderNum],ТабЗаказы[[#This Row],[orderNum]],ТабПозиции[totalSumm])</f>
        <v>670</v>
      </c>
      <c r="I444" s="18" t="str">
        <f>IFERROR(VLOOKUP(ТабЗаказы[[#This Row],[orderNum]],ТабПозиции[#Data],22,0),"")</f>
        <v>true</v>
      </c>
    </row>
    <row r="445" spans="1:9" x14ac:dyDescent="0.25">
      <c r="A445">
        <f t="shared" si="8"/>
        <v>444</v>
      </c>
      <c r="B445" s="1">
        <v>45681</v>
      </c>
      <c r="C445" t="s">
        <v>1890</v>
      </c>
      <c r="D445" t="str">
        <f>VLOOKUP(ТабЗаказы[[#This Row],[client]],ТабКлиенты[[name]:[_id]],2,0)</f>
        <v>67f56eca575fff8fe23c7acc</v>
      </c>
      <c r="E445">
        <f>IFERROR(IF(ТабЗаказы[[#This Row],[orderSumm]]&gt;10000,10,VLOOKUP(ТабЗаказы[[#This Row],[client]],ТабКлиенты[[name]:[percent]],MATCH(E$1,ТабКлиенты[#Headers],0),0)),"")</f>
        <v>15</v>
      </c>
      <c r="F445" s="18">
        <f>IFERROR(SUMIF(ТабПозиции[orderNum],ТабЗаказы[[#This Row],[orderNum]],ТабПозиции[orderSumm]),"")</f>
        <v>0</v>
      </c>
      <c r="G445" s="18">
        <f>SUMIF(ТабПозиции[orderNum],ТабЗаказы[[#This Row],[orderNum]],ТабПозиции[deliverySumm])</f>
        <v>0</v>
      </c>
      <c r="H445" s="18">
        <f>SUMIF(ТабПозиции[orderNum],ТабЗаказы[[#This Row],[orderNum]],ТабПозиции[totalSumm])</f>
        <v>0</v>
      </c>
      <c r="I445" s="18" t="str">
        <f>IFERROR(VLOOKUP(ТабЗаказы[[#This Row],[orderNum]],ТабПозиции[#Data],22,0),"")</f>
        <v>true</v>
      </c>
    </row>
    <row r="446" spans="1:9" x14ac:dyDescent="0.25">
      <c r="A446">
        <f t="shared" si="8"/>
        <v>445</v>
      </c>
      <c r="B446" s="1">
        <v>45681</v>
      </c>
      <c r="C446" t="s">
        <v>148</v>
      </c>
      <c r="D446" t="str">
        <f>VLOOKUP(ТабЗаказы[[#This Row],[client]],ТабКлиенты[[name]:[_id]],2,0)</f>
        <v>67f56eca575fff8fe23c7a3b</v>
      </c>
      <c r="E446">
        <f>IFERROR(IF(ТабЗаказы[[#This Row],[orderSumm]]&gt;10000,10,VLOOKUP(ТабЗаказы[[#This Row],[client]],ТабКлиенты[[name]:[percent]],MATCH(E$1,ТабКлиенты[#Headers],0),0)),"")</f>
        <v>15</v>
      </c>
      <c r="F446" s="18">
        <f>IFERROR(SUMIF(ТабПозиции[orderNum],ТабЗаказы[[#This Row],[orderNum]],ТабПозиции[orderSumm]),"")</f>
        <v>478</v>
      </c>
      <c r="G446" s="18">
        <f>SUMIF(ТабПозиции[orderNum],ТабЗаказы[[#This Row],[orderNum]],ТабПозиции[deliverySumm])</f>
        <v>200</v>
      </c>
      <c r="H446" s="18">
        <f>SUMIF(ТабПозиции[orderNum],ТабЗаказы[[#This Row],[orderNum]],ТабПозиции[totalSumm])</f>
        <v>200</v>
      </c>
      <c r="I446" s="18" t="str">
        <f>IFERROR(VLOOKUP(ТабЗаказы[[#This Row],[orderNum]],ТабПозиции[#Data],22,0),"")</f>
        <v>true</v>
      </c>
    </row>
    <row r="447" spans="1:9" x14ac:dyDescent="0.25">
      <c r="A447">
        <f t="shared" si="8"/>
        <v>446</v>
      </c>
      <c r="B447" s="1">
        <v>45681</v>
      </c>
      <c r="C447" t="s">
        <v>430</v>
      </c>
      <c r="D447" t="str">
        <f>VLOOKUP(ТабЗаказы[[#This Row],[client]],ТабКлиенты[[name]:[_id]],2,0)</f>
        <v>67f56eca575fff8fe23c7a92</v>
      </c>
      <c r="E447">
        <f>IFERROR(IF(ТабЗаказы[[#This Row],[orderSumm]]&gt;10000,10,VLOOKUP(ТабЗаказы[[#This Row],[client]],ТабКлиенты[[name]:[percent]],MATCH(E$1,ТабКлиенты[#Headers],0),0)),"")</f>
        <v>10</v>
      </c>
      <c r="F447" s="18">
        <f>IFERROR(SUMIF(ТабПозиции[orderNum],ТабЗаказы[[#This Row],[orderNum]],ТабПозиции[orderSumm]),"")</f>
        <v>10915</v>
      </c>
      <c r="G447" s="18">
        <f>SUMIF(ТабПозиции[orderNum],ТабЗаказы[[#This Row],[orderNum]],ТабПозиции[deliverySumm])</f>
        <v>1092</v>
      </c>
      <c r="H447" s="18">
        <f>SUMIF(ТабПозиции[orderNum],ТабЗаказы[[#This Row],[orderNum]],ТабПозиции[totalSumm])</f>
        <v>1292</v>
      </c>
      <c r="I447" s="18" t="str">
        <f>IFERROR(VLOOKUP(ТабЗаказы[[#This Row],[orderNum]],ТабПозиции[#Data],22,0),"")</f>
        <v>true</v>
      </c>
    </row>
    <row r="448" spans="1:9" x14ac:dyDescent="0.25">
      <c r="A448">
        <f t="shared" si="8"/>
        <v>447</v>
      </c>
      <c r="B448" s="1">
        <v>45681</v>
      </c>
      <c r="C448" t="s">
        <v>456</v>
      </c>
      <c r="D448" t="str">
        <f>VLOOKUP(ТабЗаказы[[#This Row],[client]],ТабКлиенты[[name]:[_id]],2,0)</f>
        <v>67f56eca575fff8fe23c7a99</v>
      </c>
      <c r="E448">
        <f>IFERROR(IF(ТабЗаказы[[#This Row],[orderSumm]]&gt;10000,10,VLOOKUP(ТабЗаказы[[#This Row],[client]],ТабКлиенты[[name]:[percent]],MATCH(E$1,ТабКлиенты[#Headers],0),0)),"")</f>
        <v>15</v>
      </c>
      <c r="F448" s="18">
        <f>IFERROR(SUMIF(ТабПозиции[orderNum],ТабЗаказы[[#This Row],[orderNum]],ТабПозиции[orderSumm]),"")</f>
        <v>612</v>
      </c>
      <c r="G448" s="18">
        <f>SUMIF(ТабПозиции[orderNum],ТабЗаказы[[#This Row],[orderNum]],ТабПозиции[deliverySumm])</f>
        <v>200</v>
      </c>
      <c r="H448" s="18">
        <f>SUMIF(ТабПозиции[orderNum],ТабЗаказы[[#This Row],[orderNum]],ТабПозиции[totalSumm])</f>
        <v>200</v>
      </c>
      <c r="I448" s="18" t="str">
        <f>IFERROR(VLOOKUP(ТабЗаказы[[#This Row],[orderNum]],ТабПозиции[#Data],22,0),"")</f>
        <v>true</v>
      </c>
    </row>
    <row r="449" spans="1:9" x14ac:dyDescent="0.25">
      <c r="A449">
        <f t="shared" si="8"/>
        <v>448</v>
      </c>
      <c r="B449" s="1">
        <v>45681</v>
      </c>
      <c r="C449" t="s">
        <v>1629</v>
      </c>
      <c r="D449" t="str">
        <f>VLOOKUP(ТабЗаказы[[#This Row],[client]],ТабКлиенты[[name]:[_id]],2,0)</f>
        <v>67f56eca575fff8fe23c7ac0</v>
      </c>
      <c r="E449">
        <f>IFERROR(IF(ТабЗаказы[[#This Row],[orderSumm]]&gt;10000,10,VLOOKUP(ТабЗаказы[[#This Row],[client]],ТабКлиенты[[name]:[percent]],MATCH(E$1,ТабКлиенты[#Headers],0),0)),"")</f>
        <v>15</v>
      </c>
      <c r="F449" s="18">
        <f>IFERROR(SUMIF(ТабПозиции[orderNum],ТабЗаказы[[#This Row],[orderNum]],ТабПозиции[orderSumm]),"")</f>
        <v>2642</v>
      </c>
      <c r="G449" s="18">
        <f>SUMIF(ТабПозиции[orderNum],ТабЗаказы[[#This Row],[orderNum]],ТабПозиции[deliverySumm])</f>
        <v>396</v>
      </c>
      <c r="H449" s="18">
        <f>SUMIF(ТабПозиции[orderNum],ТабЗаказы[[#This Row],[orderNum]],ТабПозиции[totalSumm])</f>
        <v>396</v>
      </c>
      <c r="I449" s="18" t="str">
        <f>IFERROR(VLOOKUP(ТабЗаказы[[#This Row],[orderNum]],ТабПозиции[#Data],22,0),"")</f>
        <v>true</v>
      </c>
    </row>
    <row r="450" spans="1:9" x14ac:dyDescent="0.25">
      <c r="A450">
        <f t="shared" si="8"/>
        <v>449</v>
      </c>
      <c r="B450" s="1">
        <v>45683</v>
      </c>
      <c r="C450" t="s">
        <v>2393</v>
      </c>
      <c r="D450" t="str">
        <f>VLOOKUP(ТабЗаказы[[#This Row],[client]],ТабКлиенты[[name]:[_id]],2,0)</f>
        <v>67f56eca575fff8fe23c7aef</v>
      </c>
      <c r="E450">
        <f>IFERROR(IF(ТабЗаказы[[#This Row],[orderSumm]]&gt;10000,10,VLOOKUP(ТабЗаказы[[#This Row],[client]],ТабКлиенты[[name]:[percent]],MATCH(E$1,ТабКлиенты[#Headers],0),0)),"")</f>
        <v>15</v>
      </c>
      <c r="F450" s="18">
        <f>IFERROR(SUMIF(ТабПозиции[orderNum],ТабЗаказы[[#This Row],[orderNum]],ТабПозиции[orderSumm]),"")</f>
        <v>3558</v>
      </c>
      <c r="G450" s="18">
        <f>SUMIF(ТабПозиции[orderNum],ТабЗаказы[[#This Row],[orderNum]],ТабПозиции[deliverySumm])</f>
        <v>534</v>
      </c>
      <c r="H450" s="18">
        <f>SUMIF(ТабПозиции[orderNum],ТабЗаказы[[#This Row],[orderNum]],ТабПозиции[totalSumm])</f>
        <v>4092</v>
      </c>
      <c r="I450" s="18" t="str">
        <f>IFERROR(VLOOKUP(ТабЗаказы[[#This Row],[orderNum]],ТабПозиции[#Data],22,0),"")</f>
        <v>true</v>
      </c>
    </row>
    <row r="451" spans="1:9" x14ac:dyDescent="0.25">
      <c r="A451">
        <f t="shared" si="8"/>
        <v>450</v>
      </c>
      <c r="B451" s="1">
        <v>45683</v>
      </c>
      <c r="C451" t="s">
        <v>2201</v>
      </c>
      <c r="D451" t="str">
        <f>VLOOKUP(ТабЗаказы[[#This Row],[client]],ТабКлиенты[[name]:[_id]],2,0)</f>
        <v>67f56eca575fff8fe23c7ae1</v>
      </c>
      <c r="E451">
        <f>IFERROR(IF(ТабЗаказы[[#This Row],[orderSumm]]&gt;10000,10,VLOOKUP(ТабЗаказы[[#This Row],[client]],ТабКлиенты[[name]:[percent]],MATCH(E$1,ТабКлиенты[#Headers],0),0)),"")</f>
        <v>15</v>
      </c>
      <c r="F451" s="18">
        <f>IFERROR(SUMIF(ТабПозиции[orderNum],ТабЗаказы[[#This Row],[orderNum]],ТабПозиции[orderSumm]),"")</f>
        <v>3080</v>
      </c>
      <c r="G451" s="18">
        <f>SUMIF(ТабПозиции[orderNum],ТабЗаказы[[#This Row],[orderNum]],ТабПозиции[deliverySumm])</f>
        <v>462</v>
      </c>
      <c r="H451" s="18">
        <f>SUMIF(ТабПозиции[orderNum],ТабЗаказы[[#This Row],[orderNum]],ТабПозиции[totalSumm])</f>
        <v>3931</v>
      </c>
      <c r="I451" s="18" t="str">
        <f>IFERROR(VLOOKUP(ТабЗаказы[[#This Row],[orderNum]],ТабПозиции[#Data],22,0),"")</f>
        <v>true</v>
      </c>
    </row>
    <row r="452" spans="1:9" x14ac:dyDescent="0.25">
      <c r="A452">
        <f t="shared" si="8"/>
        <v>451</v>
      </c>
      <c r="B452" s="1">
        <v>45683</v>
      </c>
      <c r="C452" t="s">
        <v>104</v>
      </c>
      <c r="D452" t="str">
        <f>VLOOKUP(ТабЗаказы[[#This Row],[client]],ТабКлиенты[[name]:[_id]],2,0)</f>
        <v>67f56eca575fff8fe23c7a2d</v>
      </c>
      <c r="E452">
        <f>IFERROR(IF(ТабЗаказы[[#This Row],[orderSumm]]&gt;10000,10,VLOOKUP(ТабЗаказы[[#This Row],[client]],ТабКлиенты[[name]:[percent]],MATCH(E$1,ТабКлиенты[#Headers],0),0)),"")</f>
        <v>10</v>
      </c>
      <c r="F452" s="18">
        <f>IFERROR(SUMIF(ТабПозиции[orderNum],ТабЗаказы[[#This Row],[orderNum]],ТабПозиции[orderSumm]),"")</f>
        <v>19990</v>
      </c>
      <c r="G452" s="18">
        <f>SUMIF(ТабПозиции[orderNum],ТабЗаказы[[#This Row],[orderNum]],ТабПозиции[deliverySumm])</f>
        <v>1999</v>
      </c>
      <c r="H452" s="18">
        <f>SUMIF(ТабПозиции[orderNum],ТабЗаказы[[#This Row],[orderNum]],ТабПозиции[totalSumm])</f>
        <v>1999</v>
      </c>
      <c r="I452" s="18" t="str">
        <f>IFERROR(VLOOKUP(ТабЗаказы[[#This Row],[orderNum]],ТабПозиции[#Data],22,0),"")</f>
        <v>true</v>
      </c>
    </row>
    <row r="453" spans="1:9" x14ac:dyDescent="0.25">
      <c r="A453">
        <f t="shared" si="8"/>
        <v>452</v>
      </c>
      <c r="B453" s="1">
        <v>45683</v>
      </c>
      <c r="C453" t="s">
        <v>204</v>
      </c>
      <c r="D453" t="str">
        <f>VLOOKUP(ТабЗаказы[[#This Row],[client]],ТабКлиенты[[name]:[_id]],2,0)</f>
        <v>67f56eca575fff8fe23c7a50</v>
      </c>
      <c r="E453">
        <f>IFERROR(IF(ТабЗаказы[[#This Row],[orderSumm]]&gt;10000,10,VLOOKUP(ТабЗаказы[[#This Row],[client]],ТабКлиенты[[name]:[percent]],MATCH(E$1,ТабКлиенты[#Headers],0),0)),"")</f>
        <v>10</v>
      </c>
      <c r="F453" s="18">
        <f>IFERROR(SUMIF(ТабПозиции[orderNum],ТабЗаказы[[#This Row],[orderNum]],ТабПозиции[orderSumm]),"")</f>
        <v>13564</v>
      </c>
      <c r="G453" s="18">
        <f>SUMIF(ТабПозиции[orderNum],ТабЗаказы[[#This Row],[orderNum]],ТабПозиции[deliverySumm])</f>
        <v>1357</v>
      </c>
      <c r="H453" s="18">
        <f>SUMIF(ТабПозиции[orderNum],ТабЗаказы[[#This Row],[orderNum]],ТабПозиции[totalSumm])</f>
        <v>14921</v>
      </c>
      <c r="I453" s="18" t="str">
        <f>IFERROR(VLOOKUP(ТабЗаказы[[#This Row],[orderNum]],ТабПозиции[#Data],22,0),"")</f>
        <v>true</v>
      </c>
    </row>
    <row r="454" spans="1:9" x14ac:dyDescent="0.25">
      <c r="A454">
        <f t="shared" si="8"/>
        <v>453</v>
      </c>
      <c r="B454" s="1">
        <v>45683</v>
      </c>
      <c r="C454" t="s">
        <v>445</v>
      </c>
      <c r="D454" t="str">
        <f>VLOOKUP(ТабЗаказы[[#This Row],[client]],ТабКлиенты[[name]:[_id]],2,0)</f>
        <v>67f56eca575fff8fe23c7a96</v>
      </c>
      <c r="E454">
        <f>IFERROR(IF(ТабЗаказы[[#This Row],[orderSumm]]&gt;10000,10,VLOOKUP(ТабЗаказы[[#This Row],[client]],ТабКлиенты[[name]:[percent]],MATCH(E$1,ТабКлиенты[#Headers],0),0)),"")</f>
        <v>10</v>
      </c>
      <c r="F454" s="18">
        <f>IFERROR(SUMIF(ТабПозиции[orderNum],ТабЗаказы[[#This Row],[orderNum]],ТабПозиции[orderSumm]),"")</f>
        <v>13646</v>
      </c>
      <c r="G454" s="18">
        <f>SUMIF(ТабПозиции[orderNum],ТабЗаказы[[#This Row],[orderNum]],ТабПозиции[deliverySumm])</f>
        <v>1366</v>
      </c>
      <c r="H454" s="18">
        <f>SUMIF(ТабПозиции[orderNum],ТабЗаказы[[#This Row],[orderNum]],ТабПозиции[totalSumm])</f>
        <v>15012</v>
      </c>
      <c r="I454" s="18" t="str">
        <f>IFERROR(VLOOKUP(ТабЗаказы[[#This Row],[orderNum]],ТабПозиции[#Data],22,0),"")</f>
        <v>true</v>
      </c>
    </row>
    <row r="455" spans="1:9" x14ac:dyDescent="0.25">
      <c r="A455">
        <f t="shared" si="8"/>
        <v>454</v>
      </c>
      <c r="B455" s="1">
        <v>45684</v>
      </c>
      <c r="C455" t="s">
        <v>137</v>
      </c>
      <c r="D455" t="str">
        <f>VLOOKUP(ТабЗаказы[[#This Row],[client]],ТабКлиенты[[name]:[_id]],2,0)</f>
        <v>67f56eca575fff8fe23c7a37</v>
      </c>
      <c r="E455">
        <f>IFERROR(IF(ТабЗаказы[[#This Row],[orderSumm]]&gt;10000,10,VLOOKUP(ТабЗаказы[[#This Row],[client]],ТабКлиенты[[name]:[percent]],MATCH(E$1,ТабКлиенты[#Headers],0),0)),"")</f>
        <v>15</v>
      </c>
      <c r="F455" s="18">
        <f>IFERROR(SUMIF(ТабПозиции[orderNum],ТабЗаказы[[#This Row],[orderNum]],ТабПозиции[orderSumm]),"")</f>
        <v>10000</v>
      </c>
      <c r="G455" s="18">
        <f>SUMIF(ТабПозиции[orderNum],ТабЗаказы[[#This Row],[orderNum]],ТабПозиции[deliverySumm])</f>
        <v>1500</v>
      </c>
      <c r="H455" s="18">
        <f>SUMIF(ТабПозиции[orderNum],ТабЗаказы[[#This Row],[orderNum]],ТабПозиции[totalSumm])</f>
        <v>2150</v>
      </c>
      <c r="I455" s="18" t="str">
        <f>IFERROR(VLOOKUP(ТабЗаказы[[#This Row],[orderNum]],ТабПозиции[#Data],22,0),"")</f>
        <v>true</v>
      </c>
    </row>
    <row r="456" spans="1:9" x14ac:dyDescent="0.25">
      <c r="A456">
        <f t="shared" si="8"/>
        <v>455</v>
      </c>
      <c r="B456" s="1">
        <v>45684</v>
      </c>
      <c r="C456" t="s">
        <v>137</v>
      </c>
      <c r="D456" t="str">
        <f>VLOOKUP(ТабЗаказы[[#This Row],[client]],ТабКлиенты[[name]:[_id]],2,0)</f>
        <v>67f56eca575fff8fe23c7a37</v>
      </c>
      <c r="E456">
        <f>IFERROR(IF(ТабЗаказы[[#This Row],[orderSumm]]&gt;10000,10,VLOOKUP(ТабЗаказы[[#This Row],[client]],ТабКлиенты[[name]:[percent]],MATCH(E$1,ТабКлиенты[#Headers],0),0)),"")</f>
        <v>15</v>
      </c>
      <c r="F456" s="18">
        <f>IFERROR(SUMIF(ТабПозиции[orderNum],ТабЗаказы[[#This Row],[orderNum]],ТабПозиции[orderSumm]),"")</f>
        <v>4000</v>
      </c>
      <c r="G456" s="18">
        <f>SUMIF(ТабПозиции[orderNum],ТабЗаказы[[#This Row],[orderNum]],ТабПозиции[deliverySumm])</f>
        <v>600</v>
      </c>
      <c r="H456" s="18">
        <f>SUMIF(ТабПозиции[orderNum],ТабЗаказы[[#This Row],[orderNum]],ТабПозиции[totalSumm])</f>
        <v>1400</v>
      </c>
      <c r="I456" s="18" t="str">
        <f>IFERROR(VLOOKUP(ТабЗаказы[[#This Row],[orderNum]],ТабПозиции[#Data],22,0),"")</f>
        <v>true</v>
      </c>
    </row>
    <row r="457" spans="1:9" x14ac:dyDescent="0.25">
      <c r="A457">
        <f t="shared" si="8"/>
        <v>456</v>
      </c>
      <c r="B457" s="106">
        <v>45685</v>
      </c>
      <c r="C457" t="s">
        <v>1424</v>
      </c>
      <c r="D457" t="str">
        <f>VLOOKUP(ТабЗаказы[[#This Row],[client]],ТабКлиенты[[name]:[_id]],2,0)</f>
        <v>67f56eca575fff8fe23c7ab0</v>
      </c>
      <c r="E457">
        <f>IFERROR(IF(ТабЗаказы[[#This Row],[orderSumm]]&gt;10000,10,VLOOKUP(ТабЗаказы[[#This Row],[client]],ТабКлиенты[[name]:[percent]],MATCH(E$1,ТабКлиенты[#Headers],0),0)),"")</f>
        <v>15</v>
      </c>
      <c r="F457" s="18">
        <f>IFERROR(SUMIF(ТабПозиции[orderNum],ТабЗаказы[[#This Row],[orderNum]],ТабПозиции[orderSumm]),"")</f>
        <v>0</v>
      </c>
      <c r="G457" s="18">
        <f>SUMIF(ТабПозиции[orderNum],ТабЗаказы[[#This Row],[orderNum]],ТабПозиции[deliverySumm])</f>
        <v>0</v>
      </c>
      <c r="H457" s="18">
        <f>SUMIF(ТабПозиции[orderNum],ТабЗаказы[[#This Row],[orderNum]],ТабПозиции[totalSumm])</f>
        <v>0</v>
      </c>
      <c r="I457" s="18" t="str">
        <f>IFERROR(VLOOKUP(ТабЗаказы[[#This Row],[orderNum]],ТабПозиции[#Data],22,0),"")</f>
        <v/>
      </c>
    </row>
    <row r="458" spans="1:9" x14ac:dyDescent="0.25">
      <c r="A458">
        <f t="shared" si="8"/>
        <v>457</v>
      </c>
      <c r="B458" s="1">
        <v>45685</v>
      </c>
      <c r="C458" t="s">
        <v>1523</v>
      </c>
      <c r="D458" t="str">
        <f>VLOOKUP(ТабЗаказы[[#This Row],[client]],ТабКлиенты[[name]:[_id]],2,0)</f>
        <v>67f56eca575fff8fe23c7abb</v>
      </c>
      <c r="E458">
        <v>15</v>
      </c>
      <c r="F458" s="18">
        <f>IFERROR(SUMIF(ТабПозиции[orderNum],ТабЗаказы[[#This Row],[orderNum]],ТабПозиции[orderSumm]),"")</f>
        <v>2358</v>
      </c>
      <c r="G458" s="18">
        <f>SUMIF(ТабПозиции[orderNum],ТабЗаказы[[#This Row],[orderNum]],ТабПозиции[deliverySumm])</f>
        <v>354</v>
      </c>
      <c r="H458" s="18">
        <f>SUMIF(ТабПозиции[orderNum],ТабЗаказы[[#This Row],[orderNum]],ТабПозиции[totalSumm])</f>
        <v>2712</v>
      </c>
      <c r="I458" s="18" t="str">
        <f>IFERROR(VLOOKUP(ТабЗаказы[[#This Row],[orderNum]],ТабПозиции[#Data],22,0),"")</f>
        <v>true</v>
      </c>
    </row>
    <row r="459" spans="1:9" x14ac:dyDescent="0.25">
      <c r="A459">
        <f t="shared" si="8"/>
        <v>458</v>
      </c>
      <c r="B459" s="1">
        <v>45688</v>
      </c>
      <c r="C459" t="s">
        <v>456</v>
      </c>
      <c r="D459" t="str">
        <f>VLOOKUP(ТабЗаказы[[#This Row],[client]],ТабКлиенты[[name]:[_id]],2,0)</f>
        <v>67f56eca575fff8fe23c7a99</v>
      </c>
      <c r="E459">
        <f>IFERROR(IF(ТабЗаказы[[#This Row],[orderSumm]]&gt;10000,10,VLOOKUP(ТабЗаказы[[#This Row],[client]],ТабКлиенты[[name]:[percent]],MATCH(E$1,ТабКлиенты[#Headers],0),0)),"")</f>
        <v>15</v>
      </c>
      <c r="F459" s="18">
        <f>IFERROR(SUMIF(ТабПозиции[orderNum],ТабЗаказы[[#This Row],[orderNum]],ТабПозиции[orderSumm]),"")</f>
        <v>5213</v>
      </c>
      <c r="G459" s="18">
        <f>SUMIF(ТабПозиции[orderNum],ТабЗаказы[[#This Row],[orderNum]],ТабПозиции[deliverySumm])</f>
        <v>782</v>
      </c>
      <c r="H459" s="18">
        <f>SUMIF(ТабПозиции[orderNum],ТабЗаказы[[#This Row],[orderNum]],ТабПозиции[totalSumm])</f>
        <v>782</v>
      </c>
      <c r="I459" s="18" t="str">
        <f>IFERROR(VLOOKUP(ТабЗаказы[[#This Row],[orderNum]],ТабПозиции[#Data],22,0),"")</f>
        <v>true</v>
      </c>
    </row>
    <row r="460" spans="1:9" x14ac:dyDescent="0.25">
      <c r="A460">
        <f t="shared" ref="A460:A523" si="9">A459+1</f>
        <v>459</v>
      </c>
      <c r="B460" s="1">
        <v>45689</v>
      </c>
      <c r="C460" t="s">
        <v>112</v>
      </c>
      <c r="D460" t="str">
        <f>VLOOKUP(ТабЗаказы[[#This Row],[client]],ТабКлиенты[[name]:[_id]],2,0)</f>
        <v>67f56eca575fff8fe23c7a2f</v>
      </c>
      <c r="E460">
        <f>IFERROR(IF(ТабЗаказы[[#This Row],[orderSumm]]&gt;10000,10,VLOOKUP(ТабЗаказы[[#This Row],[client]],ТабКлиенты[[name]:[percent]],MATCH(E$1,ТабКлиенты[#Headers],0),0)),"")</f>
        <v>15</v>
      </c>
      <c r="F460" s="18">
        <f>IFERROR(SUMIF(ТабПозиции[orderNum],ТабЗаказы[[#This Row],[orderNum]],ТабПозиции[orderSumm]),"")</f>
        <v>547</v>
      </c>
      <c r="G460" s="18">
        <f>SUMIF(ТабПозиции[orderNum],ТабЗаказы[[#This Row],[orderNum]],ТабПозиции[deliverySumm])</f>
        <v>200</v>
      </c>
      <c r="H460" s="18">
        <f>SUMIF(ТабПозиции[orderNum],ТабЗаказы[[#This Row],[orderNum]],ТабПозиции[totalSumm])</f>
        <v>747</v>
      </c>
      <c r="I460" s="18" t="str">
        <f>IFERROR(VLOOKUP(ТабЗаказы[[#This Row],[orderNum]],ТабПозиции[#Data],22,0),"")</f>
        <v>true</v>
      </c>
    </row>
    <row r="461" spans="1:9" x14ac:dyDescent="0.25">
      <c r="A461">
        <f t="shared" si="9"/>
        <v>460</v>
      </c>
      <c r="B461" s="1">
        <v>45689</v>
      </c>
      <c r="C461" t="s">
        <v>445</v>
      </c>
      <c r="D461" t="str">
        <f>VLOOKUP(ТабЗаказы[[#This Row],[client]],ТабКлиенты[[name]:[_id]],2,0)</f>
        <v>67f56eca575fff8fe23c7a96</v>
      </c>
      <c r="E461">
        <f>IFERROR(IF(ТабЗаказы[[#This Row],[orderSumm]]&gt;10000,10,VLOOKUP(ТабЗаказы[[#This Row],[client]],ТабКлиенты[[name]:[percent]],MATCH(E$1,ТабКлиенты[#Headers],0),0)),"")</f>
        <v>10</v>
      </c>
      <c r="F461" s="18">
        <f>IFERROR(SUMIF(ТабПозиции[orderNum],ТабЗаказы[[#This Row],[orderNum]],ТабПозиции[orderSumm]),"")</f>
        <v>11509</v>
      </c>
      <c r="G461" s="18">
        <f>SUMIF(ТабПозиции[orderNum],ТабЗаказы[[#This Row],[orderNum]],ТабПозиции[deliverySumm])</f>
        <v>1152</v>
      </c>
      <c r="H461" s="18">
        <f>SUMIF(ТабПозиции[orderNum],ТабЗаказы[[#This Row],[orderNum]],ТабПозиции[totalSumm])</f>
        <v>12661</v>
      </c>
      <c r="I461" s="18" t="str">
        <f>IFERROR(VLOOKUP(ТабЗаказы[[#This Row],[orderNum]],ТабПозиции[#Data],22,0),"")</f>
        <v>true</v>
      </c>
    </row>
    <row r="462" spans="1:9" x14ac:dyDescent="0.25">
      <c r="A462">
        <f t="shared" si="9"/>
        <v>461</v>
      </c>
      <c r="B462" s="1">
        <v>45691</v>
      </c>
      <c r="C462" t="s">
        <v>1424</v>
      </c>
      <c r="D462" t="str">
        <f>VLOOKUP(ТабЗаказы[[#This Row],[client]],ТабКлиенты[[name]:[_id]],2,0)</f>
        <v>67f56eca575fff8fe23c7ab0</v>
      </c>
      <c r="E462">
        <f>IFERROR(IF(ТабЗаказы[[#This Row],[orderSumm]]&gt;10000,10,VLOOKUP(ТабЗаказы[[#This Row],[client]],ТабКлиенты[[name]:[percent]],MATCH(E$1,ТабКлиенты[#Headers],0),0)),"")</f>
        <v>10</v>
      </c>
      <c r="F462" s="18">
        <f>IFERROR(SUMIF(ТабПозиции[orderNum],ТабЗаказы[[#This Row],[orderNum]],ТабПозиции[orderSumm]),"")</f>
        <v>12307</v>
      </c>
      <c r="G462" s="18">
        <f>SUMIF(ТабПозиции[orderNum],ТабЗаказы[[#This Row],[orderNum]],ТабПозиции[deliverySumm])</f>
        <v>1231</v>
      </c>
      <c r="H462" s="18">
        <f>SUMIF(ТабПозиции[orderNum],ТабЗаказы[[#This Row],[orderNum]],ТабПозиции[totalSumm])</f>
        <v>13538</v>
      </c>
      <c r="I462" s="18" t="str">
        <f>IFERROR(VLOOKUP(ТабЗаказы[[#This Row],[orderNum]],ТабПозиции[#Data],22,0),"")</f>
        <v>true</v>
      </c>
    </row>
    <row r="463" spans="1:9" x14ac:dyDescent="0.25">
      <c r="A463">
        <f t="shared" si="9"/>
        <v>462</v>
      </c>
      <c r="B463" s="1">
        <v>45693</v>
      </c>
      <c r="C463" t="s">
        <v>1502</v>
      </c>
      <c r="D463" t="str">
        <f>VLOOKUP(ТабЗаказы[[#This Row],[client]],ТабКлиенты[[name]:[_id]],2,0)</f>
        <v>67f56eca575fff8fe23c7a28</v>
      </c>
      <c r="E463">
        <f>IFERROR(IF(ТабЗаказы[[#This Row],[orderSumm]]&gt;10000,10,VLOOKUP(ТабЗаказы[[#This Row],[client]],ТабКлиенты[[name]:[percent]],MATCH(E$1,ТабКлиенты[#Headers],0),0)),"")</f>
        <v>15</v>
      </c>
      <c r="F463" s="18">
        <f>IFERROR(SUMIF(ТабПозиции[orderNum],ТабЗаказы[[#This Row],[orderNum]],ТабПозиции[orderSumm]),"")</f>
        <v>3607</v>
      </c>
      <c r="G463" s="18">
        <f>SUMIF(ТабПозиции[orderNum],ТабЗаказы[[#This Row],[orderNum]],ТабПозиции[deliverySumm])</f>
        <v>541</v>
      </c>
      <c r="H463" s="18">
        <f>SUMIF(ТабПозиции[orderNum],ТабЗаказы[[#This Row],[orderNum]],ТабПозиции[totalSumm])</f>
        <v>4148</v>
      </c>
      <c r="I463" s="18" t="str">
        <f>IFERROR(VLOOKUP(ТабЗаказы[[#This Row],[orderNum]],ТабПозиции[#Data],22,0),"")</f>
        <v>true</v>
      </c>
    </row>
    <row r="464" spans="1:9" x14ac:dyDescent="0.25">
      <c r="A464">
        <f t="shared" si="9"/>
        <v>463</v>
      </c>
      <c r="B464" s="1">
        <v>45693</v>
      </c>
      <c r="C464" t="s">
        <v>2402</v>
      </c>
      <c r="D464" t="str">
        <f>VLOOKUP(ТабЗаказы[[#This Row],[client]],ТабКлиенты[[name]:[_id]],2,0)</f>
        <v>67f56eca575fff8fe23c7af0</v>
      </c>
      <c r="E464">
        <f>IFERROR(IF(ТабЗаказы[[#This Row],[orderSumm]]&gt;10000,10,VLOOKUP(ТабЗаказы[[#This Row],[client]],ТабКлиенты[[name]:[percent]],MATCH(E$1,ТабКлиенты[#Headers],0),0)),"")</f>
        <v>15</v>
      </c>
      <c r="F464" s="18">
        <f>IFERROR(SUMIF(ТабПозиции[orderNum],ТабЗаказы[[#This Row],[orderNum]],ТабПозиции[orderSumm]),"")</f>
        <v>3896</v>
      </c>
      <c r="G464" s="18">
        <f>SUMIF(ТабПозиции[orderNum],ТабЗаказы[[#This Row],[orderNum]],ТабПозиции[deliverySumm])</f>
        <v>584</v>
      </c>
      <c r="H464" s="18">
        <f>SUMIF(ТабПозиции[orderNum],ТабЗаказы[[#This Row],[orderNum]],ТабПозиции[totalSumm])</f>
        <v>4480</v>
      </c>
      <c r="I464" s="18" t="str">
        <f>IFERROR(VLOOKUP(ТабЗаказы[[#This Row],[orderNum]],ТабПозиции[#Data],22,0),"")</f>
        <v>true</v>
      </c>
    </row>
    <row r="465" spans="1:9" x14ac:dyDescent="0.25">
      <c r="A465">
        <f t="shared" si="9"/>
        <v>464</v>
      </c>
      <c r="B465" s="1">
        <v>45693</v>
      </c>
      <c r="C465" t="s">
        <v>204</v>
      </c>
      <c r="D465" t="str">
        <f>VLOOKUP(ТабЗаказы[[#This Row],[client]],ТабКлиенты[[name]:[_id]],2,0)</f>
        <v>67f56eca575fff8fe23c7a50</v>
      </c>
      <c r="E465">
        <f>IFERROR(IF(ТабЗаказы[[#This Row],[orderSumm]]&gt;10000,10,VLOOKUP(ТабЗаказы[[#This Row],[client]],ТабКлиенты[[name]:[percent]],MATCH(E$1,ТабКлиенты[#Headers],0),0)),"")</f>
        <v>10</v>
      </c>
      <c r="F465" s="18">
        <f>IFERROR(SUMIF(ТабПозиции[orderNum],ТабЗаказы[[#This Row],[orderNum]],ТабПозиции[orderSumm]),"")</f>
        <v>2903</v>
      </c>
      <c r="G465" s="18">
        <f>SUMIF(ТабПозиции[orderNum],ТабЗаказы[[#This Row],[orderNum]],ТабПозиции[deliverySumm])</f>
        <v>290</v>
      </c>
      <c r="H465" s="18">
        <f>SUMIF(ТабПозиции[orderNum],ТабЗаказы[[#This Row],[orderNum]],ТабПозиции[totalSumm])</f>
        <v>3193</v>
      </c>
      <c r="I465" s="18" t="str">
        <f>IFERROR(VLOOKUP(ТабЗаказы[[#This Row],[orderNum]],ТабПозиции[#Data],22,0),"")</f>
        <v>true</v>
      </c>
    </row>
    <row r="466" spans="1:9" x14ac:dyDescent="0.25">
      <c r="A466">
        <f t="shared" si="9"/>
        <v>465</v>
      </c>
      <c r="B466" s="1">
        <v>45693</v>
      </c>
      <c r="C466" t="s">
        <v>357</v>
      </c>
      <c r="D466" t="str">
        <f>VLOOKUP(ТабЗаказы[[#This Row],[client]],ТабКлиенты[[name]:[_id]],2,0)</f>
        <v>67f56eca575fff8fe23c7a7d</v>
      </c>
      <c r="E466">
        <f>IFERROR(IF(ТабЗаказы[[#This Row],[orderSumm]]&gt;10000,10,VLOOKUP(ТабЗаказы[[#This Row],[client]],ТабКлиенты[[name]:[percent]],MATCH(E$1,ТабКлиенты[#Headers],0),0)),"")</f>
        <v>15</v>
      </c>
      <c r="F466" s="18">
        <f>IFERROR(SUMIF(ТабПозиции[orderNum],ТабЗаказы[[#This Row],[orderNum]],ТабПозиции[orderSumm]),"")</f>
        <v>7117</v>
      </c>
      <c r="G466" s="18">
        <f>SUMIF(ТабПозиции[orderNum],ТабЗаказы[[#This Row],[orderNum]],ТабПозиции[deliverySumm])</f>
        <v>1068</v>
      </c>
      <c r="H466" s="18">
        <f>SUMIF(ТабПозиции[orderNum],ТабЗаказы[[#This Row],[orderNum]],ТабПозиции[totalSumm])</f>
        <v>8185</v>
      </c>
      <c r="I466" s="18" t="str">
        <f>IFERROR(VLOOKUP(ТабЗаказы[[#This Row],[orderNum]],ТабПозиции[#Data],22,0),"")</f>
        <v>true</v>
      </c>
    </row>
    <row r="467" spans="1:9" x14ac:dyDescent="0.25">
      <c r="A467">
        <f t="shared" si="9"/>
        <v>466</v>
      </c>
      <c r="B467" s="1">
        <v>45695</v>
      </c>
      <c r="C467" t="s">
        <v>137</v>
      </c>
      <c r="D467" t="str">
        <f>VLOOKUP(ТабЗаказы[[#This Row],[client]],ТабКлиенты[[name]:[_id]],2,0)</f>
        <v>67f56eca575fff8fe23c7a37</v>
      </c>
      <c r="E467">
        <f>IFERROR(IF(ТабЗаказы[[#This Row],[orderSumm]]&gt;10000,10,VLOOKUP(ТабЗаказы[[#This Row],[client]],ТабКлиенты[[name]:[percent]],MATCH(E$1,ТабКлиенты[#Headers],0),0)),"")</f>
        <v>15</v>
      </c>
      <c r="F467" s="18">
        <f>IFERROR(SUMIF(ТабПозиции[orderNum],ТабЗаказы[[#This Row],[orderNum]],ТабПозиции[orderSumm]),"")</f>
        <v>2000</v>
      </c>
      <c r="G467" s="18">
        <f>SUMIF(ТабПозиции[orderNum],ТабЗаказы[[#This Row],[orderNum]],ТабПозиции[deliverySumm])</f>
        <v>300</v>
      </c>
      <c r="H467" s="18">
        <f>SUMIF(ТабПозиции[orderNum],ТабЗаказы[[#This Row],[orderNum]],ТабПозиции[totalSumm])</f>
        <v>1250</v>
      </c>
      <c r="I467" s="18" t="str">
        <f>IFERROR(VLOOKUP(ТабЗаказы[[#This Row],[orderNum]],ТабПозиции[#Data],22,0),"")</f>
        <v>true</v>
      </c>
    </row>
    <row r="468" spans="1:9" x14ac:dyDescent="0.25">
      <c r="A468">
        <f t="shared" si="9"/>
        <v>467</v>
      </c>
      <c r="B468" s="1">
        <v>45695</v>
      </c>
      <c r="C468" t="s">
        <v>137</v>
      </c>
      <c r="D468" t="str">
        <f>VLOOKUP(ТабЗаказы[[#This Row],[client]],ТабКлиенты[[name]:[_id]],2,0)</f>
        <v>67f56eca575fff8fe23c7a37</v>
      </c>
      <c r="E468">
        <f>IFERROR(IF(ТабЗаказы[[#This Row],[orderSumm]]&gt;10000,10,VLOOKUP(ТабЗаказы[[#This Row],[client]],ТабКлиенты[[name]:[percent]],MATCH(E$1,ТабКлиенты[#Headers],0),0)),"")</f>
        <v>15</v>
      </c>
      <c r="F468" s="18">
        <f>IFERROR(SUMIF(ТабПозиции[orderNum],ТабЗаказы[[#This Row],[orderNum]],ТабПозиции[orderSumm]),"")</f>
        <v>3000</v>
      </c>
      <c r="G468" s="18">
        <f>SUMIF(ТабПозиции[orderNum],ТабЗаказы[[#This Row],[orderNum]],ТабПозиции[deliverySumm])</f>
        <v>450</v>
      </c>
      <c r="H468" s="18">
        <f>SUMIF(ТабПозиции[orderNum],ТабЗаказы[[#This Row],[orderNum]],ТабПозиции[totalSumm])</f>
        <v>1580</v>
      </c>
      <c r="I468" s="18" t="str">
        <f>IFERROR(VLOOKUP(ТабЗаказы[[#This Row],[orderNum]],ТабПозиции[#Data],22,0),"")</f>
        <v>true</v>
      </c>
    </row>
    <row r="469" spans="1:9" x14ac:dyDescent="0.25">
      <c r="A469">
        <f t="shared" si="9"/>
        <v>468</v>
      </c>
      <c r="B469" s="1">
        <v>45695</v>
      </c>
      <c r="C469" t="s">
        <v>456</v>
      </c>
      <c r="D469" t="str">
        <f>VLOOKUP(ТабЗаказы[[#This Row],[client]],ТабКлиенты[[name]:[_id]],2,0)</f>
        <v>67f56eca575fff8fe23c7a99</v>
      </c>
      <c r="E469">
        <f>IFERROR(IF(ТабЗаказы[[#This Row],[orderSumm]]&gt;10000,10,VLOOKUP(ТабЗаказы[[#This Row],[client]],ТабКлиенты[[name]:[percent]],MATCH(E$1,ТабКлиенты[#Headers],0),0)),"")</f>
        <v>15</v>
      </c>
      <c r="F469" s="18">
        <f>IFERROR(SUMIF(ТабПозиции[orderNum],ТабЗаказы[[#This Row],[orderNum]],ТабПозиции[orderSumm]),"")</f>
        <v>2516</v>
      </c>
      <c r="G469" s="18">
        <f>SUMIF(ТабПозиции[orderNum],ТабЗаказы[[#This Row],[orderNum]],ТабПозиции[deliverySumm])</f>
        <v>377</v>
      </c>
      <c r="H469" s="18">
        <f>SUMIF(ТабПозиции[orderNum],ТабЗаказы[[#This Row],[orderNum]],ТабПозиции[totalSumm])</f>
        <v>377</v>
      </c>
      <c r="I469" s="18" t="str">
        <f>IFERROR(VLOOKUP(ТабЗаказы[[#This Row],[orderNum]],ТабПозиции[#Data],22,0),"")</f>
        <v>true</v>
      </c>
    </row>
    <row r="470" spans="1:9" x14ac:dyDescent="0.25">
      <c r="A470">
        <f t="shared" si="9"/>
        <v>469</v>
      </c>
      <c r="B470" s="1">
        <v>45693</v>
      </c>
      <c r="C470" t="s">
        <v>2433</v>
      </c>
      <c r="D470" t="str">
        <f>VLOOKUP(ТабЗаказы[[#This Row],[client]],ТабКлиенты[[name]:[_id]],2,0)</f>
        <v>67f56eca575fff8fe23c7af2</v>
      </c>
      <c r="E470">
        <f>IFERROR(IF(ТабЗаказы[[#This Row],[orderSumm]]&gt;10000,10,VLOOKUP(ТабЗаказы[[#This Row],[client]],ТабКлиенты[[name]:[percent]],MATCH(E$1,ТабКлиенты[#Headers],0),0)),"")</f>
        <v>15</v>
      </c>
      <c r="F470" s="18">
        <f>IFERROR(SUMIF(ТабПозиции[orderNum],ТабЗаказы[[#This Row],[orderNum]],ТабПозиции[orderSumm]),"")</f>
        <v>2978</v>
      </c>
      <c r="G470" s="18">
        <f>SUMIF(ТабПозиции[orderNum],ТабЗаказы[[#This Row],[orderNum]],ТабПозиции[deliverySumm])</f>
        <v>447</v>
      </c>
      <c r="H470" s="18">
        <f>SUMIF(ТабПозиции[orderNum],ТабЗаказы[[#This Row],[orderNum]],ТабПозиции[totalSumm])</f>
        <v>3425</v>
      </c>
      <c r="I470" s="18" t="str">
        <f>IFERROR(VLOOKUP(ТабЗаказы[[#This Row],[orderNum]],ТабПозиции[#Data],22,0),"")</f>
        <v>true</v>
      </c>
    </row>
    <row r="471" spans="1:9" x14ac:dyDescent="0.25">
      <c r="A471">
        <f t="shared" si="9"/>
        <v>470</v>
      </c>
      <c r="B471" s="1">
        <v>45699</v>
      </c>
      <c r="C471" t="s">
        <v>204</v>
      </c>
      <c r="D471" t="str">
        <f>VLOOKUP(ТабЗаказы[[#This Row],[client]],ТабКлиенты[[name]:[_id]],2,0)</f>
        <v>67f56eca575fff8fe23c7a50</v>
      </c>
      <c r="E471">
        <f>IFERROR(IF(ТабЗаказы[[#This Row],[orderSumm]]&gt;10000,10,VLOOKUP(ТабЗаказы[[#This Row],[client]],ТабКлиенты[[name]:[percent]],MATCH(E$1,ТабКлиенты[#Headers],0),0)),"")</f>
        <v>10</v>
      </c>
      <c r="F471" s="18">
        <f>IFERROR(SUMIF(ТабПозиции[orderNum],ТабЗаказы[[#This Row],[orderNum]],ТабПозиции[orderSumm]),"")</f>
        <v>1203</v>
      </c>
      <c r="G471" s="18">
        <f>SUMIF(ТабПозиции[orderNum],ТабЗаказы[[#This Row],[orderNum]],ТабПозиции[deliverySumm])</f>
        <v>254</v>
      </c>
      <c r="H471" s="18">
        <f>SUMIF(ТабПозиции[orderNum],ТабЗаказы[[#This Row],[orderNum]],ТабПозиции[totalSumm])</f>
        <v>1323</v>
      </c>
      <c r="I471" s="18" t="str">
        <f>IFERROR(VLOOKUP(ТабЗаказы[[#This Row],[orderNum]],ТабПозиции[#Data],22,0),"")</f>
        <v>true</v>
      </c>
    </row>
    <row r="472" spans="1:9" x14ac:dyDescent="0.25">
      <c r="A472">
        <f t="shared" si="9"/>
        <v>471</v>
      </c>
      <c r="B472" s="1">
        <v>45699</v>
      </c>
      <c r="C472" t="s">
        <v>1523</v>
      </c>
      <c r="D472" t="str">
        <f>VLOOKUP(ТабЗаказы[[#This Row],[client]],ТабКлиенты[[name]:[_id]],2,0)</f>
        <v>67f56eca575fff8fe23c7abb</v>
      </c>
      <c r="E472">
        <f>IFERROR(IF(ТабЗаказы[[#This Row],[orderSumm]]&gt;10000,10,VLOOKUP(ТабЗаказы[[#This Row],[client]],ТабКлиенты[[name]:[percent]],MATCH(E$1,ТабКлиенты[#Headers],0),0)),"")</f>
        <v>10</v>
      </c>
      <c r="F472" s="18">
        <f>IFERROR(SUMIF(ТабПозиции[orderNum],ТабЗаказы[[#This Row],[orderNum]],ТабПозиции[orderSumm]),"")</f>
        <v>4912</v>
      </c>
      <c r="G472" s="18">
        <f>SUMIF(ТабПозиции[orderNum],ТабЗаказы[[#This Row],[orderNum]],ТабПозиции[deliverySumm])</f>
        <v>491</v>
      </c>
      <c r="H472" s="18">
        <f>SUMIF(ТабПозиции[orderNum],ТабЗаказы[[#This Row],[orderNum]],ТабПозиции[totalSumm])</f>
        <v>5403</v>
      </c>
      <c r="I472" s="18" t="str">
        <f>IFERROR(VLOOKUP(ТабЗаказы[[#This Row],[orderNum]],ТабПозиции[#Data],22,0),"")</f>
        <v>true</v>
      </c>
    </row>
    <row r="473" spans="1:9" x14ac:dyDescent="0.25">
      <c r="A473">
        <f t="shared" si="9"/>
        <v>472</v>
      </c>
      <c r="B473" s="1">
        <v>45687</v>
      </c>
      <c r="C473" t="s">
        <v>295</v>
      </c>
      <c r="D473" t="str">
        <f>VLOOKUP(ТабЗаказы[[#This Row],[client]],ТабКлиенты[[name]:[_id]],2,0)</f>
        <v>67f56eca575fff8fe23c7a6b</v>
      </c>
      <c r="E473">
        <f>IFERROR(IF(ТабЗаказы[[#This Row],[orderSumm]]&gt;10000,10,VLOOKUP(ТабЗаказы[[#This Row],[client]],ТабКлиенты[[name]:[percent]],MATCH(E$1,ТабКлиенты[#Headers],0),0)),"")</f>
        <v>10</v>
      </c>
      <c r="F473" s="18">
        <f>IFERROR(SUMIF(ТабПозиции[orderNum],ТабЗаказы[[#This Row],[orderNum]],ТабПозиции[orderSumm]),"")</f>
        <v>22500</v>
      </c>
      <c r="G473" s="18">
        <f>SUMIF(ТабПозиции[orderNum],ТабЗаказы[[#This Row],[orderNum]],ТабПозиции[deliverySumm])</f>
        <v>2250</v>
      </c>
      <c r="H473" s="18">
        <f>SUMIF(ТабПозиции[orderNum],ТабЗаказы[[#This Row],[orderNum]],ТабПозиции[totalSumm])</f>
        <v>2250</v>
      </c>
      <c r="I473" s="18" t="str">
        <f>IFERROR(VLOOKUP(ТабЗаказы[[#This Row],[orderNum]],ТабПозиции[#Data],22,0),"")</f>
        <v>true</v>
      </c>
    </row>
    <row r="474" spans="1:9" x14ac:dyDescent="0.25">
      <c r="A474">
        <f t="shared" si="9"/>
        <v>473</v>
      </c>
      <c r="B474" s="1">
        <v>45702</v>
      </c>
      <c r="C474" t="s">
        <v>2447</v>
      </c>
      <c r="D474" t="str">
        <f>VLOOKUP(ТабЗаказы[[#This Row],[client]],ТабКлиенты[[name]:[_id]],2,0)</f>
        <v>67f56eca575fff8fe23c7af4</v>
      </c>
      <c r="E474">
        <f>IFERROR(IF(ТабЗаказы[[#This Row],[orderSumm]]&gt;10000,10,VLOOKUP(ТабЗаказы[[#This Row],[client]],ТабКлиенты[[name]:[percent]],MATCH(E$1,ТабКлиенты[#Headers],0),0)),"")</f>
        <v>15</v>
      </c>
      <c r="F474" s="18">
        <f>IFERROR(SUMIF(ТабПозиции[orderNum],ТабЗаказы[[#This Row],[orderNum]],ТабПозиции[orderSumm]),"")</f>
        <v>7098</v>
      </c>
      <c r="G474" s="18">
        <f>SUMIF(ТабПозиции[orderNum],ТабЗаказы[[#This Row],[orderNum]],ТабПозиции[deliverySumm])</f>
        <v>1065</v>
      </c>
      <c r="H474" s="18">
        <f>SUMIF(ТабПозиции[orderNum],ТабЗаказы[[#This Row],[orderNum]],ТабПозиции[totalSumm])</f>
        <v>1065</v>
      </c>
      <c r="I474" s="18" t="str">
        <f>IFERROR(VLOOKUP(ТабЗаказы[[#This Row],[orderNum]],ТабПозиции[#Data],22,0),"")</f>
        <v>true</v>
      </c>
    </row>
    <row r="475" spans="1:9" x14ac:dyDescent="0.25">
      <c r="A475">
        <f t="shared" si="9"/>
        <v>474</v>
      </c>
      <c r="B475" s="1">
        <v>45702</v>
      </c>
      <c r="C475" t="s">
        <v>445</v>
      </c>
      <c r="D475" t="str">
        <f>VLOOKUP(ТабЗаказы[[#This Row],[client]],ТабКлиенты[[name]:[_id]],2,0)</f>
        <v>67f56eca575fff8fe23c7a96</v>
      </c>
      <c r="E475">
        <f>IFERROR(IF(ТабЗаказы[[#This Row],[orderSumm]]&gt;10000,10,VLOOKUP(ТабЗаказы[[#This Row],[client]],ТабКлиенты[[name]:[percent]],MATCH(E$1,ТабКлиенты[#Headers],0),0)),"")</f>
        <v>10</v>
      </c>
      <c r="F475" s="18">
        <f>IFERROR(SUMIF(ТабПозиции[orderNum],ТабЗаказы[[#This Row],[orderNum]],ТабПозиции[orderSumm]),"")</f>
        <v>11747</v>
      </c>
      <c r="G475" s="18">
        <f>SUMIF(ТабПозиции[orderNum],ТабЗаказы[[#This Row],[orderNum]],ТабПозиции[deliverySumm])</f>
        <v>1173</v>
      </c>
      <c r="H475" s="18">
        <f>SUMIF(ТабПозиции[orderNum],ТабЗаказы[[#This Row],[orderNum]],ТабПозиции[totalSumm])</f>
        <v>12920</v>
      </c>
      <c r="I475" s="18" t="str">
        <f>IFERROR(VLOOKUP(ТабЗаказы[[#This Row],[orderNum]],ТабПозиции[#Data],22,0),"")</f>
        <v>true</v>
      </c>
    </row>
    <row r="476" spans="1:9" x14ac:dyDescent="0.25">
      <c r="A476">
        <f t="shared" si="9"/>
        <v>475</v>
      </c>
      <c r="B476" s="1">
        <v>45703</v>
      </c>
      <c r="C476" t="s">
        <v>112</v>
      </c>
      <c r="D476" t="str">
        <f>VLOOKUP(ТабЗаказы[[#This Row],[client]],ТабКлиенты[[name]:[_id]],2,0)</f>
        <v>67f56eca575fff8fe23c7a2f</v>
      </c>
      <c r="E476">
        <f>IFERROR(IF(ТабЗаказы[[#This Row],[orderSumm]]&gt;10000,10,VLOOKUP(ТабЗаказы[[#This Row],[client]],ТабКлиенты[[name]:[percent]],MATCH(E$1,ТабКлиенты[#Headers],0),0)),"")</f>
        <v>10</v>
      </c>
      <c r="F476" s="18">
        <f>IFERROR(SUMIF(ТабПозиции[orderNum],ТабЗаказы[[#This Row],[orderNum]],ТабПозиции[orderSumm]),"")</f>
        <v>11691</v>
      </c>
      <c r="G476" s="18">
        <f>SUMIF(ТабПозиции[orderNum],ТабЗаказы[[#This Row],[orderNum]],ТабПозиции[deliverySumm])</f>
        <v>1169</v>
      </c>
      <c r="H476" s="18">
        <f>SUMIF(ТабПозиции[orderNum],ТабЗаказы[[#This Row],[orderNum]],ТабПозиции[totalSumm])</f>
        <v>13324</v>
      </c>
      <c r="I476" s="18" t="str">
        <f>IFERROR(VLOOKUP(ТабЗаказы[[#This Row],[orderNum]],ТабПозиции[#Data],22,0),"")</f>
        <v>true</v>
      </c>
    </row>
    <row r="477" spans="1:9" x14ac:dyDescent="0.25">
      <c r="A477">
        <f t="shared" si="9"/>
        <v>476</v>
      </c>
      <c r="B477" s="1">
        <v>45705</v>
      </c>
      <c r="C477" t="s">
        <v>33</v>
      </c>
      <c r="D477" t="str">
        <f>VLOOKUP(ТабЗаказы[[#This Row],[client]],ТабКлиенты[[name]:[_id]],2,0)</f>
        <v>67f56eca575fff8fe23c7a15</v>
      </c>
      <c r="E477">
        <f>IFERROR(IF(ТабЗаказы[[#This Row],[orderSumm]]&gt;10000,10,VLOOKUP(ТабЗаказы[[#This Row],[client]],ТабКлиенты[[name]:[percent]],MATCH(E$1,ТабКлиенты[#Headers],0),0)),"")</f>
        <v>15</v>
      </c>
      <c r="F477" s="18">
        <f>IFERROR(SUMIF(ТабПозиции[orderNum],ТабЗаказы[[#This Row],[orderNum]],ТабПозиции[orderSumm]),"")</f>
        <v>2547</v>
      </c>
      <c r="G477" s="18">
        <f>SUMIF(ТабПозиции[orderNum],ТабЗаказы[[#This Row],[orderNum]],ТабПозиции[deliverySumm])</f>
        <v>382</v>
      </c>
      <c r="H477" s="18">
        <f>SUMIF(ТабПозиции[orderNum],ТабЗаказы[[#This Row],[orderNum]],ТабПозиции[totalSumm])</f>
        <v>2929</v>
      </c>
      <c r="I477" s="18" t="str">
        <f>IFERROR(VLOOKUP(ТабЗаказы[[#This Row],[orderNum]],ТабПозиции[#Data],22,0),"")</f>
        <v>true</v>
      </c>
    </row>
    <row r="478" spans="1:9" x14ac:dyDescent="0.25">
      <c r="A478">
        <f t="shared" si="9"/>
        <v>477</v>
      </c>
      <c r="B478" s="1">
        <v>45706</v>
      </c>
      <c r="C478" t="s">
        <v>2470</v>
      </c>
      <c r="D478" t="str">
        <f>VLOOKUP(ТабЗаказы[[#This Row],[client]],ТабКлиенты[[name]:[_id]],2,0)</f>
        <v>67f56eca575fff8fe23c7af6</v>
      </c>
      <c r="E478">
        <f>IFERROR(IF(ТабЗаказы[[#This Row],[orderSumm]]&gt;10000,10,VLOOKUP(ТабЗаказы[[#This Row],[client]],ТабКлиенты[[name]:[percent]],MATCH(E$1,ТабКлиенты[#Headers],0),0)),"")</f>
        <v>15</v>
      </c>
      <c r="F478" s="18">
        <f>IFERROR(SUMIF(ТабПозиции[orderNum],ТабЗаказы[[#This Row],[orderNum]],ТабПозиции[orderSumm]),"")</f>
        <v>1712</v>
      </c>
      <c r="G478" s="18">
        <f>SUMIF(ТабПозиции[orderNum],ТабЗаказы[[#This Row],[orderNum]],ТабПозиции[deliverySumm])</f>
        <v>257</v>
      </c>
      <c r="H478" s="18">
        <f>SUMIF(ТабПозиции[orderNum],ТабЗаказы[[#This Row],[orderNum]],ТабПозиции[totalSumm])</f>
        <v>1969</v>
      </c>
      <c r="I478" s="18" t="str">
        <f>IFERROR(VLOOKUP(ТабЗаказы[[#This Row],[orderNum]],ТабПозиции[#Data],22,0),"")</f>
        <v>true</v>
      </c>
    </row>
    <row r="479" spans="1:9" x14ac:dyDescent="0.25">
      <c r="A479">
        <f t="shared" si="9"/>
        <v>478</v>
      </c>
      <c r="B479" s="1">
        <v>45706</v>
      </c>
      <c r="C479" t="s">
        <v>357</v>
      </c>
      <c r="D479" t="str">
        <f>VLOOKUP(ТабЗаказы[[#This Row],[client]],ТабКлиенты[[name]:[_id]],2,0)</f>
        <v>67f56eca575fff8fe23c7a7d</v>
      </c>
      <c r="E479">
        <f>IFERROR(IF(ТабЗаказы[[#This Row],[orderSumm]]&gt;10000,10,VLOOKUP(ТабЗаказы[[#This Row],[client]],ТабКлиенты[[name]:[percent]],MATCH(E$1,ТабКлиенты[#Headers],0),0)),"")</f>
        <v>15</v>
      </c>
      <c r="F479" s="18">
        <f>IFERROR(SUMIF(ТабПозиции[orderNum],ТабЗаказы[[#This Row],[orderNum]],ТабПозиции[orderSumm]),"")</f>
        <v>3519</v>
      </c>
      <c r="G479" s="18">
        <f>SUMIF(ТабПозиции[orderNum],ТабЗаказы[[#This Row],[orderNum]],ТабПозиции[deliverySumm])</f>
        <v>530</v>
      </c>
      <c r="H479" s="18">
        <f>SUMIF(ТабПозиции[orderNum],ТабЗаказы[[#This Row],[orderNum]],ТабПозиции[totalSumm])</f>
        <v>4049</v>
      </c>
      <c r="I479" s="18" t="str">
        <f>IFERROR(VLOOKUP(ТабЗаказы[[#This Row],[orderNum]],ТабПозиции[#Data],22,0),"")</f>
        <v>true</v>
      </c>
    </row>
    <row r="480" spans="1:9" x14ac:dyDescent="0.25">
      <c r="A480">
        <f t="shared" si="9"/>
        <v>479</v>
      </c>
      <c r="B480" s="1">
        <v>45708</v>
      </c>
      <c r="C480" t="s">
        <v>104</v>
      </c>
      <c r="D480" t="str">
        <f>VLOOKUP(ТабЗаказы[[#This Row],[client]],ТабКлиенты[[name]:[_id]],2,0)</f>
        <v>67f56eca575fff8fe23c7a2d</v>
      </c>
      <c r="E480">
        <f>IFERROR(IF(ТабЗаказы[[#This Row],[orderSumm]]&gt;10000,10,VLOOKUP(ТабЗаказы[[#This Row],[client]],ТабКлиенты[[name]:[percent]],MATCH(E$1,ТабКлиенты[#Headers],0),0)),"")</f>
        <v>10</v>
      </c>
      <c r="F480" s="18">
        <f>IFERROR(SUMIF(ТабПозиции[orderNum],ТабЗаказы[[#This Row],[orderNum]],ТабПозиции[orderSumm]),"")</f>
        <v>800</v>
      </c>
      <c r="G480" s="18">
        <f>SUMIF(ТабПозиции[orderNum],ТабЗаказы[[#This Row],[orderNum]],ТабПозиции[deliverySumm])</f>
        <v>200</v>
      </c>
      <c r="H480" s="18">
        <f>SUMIF(ТабПозиции[orderNum],ТабЗаказы[[#This Row],[orderNum]],ТабПозиции[totalSumm])</f>
        <v>200</v>
      </c>
      <c r="I480" s="18" t="str">
        <f>IFERROR(VLOOKUP(ТабЗаказы[[#This Row],[orderNum]],ТабПозиции[#Data],22,0),"")</f>
        <v>true</v>
      </c>
    </row>
    <row r="481" spans="1:9" x14ac:dyDescent="0.25">
      <c r="A481">
        <f t="shared" si="9"/>
        <v>480</v>
      </c>
      <c r="B481" s="1">
        <v>45708</v>
      </c>
      <c r="C481" t="s">
        <v>2505</v>
      </c>
      <c r="D481" t="str">
        <f>VLOOKUP(ТабЗаказы[[#This Row],[client]],ТабКлиенты[[name]:[_id]],2,0)</f>
        <v>67f56eca575fff8fe23c7af9</v>
      </c>
      <c r="E481">
        <v>20</v>
      </c>
      <c r="F481" s="18">
        <f>IFERROR(SUMIF(ТабПозиции[orderNum],ТабЗаказы[[#This Row],[orderNum]],ТабПозиции[orderSumm]),"")</f>
        <v>14684</v>
      </c>
      <c r="G481" s="18">
        <f>SUMIF(ТабПозиции[orderNum],ТабЗаказы[[#This Row],[orderNum]],ТабПозиции[deliverySumm])</f>
        <v>2903</v>
      </c>
      <c r="H481" s="18">
        <f>SUMIF(ТабПозиции[orderNum],ТабЗаказы[[#This Row],[orderNum]],ТабПозиции[totalSumm])</f>
        <v>17587</v>
      </c>
      <c r="I481" s="18" t="str">
        <f>IFERROR(VLOOKUP(ТабЗаказы[[#This Row],[orderNum]],ТабПозиции[#Data],22,0),"")</f>
        <v>true</v>
      </c>
    </row>
    <row r="482" spans="1:9" x14ac:dyDescent="0.25">
      <c r="A482">
        <f t="shared" si="9"/>
        <v>481</v>
      </c>
      <c r="B482" s="1">
        <v>45709</v>
      </c>
      <c r="C482" t="s">
        <v>1629</v>
      </c>
      <c r="D482" t="str">
        <f>VLOOKUP(ТабЗаказы[[#This Row],[client]],ТабКлиенты[[name]:[_id]],2,0)</f>
        <v>67f56eca575fff8fe23c7ac0</v>
      </c>
      <c r="E482">
        <f>IFERROR(IF(ТабЗаказы[[#This Row],[orderSumm]]&gt;10000,10,VLOOKUP(ТабЗаказы[[#This Row],[client]],ТабКлиенты[[name]:[percent]],MATCH(E$1,ТабКлиенты[#Headers],0),0)),"")</f>
        <v>15</v>
      </c>
      <c r="F482" s="18">
        <f>IFERROR(SUMIF(ТабПозиции[orderNum],ТабЗаказы[[#This Row],[orderNum]],ТабПозиции[orderSumm]),"")</f>
        <v>1112</v>
      </c>
      <c r="G482" s="18">
        <f>SUMIF(ТабПозиции[orderNum],ТабЗаказы[[#This Row],[orderNum]],ТабПозиции[deliverySumm])</f>
        <v>200</v>
      </c>
      <c r="H482" s="18">
        <f>SUMIF(ТабПозиции[orderNum],ТабЗаказы[[#This Row],[orderNum]],ТабПозиции[totalSumm])</f>
        <v>200</v>
      </c>
      <c r="I482" s="18" t="str">
        <f>IFERROR(VLOOKUP(ТабЗаказы[[#This Row],[orderNum]],ТабПозиции[#Data],22,0),"")</f>
        <v>true</v>
      </c>
    </row>
    <row r="483" spans="1:9" x14ac:dyDescent="0.25">
      <c r="A483">
        <f t="shared" si="9"/>
        <v>482</v>
      </c>
      <c r="B483" s="1">
        <v>45709</v>
      </c>
      <c r="C483" t="s">
        <v>493</v>
      </c>
      <c r="D483" t="str">
        <f>VLOOKUP(ТабЗаказы[[#This Row],[client]],ТабКлиенты[[name]:[_id]],2,0)</f>
        <v>67f56eca575fff8fe23c7aa4</v>
      </c>
      <c r="E483">
        <f>IFERROR(IF(ТабЗаказы[[#This Row],[orderSumm]]&gt;10000,10,VLOOKUP(ТабЗаказы[[#This Row],[client]],ТабКлиенты[[name]:[percent]],MATCH(E$1,ТабКлиенты[#Headers],0),0)),"")</f>
        <v>15</v>
      </c>
      <c r="F483" s="18">
        <f>IFERROR(SUMIF(ТабПозиции[orderNum],ТабЗаказы[[#This Row],[orderNum]],ТабПозиции[orderSumm]),"")</f>
        <v>7313</v>
      </c>
      <c r="G483" s="18">
        <f>SUMIF(ТабПозиции[orderNum],ТабЗаказы[[#This Row],[orderNum]],ТабПозиции[deliverySumm])</f>
        <v>1097</v>
      </c>
      <c r="H483" s="18">
        <f>SUMIF(ТабПозиции[orderNum],ТабЗаказы[[#This Row],[orderNum]],ТабПозиции[totalSumm])</f>
        <v>1097</v>
      </c>
      <c r="I483" s="18" t="str">
        <f>IFERROR(VLOOKUP(ТабЗаказы[[#This Row],[orderNum]],ТабПозиции[#Data],22,0),"")</f>
        <v>true</v>
      </c>
    </row>
    <row r="484" spans="1:9" x14ac:dyDescent="0.25">
      <c r="A484">
        <f t="shared" si="9"/>
        <v>483</v>
      </c>
      <c r="B484" s="1">
        <v>45709</v>
      </c>
      <c r="C484" t="s">
        <v>2513</v>
      </c>
      <c r="D484" t="str">
        <f>VLOOKUP(ТабЗаказы[[#This Row],[client]],ТабКлиенты[[name]:[_id]],2,0)</f>
        <v>67f56eca575fff8fe23c7afa</v>
      </c>
      <c r="E484">
        <f>IFERROR(IF(ТабЗаказы[[#This Row],[orderSumm]]&gt;10000,10,VLOOKUP(ТабЗаказы[[#This Row],[client]],ТабКлиенты[[name]:[percent]],MATCH(E$1,ТабКлиенты[#Headers],0),0)),"")</f>
        <v>15</v>
      </c>
      <c r="F484" s="18">
        <f>IFERROR(SUMIF(ТабПозиции[orderNum],ТабЗаказы[[#This Row],[orderNum]],ТабПозиции[orderSumm]),"")</f>
        <v>500</v>
      </c>
      <c r="G484" s="18">
        <f>SUMIF(ТабПозиции[orderNum],ТабЗаказы[[#This Row],[orderNum]],ТабПозиции[deliverySumm])</f>
        <v>200</v>
      </c>
      <c r="H484" s="18">
        <f>SUMIF(ТабПозиции[orderNum],ТабЗаказы[[#This Row],[orderNum]],ТабПозиции[totalSumm])</f>
        <v>400</v>
      </c>
      <c r="I484" s="18" t="str">
        <f>IFERROR(VLOOKUP(ТабЗаказы[[#This Row],[orderNum]],ТабПозиции[#Data],22,0),"")</f>
        <v>true</v>
      </c>
    </row>
    <row r="485" spans="1:9" x14ac:dyDescent="0.25">
      <c r="A485">
        <f t="shared" si="9"/>
        <v>484</v>
      </c>
      <c r="B485" s="1">
        <v>45708</v>
      </c>
      <c r="C485" t="s">
        <v>104</v>
      </c>
      <c r="D485" t="str">
        <f>VLOOKUP(ТабЗаказы[[#This Row],[client]],ТабКлиенты[[name]:[_id]],2,0)</f>
        <v>67f56eca575fff8fe23c7a2d</v>
      </c>
      <c r="E485">
        <f>IFERROR(IF(ТабЗаказы[[#This Row],[orderSumm]]&gt;10000,10,VLOOKUP(ТабЗаказы[[#This Row],[client]],ТабКлиенты[[name]:[percent]],MATCH(E$1,ТабКлиенты[#Headers],0),0)),"")</f>
        <v>10</v>
      </c>
      <c r="F485" s="18">
        <f>IFERROR(SUMIF(ТабПозиции[orderNum],ТабЗаказы[[#This Row],[orderNum]],ТабПозиции[orderSumm]),"")</f>
        <v>220</v>
      </c>
      <c r="G485" s="18">
        <f>SUMIF(ТабПозиции[orderNum],ТабЗаказы[[#This Row],[orderNum]],ТабПозиции[deliverySumm])</f>
        <v>200</v>
      </c>
      <c r="H485" s="18">
        <f>SUMIF(ТабПозиции[orderNum],ТабЗаказы[[#This Row],[orderNum]],ТабПозиции[totalSumm])</f>
        <v>200</v>
      </c>
      <c r="I485" s="18" t="str">
        <f>IFERROR(VLOOKUP(ТабЗаказы[[#This Row],[orderNum]],ТабПозиции[#Data],22,0),"")</f>
        <v>true</v>
      </c>
    </row>
    <row r="486" spans="1:9" x14ac:dyDescent="0.25">
      <c r="A486">
        <f t="shared" si="9"/>
        <v>485</v>
      </c>
      <c r="B486" s="1">
        <v>45708</v>
      </c>
      <c r="C486" t="s">
        <v>104</v>
      </c>
      <c r="D486" t="str">
        <f>VLOOKUP(ТабЗаказы[[#This Row],[client]],ТабКлиенты[[name]:[_id]],2,0)</f>
        <v>67f56eca575fff8fe23c7a2d</v>
      </c>
      <c r="E486">
        <f>IFERROR(IF(ТабЗаказы[[#This Row],[orderSumm]]&gt;10000,10,VLOOKUP(ТабЗаказы[[#This Row],[client]],ТабКлиенты[[name]:[percent]],MATCH(E$1,ТабКлиенты[#Headers],0),0)),"")</f>
        <v>10</v>
      </c>
      <c r="F486" s="18">
        <f>IFERROR(SUMIF(ТабПозиции[orderNum],ТабЗаказы[[#This Row],[orderNum]],ТабПозиции[orderSumm]),"")</f>
        <v>3000</v>
      </c>
      <c r="G486" s="18">
        <f>SUMIF(ТабПозиции[orderNum],ТабЗаказы[[#This Row],[orderNum]],ТабПозиции[deliverySumm])</f>
        <v>300</v>
      </c>
      <c r="H486" s="18">
        <f>SUMIF(ТабПозиции[orderNum],ТабЗаказы[[#This Row],[orderNum]],ТабПозиции[totalSumm])</f>
        <v>300</v>
      </c>
      <c r="I486" s="18" t="str">
        <f>IFERROR(VLOOKUP(ТабЗаказы[[#This Row],[orderNum]],ТабПозиции[#Data],22,0),"")</f>
        <v>true</v>
      </c>
    </row>
    <row r="487" spans="1:9" x14ac:dyDescent="0.25">
      <c r="A487">
        <f t="shared" si="9"/>
        <v>486</v>
      </c>
      <c r="B487" s="1">
        <v>45708</v>
      </c>
      <c r="C487" t="s">
        <v>104</v>
      </c>
      <c r="D487" t="str">
        <f>VLOOKUP(ТабЗаказы[[#This Row],[client]],ТабКлиенты[[name]:[_id]],2,0)</f>
        <v>67f56eca575fff8fe23c7a2d</v>
      </c>
      <c r="E487">
        <f>IFERROR(IF(ТабЗаказы[[#This Row],[orderSumm]]&gt;10000,10,VLOOKUP(ТабЗаказы[[#This Row],[client]],ТабКлиенты[[name]:[percent]],MATCH(E$1,ТабКлиенты[#Headers],0),0)),"")</f>
        <v>10</v>
      </c>
      <c r="F487" s="18">
        <f>IFERROR(SUMIF(ТабПозиции[orderNum],ТабЗаказы[[#This Row],[orderNum]],ТабПозиции[orderSumm]),"")</f>
        <v>1075</v>
      </c>
      <c r="G487" s="18">
        <f>SUMIF(ТабПозиции[orderNum],ТабЗаказы[[#This Row],[orderNum]],ТабПозиции[deliverySumm])</f>
        <v>200</v>
      </c>
      <c r="H487" s="18">
        <f>SUMIF(ТабПозиции[orderNum],ТабЗаказы[[#This Row],[orderNum]],ТабПозиции[totalSumm])</f>
        <v>200</v>
      </c>
      <c r="I487" s="18" t="str">
        <f>IFERROR(VLOOKUP(ТабЗаказы[[#This Row],[orderNum]],ТабПозиции[#Data],22,0),"")</f>
        <v>true</v>
      </c>
    </row>
    <row r="488" spans="1:9" x14ac:dyDescent="0.25">
      <c r="A488">
        <f t="shared" si="9"/>
        <v>487</v>
      </c>
      <c r="B488" s="1">
        <v>45708</v>
      </c>
      <c r="C488" t="s">
        <v>104</v>
      </c>
      <c r="D488" t="str">
        <f>VLOOKUP(ТабЗаказы[[#This Row],[client]],ТабКлиенты[[name]:[_id]],2,0)</f>
        <v>67f56eca575fff8fe23c7a2d</v>
      </c>
      <c r="E488">
        <f>IFERROR(IF(ТабЗаказы[[#This Row],[orderSumm]]&gt;10000,10,VLOOKUP(ТабЗаказы[[#This Row],[client]],ТабКлиенты[[name]:[percent]],MATCH(E$1,ТабКлиенты[#Headers],0),0)),"")</f>
        <v>10</v>
      </c>
      <c r="F488" s="18">
        <f>IFERROR(SUMIF(ТабПозиции[orderNum],ТабЗаказы[[#This Row],[orderNum]],ТабПозиции[orderSumm]),"")</f>
        <v>1075</v>
      </c>
      <c r="G488" s="18">
        <f>SUMIF(ТабПозиции[orderNum],ТабЗаказы[[#This Row],[orderNum]],ТабПозиции[deliverySumm])</f>
        <v>200</v>
      </c>
      <c r="H488" s="18">
        <f>SUMIF(ТабПозиции[orderNum],ТабЗаказы[[#This Row],[orderNum]],ТабПозиции[totalSumm])</f>
        <v>200</v>
      </c>
      <c r="I488" s="18" t="str">
        <f>IFERROR(VLOOKUP(ТабЗаказы[[#This Row],[orderNum]],ТабПозиции[#Data],22,0),"")</f>
        <v>true</v>
      </c>
    </row>
    <row r="489" spans="1:9" x14ac:dyDescent="0.25">
      <c r="A489">
        <f t="shared" si="9"/>
        <v>488</v>
      </c>
      <c r="B489" s="1">
        <v>45708</v>
      </c>
      <c r="C489" t="s">
        <v>104</v>
      </c>
      <c r="D489" t="str">
        <f>VLOOKUP(ТабЗаказы[[#This Row],[client]],ТабКлиенты[[name]:[_id]],2,0)</f>
        <v>67f56eca575fff8fe23c7a2d</v>
      </c>
      <c r="E489">
        <f>IFERROR(IF(ТабЗаказы[[#This Row],[orderSumm]]&gt;10000,10,VLOOKUP(ТабЗаказы[[#This Row],[client]],ТабКлиенты[[name]:[percent]],MATCH(E$1,ТабКлиенты[#Headers],0),0)),"")</f>
        <v>10</v>
      </c>
      <c r="F489" s="18">
        <f>IFERROR(SUMIF(ТабПозиции[orderNum],ТабЗаказы[[#This Row],[orderNum]],ТабПозиции[orderSumm]),"")</f>
        <v>5000</v>
      </c>
      <c r="G489" s="18">
        <f>SUMIF(ТабПозиции[orderNum],ТабЗаказы[[#This Row],[orderNum]],ТабПозиции[deliverySumm])</f>
        <v>500</v>
      </c>
      <c r="H489" s="18">
        <f>SUMIF(ТабПозиции[orderNum],ТабЗаказы[[#This Row],[orderNum]],ТабПозиции[totalSumm])</f>
        <v>500</v>
      </c>
      <c r="I489" s="18" t="str">
        <f>IFERROR(VLOOKUP(ТабЗаказы[[#This Row],[orderNum]],ТабПозиции[#Data],22,0),"")</f>
        <v>true</v>
      </c>
    </row>
    <row r="490" spans="1:9" x14ac:dyDescent="0.25">
      <c r="A490">
        <f t="shared" si="9"/>
        <v>489</v>
      </c>
      <c r="B490" s="1">
        <v>45708</v>
      </c>
      <c r="C490" t="s">
        <v>104</v>
      </c>
      <c r="D490" t="str">
        <f>VLOOKUP(ТабЗаказы[[#This Row],[client]],ТабКлиенты[[name]:[_id]],2,0)</f>
        <v>67f56eca575fff8fe23c7a2d</v>
      </c>
      <c r="E490">
        <f>IFERROR(IF(ТабЗаказы[[#This Row],[orderSumm]]&gt;10000,10,VLOOKUP(ТабЗаказы[[#This Row],[client]],ТабКлиенты[[name]:[percent]],MATCH(E$1,ТабКлиенты[#Headers],0),0)),"")</f>
        <v>10</v>
      </c>
      <c r="F490" s="18">
        <f>IFERROR(SUMIF(ТабПозиции[orderNum],ТабЗаказы[[#This Row],[orderNum]],ТабПозиции[orderSumm]),"")</f>
        <v>1100</v>
      </c>
      <c r="G490" s="18">
        <f>SUMIF(ТабПозиции[orderNum],ТабЗаказы[[#This Row],[orderNum]],ТабПозиции[deliverySumm])</f>
        <v>200</v>
      </c>
      <c r="H490" s="18">
        <f>SUMIF(ТабПозиции[orderNum],ТабЗаказы[[#This Row],[orderNum]],ТабПозиции[totalSumm])</f>
        <v>200</v>
      </c>
      <c r="I490" s="18" t="str">
        <f>IFERROR(VLOOKUP(ТабЗаказы[[#This Row],[orderNum]],ТабПозиции[#Data],22,0),"")</f>
        <v>true</v>
      </c>
    </row>
    <row r="491" spans="1:9" x14ac:dyDescent="0.25">
      <c r="A491">
        <f t="shared" si="9"/>
        <v>490</v>
      </c>
      <c r="B491" s="1">
        <v>45710</v>
      </c>
      <c r="C491" t="s">
        <v>2578</v>
      </c>
      <c r="D491" t="str">
        <f>VLOOKUP(ТабЗаказы[[#This Row],[client]],ТабКлиенты[[name]:[_id]],2,0)</f>
        <v>67f56eca575fff8fe23c7afc</v>
      </c>
      <c r="E491">
        <f>IFERROR(IF(ТабЗаказы[[#This Row],[orderSumm]]&gt;10000,10,VLOOKUP(ТабЗаказы[[#This Row],[client]],ТабКлиенты[[name]:[percent]],MATCH(E$1,ТабКлиенты[#Headers],0),0)),"")</f>
        <v>15</v>
      </c>
      <c r="F491" s="18">
        <f>IFERROR(SUMIF(ТабПозиции[orderNum],ТабЗаказы[[#This Row],[orderNum]],ТабПозиции[orderSumm]),"")</f>
        <v>7700</v>
      </c>
      <c r="G491" s="18">
        <f>SUMIF(ТабПозиции[orderNum],ТабЗаказы[[#This Row],[orderNum]],ТабПозиции[deliverySumm])</f>
        <v>1155</v>
      </c>
      <c r="H491" s="18">
        <f>SUMIF(ТабПозиции[orderNum],ТабЗаказы[[#This Row],[orderNum]],ТабПозиции[totalSumm])</f>
        <v>8855</v>
      </c>
      <c r="I491" s="18" t="str">
        <f>IFERROR(VLOOKUP(ТабЗаказы[[#This Row],[orderNum]],ТабПозиции[#Data],22,0),"")</f>
        <v>true</v>
      </c>
    </row>
    <row r="492" spans="1:9" x14ac:dyDescent="0.25">
      <c r="A492">
        <f t="shared" si="9"/>
        <v>491</v>
      </c>
      <c r="B492" s="1">
        <v>45711</v>
      </c>
      <c r="C492" t="s">
        <v>445</v>
      </c>
      <c r="D492" t="str">
        <f>VLOOKUP(ТабЗаказы[[#This Row],[client]],ТабКлиенты[[name]:[_id]],2,0)</f>
        <v>67f56eca575fff8fe23c7a96</v>
      </c>
      <c r="E492">
        <f>IFERROR(IF(ТабЗаказы[[#This Row],[orderSumm]]&gt;10000,10,VLOOKUP(ТабЗаказы[[#This Row],[client]],ТабКлиенты[[name]:[percent]],MATCH(E$1,ТабКлиенты[#Headers],0),0)),"")</f>
        <v>15</v>
      </c>
      <c r="F492" s="18">
        <f>IFERROR(SUMIF(ТабПозиции[orderNum],ТабЗаказы[[#This Row],[orderNum]],ТабПозиции[orderSumm]),"")</f>
        <v>3423</v>
      </c>
      <c r="G492" s="18">
        <f>SUMIF(ТабПозиции[orderNum],ТабЗаказы[[#This Row],[orderNum]],ТабПозиции[deliverySumm])</f>
        <v>513</v>
      </c>
      <c r="H492" s="18">
        <f>SUMIF(ТабПозиции[orderNum],ТабЗаказы[[#This Row],[orderNum]],ТабПозиции[totalSumm])</f>
        <v>3936</v>
      </c>
      <c r="I492" s="18" t="str">
        <f>IFERROR(VLOOKUP(ТабЗаказы[[#This Row],[orderNum]],ТабПозиции[#Data],22,0),"")</f>
        <v>true</v>
      </c>
    </row>
    <row r="493" spans="1:9" x14ac:dyDescent="0.25">
      <c r="A493">
        <f t="shared" si="9"/>
        <v>492</v>
      </c>
      <c r="B493" s="1">
        <v>45712</v>
      </c>
      <c r="C493" t="s">
        <v>123</v>
      </c>
      <c r="D493" t="str">
        <f>VLOOKUP(ТабЗаказы[[#This Row],[client]],ТабКлиенты[[name]:[_id]],2,0)</f>
        <v>67f56eca575fff8fe23c7a32</v>
      </c>
      <c r="E493">
        <f>IFERROR(IF(ТабЗаказы[[#This Row],[orderSumm]]&gt;10000,10,VLOOKUP(ТабЗаказы[[#This Row],[client]],ТабКлиенты[[name]:[percent]],MATCH(E$1,ТабКлиенты[#Headers],0),0)),"")</f>
        <v>15</v>
      </c>
      <c r="F493" s="18">
        <f>IFERROR(SUMIF(ТабПозиции[orderNum],ТабЗаказы[[#This Row],[orderNum]],ТабПозиции[orderSumm]),"")</f>
        <v>2901</v>
      </c>
      <c r="G493" s="18">
        <f>SUMIF(ТабПозиции[orderNum],ТабЗаказы[[#This Row],[orderNum]],ТабПозиции[deliverySumm])</f>
        <v>436</v>
      </c>
      <c r="H493" s="18">
        <f>SUMIF(ТабПозиции[orderNum],ТабЗаказы[[#This Row],[orderNum]],ТабПозиции[totalSumm])</f>
        <v>3337</v>
      </c>
      <c r="I493" s="18" t="str">
        <f>IFERROR(VLOOKUP(ТабЗаказы[[#This Row],[orderNum]],ТабПозиции[#Data],22,0),"")</f>
        <v>true</v>
      </c>
    </row>
    <row r="494" spans="1:9" x14ac:dyDescent="0.25">
      <c r="A494">
        <f t="shared" si="9"/>
        <v>493</v>
      </c>
      <c r="B494" s="1">
        <v>45714</v>
      </c>
      <c r="C494" t="s">
        <v>357</v>
      </c>
      <c r="D494" t="str">
        <f>VLOOKUP(ТабЗаказы[[#This Row],[client]],ТабКлиенты[[name]:[_id]],2,0)</f>
        <v>67f56eca575fff8fe23c7a7d</v>
      </c>
      <c r="E494">
        <f>IFERROR(IF(ТабЗаказы[[#This Row],[orderSumm]]&gt;10000,10,VLOOKUP(ТабЗаказы[[#This Row],[client]],ТабКлиенты[[name]:[percent]],MATCH(E$1,ТабКлиенты[#Headers],0),0)),"")</f>
        <v>15</v>
      </c>
      <c r="F494" s="18">
        <f>IFERROR(SUMIF(ТабПозиции[orderNum],ТабЗаказы[[#This Row],[orderNum]],ТабПозиции[orderSumm]),"")</f>
        <v>2685</v>
      </c>
      <c r="G494" s="18">
        <f>SUMIF(ТабПозиции[orderNum],ТабЗаказы[[#This Row],[orderNum]],ТабПозиции[deliverySumm])</f>
        <v>403</v>
      </c>
      <c r="H494" s="18">
        <f>SUMIF(ТабПозиции[orderNum],ТабЗаказы[[#This Row],[orderNum]],ТабПозиции[totalSumm])</f>
        <v>3088</v>
      </c>
      <c r="I494" s="18" t="str">
        <f>IFERROR(VLOOKUP(ТабЗаказы[[#This Row],[orderNum]],ТабПозиции[#Data],22,0),"")</f>
        <v>true</v>
      </c>
    </row>
    <row r="495" spans="1:9" x14ac:dyDescent="0.25">
      <c r="A495">
        <f t="shared" si="9"/>
        <v>494</v>
      </c>
      <c r="B495" s="1">
        <v>45714</v>
      </c>
      <c r="C495" t="s">
        <v>2470</v>
      </c>
      <c r="D495" t="str">
        <f>VLOOKUP(ТабЗаказы[[#This Row],[client]],ТабКлиенты[[name]:[_id]],2,0)</f>
        <v>67f56eca575fff8fe23c7af6</v>
      </c>
      <c r="E495">
        <f>IFERROR(IF(ТабЗаказы[[#This Row],[orderSumm]]&gt;10000,10,VLOOKUP(ТабЗаказы[[#This Row],[client]],ТабКлиенты[[name]:[percent]],MATCH(E$1,ТабКлиенты[#Headers],0),0)),"")</f>
        <v>15</v>
      </c>
      <c r="F495" s="18">
        <f>IFERROR(SUMIF(ТабПозиции[orderNum],ТабЗаказы[[#This Row],[orderNum]],ТабПозиции[orderSumm]),"")</f>
        <v>2654</v>
      </c>
      <c r="G495" s="18">
        <f>SUMIF(ТабПозиции[orderNum],ТабЗаказы[[#This Row],[orderNum]],ТабПозиции[deliverySumm])</f>
        <v>399</v>
      </c>
      <c r="H495" s="18">
        <f>SUMIF(ТабПозиции[orderNum],ТабЗаказы[[#This Row],[orderNum]],ТабПозиции[totalSumm])</f>
        <v>3053</v>
      </c>
      <c r="I495" s="18" t="str">
        <f>IFERROR(VLOOKUP(ТабЗаказы[[#This Row],[orderNum]],ТабПозиции[#Data],22,0),"")</f>
        <v>true</v>
      </c>
    </row>
    <row r="496" spans="1:9" x14ac:dyDescent="0.25">
      <c r="A496">
        <f t="shared" si="9"/>
        <v>495</v>
      </c>
      <c r="B496" s="1">
        <v>45715</v>
      </c>
      <c r="C496" t="s">
        <v>445</v>
      </c>
      <c r="D496" t="str">
        <f>VLOOKUP(ТабЗаказы[[#This Row],[client]],ТабКлиенты[[name]:[_id]],2,0)</f>
        <v>67f56eca575fff8fe23c7a96</v>
      </c>
      <c r="E496">
        <f>IFERROR(IF(ТабЗаказы[[#This Row],[orderSumm]]&gt;10000,10,VLOOKUP(ТабЗаказы[[#This Row],[client]],ТабКлиенты[[name]:[percent]],MATCH(E$1,ТабКлиенты[#Headers],0),0)),"")</f>
        <v>15</v>
      </c>
      <c r="F496" s="18">
        <f>IFERROR(SUMIF(ТабПозиции[orderNum],ТабЗаказы[[#This Row],[orderNum]],ТабПозиции[orderSumm]),"")</f>
        <v>4010</v>
      </c>
      <c r="G496" s="18">
        <f>SUMIF(ТабПозиции[orderNum],ТабЗаказы[[#This Row],[orderNum]],ТабПозиции[deliverySumm])</f>
        <v>602</v>
      </c>
      <c r="H496" s="18">
        <f>SUMIF(ТабПозиции[orderNum],ТабЗаказы[[#This Row],[orderNum]],ТабПозиции[totalSumm])</f>
        <v>4612</v>
      </c>
      <c r="I496" s="18" t="str">
        <f>IFERROR(VLOOKUP(ТабЗаказы[[#This Row],[orderNum]],ТабПозиции[#Data],22,0),"")</f>
        <v>true</v>
      </c>
    </row>
    <row r="497" spans="1:9" x14ac:dyDescent="0.25">
      <c r="A497">
        <f t="shared" si="9"/>
        <v>496</v>
      </c>
      <c r="B497" s="1">
        <v>45716</v>
      </c>
      <c r="C497" t="s">
        <v>104</v>
      </c>
      <c r="D497" t="str">
        <f>VLOOKUP(ТабЗаказы[[#This Row],[client]],ТабКлиенты[[name]:[_id]],2,0)</f>
        <v>67f56eca575fff8fe23c7a2d</v>
      </c>
      <c r="E497">
        <f>IFERROR(IF(ТабЗаказы[[#This Row],[orderSumm]]&gt;10000,10,VLOOKUP(ТабЗаказы[[#This Row],[client]],ТабКлиенты[[name]:[percent]],MATCH(E$1,ТабКлиенты[#Headers],0),0)),"")</f>
        <v>10</v>
      </c>
      <c r="F497" s="18">
        <f>IFERROR(SUMIF(ТабПозиции[orderNum],ТабЗаказы[[#This Row],[orderNum]],ТабПозиции[orderSumm]),"")</f>
        <v>1152</v>
      </c>
      <c r="G497" s="18">
        <f>SUMIF(ТабПозиции[orderNum],ТабЗаказы[[#This Row],[orderNum]],ТабПозиции[deliverySumm])</f>
        <v>200</v>
      </c>
      <c r="H497" s="18">
        <f>SUMIF(ТабПозиции[orderNum],ТабЗаказы[[#This Row],[orderNum]],ТабПозиции[totalSumm])</f>
        <v>200</v>
      </c>
      <c r="I497" s="18" t="str">
        <f>IFERROR(VLOOKUP(ТабЗаказы[[#This Row],[orderNum]],ТабПозиции[#Data],22,0),"")</f>
        <v>true</v>
      </c>
    </row>
    <row r="498" spans="1:9" x14ac:dyDescent="0.25">
      <c r="A498">
        <f t="shared" si="9"/>
        <v>497</v>
      </c>
      <c r="B498" s="1">
        <v>45716</v>
      </c>
      <c r="C498" t="s">
        <v>1629</v>
      </c>
      <c r="D498" t="str">
        <f>VLOOKUP(ТабЗаказы[[#This Row],[client]],ТабКлиенты[[name]:[_id]],2,0)</f>
        <v>67f56eca575fff8fe23c7ac0</v>
      </c>
      <c r="E498">
        <f>IFERROR(IF(ТабЗаказы[[#This Row],[orderSumm]]&gt;10000,10,VLOOKUP(ТабЗаказы[[#This Row],[client]],ТабКлиенты[[name]:[percent]],MATCH(E$1,ТабКлиенты[#Headers],0),0)),"")</f>
        <v>15</v>
      </c>
      <c r="F498" s="18">
        <f>IFERROR(SUMIF(ТабПозиции[orderNum],ТабЗаказы[[#This Row],[orderNum]],ТабПозиции[orderSumm]),"")</f>
        <v>2226</v>
      </c>
      <c r="G498" s="18">
        <f>SUMIF(ТабПозиции[orderNum],ТабЗаказы[[#This Row],[orderNum]],ТабПозиции[deliverySumm])</f>
        <v>334</v>
      </c>
      <c r="H498" s="18">
        <f>SUMIF(ТабПозиции[orderNum],ТабЗаказы[[#This Row],[orderNum]],ТабПозиции[totalSumm])</f>
        <v>334</v>
      </c>
      <c r="I498" s="18" t="str">
        <f>IFERROR(VLOOKUP(ТабЗаказы[[#This Row],[orderNum]],ТабПозиции[#Data],22,0),"")</f>
        <v>true</v>
      </c>
    </row>
    <row r="499" spans="1:9" x14ac:dyDescent="0.25">
      <c r="A499">
        <f t="shared" si="9"/>
        <v>498</v>
      </c>
      <c r="B499" s="1">
        <v>45716</v>
      </c>
      <c r="C499" t="s">
        <v>2578</v>
      </c>
      <c r="D499" t="str">
        <f>VLOOKUP(ТабЗаказы[[#This Row],[client]],ТабКлиенты[[name]:[_id]],2,0)</f>
        <v>67f56eca575fff8fe23c7afc</v>
      </c>
      <c r="E499">
        <f>IFERROR(IF(ТабЗаказы[[#This Row],[orderSumm]]&gt;10000,10,VLOOKUP(ТабЗаказы[[#This Row],[client]],ТабКлиенты[[name]:[percent]],MATCH(E$1,ТабКлиенты[#Headers],0),0)),"")</f>
        <v>15</v>
      </c>
      <c r="F499" s="18">
        <f>IFERROR(SUMIF(ТабПозиции[orderNum],ТабЗаказы[[#This Row],[orderNum]],ТабПозиции[orderSumm]),"")</f>
        <v>3192</v>
      </c>
      <c r="G499" s="18">
        <f>SUMIF(ТабПозиции[orderNum],ТабЗаказы[[#This Row],[orderNum]],ТабПозиции[deliverySumm])</f>
        <v>479</v>
      </c>
      <c r="H499" s="18">
        <f>SUMIF(ТабПозиции[orderNum],ТабЗаказы[[#This Row],[orderNum]],ТабПозиции[totalSumm])</f>
        <v>3671</v>
      </c>
      <c r="I499" s="18" t="str">
        <f>IFERROR(VLOOKUP(ТабЗаказы[[#This Row],[orderNum]],ТабПозиции[#Data],22,0),"")</f>
        <v>true</v>
      </c>
    </row>
    <row r="500" spans="1:9" x14ac:dyDescent="0.25">
      <c r="A500">
        <f t="shared" si="9"/>
        <v>499</v>
      </c>
      <c r="B500" s="1">
        <v>45718</v>
      </c>
      <c r="C500" t="s">
        <v>2584</v>
      </c>
      <c r="D500" t="str">
        <f>VLOOKUP(ТабЗаказы[[#This Row],[client]],ТабКлиенты[[name]:[_id]],2,0)</f>
        <v>67f56eca575fff8fe23c7aff</v>
      </c>
      <c r="E500">
        <f>IFERROR(IF(ТабЗаказы[[#This Row],[orderSumm]]&gt;10000,10,VLOOKUP(ТабЗаказы[[#This Row],[client]],ТабКлиенты[[name]:[percent]],MATCH(E$1,ТабКлиенты[#Headers],0),0)),"")</f>
        <v>15</v>
      </c>
      <c r="F500" s="18">
        <f>IFERROR(SUMIF(ТабПозиции[orderNum],ТабЗаказы[[#This Row],[orderNum]],ТабПозиции[orderSumm]),"")</f>
        <v>2625</v>
      </c>
      <c r="G500" s="18">
        <f>SUMIF(ТабПозиции[orderNum],ТабЗаказы[[#This Row],[orderNum]],ТабПозиции[deliverySumm])</f>
        <v>394</v>
      </c>
      <c r="H500" s="18">
        <f>SUMIF(ТабПозиции[orderNum],ТабЗаказы[[#This Row],[orderNum]],ТабПозиции[totalSumm])</f>
        <v>3019</v>
      </c>
      <c r="I500" s="18" t="str">
        <f>IFERROR(VLOOKUP(ТабЗаказы[[#This Row],[orderNum]],ТабПозиции[#Data],22,0),"")</f>
        <v>true</v>
      </c>
    </row>
    <row r="501" spans="1:9" x14ac:dyDescent="0.25">
      <c r="A501">
        <f t="shared" si="9"/>
        <v>500</v>
      </c>
      <c r="B501" s="1">
        <v>45719</v>
      </c>
      <c r="C501" t="s">
        <v>357</v>
      </c>
      <c r="D501" t="str">
        <f>VLOOKUP(ТабЗаказы[[#This Row],[client]],ТабКлиенты[[name]:[_id]],2,0)</f>
        <v>67f56eca575fff8fe23c7a7d</v>
      </c>
      <c r="E501">
        <f>IFERROR(IF(ТабЗаказы[[#This Row],[orderSumm]]&gt;10000,10,VLOOKUP(ТабЗаказы[[#This Row],[client]],ТабКлиенты[[name]:[percent]],MATCH(E$1,ТабКлиенты[#Headers],0),0)),"")</f>
        <v>15</v>
      </c>
      <c r="F501" s="18">
        <f>IFERROR(SUMIF(ТабПозиции[orderNum],ТабЗаказы[[#This Row],[orderNum]],ТабПозиции[orderSumm]),"")</f>
        <v>3147</v>
      </c>
      <c r="G501" s="18">
        <f>SUMIF(ТабПозиции[orderNum],ТабЗаказы[[#This Row],[orderNum]],ТабПозиции[deliverySumm])</f>
        <v>473</v>
      </c>
      <c r="H501" s="18">
        <f>SUMIF(ТабПозиции[orderNum],ТабЗаказы[[#This Row],[orderNum]],ТабПозиции[totalSumm])</f>
        <v>3620</v>
      </c>
      <c r="I501" s="18" t="str">
        <f>IFERROR(VLOOKUP(ТабЗаказы[[#This Row],[orderNum]],ТабПозиции[#Data],22,0),"")</f>
        <v>true</v>
      </c>
    </row>
    <row r="502" spans="1:9" x14ac:dyDescent="0.25">
      <c r="A502">
        <f t="shared" si="9"/>
        <v>501</v>
      </c>
      <c r="B502" s="1">
        <v>45719</v>
      </c>
      <c r="C502" t="s">
        <v>33</v>
      </c>
      <c r="D502" t="str">
        <f>VLOOKUP(ТабЗаказы[[#This Row],[client]],ТабКлиенты[[name]:[_id]],2,0)</f>
        <v>67f56eca575fff8fe23c7a15</v>
      </c>
      <c r="E502">
        <f>IFERROR(IF(ТабЗаказы[[#This Row],[orderSumm]]&gt;10000,10,VLOOKUP(ТабЗаказы[[#This Row],[client]],ТабКлиенты[[name]:[percent]],MATCH(E$1,ТабКлиенты[#Headers],0),0)),"")</f>
        <v>15</v>
      </c>
      <c r="F502" s="18">
        <f>IFERROR(SUMIF(ТабПозиции[orderNum],ТабЗаказы[[#This Row],[orderNum]],ТабПозиции[orderSumm]),"")</f>
        <v>2349</v>
      </c>
      <c r="G502" s="18">
        <f>SUMIF(ТабПозиции[orderNum],ТабЗаказы[[#This Row],[orderNum]],ТабПозиции[deliverySumm])</f>
        <v>352</v>
      </c>
      <c r="H502" s="18">
        <f>SUMIF(ТабПозиции[orderNum],ТабЗаказы[[#This Row],[orderNum]],ТабПозиции[totalSumm])</f>
        <v>2701</v>
      </c>
      <c r="I502" s="18" t="str">
        <f>IFERROR(VLOOKUP(ТабЗаказы[[#This Row],[orderNum]],ТабПозиции[#Data],22,0),"")</f>
        <v>true</v>
      </c>
    </row>
    <row r="503" spans="1:9" x14ac:dyDescent="0.25">
      <c r="A503">
        <f t="shared" si="9"/>
        <v>502</v>
      </c>
      <c r="B503" s="1">
        <v>45720</v>
      </c>
      <c r="C503" t="s">
        <v>2591</v>
      </c>
      <c r="D503" t="str">
        <f>VLOOKUP(ТабЗаказы[[#This Row],[client]],ТабКлиенты[[name]:[_id]],2,0)</f>
        <v>67f56eca575fff8fe23c7b00</v>
      </c>
      <c r="E503">
        <f>IFERROR(IF(ТабЗаказы[[#This Row],[orderSumm]]&gt;10000,10,VLOOKUP(ТабЗаказы[[#This Row],[client]],ТабКлиенты[[name]:[percent]],MATCH(E$1,ТабКлиенты[#Headers],0),0)),"")</f>
        <v>15</v>
      </c>
      <c r="F503" s="18">
        <f>IFERROR(SUMIF(ТабПозиции[orderNum],ТабЗаказы[[#This Row],[orderNum]],ТабПозиции[orderSumm]),"")</f>
        <v>5360</v>
      </c>
      <c r="G503" s="18">
        <f>SUMIF(ТабПозиции[orderNum],ТабЗаказы[[#This Row],[orderNum]],ТабПозиции[deliverySumm])</f>
        <v>804</v>
      </c>
      <c r="H503" s="18">
        <f>SUMIF(ТабПозиции[orderNum],ТабЗаказы[[#This Row],[orderNum]],ТабПозиции[totalSumm])</f>
        <v>6164</v>
      </c>
      <c r="I503" s="18" t="str">
        <f>IFERROR(VLOOKUP(ТабЗаказы[[#This Row],[orderNum]],ТабПозиции[#Data],22,0),"")</f>
        <v>true</v>
      </c>
    </row>
    <row r="504" spans="1:9" x14ac:dyDescent="0.25">
      <c r="A504">
        <f t="shared" si="9"/>
        <v>503</v>
      </c>
      <c r="B504" s="1">
        <v>45721</v>
      </c>
      <c r="C504" t="s">
        <v>2276</v>
      </c>
      <c r="D504" t="str">
        <f>VLOOKUP(ТабЗаказы[[#This Row],[client]],ТабКлиенты[[name]:[_id]],2,0)</f>
        <v>67f56eca575fff8fe23c7ae6</v>
      </c>
      <c r="E504">
        <f>IFERROR(IF(ТабЗаказы[[#This Row],[orderSumm]]&gt;10000,10,VLOOKUP(ТабЗаказы[[#This Row],[client]],ТабКлиенты[[name]:[percent]],MATCH(E$1,ТабКлиенты[#Headers],0),0)),"")</f>
        <v>15</v>
      </c>
      <c r="F504" s="18">
        <f>IFERROR(SUMIF(ТабПозиции[orderNum],ТабЗаказы[[#This Row],[orderNum]],ТабПозиции[orderSumm]),"")</f>
        <v>7123</v>
      </c>
      <c r="G504" s="18">
        <f>SUMIF(ТабПозиции[orderNum],ТабЗаказы[[#This Row],[orderNum]],ТабПозиции[deliverySumm])</f>
        <v>1069</v>
      </c>
      <c r="H504" s="18">
        <f>SUMIF(ТабПозиции[orderNum],ТабЗаказы[[#This Row],[orderNum]],ТабПозиции[totalSumm])</f>
        <v>8192</v>
      </c>
      <c r="I504" s="18" t="str">
        <f>IFERROR(VLOOKUP(ТабЗаказы[[#This Row],[orderNum]],ТабПозиции[#Data],22,0),"")</f>
        <v>true</v>
      </c>
    </row>
    <row r="505" spans="1:9" x14ac:dyDescent="0.25">
      <c r="A505">
        <f t="shared" si="9"/>
        <v>504</v>
      </c>
      <c r="B505" s="1">
        <v>45721</v>
      </c>
      <c r="C505" t="s">
        <v>445</v>
      </c>
      <c r="D505" t="str">
        <f>VLOOKUP(ТабЗаказы[[#This Row],[client]],ТабКлиенты[[name]:[_id]],2,0)</f>
        <v>67f56eca575fff8fe23c7a96</v>
      </c>
      <c r="E505">
        <f>IFERROR(IF(ТабЗаказы[[#This Row],[orderSumm]]&gt;10000,10,VLOOKUP(ТабЗаказы[[#This Row],[client]],ТабКлиенты[[name]:[percent]],MATCH(E$1,ТабКлиенты[#Headers],0),0)),"")</f>
        <v>15</v>
      </c>
      <c r="F505" s="18">
        <f>IFERROR(SUMIF(ТабПозиции[orderNum],ТабЗаказы[[#This Row],[orderNum]],ТабПозиции[orderSumm]),"")</f>
        <v>4994</v>
      </c>
      <c r="G505" s="18">
        <f>SUMIF(ТабПозиции[orderNum],ТабЗаказы[[#This Row],[orderNum]],ТабПозиции[deliverySumm])</f>
        <v>750</v>
      </c>
      <c r="H505" s="18">
        <f>SUMIF(ТабПозиции[orderNum],ТабЗаказы[[#This Row],[orderNum]],ТабПозиции[totalSumm])</f>
        <v>5744</v>
      </c>
      <c r="I505" s="18" t="str">
        <f>IFERROR(VLOOKUP(ТабЗаказы[[#This Row],[orderNum]],ТабПозиции[#Data],22,0),"")</f>
        <v>true</v>
      </c>
    </row>
    <row r="506" spans="1:9" x14ac:dyDescent="0.25">
      <c r="A506">
        <f t="shared" si="9"/>
        <v>505</v>
      </c>
      <c r="B506" s="1">
        <v>45721</v>
      </c>
      <c r="C506" t="s">
        <v>104</v>
      </c>
      <c r="D506" t="str">
        <f>VLOOKUP(ТабЗаказы[[#This Row],[client]],ТабКлиенты[[name]:[_id]],2,0)</f>
        <v>67f56eca575fff8fe23c7a2d</v>
      </c>
      <c r="E506">
        <f>IFERROR(IF(ТабЗаказы[[#This Row],[orderSumm]]&gt;10000,10,VLOOKUP(ТабЗаказы[[#This Row],[client]],ТабКлиенты[[name]:[percent]],MATCH(E$1,ТабКлиенты[#Headers],0),0)),"")</f>
        <v>10</v>
      </c>
      <c r="F506" s="18">
        <f>IFERROR(SUMIF(ТабПозиции[orderNum],ТабЗаказы[[#This Row],[orderNum]],ТабПозиции[orderSumm]),"")</f>
        <v>3000</v>
      </c>
      <c r="G506" s="18">
        <f>SUMIF(ТабПозиции[orderNum],ТабЗаказы[[#This Row],[orderNum]],ТабПозиции[deliverySumm])</f>
        <v>300</v>
      </c>
      <c r="H506" s="18">
        <f>SUMIF(ТабПозиции[orderNum],ТабЗаказы[[#This Row],[orderNum]],ТабПозиции[totalSumm])</f>
        <v>300</v>
      </c>
      <c r="I506" s="18" t="str">
        <f>IFERROR(VLOOKUP(ТабЗаказы[[#This Row],[orderNum]],ТабПозиции[#Data],22,0),"")</f>
        <v>true</v>
      </c>
    </row>
    <row r="507" spans="1:9" x14ac:dyDescent="0.25">
      <c r="A507">
        <f t="shared" si="9"/>
        <v>506</v>
      </c>
      <c r="B507" s="1">
        <v>45721</v>
      </c>
      <c r="C507" t="s">
        <v>104</v>
      </c>
      <c r="D507" t="str">
        <f>VLOOKUP(ТабЗаказы[[#This Row],[client]],ТабКлиенты[[name]:[_id]],2,0)</f>
        <v>67f56eca575fff8fe23c7a2d</v>
      </c>
      <c r="E507">
        <f>IFERROR(IF(ТабЗаказы[[#This Row],[orderSumm]]&gt;10000,10,VLOOKUP(ТабЗаказы[[#This Row],[client]],ТабКлиенты[[name]:[percent]],MATCH(E$1,ТабКлиенты[#Headers],0),0)),"")</f>
        <v>10</v>
      </c>
      <c r="F507" s="18">
        <f>IFERROR(SUMIF(ТабПозиции[orderNum],ТабЗаказы[[#This Row],[orderNum]],ТабПозиции[orderSumm]),"")</f>
        <v>6900</v>
      </c>
      <c r="G507" s="18">
        <f>SUMIF(ТабПозиции[orderNum],ТабЗаказы[[#This Row],[orderNum]],ТабПозиции[deliverySumm])</f>
        <v>690</v>
      </c>
      <c r="H507" s="18">
        <f>SUMIF(ТабПозиции[orderNum],ТабЗаказы[[#This Row],[orderNum]],ТабПозиции[totalSumm])</f>
        <v>690</v>
      </c>
      <c r="I507" s="18" t="str">
        <f>IFERROR(VLOOKUP(ТабЗаказы[[#This Row],[orderNum]],ТабПозиции[#Data],22,0),"")</f>
        <v>true</v>
      </c>
    </row>
    <row r="508" spans="1:9" x14ac:dyDescent="0.25">
      <c r="A508">
        <f t="shared" si="9"/>
        <v>507</v>
      </c>
      <c r="B508" s="1">
        <v>45725</v>
      </c>
      <c r="C508" t="s">
        <v>357</v>
      </c>
      <c r="D508" t="str">
        <f>VLOOKUP(ТабЗаказы[[#This Row],[client]],ТабКлиенты[[name]:[_id]],2,0)</f>
        <v>67f56eca575fff8fe23c7a7d</v>
      </c>
      <c r="E508">
        <f>IFERROR(IF(ТабЗаказы[[#This Row],[orderSumm]]&gt;10000,10,VLOOKUP(ТабЗаказы[[#This Row],[client]],ТабКлиенты[[name]:[percent]],MATCH(E$1,ТабКлиенты[#Headers],0),0)),"")</f>
        <v>15</v>
      </c>
      <c r="F508" s="18">
        <f>IFERROR(SUMIF(ТабПозиции[orderNum],ТабЗаказы[[#This Row],[orderNum]],ТабПозиции[orderSumm]),"")</f>
        <v>6741</v>
      </c>
      <c r="G508" s="18">
        <f>SUMIF(ТабПозиции[orderNum],ТабЗаказы[[#This Row],[orderNum]],ТабПозиции[deliverySumm])</f>
        <v>1012</v>
      </c>
      <c r="H508" s="18">
        <f>SUMIF(ТабПозиции[orderNum],ТабЗаказы[[#This Row],[orderNum]],ТабПозиции[totalSumm])</f>
        <v>7753</v>
      </c>
      <c r="I508" s="18" t="str">
        <f>IFERROR(VLOOKUP(ТабЗаказы[[#This Row],[orderNum]],ТабПозиции[#Data],22,0),"")</f>
        <v>true</v>
      </c>
    </row>
    <row r="509" spans="1:9" x14ac:dyDescent="0.25">
      <c r="A509">
        <f t="shared" si="9"/>
        <v>508</v>
      </c>
      <c r="B509" s="1">
        <v>45726</v>
      </c>
      <c r="C509" t="s">
        <v>357</v>
      </c>
      <c r="D509" t="str">
        <f>VLOOKUP(ТабЗаказы[[#This Row],[client]],ТабКлиенты[[name]:[_id]],2,0)</f>
        <v>67f56eca575fff8fe23c7a7d</v>
      </c>
      <c r="E509">
        <f>IFERROR(IF(ТабЗаказы[[#This Row],[orderSumm]]&gt;10000,10,VLOOKUP(ТабЗаказы[[#This Row],[client]],ТабКлиенты[[name]:[percent]],MATCH(E$1,ТабКлиенты[#Headers],0),0)),"")</f>
        <v>15</v>
      </c>
      <c r="F509" s="18">
        <f>IFERROR(SUMIF(ТабПозиции[orderNum],ТабЗаказы[[#This Row],[orderNum]],ТабПозиции[orderSumm]),"")</f>
        <v>5547</v>
      </c>
      <c r="G509" s="18">
        <f>SUMIF(ТабПозиции[orderNum],ТабЗаказы[[#This Row],[orderNum]],ТабПозиции[deliverySumm])</f>
        <v>832</v>
      </c>
      <c r="H509" s="18">
        <f>SUMIF(ТабПозиции[orderNum],ТабЗаказы[[#This Row],[orderNum]],ТабПозиции[totalSumm])</f>
        <v>6379</v>
      </c>
      <c r="I509" s="18" t="str">
        <f>IFERROR(VLOOKUP(ТабЗаказы[[#This Row],[orderNum]],ТабПозиции[#Data],22,0),"")</f>
        <v>true</v>
      </c>
    </row>
    <row r="510" spans="1:9" x14ac:dyDescent="0.25">
      <c r="A510">
        <f t="shared" si="9"/>
        <v>509</v>
      </c>
      <c r="B510" s="1">
        <v>45726</v>
      </c>
      <c r="C510" t="s">
        <v>357</v>
      </c>
      <c r="D510" t="str">
        <f>VLOOKUP(ТабЗаказы[[#This Row],[client]],ТабКлиенты[[name]:[_id]],2,0)</f>
        <v>67f56eca575fff8fe23c7a7d</v>
      </c>
      <c r="E510">
        <f>IFERROR(IF(ТабЗаказы[[#This Row],[orderSumm]]&gt;10000,10,VLOOKUP(ТабЗаказы[[#This Row],[client]],ТабКлиенты[[name]:[percent]],MATCH(E$1,ТабКлиенты[#Headers],0),0)),"")</f>
        <v>15</v>
      </c>
      <c r="F510" s="18">
        <f>IFERROR(SUMIF(ТабПозиции[orderNum],ТабЗаказы[[#This Row],[orderNum]],ТабПозиции[orderSumm]),"")</f>
        <v>1876</v>
      </c>
      <c r="G510" s="18">
        <f>SUMIF(ТабПозиции[orderNum],ТабЗаказы[[#This Row],[orderNum]],ТабПозиции[deliverySumm])</f>
        <v>282</v>
      </c>
      <c r="H510" s="18">
        <f>SUMIF(ТабПозиции[orderNum],ТабЗаказы[[#This Row],[orderNum]],ТабПозиции[totalSumm])</f>
        <v>2158</v>
      </c>
      <c r="I510" s="18" t="str">
        <f>IFERROR(VLOOKUP(ТабЗаказы[[#This Row],[orderNum]],ТабПозиции[#Data],22,0),"")</f>
        <v>true</v>
      </c>
    </row>
    <row r="511" spans="1:9" x14ac:dyDescent="0.25">
      <c r="A511">
        <f t="shared" si="9"/>
        <v>510</v>
      </c>
      <c r="B511" s="1">
        <v>45726</v>
      </c>
      <c r="C511" t="s">
        <v>33</v>
      </c>
      <c r="D511" t="str">
        <f>VLOOKUP(ТабЗаказы[[#This Row],[client]],ТабКлиенты[[name]:[_id]],2,0)</f>
        <v>67f56eca575fff8fe23c7a15</v>
      </c>
      <c r="E511">
        <f>IFERROR(IF(ТабЗаказы[[#This Row],[orderSumm]]&gt;10000,10,VLOOKUP(ТабЗаказы[[#This Row],[client]],ТабКлиенты[[name]:[percent]],MATCH(E$1,ТабКлиенты[#Headers],0),0)),"")</f>
        <v>15</v>
      </c>
      <c r="F511" s="18">
        <f>IFERROR(SUMIF(ТабПозиции[orderNum],ТабЗаказы[[#This Row],[orderNum]],ТабПозиции[orderSumm]),"")</f>
        <v>1881</v>
      </c>
      <c r="G511" s="18">
        <f>SUMIF(ТабПозиции[orderNum],ТабЗаказы[[#This Row],[orderNum]],ТабПозиции[deliverySumm])</f>
        <v>282</v>
      </c>
      <c r="H511" s="18">
        <f>SUMIF(ТабПозиции[orderNum],ТабЗаказы[[#This Row],[orderNum]],ТабПозиции[totalSumm])</f>
        <v>2305</v>
      </c>
      <c r="I511" s="18" t="str">
        <f>IFERROR(VLOOKUP(ТабЗаказы[[#This Row],[orderNum]],ТабПозиции[#Data],22,0),"")</f>
        <v>true</v>
      </c>
    </row>
    <row r="512" spans="1:9" x14ac:dyDescent="0.25">
      <c r="A512">
        <f t="shared" si="9"/>
        <v>511</v>
      </c>
      <c r="B512" s="106">
        <v>45726</v>
      </c>
      <c r="C512" t="s">
        <v>2584</v>
      </c>
      <c r="D512" t="str">
        <f>VLOOKUP(ТабЗаказы[[#This Row],[client]],ТабКлиенты[[name]:[_id]],2,0)</f>
        <v>67f56eca575fff8fe23c7aff</v>
      </c>
      <c r="E512">
        <f>IFERROR(IF(ТабЗаказы[[#This Row],[orderSumm]]&gt;10000,10,VLOOKUP(ТабЗаказы[[#This Row],[client]],ТабКлиенты[[name]:[percent]],MATCH(E$1,ТабКлиенты[#Headers],0),0)),"")</f>
        <v>15</v>
      </c>
      <c r="F512" s="18">
        <f>IFERROR(SUMIF(ТабПозиции[orderNum],ТабЗаказы[[#This Row],[orderNum]],ТабПозиции[orderSumm]),"")</f>
        <v>4141</v>
      </c>
      <c r="G512" s="18">
        <f>SUMIF(ТабПозиции[orderNum],ТабЗаказы[[#This Row],[orderNum]],ТабПозиции[deliverySumm])</f>
        <v>621</v>
      </c>
      <c r="H512" s="18">
        <f>SUMIF(ТабПозиции[orderNum],ТабЗаказы[[#This Row],[orderNum]],ТабПозиции[totalSumm])</f>
        <v>4762</v>
      </c>
      <c r="I512" s="18" t="str">
        <f>IFERROR(VLOOKUP(ТабЗаказы[[#This Row],[orderNum]],ТабПозиции[#Data],22,0),"")</f>
        <v>true</v>
      </c>
    </row>
    <row r="513" spans="1:9" x14ac:dyDescent="0.25">
      <c r="A513">
        <f t="shared" si="9"/>
        <v>512</v>
      </c>
      <c r="B513" s="1">
        <v>45727</v>
      </c>
      <c r="C513" t="s">
        <v>445</v>
      </c>
      <c r="D513" t="str">
        <f>VLOOKUP(ТабЗаказы[[#This Row],[client]],ТабКлиенты[[name]:[_id]],2,0)</f>
        <v>67f56eca575fff8fe23c7a96</v>
      </c>
      <c r="E513">
        <f>IFERROR(IF(ТабЗаказы[[#This Row],[orderSumm]]&gt;10000,10,VLOOKUP(ТабЗаказы[[#This Row],[client]],ТабКлиенты[[name]:[percent]],MATCH(E$1,ТабКлиенты[#Headers],0),0)),"")</f>
        <v>10</v>
      </c>
      <c r="F513" s="18">
        <f>IFERROR(SUMIF(ТабПозиции[orderNum],ТабЗаказы[[#This Row],[orderNum]],ТабПозиции[orderSumm]),"")</f>
        <v>12833</v>
      </c>
      <c r="G513" s="18">
        <f>SUMIF(ТабПозиции[orderNum],ТабЗаказы[[#This Row],[orderNum]],ТабПозиции[deliverySumm])</f>
        <v>1284</v>
      </c>
      <c r="H513" s="18">
        <f>SUMIF(ТабПозиции[orderNum],ТабЗаказы[[#This Row],[orderNum]],ТабПозиции[totalSumm])</f>
        <v>14117</v>
      </c>
      <c r="I513" s="18" t="str">
        <f>IFERROR(VLOOKUP(ТабЗаказы[[#This Row],[orderNum]],ТабПозиции[#Data],22,0),"")</f>
        <v>true</v>
      </c>
    </row>
    <row r="514" spans="1:9" x14ac:dyDescent="0.25">
      <c r="A514">
        <f t="shared" si="9"/>
        <v>513</v>
      </c>
      <c r="B514" s="1">
        <v>45728</v>
      </c>
      <c r="C514" t="s">
        <v>1523</v>
      </c>
      <c r="D514" t="str">
        <f>VLOOKUP(ТабЗаказы[[#This Row],[client]],ТабКлиенты[[name]:[_id]],2,0)</f>
        <v>67f56eca575fff8fe23c7abb</v>
      </c>
      <c r="E514">
        <f>IFERROR(IF(ТабЗаказы[[#This Row],[orderSumm]]&gt;10000,10,VLOOKUP(ТабЗаказы[[#This Row],[client]],ТабКлиенты[[name]:[percent]],MATCH(E$1,ТабКлиенты[#Headers],0),0)),"")</f>
        <v>10</v>
      </c>
      <c r="F514" s="18">
        <f>IFERROR(SUMIF(ТабПозиции[orderNum],ТабЗаказы[[#This Row],[orderNum]],ТабПозиции[orderSumm]),"")</f>
        <v>5907</v>
      </c>
      <c r="G514" s="18">
        <f>SUMIF(ТабПозиции[orderNum],ТабЗаказы[[#This Row],[orderNum]],ТабПозиции[deliverySumm])</f>
        <v>591</v>
      </c>
      <c r="H514" s="18">
        <f>SUMIF(ТабПозиции[orderNum],ТабЗаказы[[#This Row],[orderNum]],ТабПозиции[totalSumm])</f>
        <v>6498</v>
      </c>
      <c r="I514" s="18" t="str">
        <f>IFERROR(VLOOKUP(ТабЗаказы[[#This Row],[orderNum]],ТабПозиции[#Data],22,0),"")</f>
        <v>true</v>
      </c>
    </row>
    <row r="515" spans="1:9" x14ac:dyDescent="0.25">
      <c r="A515">
        <f t="shared" si="9"/>
        <v>514</v>
      </c>
      <c r="B515" s="106">
        <v>45728</v>
      </c>
      <c r="C515" t="s">
        <v>2584</v>
      </c>
      <c r="D515" t="str">
        <f>VLOOKUP(ТабЗаказы[[#This Row],[client]],ТабКлиенты[[name]:[_id]],2,0)</f>
        <v>67f56eca575fff8fe23c7aff</v>
      </c>
      <c r="E515">
        <f>IFERROR(IF(ТабЗаказы[[#This Row],[orderSumm]]&gt;10000,10,VLOOKUP(ТабЗаказы[[#This Row],[client]],ТабКлиенты[[name]:[percent]],MATCH(E$1,ТабКлиенты[#Headers],0),0)),"")</f>
        <v>15</v>
      </c>
      <c r="F515" s="18">
        <f>IFERROR(SUMIF(ТабПозиции[orderNum],ТабЗаказы[[#This Row],[orderNum]],ТабПозиции[orderSumm]),"")</f>
        <v>5208</v>
      </c>
      <c r="G515" s="18">
        <f>SUMIF(ТабПозиции[orderNum],ТабЗаказы[[#This Row],[orderNum]],ТабПозиции[deliverySumm])</f>
        <v>781</v>
      </c>
      <c r="H515" s="18">
        <f>SUMIF(ТабПозиции[orderNum],ТабЗаказы[[#This Row],[orderNum]],ТабПозиции[totalSumm])</f>
        <v>5989</v>
      </c>
      <c r="I515" s="18" t="str">
        <f>IFERROR(VLOOKUP(ТабЗаказы[[#This Row],[orderNum]],ТабПозиции[#Data],22,0),"")</f>
        <v>true</v>
      </c>
    </row>
    <row r="516" spans="1:9" x14ac:dyDescent="0.25">
      <c r="A516">
        <f t="shared" si="9"/>
        <v>515</v>
      </c>
      <c r="B516" s="1">
        <v>45729</v>
      </c>
      <c r="C516" t="s">
        <v>295</v>
      </c>
      <c r="D516" t="str">
        <f>VLOOKUP(ТабЗаказы[[#This Row],[client]],ТабКлиенты[[name]:[_id]],2,0)</f>
        <v>67f56eca575fff8fe23c7a6b</v>
      </c>
      <c r="E516">
        <f>IFERROR(IF(ТабЗаказы[[#This Row],[orderSumm]]&gt;10000,10,VLOOKUP(ТабЗаказы[[#This Row],[client]],ТабКлиенты[[name]:[percent]],MATCH(E$1,ТабКлиенты[#Headers],0),0)),"")</f>
        <v>10</v>
      </c>
      <c r="F516" s="18">
        <f>IFERROR(SUMIF(ТабПозиции[orderNum],ТабЗаказы[[#This Row],[orderNum]],ТабПозиции[orderSumm]),"")</f>
        <v>25730</v>
      </c>
      <c r="G516" s="18">
        <f>SUMIF(ТабПозиции[orderNum],ТабЗаказы[[#This Row],[orderNum]],ТабПозиции[deliverySumm])</f>
        <v>2573</v>
      </c>
      <c r="H516" s="18">
        <f>SUMIF(ТабПозиции[orderNum],ТабЗаказы[[#This Row],[orderNum]],ТабПозиции[totalSumm])</f>
        <v>2573</v>
      </c>
      <c r="I516" s="18" t="str">
        <f>IFERROR(VLOOKUP(ТабЗаказы[[#This Row],[orderNum]],ТабПозиции[#Data],22,0),"")</f>
        <v>true</v>
      </c>
    </row>
    <row r="517" spans="1:9" x14ac:dyDescent="0.25">
      <c r="A517">
        <f t="shared" si="9"/>
        <v>516</v>
      </c>
      <c r="B517" s="1">
        <v>45729</v>
      </c>
      <c r="C517" t="s">
        <v>104</v>
      </c>
      <c r="D517" t="str">
        <f>VLOOKUP(ТабЗаказы[[#This Row],[client]],ТабКлиенты[[name]:[_id]],2,0)</f>
        <v>67f56eca575fff8fe23c7a2d</v>
      </c>
      <c r="E517">
        <f>IFERROR(IF(ТабЗаказы[[#This Row],[orderSumm]]&gt;10000,10,VLOOKUP(ТабЗаказы[[#This Row],[client]],ТабКлиенты[[name]:[percent]],MATCH(E$1,ТабКлиенты[#Headers],0),0)),"")</f>
        <v>10</v>
      </c>
      <c r="F517" s="18">
        <f>IFERROR(SUMIF(ТабПозиции[orderNum],ТабЗаказы[[#This Row],[orderNum]],ТабПозиции[orderSumm]),"")</f>
        <v>3590</v>
      </c>
      <c r="G517" s="18">
        <f>SUMIF(ТабПозиции[orderNum],ТабЗаказы[[#This Row],[orderNum]],ТабПозиции[deliverySumm])</f>
        <v>359</v>
      </c>
      <c r="H517" s="18">
        <f>SUMIF(ТабПозиции[orderNum],ТабЗаказы[[#This Row],[orderNum]],ТабПозиции[totalSumm])</f>
        <v>359</v>
      </c>
      <c r="I517" s="18" t="str">
        <f>IFERROR(VLOOKUP(ТабЗаказы[[#This Row],[orderNum]],ТабПозиции[#Data],22,0),"")</f>
        <v>true</v>
      </c>
    </row>
    <row r="518" spans="1:9" x14ac:dyDescent="0.25">
      <c r="A518">
        <f t="shared" si="9"/>
        <v>517</v>
      </c>
      <c r="B518" s="1">
        <v>45729</v>
      </c>
      <c r="C518" t="s">
        <v>104</v>
      </c>
      <c r="D518" t="str">
        <f>VLOOKUP(ТабЗаказы[[#This Row],[client]],ТабКлиенты[[name]:[_id]],2,0)</f>
        <v>67f56eca575fff8fe23c7a2d</v>
      </c>
      <c r="E518">
        <f>IFERROR(IF(ТабЗаказы[[#This Row],[orderSumm]]&gt;10000,10,VLOOKUP(ТабЗаказы[[#This Row],[client]],ТабКлиенты[[name]:[percent]],MATCH(E$1,ТабКлиенты[#Headers],0),0)),"")</f>
        <v>10</v>
      </c>
      <c r="F518" s="18">
        <f>IFERROR(SUMIF(ТабПозиции[orderNum],ТабЗаказы[[#This Row],[orderNum]],ТабПозиции[orderSumm]),"")</f>
        <v>300</v>
      </c>
      <c r="G518" s="18">
        <f>SUMIF(ТабПозиции[orderNum],ТабЗаказы[[#This Row],[orderNum]],ТабПозиции[deliverySumm])</f>
        <v>200</v>
      </c>
      <c r="H518" s="18">
        <f>SUMIF(ТабПозиции[orderNum],ТабЗаказы[[#This Row],[orderNum]],ТабПозиции[totalSumm])</f>
        <v>200</v>
      </c>
      <c r="I518" s="18" t="str">
        <f>IFERROR(VLOOKUP(ТабЗаказы[[#This Row],[orderNum]],ТабПозиции[#Data],22,0),"")</f>
        <v>true</v>
      </c>
    </row>
    <row r="519" spans="1:9" x14ac:dyDescent="0.25">
      <c r="A519">
        <f t="shared" si="9"/>
        <v>518</v>
      </c>
      <c r="B519" s="1">
        <v>45729</v>
      </c>
      <c r="C519" t="s">
        <v>104</v>
      </c>
      <c r="D519" t="str">
        <f>VLOOKUP(ТабЗаказы[[#This Row],[client]],ТабКлиенты[[name]:[_id]],2,0)</f>
        <v>67f56eca575fff8fe23c7a2d</v>
      </c>
      <c r="E519">
        <f>IFERROR(IF(ТабЗаказы[[#This Row],[orderSumm]]&gt;10000,10,VLOOKUP(ТабЗаказы[[#This Row],[client]],ТабКлиенты[[name]:[percent]],MATCH(E$1,ТабКлиенты[#Headers],0),0)),"")</f>
        <v>10</v>
      </c>
      <c r="F519" s="18">
        <f>IFERROR(SUMIF(ТабПозиции[orderNum],ТабЗаказы[[#This Row],[orderNum]],ТабПозиции[orderSumm]),"")</f>
        <v>3990</v>
      </c>
      <c r="G519" s="18">
        <f>SUMIF(ТабПозиции[orderNum],ТабЗаказы[[#This Row],[orderNum]],ТабПозиции[deliverySumm])</f>
        <v>399</v>
      </c>
      <c r="H519" s="18">
        <f>SUMIF(ТабПозиции[orderNum],ТабЗаказы[[#This Row],[orderNum]],ТабПозиции[totalSumm])</f>
        <v>399</v>
      </c>
      <c r="I519" s="18" t="str">
        <f>IFERROR(VLOOKUP(ТабЗаказы[[#This Row],[orderNum]],ТабПозиции[#Data],22,0),"")</f>
        <v>true</v>
      </c>
    </row>
    <row r="520" spans="1:9" x14ac:dyDescent="0.25">
      <c r="A520">
        <f t="shared" si="9"/>
        <v>519</v>
      </c>
      <c r="B520" s="1">
        <v>45729</v>
      </c>
      <c r="C520" t="s">
        <v>1633</v>
      </c>
      <c r="D520" t="str">
        <f>VLOOKUP(ТабЗаказы[[#This Row],[client]],ТабКлиенты[[name]:[_id]],2,0)</f>
        <v>67f56eca575fff8fe23c7ac1</v>
      </c>
      <c r="E520">
        <f>IFERROR(IF(ТабЗаказы[[#This Row],[orderSumm]]&gt;10000,10,VLOOKUP(ТабЗаказы[[#This Row],[client]],ТабКлиенты[[name]:[percent]],MATCH(E$1,ТабКлиенты[#Headers],0),0)),"")</f>
        <v>15</v>
      </c>
      <c r="F520" s="18">
        <f>IFERROR(SUMIF(ТабПозиции[orderNum],ТабЗаказы[[#This Row],[orderNum]],ТабПозиции[orderSumm]),"")</f>
        <v>1462</v>
      </c>
      <c r="G520" s="18">
        <f>SUMIF(ТабПозиции[orderNum],ТабЗаказы[[#This Row],[orderNum]],ТабПозиции[deliverySumm])</f>
        <v>201</v>
      </c>
      <c r="H520" s="18">
        <f>SUMIF(ТабПозиции[orderNum],ТабЗаказы[[#This Row],[orderNum]],ТабПозиции[totalSumm])</f>
        <v>201</v>
      </c>
      <c r="I520" s="18" t="str">
        <f>IFERROR(VLOOKUP(ТабЗаказы[[#This Row],[orderNum]],ТабПозиции[#Data],22,0),"")</f>
        <v>true</v>
      </c>
    </row>
    <row r="521" spans="1:9" x14ac:dyDescent="0.25">
      <c r="A521">
        <f t="shared" si="9"/>
        <v>520</v>
      </c>
      <c r="B521" s="1">
        <v>45729</v>
      </c>
      <c r="C521" t="s">
        <v>104</v>
      </c>
      <c r="D521" t="str">
        <f>VLOOKUP(ТабЗаказы[[#This Row],[client]],ТабКлиенты[[name]:[_id]],2,0)</f>
        <v>67f56eca575fff8fe23c7a2d</v>
      </c>
      <c r="E521">
        <f>IFERROR(IF(ТабЗаказы[[#This Row],[orderSumm]]&gt;10000,10,VLOOKUP(ТабЗаказы[[#This Row],[client]],ТабКлиенты[[name]:[percent]],MATCH(E$1,ТабКлиенты[#Headers],0),0)),"")</f>
        <v>10</v>
      </c>
      <c r="F521" s="18">
        <f>IFERROR(SUMIF(ТабПозиции[orderNum],ТабЗаказы[[#This Row],[orderNum]],ТабПозиции[orderSumm]),"")</f>
        <v>2100</v>
      </c>
      <c r="G521" s="18">
        <f>SUMIF(ТабПозиции[orderNum],ТабЗаказы[[#This Row],[orderNum]],ТабПозиции[deliverySumm])</f>
        <v>210</v>
      </c>
      <c r="H521" s="18">
        <f>SUMIF(ТабПозиции[orderNum],ТабЗаказы[[#This Row],[orderNum]],ТабПозиции[totalSumm])</f>
        <v>210</v>
      </c>
      <c r="I521" s="18" t="str">
        <f>IFERROR(VLOOKUP(ТабЗаказы[[#This Row],[orderNum]],ТабПозиции[#Data],22,0),"")</f>
        <v>true</v>
      </c>
    </row>
    <row r="522" spans="1:9" x14ac:dyDescent="0.25">
      <c r="A522">
        <f t="shared" si="9"/>
        <v>521</v>
      </c>
      <c r="B522" s="1">
        <v>45730</v>
      </c>
      <c r="C522" t="s">
        <v>1488</v>
      </c>
      <c r="D522" t="str">
        <f>VLOOKUP(ТабЗаказы[[#This Row],[client]],ТабКлиенты[[name]:[_id]],2,0)</f>
        <v>67f56eca575fff8fe23c7ab8</v>
      </c>
      <c r="E522">
        <f>IFERROR(IF(ТабЗаказы[[#This Row],[orderSumm]]&gt;10000,10,VLOOKUP(ТабЗаказы[[#This Row],[client]],ТабКлиенты[[name]:[percent]],MATCH(E$1,ТабКлиенты[#Headers],0),0)),"")</f>
        <v>10</v>
      </c>
      <c r="F522" s="18">
        <f>IFERROR(SUMIF(ТабПозиции[orderNum],ТабЗаказы[[#This Row],[orderNum]],ТабПозиции[orderSumm]),"")</f>
        <v>11582</v>
      </c>
      <c r="G522" s="18">
        <f>SUMIF(ТабПозиции[orderNum],ТабЗаказы[[#This Row],[orderNum]],ТабПозиции[deliverySumm])</f>
        <v>1158</v>
      </c>
      <c r="H522" s="18">
        <f>SUMIF(ТабПозиции[orderNum],ТабЗаказы[[#This Row],[orderNum]],ТабПозиции[totalSumm])</f>
        <v>1158</v>
      </c>
      <c r="I522" s="18" t="str">
        <f>IFERROR(VLOOKUP(ТабЗаказы[[#This Row],[orderNum]],ТабПозиции[#Data],22,0),"")</f>
        <v>true</v>
      </c>
    </row>
    <row r="523" spans="1:9" x14ac:dyDescent="0.25">
      <c r="A523">
        <f t="shared" si="9"/>
        <v>522</v>
      </c>
      <c r="B523" s="1">
        <v>45730</v>
      </c>
      <c r="C523" t="s">
        <v>1629</v>
      </c>
      <c r="D523" t="str">
        <f>VLOOKUP(ТабЗаказы[[#This Row],[client]],ТабКлиенты[[name]:[_id]],2,0)</f>
        <v>67f56eca575fff8fe23c7ac0</v>
      </c>
      <c r="E523">
        <f>IFERROR(IF(ТабЗаказы[[#This Row],[orderSumm]]&gt;10000,10,VLOOKUP(ТабЗаказы[[#This Row],[client]],ТабКлиенты[[name]:[percent]],MATCH(E$1,ТабКлиенты[#Headers],0),0)),"")</f>
        <v>15</v>
      </c>
      <c r="F523" s="18">
        <f>IFERROR(SUMIF(ТабПозиции[orderNum],ТабЗаказы[[#This Row],[orderNum]],ТабПозиции[orderSumm]),"")</f>
        <v>2612</v>
      </c>
      <c r="G523" s="18">
        <f>SUMIF(ТабПозиции[orderNum],ТабЗаказы[[#This Row],[orderNum]],ТабПозиции[deliverySumm])</f>
        <v>392</v>
      </c>
      <c r="H523" s="18">
        <f>SUMIF(ТабПозиции[orderNum],ТабЗаказы[[#This Row],[orderNum]],ТабПозиции[totalSumm])</f>
        <v>392</v>
      </c>
      <c r="I523" s="18" t="str">
        <f>IFERROR(VLOOKUP(ТабЗаказы[[#This Row],[orderNum]],ТабПозиции[#Data],22,0),"")</f>
        <v>true</v>
      </c>
    </row>
    <row r="524" spans="1:9" x14ac:dyDescent="0.25">
      <c r="A524">
        <f t="shared" ref="A524:A587" si="10">A523+1</f>
        <v>523</v>
      </c>
      <c r="B524" s="1">
        <v>45730</v>
      </c>
      <c r="C524" t="s">
        <v>97</v>
      </c>
      <c r="D524" t="str">
        <f>VLOOKUP(ТабЗаказы[[#This Row],[client]],ТабКлиенты[[name]:[_id]],2,0)</f>
        <v>67f56eca575fff8fe23c7a2a</v>
      </c>
      <c r="E524">
        <f>IFERROR(IF(ТабЗаказы[[#This Row],[orderSumm]]&gt;10000,10,VLOOKUP(ТабЗаказы[[#This Row],[client]],ТабКлиенты[[name]:[percent]],MATCH(E$1,ТабКлиенты[#Headers],0),0)),"")</f>
        <v>10</v>
      </c>
      <c r="F524" s="18">
        <f>IFERROR(SUMIF(ТабПозиции[orderNum],ТабЗаказы[[#This Row],[orderNum]],ТабПозиции[orderSumm]),"")</f>
        <v>12782</v>
      </c>
      <c r="G524" s="18">
        <f>SUMIF(ТабПозиции[orderNum],ТабЗаказы[[#This Row],[orderNum]],ТабПозиции[deliverySumm])</f>
        <v>1278</v>
      </c>
      <c r="H524" s="18">
        <f>SUMIF(ТабПозиции[orderNum],ТабЗаказы[[#This Row],[orderNum]],ТабПозиции[totalSumm])</f>
        <v>1278</v>
      </c>
      <c r="I524" s="18" t="str">
        <f>IFERROR(VLOOKUP(ТабЗаказы[[#This Row],[orderNum]],ТабПозиции[#Data],22,0),"")</f>
        <v>true</v>
      </c>
    </row>
    <row r="525" spans="1:9" x14ac:dyDescent="0.25">
      <c r="A525">
        <f t="shared" si="10"/>
        <v>524</v>
      </c>
      <c r="B525" s="1">
        <v>45731</v>
      </c>
      <c r="C525" t="s">
        <v>445</v>
      </c>
      <c r="D525" t="str">
        <f>VLOOKUP(ТабЗаказы[[#This Row],[client]],ТабКлиенты[[name]:[_id]],2,0)</f>
        <v>67f56eca575fff8fe23c7a96</v>
      </c>
      <c r="E525">
        <f>IFERROR(IF(ТабЗаказы[[#This Row],[orderSumm]]&gt;10000,10,VLOOKUP(ТабЗаказы[[#This Row],[client]],ТабКлиенты[[name]:[percent]],MATCH(E$1,ТабКлиенты[#Headers],0),0)),"")</f>
        <v>15</v>
      </c>
      <c r="F525" s="18">
        <f>IFERROR(SUMIF(ТабПозиции[orderNum],ТабЗаказы[[#This Row],[orderNum]],ТабПозиции[orderSumm]),"")</f>
        <v>2481</v>
      </c>
      <c r="G525" s="18">
        <f>SUMIF(ТабПозиции[orderNum],ТабЗаказы[[#This Row],[orderNum]],ТабПозиции[deliverySumm])</f>
        <v>372</v>
      </c>
      <c r="H525" s="18">
        <f>SUMIF(ТабПозиции[orderNum],ТабЗаказы[[#This Row],[orderNum]],ТабПозиции[totalSumm])</f>
        <v>2853</v>
      </c>
      <c r="I525" s="18" t="str">
        <f>IFERROR(VLOOKUP(ТабЗаказы[[#This Row],[orderNum]],ТабПозиции[#Data],22,0),"")</f>
        <v>true</v>
      </c>
    </row>
    <row r="526" spans="1:9" x14ac:dyDescent="0.25">
      <c r="A526">
        <f t="shared" si="10"/>
        <v>525</v>
      </c>
      <c r="B526" s="1">
        <v>45731</v>
      </c>
      <c r="C526" t="s">
        <v>2578</v>
      </c>
      <c r="D526" t="str">
        <f>VLOOKUP(ТабЗаказы[[#This Row],[client]],ТабКлиенты[[name]:[_id]],2,0)</f>
        <v>67f56eca575fff8fe23c7afc</v>
      </c>
      <c r="E526">
        <f>IFERROR(IF(ТабЗаказы[[#This Row],[orderSumm]]&gt;10000,10,VLOOKUP(ТабЗаказы[[#This Row],[client]],ТабКлиенты[[name]:[percent]],MATCH(E$1,ТабКлиенты[#Headers],0),0)),"")</f>
        <v>15</v>
      </c>
      <c r="F526" s="18">
        <f>IFERROR(SUMIF(ТабПозиции[orderNum],ТабЗаказы[[#This Row],[orderNum]],ТабПозиции[orderSumm]),"")</f>
        <v>750</v>
      </c>
      <c r="G526" s="18">
        <f>SUMIF(ТабПозиции[orderNum],ТабЗаказы[[#This Row],[orderNum]],ТабПозиции[deliverySumm])</f>
        <v>99</v>
      </c>
      <c r="H526" s="18">
        <f>SUMIF(ТабПозиции[orderNum],ТабЗаказы[[#This Row],[orderNum]],ТабПозиции[totalSumm])</f>
        <v>849</v>
      </c>
      <c r="I526" s="18" t="str">
        <f>IFERROR(VLOOKUP(ТабЗаказы[[#This Row],[orderNum]],ТабПозиции[#Data],22,0),"")</f>
        <v>true</v>
      </c>
    </row>
    <row r="527" spans="1:9" x14ac:dyDescent="0.25">
      <c r="A527">
        <f t="shared" si="10"/>
        <v>526</v>
      </c>
      <c r="B527" s="1">
        <v>45731</v>
      </c>
      <c r="C527" t="s">
        <v>123</v>
      </c>
      <c r="D527" t="str">
        <f>VLOOKUP(ТабЗаказы[[#This Row],[client]],ТабКлиенты[[name]:[_id]],2,0)</f>
        <v>67f56eca575fff8fe23c7a32</v>
      </c>
      <c r="E527">
        <f>IFERROR(IF(ТабЗаказы[[#This Row],[orderSumm]]&gt;10000,10,VLOOKUP(ТабЗаказы[[#This Row],[client]],ТабКлиенты[[name]:[percent]],MATCH(E$1,ТабКлиенты[#Headers],0),0)),"")</f>
        <v>15</v>
      </c>
      <c r="F527" s="18">
        <f>IFERROR(SUMIF(ТабПозиции[orderNum],ТабЗаказы[[#This Row],[orderNum]],ТабПозиции[orderSumm]),"")</f>
        <v>0</v>
      </c>
      <c r="G527" s="18">
        <f>SUMIF(ТабПозиции[orderNum],ТабЗаказы[[#This Row],[orderNum]],ТабПозиции[deliverySumm])</f>
        <v>0</v>
      </c>
      <c r="H527" s="18">
        <f>SUMIF(ТабПозиции[orderNum],ТабЗаказы[[#This Row],[orderNum]],ТабПозиции[totalSumm])</f>
        <v>0</v>
      </c>
      <c r="I527" s="18" t="str">
        <f>IFERROR(VLOOKUP(ТабЗаказы[[#This Row],[orderNum]],ТабПозиции[#Data],22,0),"")</f>
        <v>true</v>
      </c>
    </row>
    <row r="528" spans="1:9" x14ac:dyDescent="0.25">
      <c r="A528">
        <f t="shared" si="10"/>
        <v>527</v>
      </c>
      <c r="B528" s="1">
        <v>45733</v>
      </c>
      <c r="C528" t="s">
        <v>445</v>
      </c>
      <c r="D528" t="str">
        <f>VLOOKUP(ТабЗаказы[[#This Row],[client]],ТабКлиенты[[name]:[_id]],2,0)</f>
        <v>67f56eca575fff8fe23c7a96</v>
      </c>
      <c r="E528">
        <f>IFERROR(IF(ТабЗаказы[[#This Row],[orderSumm]]&gt;10000,10,VLOOKUP(ТабЗаказы[[#This Row],[client]],ТабКлиенты[[name]:[percent]],MATCH(E$1,ТабКлиенты[#Headers],0),0)),"")</f>
        <v>15</v>
      </c>
      <c r="F528" s="18">
        <f>IFERROR(SUMIF(ТабПозиции[orderNum],ТабЗаказы[[#This Row],[orderNum]],ТабПозиции[orderSumm]),"")</f>
        <v>5056</v>
      </c>
      <c r="G528" s="18">
        <f>SUMIF(ТабПозиции[orderNum],ТабЗаказы[[#This Row],[orderNum]],ТабПозиции[deliverySumm])</f>
        <v>758</v>
      </c>
      <c r="H528" s="18">
        <f>SUMIF(ТабПозиции[orderNum],ТабЗаказы[[#This Row],[orderNum]],ТабПозиции[totalSumm])</f>
        <v>5814</v>
      </c>
      <c r="I528" s="18" t="str">
        <f>IFERROR(VLOOKUP(ТабЗаказы[[#This Row],[orderNum]],ТабПозиции[#Data],22,0),"")</f>
        <v>true</v>
      </c>
    </row>
    <row r="529" spans="1:9" x14ac:dyDescent="0.25">
      <c r="A529">
        <f t="shared" si="10"/>
        <v>528</v>
      </c>
      <c r="B529" s="1">
        <v>45733</v>
      </c>
      <c r="C529" t="s">
        <v>2470</v>
      </c>
      <c r="D529" t="str">
        <f>VLOOKUP(ТабЗаказы[[#This Row],[client]],ТабКлиенты[[name]:[_id]],2,0)</f>
        <v>67f56eca575fff8fe23c7af6</v>
      </c>
      <c r="E529">
        <f>IFERROR(IF(ТабЗаказы[[#This Row],[orderSumm]]&gt;10000,10,VLOOKUP(ТабЗаказы[[#This Row],[client]],ТабКлиенты[[name]:[percent]],MATCH(E$1,ТабКлиенты[#Headers],0),0)),"")</f>
        <v>15</v>
      </c>
      <c r="F529" s="18">
        <f>IFERROR(SUMIF(ТабПозиции[orderNum],ТабЗаказы[[#This Row],[orderNum]],ТабПозиции[orderSumm]),"")</f>
        <v>4867</v>
      </c>
      <c r="G529" s="18">
        <f>SUMIF(ТабПозиции[orderNum],ТабЗаказы[[#This Row],[orderNum]],ТабПозиции[deliverySumm])</f>
        <v>730</v>
      </c>
      <c r="H529" s="18">
        <f>SUMIF(ТабПозиции[orderNum],ТабЗаказы[[#This Row],[orderNum]],ТабПозиции[totalSumm])</f>
        <v>5597</v>
      </c>
      <c r="I529" s="18" t="str">
        <f>IFERROR(VLOOKUP(ТабЗаказы[[#This Row],[orderNum]],ТабПозиции[#Data],22,0),"")</f>
        <v>true</v>
      </c>
    </row>
    <row r="530" spans="1:9" x14ac:dyDescent="0.25">
      <c r="A530">
        <f t="shared" si="10"/>
        <v>529</v>
      </c>
      <c r="B530" s="1">
        <v>45733</v>
      </c>
      <c r="C530" t="s">
        <v>357</v>
      </c>
      <c r="D530" t="str">
        <f>VLOOKUP(ТабЗаказы[[#This Row],[client]],ТабКлиенты[[name]:[_id]],2,0)</f>
        <v>67f56eca575fff8fe23c7a7d</v>
      </c>
      <c r="E530">
        <f>IFERROR(IF(ТабЗаказы[[#This Row],[orderSumm]]&gt;10000,10,VLOOKUP(ТабЗаказы[[#This Row],[client]],ТабКлиенты[[name]:[percent]],MATCH(E$1,ТабКлиенты[#Headers],0),0)),"")</f>
        <v>15</v>
      </c>
      <c r="F530" s="18">
        <f>IFERROR(SUMIF(ТабПозиции[orderNum],ТабЗаказы[[#This Row],[orderNum]],ТабПозиции[orderSumm]),"")</f>
        <v>2985</v>
      </c>
      <c r="G530" s="18">
        <f>SUMIF(ТабПозиции[orderNum],ТабЗаказы[[#This Row],[orderNum]],ТабПозиции[deliverySumm])</f>
        <v>448</v>
      </c>
      <c r="H530" s="18">
        <f>SUMIF(ТабПозиции[orderNum],ТабЗаказы[[#This Row],[orderNum]],ТабПозиции[totalSumm])</f>
        <v>3433</v>
      </c>
      <c r="I530" s="18" t="str">
        <f>IFERROR(VLOOKUP(ТабЗаказы[[#This Row],[orderNum]],ТабПозиции[#Data],22,0),"")</f>
        <v>true</v>
      </c>
    </row>
    <row r="531" spans="1:9" x14ac:dyDescent="0.25">
      <c r="A531">
        <f t="shared" si="10"/>
        <v>530</v>
      </c>
      <c r="B531" s="1">
        <v>45733</v>
      </c>
      <c r="C531" t="s">
        <v>112</v>
      </c>
      <c r="D531" t="str">
        <f>VLOOKUP(ТабЗаказы[[#This Row],[client]],ТабКлиенты[[name]:[_id]],2,0)</f>
        <v>67f56eca575fff8fe23c7a2f</v>
      </c>
      <c r="E531">
        <f>IFERROR(IF(ТабЗаказы[[#This Row],[orderSumm]]&gt;10000,10,VLOOKUP(ТабЗаказы[[#This Row],[client]],ТабКлиенты[[name]:[percent]],MATCH(E$1,ТабКлиенты[#Headers],0),0)),"")</f>
        <v>15</v>
      </c>
      <c r="F531" s="18">
        <f>IFERROR(SUMIF(ТабПозиции[orderNum],ТабЗаказы[[#This Row],[orderNum]],ТабПозиции[orderSumm]),"")</f>
        <v>6000</v>
      </c>
      <c r="G531" s="18">
        <f>SUMIF(ТабПозиции[orderNum],ТабЗаказы[[#This Row],[orderNum]],ТабПозиции[deliverySumm])</f>
        <v>900</v>
      </c>
      <c r="H531" s="18">
        <f>SUMIF(ТабПозиции[orderNum],ТабЗаказы[[#This Row],[orderNum]],ТабПозиции[totalSumm])</f>
        <v>7559</v>
      </c>
      <c r="I531" s="18" t="str">
        <f>IFERROR(VLOOKUP(ТабЗаказы[[#This Row],[orderNum]],ТабПозиции[#Data],22,0),"")</f>
        <v>true</v>
      </c>
    </row>
    <row r="532" spans="1:9" x14ac:dyDescent="0.25">
      <c r="A532">
        <f t="shared" si="10"/>
        <v>531</v>
      </c>
      <c r="B532" s="1">
        <v>45734</v>
      </c>
      <c r="C532" t="s">
        <v>33</v>
      </c>
      <c r="D532" t="str">
        <f>VLOOKUP(ТабЗаказы[[#This Row],[client]],ТабКлиенты[[name]:[_id]],2,0)</f>
        <v>67f56eca575fff8fe23c7a15</v>
      </c>
      <c r="E532">
        <f>IFERROR(IF(ТабЗаказы[[#This Row],[orderSumm]]&gt;10000,10,VLOOKUP(ТабЗаказы[[#This Row],[client]],ТабКлиенты[[name]:[percent]],MATCH(E$1,ТабКлиенты[#Headers],0),0)),"")</f>
        <v>15</v>
      </c>
      <c r="F532" s="18">
        <f>IFERROR(SUMIF(ТабПозиции[orderNum],ТабЗаказы[[#This Row],[orderNum]],ТабПозиции[orderSumm]),"")</f>
        <v>6453</v>
      </c>
      <c r="G532" s="18">
        <f>SUMIF(ТабПозиции[orderNum],ТабЗаказы[[#This Row],[orderNum]],ТабПозиции[deliverySumm])</f>
        <v>970</v>
      </c>
      <c r="H532" s="18">
        <f>SUMIF(ТабПозиции[orderNum],ТабЗаказы[[#This Row],[orderNum]],ТабПозиции[totalSumm])</f>
        <v>7963</v>
      </c>
      <c r="I532" s="18" t="str">
        <f>IFERROR(VLOOKUP(ТабЗаказы[[#This Row],[orderNum]],ТабПозиции[#Data],22,0),"")</f>
        <v>true</v>
      </c>
    </row>
    <row r="533" spans="1:9" x14ac:dyDescent="0.25">
      <c r="A533">
        <f t="shared" si="10"/>
        <v>532</v>
      </c>
      <c r="B533" s="1">
        <v>45735</v>
      </c>
      <c r="C533" t="s">
        <v>2688</v>
      </c>
      <c r="D533" t="str">
        <f>VLOOKUP(ТабЗаказы[[#This Row],[client]],ТабКлиенты[[name]:[_id]],2,0)</f>
        <v>67f56eca575fff8fe23c7b01</v>
      </c>
      <c r="E533">
        <f>IFERROR(IF(ТабЗаказы[[#This Row],[orderSumm]]&gt;10000,10,VLOOKUP(ТабЗаказы[[#This Row],[client]],ТабКлиенты[[name]:[percent]],MATCH(E$1,ТабКлиенты[#Headers],0),0)),"")</f>
        <v>15</v>
      </c>
      <c r="F533" s="18">
        <f>IFERROR(SUMIF(ТабПозиции[orderNum],ТабЗаказы[[#This Row],[orderNum]],ТабПозиции[orderSumm]),"")</f>
        <v>4290</v>
      </c>
      <c r="G533" s="18">
        <f>SUMIF(ТабПозиции[orderNum],ТабЗаказы[[#This Row],[orderNum]],ТабПозиции[deliverySumm])</f>
        <v>644</v>
      </c>
      <c r="H533" s="18">
        <f>SUMIF(ТабПозиции[orderNum],ТабЗаказы[[#This Row],[orderNum]],ТабПозиции[totalSumm])</f>
        <v>5193</v>
      </c>
      <c r="I533" s="18" t="str">
        <f>IFERROR(VLOOKUP(ТабЗаказы[[#This Row],[orderNum]],ТабПозиции[#Data],22,0),"")</f>
        <v>true</v>
      </c>
    </row>
    <row r="534" spans="1:9" x14ac:dyDescent="0.25">
      <c r="A534">
        <f t="shared" si="10"/>
        <v>533</v>
      </c>
      <c r="B534" s="1">
        <v>45737</v>
      </c>
      <c r="C534" t="s">
        <v>104</v>
      </c>
      <c r="D534" t="str">
        <f>VLOOKUP(ТабЗаказы[[#This Row],[client]],ТабКлиенты[[name]:[_id]],2,0)</f>
        <v>67f56eca575fff8fe23c7a2d</v>
      </c>
      <c r="E534">
        <f>IFERROR(IF(ТабЗаказы[[#This Row],[orderSumm]]&gt;10000,10,VLOOKUP(ТабЗаказы[[#This Row],[client]],ТабКлиенты[[name]:[percent]],MATCH(E$1,ТабКлиенты[#Headers],0),0)),"")</f>
        <v>10</v>
      </c>
      <c r="F534" s="18">
        <f>IFERROR(SUMIF(ТабПозиции[orderNum],ТабЗаказы[[#This Row],[orderNum]],ТабПозиции[orderSumm]),"")</f>
        <v>3500</v>
      </c>
      <c r="G534" s="18">
        <f>SUMIF(ТабПозиции[orderNum],ТабЗаказы[[#This Row],[orderNum]],ТабПозиции[deliverySumm])</f>
        <v>350</v>
      </c>
      <c r="H534" s="18">
        <f>SUMIF(ТабПозиции[orderNum],ТабЗаказы[[#This Row],[orderNum]],ТабПозиции[totalSumm])</f>
        <v>350</v>
      </c>
      <c r="I534" s="18" t="str">
        <f>IFERROR(VLOOKUP(ТабЗаказы[[#This Row],[orderNum]],ТабПозиции[#Data],22,0),"")</f>
        <v>true</v>
      </c>
    </row>
    <row r="535" spans="1:9" x14ac:dyDescent="0.25">
      <c r="A535">
        <f t="shared" si="10"/>
        <v>534</v>
      </c>
      <c r="B535" s="1">
        <v>45737</v>
      </c>
      <c r="C535" t="s">
        <v>104</v>
      </c>
      <c r="D535" t="str">
        <f>VLOOKUP(ТабЗаказы[[#This Row],[client]],ТабКлиенты[[name]:[_id]],2,0)</f>
        <v>67f56eca575fff8fe23c7a2d</v>
      </c>
      <c r="E535">
        <f>IFERROR(IF(ТабЗаказы[[#This Row],[orderSumm]]&gt;10000,10,VLOOKUP(ТабЗаказы[[#This Row],[client]],ТабКлиенты[[name]:[percent]],MATCH(E$1,ТабКлиенты[#Headers],0),0)),"")</f>
        <v>10</v>
      </c>
      <c r="F535" s="18">
        <f>IFERROR(SUMIF(ТабПозиции[orderNum],ТабЗаказы[[#This Row],[orderNum]],ТабПозиции[orderSumm]),"")</f>
        <v>250</v>
      </c>
      <c r="G535" s="18">
        <f>SUMIF(ТабПозиции[orderNum],ТабЗаказы[[#This Row],[orderNum]],ТабПозиции[deliverySumm])</f>
        <v>200</v>
      </c>
      <c r="H535" s="18">
        <f>SUMIF(ТабПозиции[orderNum],ТабЗаказы[[#This Row],[orderNum]],ТабПозиции[totalSumm])</f>
        <v>200</v>
      </c>
      <c r="I535" s="18" t="str">
        <f>IFERROR(VLOOKUP(ТабЗаказы[[#This Row],[orderNum]],ТабПозиции[#Data],22,0),"")</f>
        <v>true</v>
      </c>
    </row>
    <row r="536" spans="1:9" x14ac:dyDescent="0.25">
      <c r="A536">
        <f t="shared" si="10"/>
        <v>535</v>
      </c>
      <c r="B536" s="1">
        <v>45737</v>
      </c>
      <c r="C536" t="s">
        <v>456</v>
      </c>
      <c r="D536" t="str">
        <f>VLOOKUP(ТабЗаказы[[#This Row],[client]],ТабКлиенты[[name]:[_id]],2,0)</f>
        <v>67f56eca575fff8fe23c7a99</v>
      </c>
      <c r="E536">
        <f>IFERROR(IF(ТабЗаказы[[#This Row],[orderSumm]]&gt;10000,10,VLOOKUP(ТабЗаказы[[#This Row],[client]],ТабКлиенты[[name]:[percent]],MATCH(E$1,ТабКлиенты[#Headers],0),0)),"")</f>
        <v>10</v>
      </c>
      <c r="F536" s="18">
        <f>IFERROR(SUMIF(ТабПозиции[orderNum],ТабЗаказы[[#This Row],[orderNum]],ТабПозиции[orderSumm]),"")</f>
        <v>23124</v>
      </c>
      <c r="G536" s="18">
        <f>SUMIF(ТабПозиции[orderNum],ТабЗаказы[[#This Row],[orderNum]],ТабПозиции[deliverySumm])</f>
        <v>2312</v>
      </c>
      <c r="H536" s="18">
        <f>SUMIF(ТабПозиции[orderNum],ТабЗаказы[[#This Row],[orderNum]],ТабПозиции[totalSumm])</f>
        <v>2312</v>
      </c>
      <c r="I536" s="18" t="str">
        <f>IFERROR(VLOOKUP(ТабЗаказы[[#This Row],[orderNum]],ТабПозиции[#Data],22,0),"")</f>
        <v>true</v>
      </c>
    </row>
    <row r="537" spans="1:9" x14ac:dyDescent="0.25">
      <c r="A537">
        <f t="shared" si="10"/>
        <v>536</v>
      </c>
      <c r="B537" s="1">
        <v>45737</v>
      </c>
      <c r="C537" t="s">
        <v>430</v>
      </c>
      <c r="D537" t="str">
        <f>VLOOKUP(ТабЗаказы[[#This Row],[client]],ТабКлиенты[[name]:[_id]],2,0)</f>
        <v>67f56eca575fff8fe23c7a92</v>
      </c>
      <c r="E537">
        <v>5</v>
      </c>
      <c r="F537" s="18">
        <f>IFERROR(SUMIF(ТабПозиции[orderNum],ТабЗаказы[[#This Row],[orderNum]],ТабПозиции[orderSumm]),"")</f>
        <v>77569</v>
      </c>
      <c r="G537" s="18">
        <f>SUMIF(ТабПозиции[orderNum],ТабЗаказы[[#This Row],[orderNum]],ТабПозиции[deliverySumm])</f>
        <v>3878</v>
      </c>
      <c r="H537" s="18">
        <f>SUMIF(ТабПозиции[orderNum],ТабЗаказы[[#This Row],[orderNum]],ТабПозиции[totalSumm])</f>
        <v>5000</v>
      </c>
      <c r="I537" s="18" t="str">
        <f>IFERROR(VLOOKUP(ТабЗаказы[[#This Row],[orderNum]],ТабПозиции[#Data],22,0),"")</f>
        <v>true</v>
      </c>
    </row>
    <row r="538" spans="1:9" x14ac:dyDescent="0.25">
      <c r="A538">
        <f t="shared" si="10"/>
        <v>537</v>
      </c>
      <c r="B538" s="1">
        <v>45737</v>
      </c>
      <c r="C538" t="s">
        <v>123</v>
      </c>
      <c r="D538" t="str">
        <f>VLOOKUP(ТабЗаказы[[#This Row],[client]],ТабКлиенты[[name]:[_id]],2,0)</f>
        <v>67f56eca575fff8fe23c7a32</v>
      </c>
      <c r="E538">
        <f>IFERROR(IF(ТабЗаказы[[#This Row],[orderSumm]]&gt;10000,10,VLOOKUP(ТабЗаказы[[#This Row],[client]],ТабКлиенты[[name]:[percent]],MATCH(E$1,ТабКлиенты[#Headers],0),0)),"")</f>
        <v>15</v>
      </c>
      <c r="F538" s="18">
        <f>IFERROR(SUMIF(ТабПозиции[orderNum],ТабЗаказы[[#This Row],[orderNum]],ТабПозиции[orderSumm]),"")</f>
        <v>1510</v>
      </c>
      <c r="G538" s="18">
        <f>SUMIF(ТабПозиции[orderNum],ТабЗаказы[[#This Row],[orderNum]],ТабПозиции[deliverySumm])</f>
        <v>227</v>
      </c>
      <c r="H538" s="18">
        <f>SUMIF(ТабПозиции[orderNum],ТабЗаказы[[#This Row],[orderNum]],ТабПозиции[totalSumm])</f>
        <v>1737</v>
      </c>
      <c r="I538" s="18" t="str">
        <f>IFERROR(VLOOKUP(ТабЗаказы[[#This Row],[orderNum]],ТабПозиции[#Data],22,0),"")</f>
        <v>true</v>
      </c>
    </row>
    <row r="539" spans="1:9" x14ac:dyDescent="0.25">
      <c r="A539">
        <f t="shared" si="10"/>
        <v>538</v>
      </c>
      <c r="B539" s="1">
        <v>45738</v>
      </c>
      <c r="C539" t="s">
        <v>2699</v>
      </c>
      <c r="D539" t="str">
        <f>VLOOKUP(ТабЗаказы[[#This Row],[client]],ТабКлиенты[[name]:[_id]],2,0)</f>
        <v>67f56eca575fff8fe23c7b02</v>
      </c>
      <c r="E539">
        <f>IFERROR(IF(ТабЗаказы[[#This Row],[orderSumm]]&gt;10000,10,VLOOKUP(ТабЗаказы[[#This Row],[client]],ТабКлиенты[[name]:[percent]],MATCH(E$1,ТабКлиенты[#Headers],0),0)),"")</f>
        <v>15</v>
      </c>
      <c r="F539" s="18">
        <f>IFERROR(SUMIF(ТабПозиции[orderNum],ТабЗаказы[[#This Row],[orderNum]],ТабПозиции[orderSumm]),"")</f>
        <v>3790</v>
      </c>
      <c r="G539" s="18">
        <f>SUMIF(ТабПозиции[orderNum],ТабЗаказы[[#This Row],[orderNum]],ТабПозиции[deliverySumm])</f>
        <v>569</v>
      </c>
      <c r="H539" s="18">
        <f>SUMIF(ТабПозиции[orderNum],ТабЗаказы[[#This Row],[orderNum]],ТабПозиции[totalSumm])</f>
        <v>4359</v>
      </c>
      <c r="I539" s="18" t="str">
        <f>IFERROR(VLOOKUP(ТабЗаказы[[#This Row],[orderNum]],ТабПозиции[#Data],22,0),"")</f>
        <v>true</v>
      </c>
    </row>
    <row r="540" spans="1:9" x14ac:dyDescent="0.25">
      <c r="A540">
        <f t="shared" si="10"/>
        <v>539</v>
      </c>
      <c r="B540" s="1">
        <v>45738</v>
      </c>
      <c r="C540" t="s">
        <v>357</v>
      </c>
      <c r="D540" t="str">
        <f>VLOOKUP(ТабЗаказы[[#This Row],[client]],ТабКлиенты[[name]:[_id]],2,0)</f>
        <v>67f56eca575fff8fe23c7a7d</v>
      </c>
      <c r="E540">
        <f>IFERROR(IF(ТабЗаказы[[#This Row],[orderSumm]]&gt;10000,10,VLOOKUP(ТабЗаказы[[#This Row],[client]],ТабКлиенты[[name]:[percent]],MATCH(E$1,ТабКлиенты[#Headers],0),0)),"")</f>
        <v>15</v>
      </c>
      <c r="F540" s="18">
        <f>IFERROR(SUMIF(ТабПозиции[orderNum],ТабЗаказы[[#This Row],[orderNum]],ТабПозиции[orderSumm]),"")</f>
        <v>4382</v>
      </c>
      <c r="G540" s="18">
        <f>SUMIF(ТабПозиции[orderNum],ТабЗаказы[[#This Row],[orderNum]],ТабПозиции[deliverySumm])</f>
        <v>657</v>
      </c>
      <c r="H540" s="18">
        <f>SUMIF(ТабПозиции[orderNum],ТабЗаказы[[#This Row],[orderNum]],ТабПозиции[totalSumm])</f>
        <v>5039</v>
      </c>
      <c r="I540" s="18" t="str">
        <f>IFERROR(VLOOKUP(ТабЗаказы[[#This Row],[orderNum]],ТабПозиции[#Data],22,0),"")</f>
        <v>true</v>
      </c>
    </row>
    <row r="541" spans="1:9" x14ac:dyDescent="0.25">
      <c r="A541">
        <f t="shared" si="10"/>
        <v>540</v>
      </c>
      <c r="B541" s="1">
        <v>45739</v>
      </c>
      <c r="C541" t="s">
        <v>112</v>
      </c>
      <c r="D541" t="str">
        <f>VLOOKUP(ТабЗаказы[[#This Row],[client]],ТабКлиенты[[name]:[_id]],2,0)</f>
        <v>67f56eca575fff8fe23c7a2f</v>
      </c>
      <c r="E541">
        <f>IFERROR(IF(ТабЗаказы[[#This Row],[orderSumm]]&gt;10000,10,VLOOKUP(ТабЗаказы[[#This Row],[client]],ТабКлиенты[[name]:[percent]],MATCH(E$1,ТабКлиенты[#Headers],0),0)),"")</f>
        <v>10</v>
      </c>
      <c r="F541" s="18">
        <f>IFERROR(SUMIF(ТабПозиции[orderNum],ТабЗаказы[[#This Row],[orderNum]],ТабПозиции[orderSumm]),"")</f>
        <v>14400</v>
      </c>
      <c r="G541" s="18">
        <f>SUMIF(ТабПозиции[orderNum],ТабЗаказы[[#This Row],[orderNum]],ТабПозиции[deliverySumm])</f>
        <v>1440</v>
      </c>
      <c r="H541" s="18">
        <f>SUMIF(ТабПозиции[orderNum],ТабЗаказы[[#This Row],[orderNum]],ТабПозиции[totalSumm])</f>
        <v>16274</v>
      </c>
      <c r="I541" s="18" t="str">
        <f>IFERROR(VLOOKUP(ТабЗаказы[[#This Row],[orderNum]],ТабПозиции[#Data],22,0),"")</f>
        <v>true</v>
      </c>
    </row>
    <row r="542" spans="1:9" x14ac:dyDescent="0.25">
      <c r="A542">
        <f t="shared" si="10"/>
        <v>541</v>
      </c>
      <c r="B542" s="1">
        <v>45740</v>
      </c>
      <c r="C542" t="s">
        <v>33</v>
      </c>
      <c r="D542" t="str">
        <f>VLOOKUP(ТабЗаказы[[#This Row],[client]],ТабКлиенты[[name]:[_id]],2,0)</f>
        <v>67f56eca575fff8fe23c7a15</v>
      </c>
      <c r="E542">
        <f>IFERROR(IF(ТабЗаказы[[#This Row],[orderSumm]]&gt;10000,10,VLOOKUP(ТабЗаказы[[#This Row],[client]],ТабКлиенты[[name]:[percent]],MATCH(E$1,ТабКлиенты[#Headers],0),0)),"")</f>
        <v>15</v>
      </c>
      <c r="F542" s="18">
        <f>IFERROR(SUMIF(ТабПозиции[orderNum],ТабЗаказы[[#This Row],[orderNum]],ТабПозиции[orderSumm]),"")</f>
        <v>7805</v>
      </c>
      <c r="G542" s="18">
        <f>SUMIF(ТабПозиции[orderNum],ТабЗаказы[[#This Row],[orderNum]],ТабПозиции[deliverySumm])</f>
        <v>1171</v>
      </c>
      <c r="H542" s="18">
        <f>SUMIF(ТабПозиции[orderNum],ТабЗаказы[[#This Row],[orderNum]],ТабПозиции[totalSumm])</f>
        <v>8976</v>
      </c>
      <c r="I542" s="18" t="str">
        <f>IFERROR(VLOOKUP(ТабЗаказы[[#This Row],[orderNum]],ТабПозиции[#Data],22,0),"")</f>
        <v>true</v>
      </c>
    </row>
    <row r="543" spans="1:9" x14ac:dyDescent="0.25">
      <c r="A543">
        <f t="shared" si="10"/>
        <v>542</v>
      </c>
      <c r="B543" s="1">
        <v>45741</v>
      </c>
      <c r="C543" t="s">
        <v>357</v>
      </c>
      <c r="D543" t="str">
        <f>VLOOKUP(ТабЗаказы[[#This Row],[client]],ТабКлиенты[[name]:[_id]],2,0)</f>
        <v>67f56eca575fff8fe23c7a7d</v>
      </c>
      <c r="E543">
        <f>IFERROR(IF(ТабЗаказы[[#This Row],[orderSumm]]&gt;10000,10,VLOOKUP(ТабЗаказы[[#This Row],[client]],ТабКлиенты[[name]:[percent]],MATCH(E$1,ТабКлиенты[#Headers],0),0)),"")</f>
        <v>15</v>
      </c>
      <c r="F543" s="18">
        <f>IFERROR(SUMIF(ТабПозиции[orderNum],ТабЗаказы[[#This Row],[orderNum]],ТабПозиции[orderSumm]),"")</f>
        <v>2722</v>
      </c>
      <c r="G543" s="18">
        <f>SUMIF(ТабПозиции[orderNum],ТабЗаказы[[#This Row],[orderNum]],ТабПозиции[deliverySumm])</f>
        <v>409</v>
      </c>
      <c r="H543" s="18">
        <f>SUMIF(ТабПозиции[orderNum],ТабЗаказы[[#This Row],[orderNum]],ТабПозиции[totalSumm])</f>
        <v>3131</v>
      </c>
      <c r="I543" s="18" t="str">
        <f>IFERROR(VLOOKUP(ТабЗаказы[[#This Row],[orderNum]],ТабПозиции[#Data],22,0),"")</f>
        <v>true</v>
      </c>
    </row>
    <row r="544" spans="1:9" x14ac:dyDescent="0.25">
      <c r="A544">
        <f t="shared" si="10"/>
        <v>543</v>
      </c>
      <c r="B544" s="1">
        <v>45741</v>
      </c>
      <c r="C544" t="s">
        <v>1523</v>
      </c>
      <c r="D544" t="str">
        <f>VLOOKUP(ТабЗаказы[[#This Row],[client]],ТабКлиенты[[name]:[_id]],2,0)</f>
        <v>67f56eca575fff8fe23c7abb</v>
      </c>
      <c r="E544">
        <f>IFERROR(IF(ТабЗаказы[[#This Row],[orderSumm]]&gt;10000,10,VLOOKUP(ТабЗаказы[[#This Row],[client]],ТабКлиенты[[name]:[percent]],MATCH(E$1,ТабКлиенты[#Headers],0),0)),"")</f>
        <v>10</v>
      </c>
      <c r="F544" s="18">
        <f>IFERROR(SUMIF(ТабПозиции[orderNum],ТабЗаказы[[#This Row],[orderNum]],ТабПозиции[orderSumm]),"")</f>
        <v>6363</v>
      </c>
      <c r="G544" s="18">
        <f>SUMIF(ТабПозиции[orderNum],ТабЗаказы[[#This Row],[orderNum]],ТабПозиции[deliverySumm])</f>
        <v>636</v>
      </c>
      <c r="H544" s="18">
        <f>SUMIF(ТабПозиции[orderNum],ТабЗаказы[[#This Row],[orderNum]],ТабПозиции[totalSumm])</f>
        <v>6999</v>
      </c>
      <c r="I544" s="18" t="str">
        <f>IFERROR(VLOOKUP(ТабЗаказы[[#This Row],[orderNum]],ТабПозиции[#Data],22,0),"")</f>
        <v>true</v>
      </c>
    </row>
    <row r="545" spans="1:9" x14ac:dyDescent="0.25">
      <c r="A545">
        <f t="shared" si="10"/>
        <v>544</v>
      </c>
      <c r="B545" s="1">
        <v>45742</v>
      </c>
      <c r="C545" t="s">
        <v>1502</v>
      </c>
      <c r="D545" t="str">
        <f>VLOOKUP(ТабЗаказы[[#This Row],[client]],ТабКлиенты[[name]:[_id]],2,0)</f>
        <v>67f56eca575fff8fe23c7a28</v>
      </c>
      <c r="E545">
        <f>IFERROR(IF(ТабЗаказы[[#This Row],[orderSumm]]&gt;10000,10,VLOOKUP(ТабЗаказы[[#This Row],[client]],ТабКлиенты[[name]:[percent]],MATCH(E$1,ТабКлиенты[#Headers],0),0)),"")</f>
        <v>15</v>
      </c>
      <c r="F545" s="18">
        <f>IFERROR(SUMIF(ТабПозиции[orderNum],ТабЗаказы[[#This Row],[orderNum]],ТабПозиции[orderSumm]),"")</f>
        <v>4976</v>
      </c>
      <c r="G545" s="18">
        <f>SUMIF(ТабПозиции[orderNum],ТабЗаказы[[#This Row],[orderNum]],ТабПозиции[deliverySumm])</f>
        <v>748</v>
      </c>
      <c r="H545" s="18">
        <f>SUMIF(ТабПозиции[orderNum],ТабЗаказы[[#This Row],[orderNum]],ТабПозиции[totalSumm])</f>
        <v>5724</v>
      </c>
      <c r="I545" s="18" t="str">
        <f>IFERROR(VLOOKUP(ТабЗаказы[[#This Row],[orderNum]],ТабПозиции[#Data],22,0),"")</f>
        <v>true</v>
      </c>
    </row>
    <row r="546" spans="1:9" x14ac:dyDescent="0.25">
      <c r="A546">
        <f t="shared" si="10"/>
        <v>545</v>
      </c>
      <c r="B546" s="1">
        <v>45742</v>
      </c>
      <c r="C546" t="s">
        <v>2433</v>
      </c>
      <c r="D546" t="str">
        <f>VLOOKUP(ТабЗаказы[[#This Row],[client]],ТабКлиенты[[name]:[_id]],2,0)</f>
        <v>67f56eca575fff8fe23c7af2</v>
      </c>
      <c r="E546">
        <f>IFERROR(IF(ТабЗаказы[[#This Row],[orderSumm]]&gt;10000,10,VLOOKUP(ТабЗаказы[[#This Row],[client]],ТабКлиенты[[name]:[percent]],MATCH(E$1,ТабКлиенты[#Headers],0),0)),"")</f>
        <v>15</v>
      </c>
      <c r="F546" s="18">
        <f>IFERROR(SUMIF(ТабПозиции[orderNum],ТабЗаказы[[#This Row],[orderNum]],ТабПозиции[orderSumm]),"")</f>
        <v>3061</v>
      </c>
      <c r="G546" s="18">
        <f>SUMIF(ТабПозиции[orderNum],ТабЗаказы[[#This Row],[orderNum]],ТабПозиции[deliverySumm])</f>
        <v>459</v>
      </c>
      <c r="H546" s="18">
        <f>SUMIF(ТабПозиции[orderNum],ТабЗаказы[[#This Row],[orderNum]],ТабПозиции[totalSumm])</f>
        <v>3520</v>
      </c>
      <c r="I546" s="18" t="str">
        <f>IFERROR(VLOOKUP(ТабЗаказы[[#This Row],[orderNum]],ТабПозиции[#Data],22,0),"")</f>
        <v>true</v>
      </c>
    </row>
    <row r="547" spans="1:9" x14ac:dyDescent="0.25">
      <c r="A547">
        <f t="shared" si="10"/>
        <v>546</v>
      </c>
      <c r="B547" s="1">
        <v>45744</v>
      </c>
      <c r="C547" t="s">
        <v>2717</v>
      </c>
      <c r="D547" t="str">
        <f>VLOOKUP(ТабЗаказы[[#This Row],[client]],ТабКлиенты[[name]:[_id]],2,0)</f>
        <v>67f56eca575fff8fe23c7b03</v>
      </c>
      <c r="E547">
        <f>IFERROR(IF(ТабЗаказы[[#This Row],[orderSumm]]&gt;10000,10,VLOOKUP(ТабЗаказы[[#This Row],[client]],ТабКлиенты[[name]:[percent]],MATCH(E$1,ТабКлиенты[#Headers],0),0)),"")</f>
        <v>15</v>
      </c>
      <c r="F547" s="18">
        <f>IFERROR(SUMIF(ТабПозиции[orderNum],ТабЗаказы[[#This Row],[orderNum]],ТабПозиции[orderSumm]),"")</f>
        <v>2871</v>
      </c>
      <c r="G547" s="18">
        <f>SUMIF(ТабПозиции[orderNum],ТабЗаказы[[#This Row],[orderNum]],ТабПозиции[deliverySumm])</f>
        <v>431</v>
      </c>
      <c r="H547" s="18">
        <f>SUMIF(ТабПозиции[orderNum],ТабЗаказы[[#This Row],[orderNum]],ТабПозиции[totalSumm])</f>
        <v>431</v>
      </c>
      <c r="I547" s="18" t="str">
        <f>IFERROR(VLOOKUP(ТабЗаказы[[#This Row],[orderNum]],ТабПозиции[#Data],22,0),"")</f>
        <v>true</v>
      </c>
    </row>
    <row r="548" spans="1:9" x14ac:dyDescent="0.25">
      <c r="A548">
        <f t="shared" si="10"/>
        <v>547</v>
      </c>
      <c r="B548" s="1">
        <v>45746</v>
      </c>
      <c r="C548" t="s">
        <v>2741</v>
      </c>
      <c r="D548" t="str">
        <f>VLOOKUP(ТабЗаказы[[#This Row],[client]],ТабКлиенты[[name]:[_id]],2,0)</f>
        <v>67f56eca575fff8fe23c7b04</v>
      </c>
      <c r="E548">
        <f>IFERROR(IF(ТабЗаказы[[#This Row],[orderSumm]]&gt;10000,10,VLOOKUP(ТабЗаказы[[#This Row],[client]],ТабКлиенты[[name]:[percent]],MATCH(E$1,ТабКлиенты[#Headers],0),0)),"")</f>
        <v>15</v>
      </c>
      <c r="F548" s="18">
        <f>IFERROR(SUMIF(ТабПозиции[orderNum],ТабЗаказы[[#This Row],[orderNum]],ТабПозиции[orderSumm]),"")</f>
        <v>7033</v>
      </c>
      <c r="G548" s="18">
        <f>SUMIF(ТабПозиции[orderNum],ТабЗаказы[[#This Row],[orderNum]],ТабПозиции[deliverySumm])</f>
        <v>1055</v>
      </c>
      <c r="H548" s="18">
        <f>SUMIF(ТабПозиции[orderNum],ТабЗаказы[[#This Row],[orderNum]],ТабПозиции[totalSumm])</f>
        <v>8088</v>
      </c>
      <c r="I548" s="18" t="str">
        <f>IFERROR(VLOOKUP(ТабЗаказы[[#This Row],[orderNum]],ТабПозиции[#Data],22,0),"")</f>
        <v>true</v>
      </c>
    </row>
    <row r="549" spans="1:9" x14ac:dyDescent="0.25">
      <c r="A549">
        <f t="shared" si="10"/>
        <v>548</v>
      </c>
      <c r="B549" s="1">
        <v>45747</v>
      </c>
      <c r="C549" t="s">
        <v>33</v>
      </c>
      <c r="D549" t="str">
        <f>VLOOKUP(ТабЗаказы[[#This Row],[client]],ТабКлиенты[[name]:[_id]],2,0)</f>
        <v>67f56eca575fff8fe23c7a15</v>
      </c>
      <c r="E549">
        <f>IFERROR(IF(ТабЗаказы[[#This Row],[orderSumm]]&gt;10000,10,VLOOKUP(ТабЗаказы[[#This Row],[client]],ТабКлиенты[[name]:[percent]],MATCH(E$1,ТабКлиенты[#Headers],0),0)),"")</f>
        <v>15</v>
      </c>
      <c r="F549" s="18">
        <f>IFERROR(SUMIF(ТабПозиции[orderNum],ТабЗаказы[[#This Row],[orderNum]],ТабПозиции[orderSumm]),"")</f>
        <v>1206</v>
      </c>
      <c r="G549" s="18">
        <f>SUMIF(ТабПозиции[orderNum],ТабЗаказы[[#This Row],[orderNum]],ТабПозиции[deliverySumm])</f>
        <v>201</v>
      </c>
      <c r="H549" s="18">
        <f>SUMIF(ТабПозиции[orderNum],ТабЗаказы[[#This Row],[orderNum]],ТабПозиции[totalSumm])</f>
        <v>1407</v>
      </c>
      <c r="I549" s="18" t="str">
        <f>IFERROR(VLOOKUP(ТабЗаказы[[#This Row],[orderNum]],ТабПозиции[#Data],22,0),"")</f>
        <v>true</v>
      </c>
    </row>
    <row r="550" spans="1:9" x14ac:dyDescent="0.25">
      <c r="A550">
        <f t="shared" si="10"/>
        <v>549</v>
      </c>
      <c r="B550" s="106">
        <v>45747</v>
      </c>
      <c r="C550" t="s">
        <v>2745</v>
      </c>
      <c r="D550" t="str">
        <f>VLOOKUP(ТабЗаказы[[#This Row],[client]],ТабКлиенты[[name]:[_id]],2,0)</f>
        <v>67f56eca575fff8fe23c7b05</v>
      </c>
      <c r="E550">
        <f>IFERROR(IF(ТабЗаказы[[#This Row],[orderSumm]]&gt;10000,10,VLOOKUP(ТабЗаказы[[#This Row],[client]],ТабКлиенты[[name]:[percent]],MATCH(E$1,ТабКлиенты[#Headers],0),0)),"")</f>
        <v>15</v>
      </c>
      <c r="F550" s="18">
        <f>IFERROR(SUMIF(ТабПозиции[orderNum],ТабЗаказы[[#This Row],[orderNum]],ТабПозиции[orderSumm]),"")</f>
        <v>2200</v>
      </c>
      <c r="G550" s="18">
        <f>SUMIF(ТабПозиции[orderNum],ТабЗаказы[[#This Row],[orderNum]],ТабПозиции[deliverySumm])</f>
        <v>330</v>
      </c>
      <c r="H550" s="18">
        <f>SUMIF(ТабПозиции[orderNum],ТабЗаказы[[#This Row],[orderNum]],ТабПозиции[totalSumm])</f>
        <v>850</v>
      </c>
      <c r="I550" s="18" t="str">
        <f>IFERROR(VLOOKUP(ТабЗаказы[[#This Row],[orderNum]],ТабПозиции[#Data],22,0),"")</f>
        <v>true</v>
      </c>
    </row>
    <row r="551" spans="1:9" x14ac:dyDescent="0.25">
      <c r="A551">
        <f t="shared" si="10"/>
        <v>550</v>
      </c>
      <c r="B551" s="106">
        <v>45749</v>
      </c>
      <c r="C551" t="s">
        <v>2276</v>
      </c>
      <c r="D551" t="str">
        <f>VLOOKUP(ТабЗаказы[[#This Row],[client]],ТабКлиенты[[name]:[_id]],2,0)</f>
        <v>67f56eca575fff8fe23c7ae6</v>
      </c>
      <c r="E551">
        <f>IFERROR(IF(ТабЗаказы[[#This Row],[orderSumm]]&gt;10000,10,VLOOKUP(ТабЗаказы[[#This Row],[client]],ТабКлиенты[[name]:[percent]],MATCH(E$1,ТабКлиенты[#Headers],0),0)),"")</f>
        <v>15</v>
      </c>
      <c r="F551" s="18">
        <f>IFERROR(SUMIF(ТабПозиции[orderNum],ТабЗаказы[[#This Row],[orderNum]],ТабПозиции[orderSumm]),"")</f>
        <v>3545</v>
      </c>
      <c r="G551" s="18">
        <f>SUMIF(ТабПозиции[orderNum],ТабЗаказы[[#This Row],[orderNum]],ТабПозиции[deliverySumm])</f>
        <v>532</v>
      </c>
      <c r="H551" s="18">
        <f>SUMIF(ТабПозиции[orderNum],ТабЗаказы[[#This Row],[orderNum]],ТабПозиции[totalSumm])</f>
        <v>4077</v>
      </c>
      <c r="I551" s="18" t="str">
        <f>IFERROR(VLOOKUP(ТабЗаказы[[#This Row],[orderNum]],ТабПозиции[#Data],22,0),"")</f>
        <v>true</v>
      </c>
    </row>
    <row r="552" spans="1:9" x14ac:dyDescent="0.25">
      <c r="A552">
        <f t="shared" si="10"/>
        <v>551</v>
      </c>
      <c r="B552" s="106">
        <v>45749</v>
      </c>
      <c r="C552" t="s">
        <v>148</v>
      </c>
      <c r="D552" t="str">
        <f>VLOOKUP(ТабЗаказы[[#This Row],[client]],ТабКлиенты[[name]:[_id]],2,0)</f>
        <v>67f56eca575fff8fe23c7a3b</v>
      </c>
      <c r="E552">
        <v>10</v>
      </c>
      <c r="F552" s="18">
        <f>IFERROR(SUMIF(ТабПозиции[orderNum],ТабЗаказы[[#This Row],[orderNum]],ТабПозиции[orderSumm]),"")</f>
        <v>7840</v>
      </c>
      <c r="G552" s="18">
        <f>SUMIF(ТабПозиции[orderNum],ТабЗаказы[[#This Row],[orderNum]],ТабПозиции[deliverySumm])</f>
        <v>784</v>
      </c>
      <c r="H552" s="18">
        <f>SUMIF(ТабПозиции[orderNum],ТабЗаказы[[#This Row],[orderNum]],ТабПозиции[totalSumm])</f>
        <v>8624</v>
      </c>
      <c r="I552" s="18" t="str">
        <f>IFERROR(VLOOKUP(ТабЗаказы[[#This Row],[orderNum]],ТабПозиции[#Data],22,0),"")</f>
        <v>true</v>
      </c>
    </row>
    <row r="553" spans="1:9" x14ac:dyDescent="0.25">
      <c r="A553">
        <f t="shared" si="10"/>
        <v>552</v>
      </c>
      <c r="B553" s="1">
        <v>45750</v>
      </c>
      <c r="C553" t="s">
        <v>104</v>
      </c>
      <c r="D553" t="str">
        <f>VLOOKUP(ТабЗаказы[[#This Row],[client]],ТабКлиенты[[name]:[_id]],2,0)</f>
        <v>67f56eca575fff8fe23c7a2d</v>
      </c>
      <c r="E553">
        <f>IFERROR(IF(ТабЗаказы[[#This Row],[orderSumm]]&gt;10000,10,VLOOKUP(ТабЗаказы[[#This Row],[client]],ТабКлиенты[[name]:[percent]],MATCH(E$1,ТабКлиенты[#Headers],0),0)),"")</f>
        <v>10</v>
      </c>
      <c r="F553" s="18">
        <f>IFERROR(SUMIF(ТабПозиции[orderNum],ТабЗаказы[[#This Row],[orderNum]],ТабПозиции[orderSumm]),"")</f>
        <v>4300</v>
      </c>
      <c r="G553" s="18">
        <f>SUMIF(ТабПозиции[orderNum],ТабЗаказы[[#This Row],[orderNum]],ТабПозиции[deliverySumm])</f>
        <v>430</v>
      </c>
      <c r="H553" s="18">
        <f>SUMIF(ТабПозиции[orderNum],ТабЗаказы[[#This Row],[orderNum]],ТабПозиции[totalSumm])</f>
        <v>430</v>
      </c>
      <c r="I553" s="18" t="str">
        <f>IFERROR(VLOOKUP(ТабЗаказы[[#This Row],[orderNum]],ТабПозиции[#Data],22,0),"")</f>
        <v>true</v>
      </c>
    </row>
    <row r="554" spans="1:9" x14ac:dyDescent="0.25">
      <c r="A554">
        <f t="shared" si="10"/>
        <v>553</v>
      </c>
      <c r="B554" s="1">
        <v>45750</v>
      </c>
      <c r="C554" t="s">
        <v>104</v>
      </c>
      <c r="D554" t="str">
        <f>VLOOKUP(ТабЗаказы[[#This Row],[client]],ТабКлиенты[[name]:[_id]],2,0)</f>
        <v>67f56eca575fff8fe23c7a2d</v>
      </c>
      <c r="E554">
        <f>IFERROR(IF(ТабЗаказы[[#This Row],[orderSumm]]&gt;10000,10,VLOOKUP(ТабЗаказы[[#This Row],[client]],ТабКлиенты[[name]:[percent]],MATCH(E$1,ТабКлиенты[#Headers],0),0)),"")</f>
        <v>10</v>
      </c>
      <c r="F554" s="18">
        <f>IFERROR(SUMIF(ТабПозиции[orderNum],ТабЗаказы[[#This Row],[orderNum]],ТабПозиции[orderSumm]),"")</f>
        <v>250</v>
      </c>
      <c r="G554" s="18">
        <f>SUMIF(ТабПозиции[orderNum],ТабЗаказы[[#This Row],[orderNum]],ТабПозиции[deliverySumm])</f>
        <v>200</v>
      </c>
      <c r="H554" s="18">
        <f>SUMIF(ТабПозиции[orderNum],ТабЗаказы[[#This Row],[orderNum]],ТабПозиции[totalSumm])</f>
        <v>200</v>
      </c>
      <c r="I554" s="18" t="str">
        <f>IFERROR(VLOOKUP(ТабЗаказы[[#This Row],[orderNum]],ТабПозиции[#Data],22,0),"")</f>
        <v>true</v>
      </c>
    </row>
    <row r="555" spans="1:9" x14ac:dyDescent="0.25">
      <c r="A555">
        <f t="shared" si="10"/>
        <v>554</v>
      </c>
      <c r="B555" s="106">
        <v>45750</v>
      </c>
      <c r="C555" t="s">
        <v>104</v>
      </c>
      <c r="D555" t="str">
        <f>VLOOKUP(ТабЗаказы[[#This Row],[client]],ТабКлиенты[[name]:[_id]],2,0)</f>
        <v>67f56eca575fff8fe23c7a2d</v>
      </c>
      <c r="E555">
        <f>IFERROR(IF(ТабЗаказы[[#This Row],[orderSumm]]&gt;10000,10,VLOOKUP(ТабЗаказы[[#This Row],[client]],ТабКлиенты[[name]:[percent]],MATCH(E$1,ТабКлиенты[#Headers],0),0)),"")</f>
        <v>10</v>
      </c>
      <c r="F555" s="18">
        <f>IFERROR(SUMIF(ТабПозиции[orderNum],ТабЗаказы[[#This Row],[orderNum]],ТабПозиции[orderSumm]),"")</f>
        <v>4600</v>
      </c>
      <c r="G555" s="18">
        <f>SUMIF(ТабПозиции[orderNum],ТабЗаказы[[#This Row],[orderNum]],ТабПозиции[deliverySumm])</f>
        <v>460</v>
      </c>
      <c r="H555" s="18">
        <f>SUMIF(ТабПозиции[orderNum],ТабЗаказы[[#This Row],[orderNum]],ТабПозиции[totalSumm])</f>
        <v>460</v>
      </c>
      <c r="I555" s="18" t="str">
        <f>IFERROR(VLOOKUP(ТабЗаказы[[#This Row],[orderNum]],ТабПозиции[#Data],22,0),"")</f>
        <v>true</v>
      </c>
    </row>
    <row r="556" spans="1:9" x14ac:dyDescent="0.25">
      <c r="A556">
        <f t="shared" si="10"/>
        <v>555</v>
      </c>
      <c r="B556" s="1">
        <v>45751</v>
      </c>
      <c r="C556" t="s">
        <v>1633</v>
      </c>
      <c r="D556" t="str">
        <f>VLOOKUP(ТабЗаказы[[#This Row],[client]],ТабКлиенты[[name]:[_id]],2,0)</f>
        <v>67f56eca575fff8fe23c7ac1</v>
      </c>
      <c r="E556">
        <f>IFERROR(IF(ТабЗаказы[[#This Row],[orderSumm]]&gt;10000,10,VLOOKUP(ТабЗаказы[[#This Row],[client]],ТабКлиенты[[name]:[percent]],MATCH(E$1,ТабКлиенты[#Headers],0),0)),"")</f>
        <v>15</v>
      </c>
      <c r="F556" s="18">
        <f>IFERROR(SUMIF(ТабПозиции[orderNum],ТабЗаказы[[#This Row],[orderNum]],ТабПозиции[orderSumm]),"")</f>
        <v>2100</v>
      </c>
      <c r="G556" s="18">
        <f>SUMIF(ТабПозиции[orderNum],ТабЗаказы[[#This Row],[orderNum]],ТабПозиции[deliverySumm])</f>
        <v>315</v>
      </c>
      <c r="H556" s="18">
        <f>SUMIF(ТабПозиции[orderNum],ТабЗаказы[[#This Row],[orderNum]],ТабПозиции[totalSumm])</f>
        <v>315</v>
      </c>
      <c r="I556" s="18" t="str">
        <f>IFERROR(VLOOKUP(ТабЗаказы[[#This Row],[orderNum]],ТабПозиции[#Data],22,0),"")</f>
        <v>true</v>
      </c>
    </row>
    <row r="557" spans="1:9" x14ac:dyDescent="0.25">
      <c r="A557">
        <f t="shared" si="10"/>
        <v>556</v>
      </c>
      <c r="B557" s="106">
        <v>45751</v>
      </c>
      <c r="C557" t="s">
        <v>112</v>
      </c>
      <c r="D557" t="str">
        <f>VLOOKUP(ТабЗаказы[[#This Row],[client]],ТабКлиенты[[name]:[_id]],2,0)</f>
        <v>67f56eca575fff8fe23c7a2f</v>
      </c>
      <c r="E557">
        <f>IFERROR(IF(ТабЗаказы[[#This Row],[orderSumm]]&gt;10000,10,VLOOKUP(ТабЗаказы[[#This Row],[client]],ТабКлиенты[[name]:[percent]],MATCH(E$1,ТабКлиенты[#Headers],0),0)),"")</f>
        <v>15</v>
      </c>
      <c r="F557" s="18">
        <f>IFERROR(SUMIF(ТабПозиции[orderNum],ТабЗаказы[[#This Row],[orderNum]],ТабПозиции[orderSumm]),"")</f>
        <v>0</v>
      </c>
      <c r="G557" s="18">
        <f>SUMIF(ТабПозиции[orderNum],ТабЗаказы[[#This Row],[orderNum]],ТабПозиции[deliverySumm])</f>
        <v>0</v>
      </c>
      <c r="H557" s="18">
        <f>SUMIF(ТабПозиции[orderNum],ТабЗаказы[[#This Row],[orderNum]],ТабПозиции[totalSumm])</f>
        <v>0</v>
      </c>
      <c r="I557" s="18" t="str">
        <f>IFERROR(VLOOKUP(ТабЗаказы[[#This Row],[orderNum]],ТабПозиции[#Data],22,0),"")</f>
        <v/>
      </c>
    </row>
    <row r="558" spans="1:9" x14ac:dyDescent="0.25">
      <c r="A558">
        <f t="shared" si="10"/>
        <v>557</v>
      </c>
      <c r="B558" s="106">
        <v>45751</v>
      </c>
      <c r="C558" t="s">
        <v>295</v>
      </c>
      <c r="D558" t="str">
        <f>VLOOKUP(ТабЗаказы[[#This Row],[client]],ТабКлиенты[[name]:[_id]],2,0)</f>
        <v>67f56eca575fff8fe23c7a6b</v>
      </c>
      <c r="E558">
        <f>IFERROR(IF(ТабЗаказы[[#This Row],[orderSumm]]&gt;10000,10,VLOOKUP(ТабЗаказы[[#This Row],[client]],ТабКлиенты[[name]:[percent]],MATCH(E$1,ТабКлиенты[#Headers],0),0)),"")</f>
        <v>10</v>
      </c>
      <c r="F558" s="18">
        <f>IFERROR(SUMIF(ТабПозиции[orderNum],ТабЗаказы[[#This Row],[orderNum]],ТабПозиции[orderSumm]),"")</f>
        <v>23100</v>
      </c>
      <c r="G558" s="18">
        <f>SUMIF(ТабПозиции[orderNum],ТабЗаказы[[#This Row],[orderNum]],ТабПозиции[deliverySumm])</f>
        <v>2310</v>
      </c>
      <c r="H558" s="18">
        <f>SUMIF(ТабПозиции[orderNum],ТабЗаказы[[#This Row],[orderNum]],ТабПозиции[totalSumm])</f>
        <v>2310</v>
      </c>
      <c r="I558" s="18" t="str">
        <f>IFERROR(VLOOKUP(ТабЗаказы[[#This Row],[orderNum]],ТабПозиции[#Data],22,0),"")</f>
        <v>true</v>
      </c>
    </row>
    <row r="559" spans="1:9" x14ac:dyDescent="0.25">
      <c r="A559">
        <f t="shared" si="10"/>
        <v>558</v>
      </c>
      <c r="B559" s="1">
        <v>45751</v>
      </c>
      <c r="C559" t="s">
        <v>97</v>
      </c>
      <c r="D559" t="str">
        <f>VLOOKUP(ТабЗаказы[[#This Row],[client]],ТабКлиенты[[name]:[_id]],2,0)</f>
        <v>67f56eca575fff8fe23c7a2a</v>
      </c>
      <c r="E559">
        <f>IFERROR(IF(ТабЗаказы[[#This Row],[orderSumm]]&gt;10000,10,VLOOKUP(ТабЗаказы[[#This Row],[client]],ТабКлиенты[[name]:[percent]],MATCH(E$1,ТабКлиенты[#Headers],0),0)),"")</f>
        <v>10</v>
      </c>
      <c r="F559" s="18">
        <f>IFERROR(SUMIF(ТабПозиции[orderNum],ТабЗаказы[[#This Row],[orderNum]],ТабПозиции[orderSumm]),"")</f>
        <v>8700</v>
      </c>
      <c r="G559" s="18">
        <f>SUMIF(ТабПозиции[orderNum],ТабЗаказы[[#This Row],[orderNum]],ТабПозиции[deliverySumm])</f>
        <v>870</v>
      </c>
      <c r="H559" s="18">
        <f>SUMIF(ТабПозиции[orderNum],ТабЗаказы[[#This Row],[orderNum]],ТабПозиции[totalSumm])</f>
        <v>870</v>
      </c>
      <c r="I559" s="18" t="str">
        <f>IFERROR(VLOOKUP(ТабЗаказы[[#This Row],[orderNum]],ТабПозиции[#Data],22,0),"")</f>
        <v>true</v>
      </c>
    </row>
    <row r="560" spans="1:9" x14ac:dyDescent="0.25">
      <c r="A560">
        <f t="shared" si="10"/>
        <v>559</v>
      </c>
      <c r="B560" s="1">
        <v>45751</v>
      </c>
      <c r="C560" t="s">
        <v>1629</v>
      </c>
      <c r="D560" t="str">
        <f>VLOOKUP(ТабЗаказы[[#This Row],[client]],ТабКлиенты[[name]:[_id]],2,0)</f>
        <v>67f56eca575fff8fe23c7ac0</v>
      </c>
      <c r="E560">
        <f>IFERROR(IF(ТабЗаказы[[#This Row],[orderSumm]]&gt;10000,10,VLOOKUP(ТабЗаказы[[#This Row],[client]],ТабКлиенты[[name]:[percent]],MATCH(E$1,ТабКлиенты[#Headers],0),0)),"")</f>
        <v>15</v>
      </c>
      <c r="F560" s="18">
        <f>IFERROR(SUMIF(ТабПозиции[orderNum],ТабЗаказы[[#This Row],[orderNum]],ТабПозиции[orderSumm]),"")</f>
        <v>1303</v>
      </c>
      <c r="G560" s="18">
        <f>SUMIF(ТабПозиции[orderNum],ТабЗаказы[[#This Row],[orderNum]],ТабПозиции[deliverySumm])</f>
        <v>200</v>
      </c>
      <c r="H560" s="18">
        <f>SUMIF(ТабПозиции[orderNum],ТабЗаказы[[#This Row],[orderNum]],ТабПозиции[totalSumm])</f>
        <v>200</v>
      </c>
      <c r="I560" s="18" t="str">
        <f>IFERROR(VLOOKUP(ТабЗаказы[[#This Row],[orderNum]],ТабПозиции[#Data],22,0),"")</f>
        <v>true</v>
      </c>
    </row>
    <row r="561" spans="1:9" x14ac:dyDescent="0.25">
      <c r="A561">
        <f t="shared" si="10"/>
        <v>560</v>
      </c>
      <c r="B561" s="1">
        <v>45751</v>
      </c>
      <c r="C561" t="s">
        <v>2773</v>
      </c>
      <c r="D561" t="str">
        <f>VLOOKUP(ТабЗаказы[[#This Row],[client]],ТабКлиенты[[name]:[_id]],2,0)</f>
        <v>67f56eca575fff8fe23c7b0b</v>
      </c>
      <c r="E561">
        <f>IFERROR(IF(ТабЗаказы[[#This Row],[orderSumm]]&gt;10000,10,VLOOKUP(ТабЗаказы[[#This Row],[client]],ТабКлиенты[[name]:[percent]],MATCH(E$1,ТабКлиенты[#Headers],0),0)),"")</f>
        <v>15</v>
      </c>
      <c r="F561" s="18">
        <f>IFERROR(SUMIF(ТабПозиции[orderNum],ТабЗаказы[[#This Row],[orderNum]],ТабПозиции[orderSumm]),"")</f>
        <v>440</v>
      </c>
      <c r="G561" s="18">
        <f>SUMIF(ТабПозиции[orderNum],ТабЗаказы[[#This Row],[orderNum]],ТабПозиции[deliverySumm])</f>
        <v>200</v>
      </c>
      <c r="H561" s="18">
        <f>SUMIF(ТабПозиции[orderNum],ТабЗаказы[[#This Row],[orderNum]],ТабПозиции[totalSumm])</f>
        <v>200</v>
      </c>
      <c r="I561" s="18" t="str">
        <f>IFERROR(VLOOKUP(ТабЗаказы[[#This Row],[orderNum]],ТабПозиции[#Data],22,0),"")</f>
        <v>true</v>
      </c>
    </row>
    <row r="562" spans="1:9" x14ac:dyDescent="0.25">
      <c r="A562">
        <f t="shared" si="10"/>
        <v>561</v>
      </c>
      <c r="B562" s="106">
        <v>45754</v>
      </c>
      <c r="C562" t="s">
        <v>2470</v>
      </c>
      <c r="D562" t="str">
        <f>VLOOKUP(ТабЗаказы[[#This Row],[client]],ТабКлиенты[[name]:[_id]],2,0)</f>
        <v>67f56eca575fff8fe23c7af6</v>
      </c>
      <c r="E562">
        <f>IFERROR(IF(ТабЗаказы[[#This Row],[orderSumm]]&gt;10000,10,VLOOKUP(ТабЗаказы[[#This Row],[client]],ТабКлиенты[[name]:[percent]],MATCH(E$1,ТабКлиенты[#Headers],0),0)),"")</f>
        <v>15</v>
      </c>
      <c r="F562" s="18">
        <f>IFERROR(SUMIF(ТабПозиции[orderNum],ТабЗаказы[[#This Row],[orderNum]],ТабПозиции[orderSumm]),"")</f>
        <v>3356</v>
      </c>
      <c r="G562" s="18">
        <f>SUMIF(ТабПозиции[orderNum],ТабЗаказы[[#This Row],[orderNum]],ТабПозиции[deliverySumm])</f>
        <v>504</v>
      </c>
      <c r="H562" s="18">
        <f>SUMIF(ТабПозиции[orderNum],ТабЗаказы[[#This Row],[orderNum]],ТабПозиции[totalSumm])</f>
        <v>3860</v>
      </c>
      <c r="I562" s="18" t="str">
        <f>IFERROR(VLOOKUP(ТабЗаказы[[#This Row],[orderNum]],ТабПозиции[#Data],22,0),"")</f>
        <v>true</v>
      </c>
    </row>
    <row r="563" spans="1:9" x14ac:dyDescent="0.25">
      <c r="A563">
        <f t="shared" si="10"/>
        <v>562</v>
      </c>
      <c r="B563" s="106">
        <v>45754</v>
      </c>
      <c r="C563" t="s">
        <v>357</v>
      </c>
      <c r="D563" t="str">
        <f>VLOOKUP(ТабЗаказы[[#This Row],[client]],ТабКлиенты[[name]:[_id]],2,0)</f>
        <v>67f56eca575fff8fe23c7a7d</v>
      </c>
      <c r="E563">
        <f>IFERROR(IF(ТабЗаказы[[#This Row],[orderSumm]]&gt;10000,10,VLOOKUP(ТабЗаказы[[#This Row],[client]],ТабКлиенты[[name]:[percent]],MATCH(E$1,ТабКлиенты[#Headers],0),0)),"")</f>
        <v>15</v>
      </c>
      <c r="F563" s="18">
        <f>IFERROR(SUMIF(ТабПозиции[orderNum],ТабЗаказы[[#This Row],[orderNum]],ТабПозиции[orderSumm]),"")</f>
        <v>3992</v>
      </c>
      <c r="G563" s="18">
        <f>SUMIF(ТабПозиции[orderNum],ТабЗаказы[[#This Row],[orderNum]],ТабПозиции[deliverySumm])</f>
        <v>599</v>
      </c>
      <c r="H563" s="18">
        <f>SUMIF(ТабПозиции[orderNum],ТабЗаказы[[#This Row],[orderNum]],ТабПозиции[totalSumm])</f>
        <v>4591</v>
      </c>
      <c r="I563" s="18" t="str">
        <f>IFERROR(VLOOKUP(ТабЗаказы[[#This Row],[orderNum]],ТабПозиции[#Data],22,0),"")</f>
        <v>true</v>
      </c>
    </row>
    <row r="564" spans="1:9" x14ac:dyDescent="0.25">
      <c r="A564">
        <f t="shared" si="10"/>
        <v>563</v>
      </c>
      <c r="B564" s="106">
        <v>45754</v>
      </c>
      <c r="C564" t="s">
        <v>1797</v>
      </c>
      <c r="D564" t="str">
        <f>VLOOKUP(ТабЗаказы[[#This Row],[client]],ТабКлиенты[[name]:[_id]],2,0)</f>
        <v>67f56eca575fff8fe23c7ac7</v>
      </c>
      <c r="E564">
        <f>IFERROR(IF(ТабЗаказы[[#This Row],[orderSumm]]&gt;10000,10,VLOOKUP(ТабЗаказы[[#This Row],[client]],ТабКлиенты[[name]:[percent]],MATCH(E$1,ТабКлиенты[#Headers],0),0)),"")</f>
        <v>15</v>
      </c>
      <c r="F564" s="18">
        <f>IFERROR(SUMIF(ТабПозиции[orderNum],ТабЗаказы[[#This Row],[orderNum]],ТабПозиции[orderSumm]),"")</f>
        <v>1721</v>
      </c>
      <c r="G564" s="18">
        <f>SUMIF(ТабПозиции[orderNum],ТабЗаказы[[#This Row],[orderNum]],ТабПозиции[deliverySumm])</f>
        <v>258</v>
      </c>
      <c r="H564" s="18">
        <f>SUMIF(ТабПозиции[orderNum],ТабЗаказы[[#This Row],[orderNum]],ТабПозиции[totalSumm])</f>
        <v>1979</v>
      </c>
      <c r="I564" s="18" t="str">
        <f>IFERROR(VLOOKUP(ТабЗаказы[[#This Row],[orderNum]],ТабПозиции[#Data],22,0),"")</f>
        <v>false</v>
      </c>
    </row>
    <row r="565" spans="1:9" x14ac:dyDescent="0.25">
      <c r="A565">
        <f t="shared" si="10"/>
        <v>564</v>
      </c>
      <c r="B565" s="106">
        <v>45755</v>
      </c>
      <c r="C565" t="s">
        <v>148</v>
      </c>
      <c r="D565" t="str">
        <f>VLOOKUP(ТабЗаказы[[#This Row],[client]],ТабКлиенты[[name]:[_id]],2,0)</f>
        <v>67f56eca575fff8fe23c7a3b</v>
      </c>
      <c r="E565">
        <f>IFERROR(IF(ТабЗаказы[[#This Row],[orderSumm]]&gt;10000,10,VLOOKUP(ТабЗаказы[[#This Row],[client]],ТабКлиенты[[name]:[percent]],MATCH(E$1,ТабКлиенты[#Headers],0),0)),"")</f>
        <v>15</v>
      </c>
      <c r="F565" s="18">
        <f>IFERROR(SUMIF(ТабПозиции[orderNum],ТабЗаказы[[#This Row],[orderNum]],ТабПозиции[orderSumm]),"")</f>
        <v>2180</v>
      </c>
      <c r="G565" s="18">
        <f>SUMIF(ТабПозиции[orderNum],ТабЗаказы[[#This Row],[orderNum]],ТабПозиции[deliverySumm])</f>
        <v>327</v>
      </c>
      <c r="H565" s="18">
        <f>SUMIF(ТабПозиции[orderNum],ТабЗаказы[[#This Row],[orderNum]],ТабПозиции[totalSumm])</f>
        <v>2507</v>
      </c>
      <c r="I565" s="18" t="str">
        <f>IFERROR(VLOOKUP(ТабЗаказы[[#This Row],[orderNum]],ТабПозиции[#Data],22,0),"")</f>
        <v>true</v>
      </c>
    </row>
    <row r="566" spans="1:9" x14ac:dyDescent="0.25">
      <c r="A566">
        <f t="shared" si="10"/>
        <v>565</v>
      </c>
      <c r="B566" s="106">
        <v>45756</v>
      </c>
      <c r="C566" t="s">
        <v>1482</v>
      </c>
      <c r="D566" t="str">
        <f>VLOOKUP(ТабЗаказы[[#This Row],[client]],ТабКлиенты[[name]:[_id]],2,0)</f>
        <v>67f56eca575fff8fe23c7ab7</v>
      </c>
      <c r="E566">
        <f>IFERROR(IF(ТабЗаказы[[#This Row],[orderSumm]]&gt;10000,10,VLOOKUP(ТабЗаказы[[#This Row],[client]],ТабКлиенты[[name]:[percent]],MATCH(E$1,ТабКлиенты[#Headers],0),0)),"")</f>
        <v>15</v>
      </c>
      <c r="F566" s="18">
        <f>IFERROR(SUMIF(ТабПозиции[orderNum],ТабЗаказы[[#This Row],[orderNum]],ТабПозиции[orderSumm]),"")</f>
        <v>5134</v>
      </c>
      <c r="G566" s="18">
        <f>SUMIF(ТабПозиции[orderNum],ТабЗаказы[[#This Row],[orderNum]],ТабПозиции[deliverySumm])</f>
        <v>769</v>
      </c>
      <c r="H566" s="18">
        <f>SUMIF(ТабПозиции[orderNum],ТабЗаказы[[#This Row],[orderNum]],ТабПозиции[totalSumm])</f>
        <v>5903</v>
      </c>
      <c r="I566" s="18" t="str">
        <f>IFERROR(VLOOKUP(ТабЗаказы[[#This Row],[orderNum]],ТабПозиции[#Data],22,0),"")</f>
        <v>false</v>
      </c>
    </row>
    <row r="567" spans="1:9" x14ac:dyDescent="0.25">
      <c r="A567">
        <f t="shared" si="10"/>
        <v>566</v>
      </c>
      <c r="B567" s="106">
        <v>45755</v>
      </c>
      <c r="C567" t="s">
        <v>3069</v>
      </c>
      <c r="D567">
        <f>VLOOKUP(ТабЗаказы[[#This Row],[client]],ТабКлиенты[[name]:[_id]],2,0)</f>
        <v>0</v>
      </c>
      <c r="E567">
        <f>IFERROR(IF(ТабЗаказы[[#This Row],[orderSumm]]&gt;10000,10,VLOOKUP(ТабЗаказы[[#This Row],[client]],ТабКлиенты[[name]:[percent]],MATCH(E$1,ТабКлиенты[#Headers],0),0)),"")</f>
        <v>15</v>
      </c>
      <c r="F567" s="18">
        <f>IFERROR(SUMIF(ТабПозиции[orderNum],ТабЗаказы[[#This Row],[orderNum]],ТабПозиции[orderSumm]),"")</f>
        <v>923</v>
      </c>
      <c r="G567" s="18">
        <f>SUMIF(ТабПозиции[orderNum],ТабЗаказы[[#This Row],[orderNum]],ТабПозиции[deliverySumm])</f>
        <v>200</v>
      </c>
      <c r="H567" s="18">
        <f>SUMIF(ТабПозиции[orderNum],ТабЗаказы[[#This Row],[orderNum]],ТабПозиции[totalSumm])</f>
        <v>1123</v>
      </c>
      <c r="I567" s="18" t="str">
        <f>IFERROR(VLOOKUP(ТабЗаказы[[#This Row],[orderNum]],ТабПозиции[#Data],22,0),"")</f>
        <v>true</v>
      </c>
    </row>
    <row r="568" spans="1:9" x14ac:dyDescent="0.25">
      <c r="A568">
        <f t="shared" si="10"/>
        <v>567</v>
      </c>
      <c r="B568" s="106">
        <v>45758</v>
      </c>
      <c r="C568" t="s">
        <v>1482</v>
      </c>
      <c r="D568" t="str">
        <f>VLOOKUP(ТабЗаказы[[#This Row],[client]],ТабКлиенты[[name]:[_id]],2,0)</f>
        <v>67f56eca575fff8fe23c7ab7</v>
      </c>
      <c r="E568">
        <f>IFERROR(IF(ТабЗаказы[[#This Row],[orderSumm]]&gt;10000,10,VLOOKUP(ТабЗаказы[[#This Row],[client]],ТабКлиенты[[name]:[percent]],MATCH(E$1,ТабКлиенты[#Headers],0),0)),"")</f>
        <v>15</v>
      </c>
      <c r="F568" s="18">
        <f>IFERROR(SUMIF(ТабПозиции[orderNum],ТабЗаказы[[#This Row],[orderNum]],ТабПозиции[orderSumm]),"")</f>
        <v>2040</v>
      </c>
      <c r="G568" s="18">
        <f>SUMIF(ТабПозиции[orderNum],ТабЗаказы[[#This Row],[orderNum]],ТабПозиции[deliverySumm])</f>
        <v>306</v>
      </c>
      <c r="H568" s="18">
        <f>SUMIF(ТабПозиции[orderNum],ТабЗаказы[[#This Row],[orderNum]],ТабПозиции[totalSumm])</f>
        <v>2346</v>
      </c>
      <c r="I568" s="18" t="str">
        <f>IFERROR(VLOOKUP(ТабЗаказы[[#This Row],[orderNum]],ТабПозиции[#Data],22,0),"")</f>
        <v>false</v>
      </c>
    </row>
    <row r="569" spans="1:9" x14ac:dyDescent="0.25">
      <c r="A569">
        <f t="shared" si="10"/>
        <v>568</v>
      </c>
      <c r="B569" s="106">
        <v>45758</v>
      </c>
      <c r="C569" t="s">
        <v>493</v>
      </c>
      <c r="D569" t="str">
        <f>VLOOKUP(ТабЗаказы[[#This Row],[client]],ТабКлиенты[[name]:[_id]],2,0)</f>
        <v>67f56eca575fff8fe23c7aa4</v>
      </c>
      <c r="E569">
        <f>IFERROR(IF(ТабЗаказы[[#This Row],[orderSumm]]&gt;10000,10,VLOOKUP(ТабЗаказы[[#This Row],[client]],ТабКлиенты[[name]:[percent]],MATCH(E$1,ТабКлиенты[#Headers],0),0)),"")</f>
        <v>15</v>
      </c>
      <c r="F569" s="18">
        <f>IFERROR(SUMIF(ТабПозиции[orderNum],ТабЗаказы[[#This Row],[orderNum]],ТабПозиции[orderSumm]),"")</f>
        <v>2317</v>
      </c>
      <c r="G569" s="18">
        <f>SUMIF(ТабПозиции[orderNum],ТабЗаказы[[#This Row],[orderNum]],ТабПозиции[deliverySumm])</f>
        <v>348</v>
      </c>
      <c r="H569" s="18">
        <f>SUMIF(ТабПозиции[orderNum],ТабЗаказы[[#This Row],[orderNum]],ТабПозиции[totalSumm])</f>
        <v>348</v>
      </c>
      <c r="I569" s="18" t="str">
        <f>IFERROR(VLOOKUP(ТабЗаказы[[#This Row],[orderNum]],ТабПозиции[#Data],22,0),"")</f>
        <v>true</v>
      </c>
    </row>
    <row r="570" spans="1:9" x14ac:dyDescent="0.25">
      <c r="A570">
        <f t="shared" si="10"/>
        <v>569</v>
      </c>
      <c r="B570" s="106">
        <v>45758</v>
      </c>
      <c r="C570" t="s">
        <v>456</v>
      </c>
      <c r="D570" t="str">
        <f>VLOOKUP(ТабЗаказы[[#This Row],[client]],ТабКлиенты[[name]:[_id]],2,0)</f>
        <v>67f56eca575fff8fe23c7a99</v>
      </c>
      <c r="E570">
        <f>IFERROR(IF(ТабЗаказы[[#This Row],[orderSumm]]&gt;10000,10,VLOOKUP(ТабЗаказы[[#This Row],[client]],ТабКлиенты[[name]:[percent]],MATCH(E$1,ТабКлиенты[#Headers],0),0)),"")</f>
        <v>15</v>
      </c>
      <c r="F570" s="18">
        <f>IFERROR(SUMIF(ТабПозиции[orderNum],ТабЗаказы[[#This Row],[orderNum]],ТабПозиции[orderSumm]),"")</f>
        <v>1419</v>
      </c>
      <c r="G570" s="18">
        <f>SUMIF(ТабПозиции[orderNum],ТабЗаказы[[#This Row],[orderNum]],ТабПозиции[deliverySumm])</f>
        <v>200</v>
      </c>
      <c r="H570" s="18">
        <f>SUMIF(ТабПозиции[orderNum],ТабЗаказы[[#This Row],[orderNum]],ТабПозиции[totalSumm])</f>
        <v>200</v>
      </c>
      <c r="I570" s="18" t="str">
        <f>IFERROR(VLOOKUP(ТабЗаказы[[#This Row],[orderNum]],ТабПозиции[#Data],22,0),"")</f>
        <v>true</v>
      </c>
    </row>
    <row r="571" spans="1:9" x14ac:dyDescent="0.25">
      <c r="A571">
        <f t="shared" si="10"/>
        <v>570</v>
      </c>
      <c r="B571" s="106">
        <v>45760</v>
      </c>
      <c r="C571" t="s">
        <v>2741</v>
      </c>
      <c r="D571" t="str">
        <f>VLOOKUP(ТабЗаказы[[#This Row],[client]],ТабКлиенты[[name]:[_id]],2,0)</f>
        <v>67f56eca575fff8fe23c7b04</v>
      </c>
      <c r="E571">
        <f>IFERROR(IF(ТабЗаказы[[#This Row],[orderSumm]]&gt;10000,10,VLOOKUP(ТабЗаказы[[#This Row],[client]],ТабКлиенты[[name]:[percent]],MATCH(E$1,ТабКлиенты[#Headers],0),0)),"")</f>
        <v>15</v>
      </c>
      <c r="F571" s="18">
        <f>IFERROR(SUMIF(ТабПозиции[orderNum],ТабЗаказы[[#This Row],[orderNum]],ТабПозиции[orderSumm]),"")</f>
        <v>8702</v>
      </c>
      <c r="G571" s="18">
        <f>SUMIF(ТабПозиции[orderNum],ТабЗаказы[[#This Row],[orderNum]],ТабПозиции[deliverySumm])</f>
        <v>1306</v>
      </c>
      <c r="H571" s="18">
        <f>SUMIF(ТабПозиции[orderNum],ТабЗаказы[[#This Row],[orderNum]],ТабПозиции[totalSumm])</f>
        <v>10008</v>
      </c>
      <c r="I571" s="18" t="str">
        <f>IFERROR(VLOOKUP(ТабЗаказы[[#This Row],[orderNum]],ТабПозиции[#Data],22,0),"")</f>
        <v>false</v>
      </c>
    </row>
    <row r="572" spans="1:9" x14ac:dyDescent="0.25">
      <c r="A572">
        <f t="shared" si="10"/>
        <v>571</v>
      </c>
      <c r="B572" s="106">
        <v>45761</v>
      </c>
      <c r="C572" t="s">
        <v>148</v>
      </c>
      <c r="D572" t="str">
        <f>VLOOKUP(ТабЗаказы[[#This Row],[client]],ТабКлиенты[[name]:[_id]],2,0)</f>
        <v>67f56eca575fff8fe23c7a3b</v>
      </c>
      <c r="E572">
        <f>IFERROR(IF(ТабЗаказы[[#This Row],[orderSumm]]&gt;10000,10,VLOOKUP(ТабЗаказы[[#This Row],[client]],ТабКлиенты[[name]:[percent]],MATCH(E$1,ТабКлиенты[#Headers],0),0)),"")</f>
        <v>15</v>
      </c>
      <c r="F572" s="18">
        <f>IFERROR(SUMIF(ТабПозиции[orderNum],ТабЗаказы[[#This Row],[orderNum]],ТабПозиции[orderSumm]),"")</f>
        <v>2600</v>
      </c>
      <c r="G572" s="18">
        <f>SUMIF(ТабПозиции[orderNum],ТабЗаказы[[#This Row],[orderNum]],ТабПозиции[deliverySumm])</f>
        <v>390</v>
      </c>
      <c r="H572" s="18">
        <f>SUMIF(ТабПозиции[orderNum],ТабЗаказы[[#This Row],[orderNum]],ТабПозиции[totalSumm])</f>
        <v>1140</v>
      </c>
      <c r="I572" s="18" t="str">
        <f>IFERROR(VLOOKUP(ТабЗаказы[[#This Row],[orderNum]],ТабПозиции[#Data],22,0),"")</f>
        <v>false</v>
      </c>
    </row>
    <row r="573" spans="1:9" x14ac:dyDescent="0.25">
      <c r="A573">
        <f t="shared" si="10"/>
        <v>572</v>
      </c>
      <c r="B573" s="106">
        <v>45760</v>
      </c>
      <c r="C573" t="s">
        <v>2578</v>
      </c>
      <c r="D573" t="str">
        <f>VLOOKUP(ТабЗаказы[[#This Row],[client]],ТабКлиенты[[name]:[_id]],2,0)</f>
        <v>67f56eca575fff8fe23c7afc</v>
      </c>
      <c r="E573">
        <f>IFERROR(IF(ТабЗаказы[[#This Row],[orderSumm]]&gt;10000,10,VLOOKUP(ТабЗаказы[[#This Row],[client]],ТабКлиенты[[name]:[percent]],MATCH(E$1,ТабКлиенты[#Headers],0),0)),"")</f>
        <v>15</v>
      </c>
      <c r="F573" s="18">
        <f>IFERROR(SUMIF(ТабПозиции[orderNum],ТабЗаказы[[#This Row],[orderNum]],ТабПозиции[orderSumm]),"")</f>
        <v>322</v>
      </c>
      <c r="G573" s="18">
        <f>SUMIF(ТабПозиции[orderNum],ТабЗаказы[[#This Row],[orderNum]],ТабПозиции[deliverySumm])</f>
        <v>200</v>
      </c>
      <c r="H573" s="18">
        <f>SUMIF(ТабПозиции[orderNum],ТабЗаказы[[#This Row],[orderNum]],ТабПозиции[totalSumm])</f>
        <v>522</v>
      </c>
      <c r="I573" s="18" t="str">
        <f>IFERROR(VLOOKUP(ТабЗаказы[[#This Row],[orderNum]],ТабПозиции[#Data],22,0),"")</f>
        <v>false</v>
      </c>
    </row>
    <row r="574" spans="1:9" x14ac:dyDescent="0.25">
      <c r="A574">
        <f t="shared" si="10"/>
        <v>573</v>
      </c>
      <c r="B574" s="106">
        <v>45764</v>
      </c>
      <c r="C574" t="s">
        <v>1482</v>
      </c>
      <c r="D574" t="str">
        <f>VLOOKUP(ТабЗаказы[[#This Row],[client]],ТабКлиенты[[name]:[_id]],2,0)</f>
        <v>67f56eca575fff8fe23c7ab7</v>
      </c>
      <c r="E574">
        <f>IFERROR(IF(ТабЗаказы[[#This Row],[orderSumm]]&gt;10000,10,VLOOKUP(ТабЗаказы[[#This Row],[client]],ТабКлиенты[[name]:[percent]],MATCH(E$1,ТабКлиенты[#Headers],0),0)),"")</f>
        <v>15</v>
      </c>
      <c r="F574" s="18">
        <f>IFERROR(SUMIF(ТабПозиции[orderNum],ТабЗаказы[[#This Row],[orderNum]],ТабПозиции[orderSumm]),"")</f>
        <v>6154</v>
      </c>
      <c r="G574" s="18">
        <f>SUMIF(ТабПозиции[orderNum],ТабЗаказы[[#This Row],[orderNum]],ТабПозиции[deliverySumm])</f>
        <v>922</v>
      </c>
      <c r="H574" s="18">
        <f>SUMIF(ТабПозиции[orderNum],ТабЗаказы[[#This Row],[orderNum]],ТабПозиции[totalSumm])</f>
        <v>7076</v>
      </c>
      <c r="I574" s="18" t="str">
        <f>IFERROR(VLOOKUP(ТабЗаказы[[#This Row],[orderNum]],ТабПозиции[#Data],22,0),"")</f>
        <v>false</v>
      </c>
    </row>
    <row r="575" spans="1:9" x14ac:dyDescent="0.25">
      <c r="A575">
        <f t="shared" si="10"/>
        <v>574</v>
      </c>
      <c r="B575" s="106">
        <v>45765</v>
      </c>
      <c r="C575" t="s">
        <v>97</v>
      </c>
      <c r="D575" t="str">
        <f>VLOOKUP(ТабЗаказы[[#This Row],[client]],ТабКлиенты[[name]:[_id]],2,0)</f>
        <v>67f56eca575fff8fe23c7a2a</v>
      </c>
      <c r="E575">
        <f>IFERROR(IF(ТабЗаказы[[#This Row],[orderSumm]]&gt;10000,10,VLOOKUP(ТабЗаказы[[#This Row],[client]],ТабКлиенты[[name]:[percent]],MATCH(E$1,ТабКлиенты[#Headers],0),0)),"")</f>
        <v>10</v>
      </c>
      <c r="F575" s="18">
        <f>IFERROR(SUMIF(ТабПозиции[orderNum],ТабЗаказы[[#This Row],[orderNum]],ТабПозиции[orderSumm]),"")</f>
        <v>4500</v>
      </c>
      <c r="G575" s="18">
        <f>SUMIF(ТабПозиции[orderNum],ТабЗаказы[[#This Row],[orderNum]],ТабПозиции[deliverySumm])</f>
        <v>450</v>
      </c>
      <c r="H575" s="18">
        <f>SUMIF(ТабПозиции[orderNum],ТабЗаказы[[#This Row],[orderNum]],ТабПозиции[totalSumm])</f>
        <v>450</v>
      </c>
      <c r="I575" s="18" t="str">
        <f>IFERROR(VLOOKUP(ТабЗаказы[[#This Row],[orderNum]],ТабПозиции[#Data],22,0),"")</f>
        <v>true</v>
      </c>
    </row>
    <row r="576" spans="1:9" x14ac:dyDescent="0.25">
      <c r="A576">
        <f t="shared" si="10"/>
        <v>575</v>
      </c>
      <c r="B576" s="106">
        <v>45765</v>
      </c>
      <c r="C576" t="s">
        <v>97</v>
      </c>
      <c r="D576" t="str">
        <f>VLOOKUP(ТабЗаказы[[#This Row],[client]],ТабКлиенты[[name]:[_id]],2,0)</f>
        <v>67f56eca575fff8fe23c7a2a</v>
      </c>
      <c r="E576">
        <v>15</v>
      </c>
      <c r="F576" s="18">
        <f>IFERROR(SUMIF(ТабПозиции[orderNum],ТабЗаказы[[#This Row],[orderNum]],ТабПозиции[orderSumm]),"")</f>
        <v>11000</v>
      </c>
      <c r="G576" s="18">
        <f>SUMIF(ТабПозиции[orderNum],ТабЗаказы[[#This Row],[orderNum]],ТабПозиции[deliverySumm])</f>
        <v>1650</v>
      </c>
      <c r="H576" s="18">
        <f>SUMIF(ТабПозиции[orderNum],ТабЗаказы[[#This Row],[orderNum]],ТабПозиции[totalSumm])</f>
        <v>1650</v>
      </c>
      <c r="I576" s="18" t="str">
        <f>IFERROR(VLOOKUP(ТабЗаказы[[#This Row],[orderNum]],ТабПозиции[#Data],22,0),"")</f>
        <v>true</v>
      </c>
    </row>
    <row r="577" spans="1:9" x14ac:dyDescent="0.25">
      <c r="A577">
        <f t="shared" si="10"/>
        <v>576</v>
      </c>
      <c r="B577" s="106">
        <v>45765</v>
      </c>
      <c r="C577" t="s">
        <v>1502</v>
      </c>
      <c r="D577" t="str">
        <f>VLOOKUP(ТабЗаказы[[#This Row],[client]],ТабКлиенты[[name]:[_id]],2,0)</f>
        <v>67f56eca575fff8fe23c7a28</v>
      </c>
      <c r="E577">
        <f>IFERROR(IF(ТабЗаказы[[#This Row],[orderSumm]]&gt;10000,10,VLOOKUP(ТабЗаказы[[#This Row],[client]],ТабКлиенты[[name]:[percent]],MATCH(E$1,ТабКлиенты[#Headers],0),0)),"")</f>
        <v>15</v>
      </c>
      <c r="F577" s="18">
        <f>IFERROR(SUMIF(ТабПозиции[orderNum],ТабЗаказы[[#This Row],[orderNum]],ТабПозиции[orderSumm]),"")</f>
        <v>4802</v>
      </c>
      <c r="G577" s="18">
        <f>SUMIF(ТабПозиции[orderNum],ТабЗаказы[[#This Row],[orderNum]],ТабПозиции[deliverySumm])</f>
        <v>720</v>
      </c>
      <c r="H577" s="18">
        <f>SUMIF(ТабПозиции[orderNum],ТабЗаказы[[#This Row],[orderNum]],ТабПозиции[totalSumm])</f>
        <v>5522</v>
      </c>
      <c r="I577" s="18" t="str">
        <f>IFERROR(VLOOKUP(ТабЗаказы[[#This Row],[orderNum]],ТабПозиции[#Data],22,0),"")</f>
        <v>false</v>
      </c>
    </row>
    <row r="578" spans="1:9" x14ac:dyDescent="0.25">
      <c r="A578">
        <f t="shared" si="10"/>
        <v>577</v>
      </c>
      <c r="B578" s="106">
        <v>45765</v>
      </c>
      <c r="C578" t="s">
        <v>210</v>
      </c>
      <c r="D578" t="str">
        <f>VLOOKUP(ТабЗаказы[[#This Row],[client]],ТабКлиенты[[name]:[_id]],2,0)</f>
        <v>67f56eca575fff8fe23c7a52</v>
      </c>
      <c r="E578">
        <f>IFERROR(IF(ТабЗаказы[[#This Row],[orderSumm]]&gt;10000,10,VLOOKUP(ТабЗаказы[[#This Row],[client]],ТабКлиенты[[name]:[percent]],MATCH(E$1,ТабКлиенты[#Headers],0),0)),"")</f>
        <v>15</v>
      </c>
      <c r="F578" s="18">
        <f>IFERROR(SUMIF(ТабПозиции[orderNum],ТабЗаказы[[#This Row],[orderNum]],ТабПозиции[orderSumm]),"")</f>
        <v>1792</v>
      </c>
      <c r="G578" s="18">
        <f>SUMIF(ТабПозиции[orderNum],ТабЗаказы[[#This Row],[orderNum]],ТабПозиции[deliverySumm])</f>
        <v>269</v>
      </c>
      <c r="H578" s="18">
        <f>SUMIF(ТабПозиции[orderNum],ТабЗаказы[[#This Row],[orderNum]],ТабПозиции[totalSumm])</f>
        <v>2061</v>
      </c>
      <c r="I578" s="18" t="str">
        <f>IFERROR(VLOOKUP(ТабЗаказы[[#This Row],[orderNum]],ТабПозиции[#Data],22,0),"")</f>
        <v>false</v>
      </c>
    </row>
    <row r="579" spans="1:9" x14ac:dyDescent="0.25">
      <c r="A579">
        <f t="shared" si="10"/>
        <v>578</v>
      </c>
      <c r="D579" t="e">
        <f>VLOOKUP(ТабЗаказы[[#This Row],[client]],ТабКлиенты[[name]:[_id]],2,0)</f>
        <v>#N/A</v>
      </c>
      <c r="E579" t="str">
        <f>IFERROR(IF(ТабЗаказы[[#This Row],[orderSumm]]&gt;10000,10,VLOOKUP(ТабЗаказы[[#This Row],[client]],ТабКлиенты[[name]:[percent]],MATCH(E$1,ТабКлиенты[#Headers],0),0)),"")</f>
        <v/>
      </c>
      <c r="F579" s="18">
        <f>IFERROR(SUMIF(ТабПозиции[orderNum],ТабЗаказы[[#This Row],[orderNum]],ТабПозиции[orderSumm]),"")</f>
        <v>0</v>
      </c>
      <c r="G579" s="18">
        <f>SUMIF(ТабПозиции[orderNum],ТабЗаказы[[#This Row],[orderNum]],ТабПозиции[deliverySumm])</f>
        <v>0</v>
      </c>
      <c r="H579" s="18">
        <f>SUMIF(ТабПозиции[orderNum],ТабЗаказы[[#This Row],[orderNum]],ТабПозиции[totalSumm])</f>
        <v>0</v>
      </c>
      <c r="I579" s="18" t="str">
        <f>IFERROR(VLOOKUP(ТабЗаказы[[#This Row],[orderNum]],ТабПозиции[#Data],22,0),"")</f>
        <v/>
      </c>
    </row>
    <row r="580" spans="1:9" x14ac:dyDescent="0.25">
      <c r="A580">
        <f t="shared" si="10"/>
        <v>579</v>
      </c>
      <c r="D580" t="e">
        <f>VLOOKUP(ТабЗаказы[[#This Row],[client]],ТабКлиенты[[name]:[_id]],2,0)</f>
        <v>#N/A</v>
      </c>
      <c r="E580" t="str">
        <f>IFERROR(IF(ТабЗаказы[[#This Row],[orderSumm]]&gt;10000,10,VLOOKUP(ТабЗаказы[[#This Row],[client]],ТабКлиенты[[name]:[percent]],MATCH(E$1,ТабКлиенты[#Headers],0),0)),"")</f>
        <v/>
      </c>
      <c r="F580" s="18">
        <f>IFERROR(SUMIF(ТабПозиции[orderNum],ТабЗаказы[[#This Row],[orderNum]],ТабПозиции[orderSumm]),"")</f>
        <v>0</v>
      </c>
      <c r="G580" s="18">
        <f>SUMIF(ТабПозиции[orderNum],ТабЗаказы[[#This Row],[orderNum]],ТабПозиции[deliverySumm])</f>
        <v>0</v>
      </c>
      <c r="H580" s="18">
        <f>SUMIF(ТабПозиции[orderNum],ТабЗаказы[[#This Row],[orderNum]],ТабПозиции[totalSumm])</f>
        <v>0</v>
      </c>
      <c r="I580" s="18" t="str">
        <f>IFERROR(VLOOKUP(ТабЗаказы[[#This Row],[orderNum]],ТабПозиции[#Data],22,0),"")</f>
        <v/>
      </c>
    </row>
    <row r="581" spans="1:9" x14ac:dyDescent="0.25">
      <c r="A581">
        <f t="shared" si="10"/>
        <v>580</v>
      </c>
      <c r="D581" t="e">
        <f>VLOOKUP(ТабЗаказы[[#This Row],[client]],ТабКлиенты[[name]:[_id]],2,0)</f>
        <v>#N/A</v>
      </c>
      <c r="E581" t="str">
        <f>IFERROR(IF(ТабЗаказы[[#This Row],[orderSumm]]&gt;10000,10,VLOOKUP(ТабЗаказы[[#This Row],[client]],ТабКлиенты[[name]:[percent]],MATCH(E$1,ТабКлиенты[#Headers],0),0)),"")</f>
        <v/>
      </c>
      <c r="F581" s="18">
        <f>IFERROR(SUMIF(ТабПозиции[orderNum],ТабЗаказы[[#This Row],[orderNum]],ТабПозиции[orderSumm]),"")</f>
        <v>0</v>
      </c>
      <c r="G581" s="18">
        <f>SUMIF(ТабПозиции[orderNum],ТабЗаказы[[#This Row],[orderNum]],ТабПозиции[deliverySumm])</f>
        <v>0</v>
      </c>
      <c r="H581" s="18">
        <f>SUMIF(ТабПозиции[orderNum],ТабЗаказы[[#This Row],[orderNum]],ТабПозиции[totalSumm])</f>
        <v>0</v>
      </c>
      <c r="I581" s="18" t="str">
        <f>IFERROR(VLOOKUP(ТабЗаказы[[#This Row],[orderNum]],ТабПозиции[#Data],22,0),"")</f>
        <v/>
      </c>
    </row>
    <row r="582" spans="1:9" x14ac:dyDescent="0.25">
      <c r="A582">
        <f t="shared" si="10"/>
        <v>581</v>
      </c>
      <c r="D582" t="e">
        <f>VLOOKUP(ТабЗаказы[[#This Row],[client]],ТабКлиенты[[name]:[_id]],2,0)</f>
        <v>#N/A</v>
      </c>
      <c r="E582" t="str">
        <f>IFERROR(IF(ТабЗаказы[[#This Row],[orderSumm]]&gt;10000,10,VLOOKUP(ТабЗаказы[[#This Row],[client]],ТабКлиенты[[name]:[percent]],MATCH(E$1,ТабКлиенты[#Headers],0),0)),"")</f>
        <v/>
      </c>
      <c r="F582" s="18">
        <f>IFERROR(SUMIF(ТабПозиции[orderNum],ТабЗаказы[[#This Row],[orderNum]],ТабПозиции[orderSumm]),"")</f>
        <v>0</v>
      </c>
      <c r="G582" s="18">
        <f>SUMIF(ТабПозиции[orderNum],ТабЗаказы[[#This Row],[orderNum]],ТабПозиции[deliverySumm])</f>
        <v>0</v>
      </c>
      <c r="H582" s="18">
        <f>SUMIF(ТабПозиции[orderNum],ТабЗаказы[[#This Row],[orderNum]],ТабПозиции[totalSumm])</f>
        <v>0</v>
      </c>
      <c r="I582" s="18" t="str">
        <f>IFERROR(VLOOKUP(ТабЗаказы[[#This Row],[orderNum]],ТабПозиции[#Data],22,0),"")</f>
        <v/>
      </c>
    </row>
    <row r="583" spans="1:9" x14ac:dyDescent="0.25">
      <c r="A583">
        <f t="shared" si="10"/>
        <v>582</v>
      </c>
      <c r="D583" t="e">
        <f>VLOOKUP(ТабЗаказы[[#This Row],[client]],ТабКлиенты[[name]:[_id]],2,0)</f>
        <v>#N/A</v>
      </c>
      <c r="E583" t="str">
        <f>IFERROR(IF(ТабЗаказы[[#This Row],[orderSumm]]&gt;10000,10,VLOOKUP(ТабЗаказы[[#This Row],[client]],ТабКлиенты[[name]:[percent]],MATCH(E$1,ТабКлиенты[#Headers],0),0)),"")</f>
        <v/>
      </c>
      <c r="F583" s="18">
        <f>IFERROR(SUMIF(ТабПозиции[orderNum],ТабЗаказы[[#This Row],[orderNum]],ТабПозиции[orderSumm]),"")</f>
        <v>0</v>
      </c>
      <c r="G583" s="18">
        <f>SUMIF(ТабПозиции[orderNum],ТабЗаказы[[#This Row],[orderNum]],ТабПозиции[deliverySumm])</f>
        <v>0</v>
      </c>
      <c r="H583" s="18">
        <f>SUMIF(ТабПозиции[orderNum],ТабЗаказы[[#This Row],[orderNum]],ТабПозиции[totalSumm])</f>
        <v>0</v>
      </c>
      <c r="I583" s="18" t="str">
        <f>IFERROR(VLOOKUP(ТабЗаказы[[#This Row],[orderNum]],ТабПозиции[#Data],22,0),"")</f>
        <v/>
      </c>
    </row>
    <row r="584" spans="1:9" x14ac:dyDescent="0.25">
      <c r="A584">
        <f t="shared" si="10"/>
        <v>583</v>
      </c>
      <c r="D584" t="e">
        <f>VLOOKUP(ТабЗаказы[[#This Row],[client]],ТабКлиенты[[name]:[_id]],2,0)</f>
        <v>#N/A</v>
      </c>
      <c r="E584" t="str">
        <f>IFERROR(IF(ТабЗаказы[[#This Row],[orderSumm]]&gt;10000,10,VLOOKUP(ТабЗаказы[[#This Row],[client]],ТабКлиенты[[name]:[percent]],MATCH(E$1,ТабКлиенты[#Headers],0),0)),"")</f>
        <v/>
      </c>
      <c r="F584" s="18">
        <f>IFERROR(SUMIF(ТабПозиции[orderNum],ТабЗаказы[[#This Row],[orderNum]],ТабПозиции[orderSumm]),"")</f>
        <v>0</v>
      </c>
      <c r="G584" s="18">
        <f>SUMIF(ТабПозиции[orderNum],ТабЗаказы[[#This Row],[orderNum]],ТабПозиции[deliverySumm])</f>
        <v>0</v>
      </c>
      <c r="H584" s="18">
        <f>SUMIF(ТабПозиции[orderNum],ТабЗаказы[[#This Row],[orderNum]],ТабПозиции[totalSumm])</f>
        <v>0</v>
      </c>
      <c r="I584" s="18" t="str">
        <f>IFERROR(VLOOKUP(ТабЗаказы[[#This Row],[orderNum]],ТабПозиции[#Data],22,0),"")</f>
        <v/>
      </c>
    </row>
    <row r="585" spans="1:9" x14ac:dyDescent="0.25">
      <c r="A585">
        <f t="shared" si="10"/>
        <v>584</v>
      </c>
      <c r="D585" t="e">
        <f>VLOOKUP(ТабЗаказы[[#This Row],[client]],ТабКлиенты[[name]:[_id]],2,0)</f>
        <v>#N/A</v>
      </c>
      <c r="E585" t="str">
        <f>IFERROR(IF(ТабЗаказы[[#This Row],[orderSumm]]&gt;10000,10,VLOOKUP(ТабЗаказы[[#This Row],[client]],ТабКлиенты[[name]:[percent]],MATCH(E$1,ТабКлиенты[#Headers],0),0)),"")</f>
        <v/>
      </c>
      <c r="F585" s="18">
        <f>IFERROR(SUMIF(ТабПозиции[orderNum],ТабЗаказы[[#This Row],[orderNum]],ТабПозиции[orderSumm]),"")</f>
        <v>0</v>
      </c>
      <c r="G585" s="18">
        <f>SUMIF(ТабПозиции[orderNum],ТабЗаказы[[#This Row],[orderNum]],ТабПозиции[deliverySumm])</f>
        <v>0</v>
      </c>
      <c r="H585" s="18">
        <f>SUMIF(ТабПозиции[orderNum],ТабЗаказы[[#This Row],[orderNum]],ТабПозиции[totalSumm])</f>
        <v>0</v>
      </c>
      <c r="I585" s="18" t="str">
        <f>IFERROR(VLOOKUP(ТабЗаказы[[#This Row],[orderNum]],ТабПозиции[#Data],22,0),"")</f>
        <v/>
      </c>
    </row>
    <row r="586" spans="1:9" x14ac:dyDescent="0.25">
      <c r="A586">
        <f t="shared" si="10"/>
        <v>585</v>
      </c>
      <c r="D586" t="e">
        <f>VLOOKUP(ТабЗаказы[[#This Row],[client]],ТабКлиенты[[name]:[_id]],2,0)</f>
        <v>#N/A</v>
      </c>
      <c r="E586" t="str">
        <f>IFERROR(IF(ТабЗаказы[[#This Row],[orderSumm]]&gt;10000,10,VLOOKUP(ТабЗаказы[[#This Row],[client]],ТабКлиенты[[name]:[percent]],MATCH(E$1,ТабКлиенты[#Headers],0),0)),"")</f>
        <v/>
      </c>
      <c r="F586" s="18">
        <f>IFERROR(SUMIF(ТабПозиции[orderNum],ТабЗаказы[[#This Row],[orderNum]],ТабПозиции[orderSumm]),"")</f>
        <v>0</v>
      </c>
      <c r="G586" s="18">
        <f>SUMIF(ТабПозиции[orderNum],ТабЗаказы[[#This Row],[orderNum]],ТабПозиции[deliverySumm])</f>
        <v>0</v>
      </c>
      <c r="H586" s="18">
        <f>SUMIF(ТабПозиции[orderNum],ТабЗаказы[[#This Row],[orderNum]],ТабПозиции[totalSumm])</f>
        <v>0</v>
      </c>
      <c r="I586" s="18" t="str">
        <f>IFERROR(VLOOKUP(ТабЗаказы[[#This Row],[orderNum]],ТабПозиции[#Data],22,0),"")</f>
        <v/>
      </c>
    </row>
    <row r="587" spans="1:9" x14ac:dyDescent="0.25">
      <c r="A587">
        <f t="shared" si="10"/>
        <v>586</v>
      </c>
      <c r="D587" t="e">
        <f>VLOOKUP(ТабЗаказы[[#This Row],[client]],ТабКлиенты[[name]:[_id]],2,0)</f>
        <v>#N/A</v>
      </c>
      <c r="E587" t="str">
        <f>IFERROR(IF(ТабЗаказы[[#This Row],[orderSumm]]&gt;10000,10,VLOOKUP(ТабЗаказы[[#This Row],[client]],ТабКлиенты[[name]:[percent]],MATCH(E$1,ТабКлиенты[#Headers],0),0)),"")</f>
        <v/>
      </c>
      <c r="F587" s="18">
        <f>IFERROR(SUMIF(ТабПозиции[orderNum],ТабЗаказы[[#This Row],[orderNum]],ТабПозиции[orderSumm]),"")</f>
        <v>0</v>
      </c>
      <c r="G587" s="18">
        <f>SUMIF(ТабПозиции[orderNum],ТабЗаказы[[#This Row],[orderNum]],ТабПозиции[deliverySumm])</f>
        <v>0</v>
      </c>
      <c r="H587" s="18">
        <f>SUMIF(ТабПозиции[orderNum],ТабЗаказы[[#This Row],[orderNum]],ТабПозиции[totalSumm])</f>
        <v>0</v>
      </c>
      <c r="I587" s="18" t="str">
        <f>IFERROR(VLOOKUP(ТабЗаказы[[#This Row],[orderNum]],ТабПозиции[#Data],22,0),"")</f>
        <v/>
      </c>
    </row>
    <row r="588" spans="1:9" x14ac:dyDescent="0.25">
      <c r="A588">
        <f t="shared" ref="A588:A607" si="11">A587+1</f>
        <v>587</v>
      </c>
      <c r="D588" t="e">
        <f>VLOOKUP(ТабЗаказы[[#This Row],[client]],ТабКлиенты[[name]:[_id]],2,0)</f>
        <v>#N/A</v>
      </c>
      <c r="E588" t="str">
        <f>IFERROR(IF(ТабЗаказы[[#This Row],[orderSumm]]&gt;10000,10,VLOOKUP(ТабЗаказы[[#This Row],[client]],ТабКлиенты[[name]:[percent]],MATCH(E$1,ТабКлиенты[#Headers],0),0)),"")</f>
        <v/>
      </c>
      <c r="F588" s="18">
        <f>IFERROR(SUMIF(ТабПозиции[orderNum],ТабЗаказы[[#This Row],[orderNum]],ТабПозиции[orderSumm]),"")</f>
        <v>0</v>
      </c>
      <c r="G588" s="18">
        <f>SUMIF(ТабПозиции[orderNum],ТабЗаказы[[#This Row],[orderNum]],ТабПозиции[deliverySumm])</f>
        <v>0</v>
      </c>
      <c r="H588" s="18">
        <f>SUMIF(ТабПозиции[orderNum],ТабЗаказы[[#This Row],[orderNum]],ТабПозиции[totalSumm])</f>
        <v>0</v>
      </c>
      <c r="I588" s="18" t="str">
        <f>IFERROR(VLOOKUP(ТабЗаказы[[#This Row],[orderNum]],ТабПозиции[#Data],22,0),"")</f>
        <v/>
      </c>
    </row>
    <row r="589" spans="1:9" x14ac:dyDescent="0.25">
      <c r="A589">
        <f t="shared" si="11"/>
        <v>588</v>
      </c>
      <c r="D589" t="e">
        <f>VLOOKUP(ТабЗаказы[[#This Row],[client]],ТабКлиенты[[name]:[_id]],2,0)</f>
        <v>#N/A</v>
      </c>
      <c r="E589" t="str">
        <f>IFERROR(IF(ТабЗаказы[[#This Row],[orderSumm]]&gt;10000,10,VLOOKUP(ТабЗаказы[[#This Row],[client]],ТабКлиенты[[name]:[percent]],MATCH(E$1,ТабКлиенты[#Headers],0),0)),"")</f>
        <v/>
      </c>
      <c r="F589" s="18">
        <f>IFERROR(SUMIF(ТабПозиции[orderNum],ТабЗаказы[[#This Row],[orderNum]],ТабПозиции[orderSumm]),"")</f>
        <v>0</v>
      </c>
      <c r="G589" s="18">
        <f>SUMIF(ТабПозиции[orderNum],ТабЗаказы[[#This Row],[orderNum]],ТабПозиции[deliverySumm])</f>
        <v>0</v>
      </c>
      <c r="H589" s="18">
        <f>SUMIF(ТабПозиции[orderNum],ТабЗаказы[[#This Row],[orderNum]],ТабПозиции[totalSumm])</f>
        <v>0</v>
      </c>
      <c r="I589" s="18" t="str">
        <f>IFERROR(VLOOKUP(ТабЗаказы[[#This Row],[orderNum]],ТабПозиции[#Data],22,0),"")</f>
        <v/>
      </c>
    </row>
    <row r="590" spans="1:9" x14ac:dyDescent="0.25">
      <c r="A590">
        <f t="shared" si="11"/>
        <v>589</v>
      </c>
      <c r="D590" t="e">
        <f>VLOOKUP(ТабЗаказы[[#This Row],[client]],ТабКлиенты[[name]:[_id]],2,0)</f>
        <v>#N/A</v>
      </c>
      <c r="E590" t="str">
        <f>IFERROR(IF(ТабЗаказы[[#This Row],[orderSumm]]&gt;10000,10,VLOOKUP(ТабЗаказы[[#This Row],[client]],ТабКлиенты[[name]:[percent]],MATCH(E$1,ТабКлиенты[#Headers],0),0)),"")</f>
        <v/>
      </c>
      <c r="F590" s="18">
        <f>IFERROR(SUMIF(ТабПозиции[orderNum],ТабЗаказы[[#This Row],[orderNum]],ТабПозиции[orderSumm]),"")</f>
        <v>0</v>
      </c>
      <c r="G590" s="18">
        <f>SUMIF(ТабПозиции[orderNum],ТабЗаказы[[#This Row],[orderNum]],ТабПозиции[deliverySumm])</f>
        <v>0</v>
      </c>
      <c r="H590" s="18">
        <f>SUMIF(ТабПозиции[orderNum],ТабЗаказы[[#This Row],[orderNum]],ТабПозиции[totalSumm])</f>
        <v>0</v>
      </c>
      <c r="I590" s="18" t="str">
        <f>IFERROR(VLOOKUP(ТабЗаказы[[#This Row],[orderNum]],ТабПозиции[#Data],22,0),"")</f>
        <v/>
      </c>
    </row>
    <row r="591" spans="1:9" x14ac:dyDescent="0.25">
      <c r="A591">
        <f t="shared" si="11"/>
        <v>590</v>
      </c>
      <c r="D591" t="e">
        <f>VLOOKUP(ТабЗаказы[[#This Row],[client]],ТабКлиенты[[name]:[_id]],2,0)</f>
        <v>#N/A</v>
      </c>
      <c r="E591" t="str">
        <f>IFERROR(IF(ТабЗаказы[[#This Row],[orderSumm]]&gt;10000,10,VLOOKUP(ТабЗаказы[[#This Row],[client]],ТабКлиенты[[name]:[percent]],MATCH(E$1,ТабКлиенты[#Headers],0),0)),"")</f>
        <v/>
      </c>
      <c r="F591" s="18">
        <f>IFERROR(SUMIF(ТабПозиции[orderNum],ТабЗаказы[[#This Row],[orderNum]],ТабПозиции[orderSumm]),"")</f>
        <v>0</v>
      </c>
      <c r="G591" s="18">
        <f>SUMIF(ТабПозиции[orderNum],ТабЗаказы[[#This Row],[orderNum]],ТабПозиции[deliverySumm])</f>
        <v>0</v>
      </c>
      <c r="H591" s="18">
        <f>SUMIF(ТабПозиции[orderNum],ТабЗаказы[[#This Row],[orderNum]],ТабПозиции[totalSumm])</f>
        <v>0</v>
      </c>
      <c r="I591" s="18" t="str">
        <f>IFERROR(VLOOKUP(ТабЗаказы[[#This Row],[orderNum]],ТабПозиции[#Data],22,0),"")</f>
        <v/>
      </c>
    </row>
    <row r="592" spans="1:9" x14ac:dyDescent="0.25">
      <c r="A592">
        <f t="shared" si="11"/>
        <v>591</v>
      </c>
      <c r="D592" t="e">
        <f>VLOOKUP(ТабЗаказы[[#This Row],[client]],ТабКлиенты[[name]:[_id]],2,0)</f>
        <v>#N/A</v>
      </c>
      <c r="E592" t="str">
        <f>IFERROR(IF(ТабЗаказы[[#This Row],[orderSumm]]&gt;10000,10,VLOOKUP(ТабЗаказы[[#This Row],[client]],ТабКлиенты[[name]:[percent]],MATCH(E$1,ТабКлиенты[#Headers],0),0)),"")</f>
        <v/>
      </c>
      <c r="F592" s="18">
        <f>IFERROR(SUMIF(ТабПозиции[orderNum],ТабЗаказы[[#This Row],[orderNum]],ТабПозиции[orderSumm]),"")</f>
        <v>0</v>
      </c>
      <c r="G592" s="18">
        <f>SUMIF(ТабПозиции[orderNum],ТабЗаказы[[#This Row],[orderNum]],ТабПозиции[deliverySumm])</f>
        <v>0</v>
      </c>
      <c r="H592" s="18">
        <f>SUMIF(ТабПозиции[orderNum],ТабЗаказы[[#This Row],[orderNum]],ТабПозиции[totalSumm])</f>
        <v>0</v>
      </c>
      <c r="I592" s="18" t="str">
        <f>IFERROR(VLOOKUP(ТабЗаказы[[#This Row],[orderNum]],ТабПозиции[#Data],22,0),"")</f>
        <v/>
      </c>
    </row>
    <row r="593" spans="1:9" x14ac:dyDescent="0.25">
      <c r="A593">
        <f t="shared" si="11"/>
        <v>592</v>
      </c>
      <c r="D593" t="e">
        <f>VLOOKUP(ТабЗаказы[[#This Row],[client]],ТабКлиенты[[name]:[_id]],2,0)</f>
        <v>#N/A</v>
      </c>
      <c r="E593" t="str">
        <f>IFERROR(IF(ТабЗаказы[[#This Row],[orderSumm]]&gt;10000,10,VLOOKUP(ТабЗаказы[[#This Row],[client]],ТабКлиенты[[name]:[percent]],MATCH(E$1,ТабКлиенты[#Headers],0),0)),"")</f>
        <v/>
      </c>
      <c r="F593" s="18">
        <f>IFERROR(SUMIF(ТабПозиции[orderNum],ТабЗаказы[[#This Row],[orderNum]],ТабПозиции[orderSumm]),"")</f>
        <v>0</v>
      </c>
      <c r="G593" s="18">
        <f>SUMIF(ТабПозиции[orderNum],ТабЗаказы[[#This Row],[orderNum]],ТабПозиции[deliverySumm])</f>
        <v>0</v>
      </c>
      <c r="H593" s="18">
        <f>SUMIF(ТабПозиции[orderNum],ТабЗаказы[[#This Row],[orderNum]],ТабПозиции[totalSumm])</f>
        <v>0</v>
      </c>
      <c r="I593" s="18" t="str">
        <f>IFERROR(VLOOKUP(ТабЗаказы[[#This Row],[orderNum]],ТабПозиции[#Data],22,0),"")</f>
        <v/>
      </c>
    </row>
    <row r="594" spans="1:9" x14ac:dyDescent="0.25">
      <c r="A594">
        <f t="shared" si="11"/>
        <v>593</v>
      </c>
      <c r="D594" t="e">
        <f>VLOOKUP(ТабЗаказы[[#This Row],[client]],ТабКлиенты[[name]:[_id]],2,0)</f>
        <v>#N/A</v>
      </c>
      <c r="E594" t="str">
        <f>IFERROR(IF(ТабЗаказы[[#This Row],[orderSumm]]&gt;10000,10,VLOOKUP(ТабЗаказы[[#This Row],[client]],ТабКлиенты[[name]:[percent]],MATCH(E$1,ТабКлиенты[#Headers],0),0)),"")</f>
        <v/>
      </c>
      <c r="F594" s="18">
        <f>IFERROR(SUMIF(ТабПозиции[orderNum],ТабЗаказы[[#This Row],[orderNum]],ТабПозиции[orderSumm]),"")</f>
        <v>0</v>
      </c>
      <c r="G594" s="18">
        <f>SUMIF(ТабПозиции[orderNum],ТабЗаказы[[#This Row],[orderNum]],ТабПозиции[deliverySumm])</f>
        <v>0</v>
      </c>
      <c r="H594" s="18">
        <f>SUMIF(ТабПозиции[orderNum],ТабЗаказы[[#This Row],[orderNum]],ТабПозиции[totalSumm])</f>
        <v>0</v>
      </c>
      <c r="I594" s="18" t="str">
        <f>IFERROR(VLOOKUP(ТабЗаказы[[#This Row],[orderNum]],ТабПозиции[#Data],22,0),"")</f>
        <v/>
      </c>
    </row>
    <row r="595" spans="1:9" x14ac:dyDescent="0.25">
      <c r="A595">
        <f t="shared" si="11"/>
        <v>594</v>
      </c>
      <c r="D595" t="e">
        <f>VLOOKUP(ТабЗаказы[[#This Row],[client]],ТабКлиенты[[name]:[_id]],2,0)</f>
        <v>#N/A</v>
      </c>
      <c r="E595" t="str">
        <f>IFERROR(IF(ТабЗаказы[[#This Row],[orderSumm]]&gt;10000,10,VLOOKUP(ТабЗаказы[[#This Row],[client]],ТабКлиенты[[name]:[percent]],MATCH(E$1,ТабКлиенты[#Headers],0),0)),"")</f>
        <v/>
      </c>
      <c r="F595" s="18">
        <f>IFERROR(SUMIF(ТабПозиции[orderNum],ТабЗаказы[[#This Row],[orderNum]],ТабПозиции[orderSumm]),"")</f>
        <v>0</v>
      </c>
      <c r="G595" s="18">
        <f>SUMIF(ТабПозиции[orderNum],ТабЗаказы[[#This Row],[orderNum]],ТабПозиции[deliverySumm])</f>
        <v>0</v>
      </c>
      <c r="H595" s="18">
        <f>SUMIF(ТабПозиции[orderNum],ТабЗаказы[[#This Row],[orderNum]],ТабПозиции[totalSumm])</f>
        <v>0</v>
      </c>
      <c r="I595" s="18" t="str">
        <f>IFERROR(VLOOKUP(ТабЗаказы[[#This Row],[orderNum]],ТабПозиции[#Data],22,0),"")</f>
        <v/>
      </c>
    </row>
    <row r="596" spans="1:9" x14ac:dyDescent="0.25">
      <c r="A596">
        <f t="shared" si="11"/>
        <v>595</v>
      </c>
      <c r="D596" t="e">
        <f>VLOOKUP(ТабЗаказы[[#This Row],[client]],ТабКлиенты[[name]:[_id]],2,0)</f>
        <v>#N/A</v>
      </c>
      <c r="E596" t="str">
        <f>IFERROR(IF(ТабЗаказы[[#This Row],[orderSumm]]&gt;10000,10,VLOOKUP(ТабЗаказы[[#This Row],[client]],ТабКлиенты[[name]:[percent]],MATCH(E$1,ТабКлиенты[#Headers],0),0)),"")</f>
        <v/>
      </c>
      <c r="F596" s="18">
        <f>IFERROR(SUMIF(ТабПозиции[orderNum],ТабЗаказы[[#This Row],[orderNum]],ТабПозиции[orderSumm]),"")</f>
        <v>0</v>
      </c>
      <c r="G596" s="18">
        <f>SUMIF(ТабПозиции[orderNum],ТабЗаказы[[#This Row],[orderNum]],ТабПозиции[deliverySumm])</f>
        <v>0</v>
      </c>
      <c r="H596" s="18">
        <f>SUMIF(ТабПозиции[orderNum],ТабЗаказы[[#This Row],[orderNum]],ТабПозиции[totalSumm])</f>
        <v>0</v>
      </c>
      <c r="I596" s="18" t="str">
        <f>IFERROR(VLOOKUP(ТабЗаказы[[#This Row],[orderNum]],ТабПозиции[#Data],22,0),"")</f>
        <v/>
      </c>
    </row>
    <row r="597" spans="1:9" x14ac:dyDescent="0.25">
      <c r="A597">
        <f t="shared" si="11"/>
        <v>596</v>
      </c>
      <c r="D597" t="e">
        <f>VLOOKUP(ТабЗаказы[[#This Row],[client]],ТабКлиенты[[name]:[_id]],2,0)</f>
        <v>#N/A</v>
      </c>
      <c r="E597" t="str">
        <f>IFERROR(IF(ТабЗаказы[[#This Row],[orderSumm]]&gt;10000,10,VLOOKUP(ТабЗаказы[[#This Row],[client]],ТабКлиенты[[name]:[percent]],MATCH(E$1,ТабКлиенты[#Headers],0),0)),"")</f>
        <v/>
      </c>
      <c r="F597" s="18">
        <f>IFERROR(SUMIF(ТабПозиции[orderNum],ТабЗаказы[[#This Row],[orderNum]],ТабПозиции[orderSumm]),"")</f>
        <v>0</v>
      </c>
      <c r="G597" s="18">
        <f>SUMIF(ТабПозиции[orderNum],ТабЗаказы[[#This Row],[orderNum]],ТабПозиции[deliverySumm])</f>
        <v>0</v>
      </c>
      <c r="H597" s="18">
        <f>SUMIF(ТабПозиции[orderNum],ТабЗаказы[[#This Row],[orderNum]],ТабПозиции[totalSumm])</f>
        <v>0</v>
      </c>
      <c r="I597" s="18" t="str">
        <f>IFERROR(VLOOKUP(ТабЗаказы[[#This Row],[orderNum]],ТабПозиции[#Data],22,0),"")</f>
        <v/>
      </c>
    </row>
    <row r="598" spans="1:9" x14ac:dyDescent="0.25">
      <c r="A598">
        <f t="shared" si="11"/>
        <v>597</v>
      </c>
      <c r="D598" t="e">
        <f>VLOOKUP(ТабЗаказы[[#This Row],[client]],ТабКлиенты[[name]:[_id]],2,0)</f>
        <v>#N/A</v>
      </c>
      <c r="E598" t="str">
        <f>IFERROR(IF(ТабЗаказы[[#This Row],[orderSumm]]&gt;10000,10,VLOOKUP(ТабЗаказы[[#This Row],[client]],ТабКлиенты[[name]:[percent]],MATCH(E$1,ТабКлиенты[#Headers],0),0)),"")</f>
        <v/>
      </c>
      <c r="F598" s="18">
        <f>IFERROR(SUMIF(ТабПозиции[orderNum],ТабЗаказы[[#This Row],[orderNum]],ТабПозиции[orderSumm]),"")</f>
        <v>0</v>
      </c>
      <c r="G598" s="18">
        <f>SUMIF(ТабПозиции[orderNum],ТабЗаказы[[#This Row],[orderNum]],ТабПозиции[deliverySumm])</f>
        <v>0</v>
      </c>
      <c r="H598" s="18">
        <f>SUMIF(ТабПозиции[orderNum],ТабЗаказы[[#This Row],[orderNum]],ТабПозиции[totalSumm])</f>
        <v>0</v>
      </c>
      <c r="I598" s="18" t="str">
        <f>IFERROR(VLOOKUP(ТабЗаказы[[#This Row],[orderNum]],ТабПозиции[#Data],22,0),"")</f>
        <v/>
      </c>
    </row>
    <row r="599" spans="1:9" x14ac:dyDescent="0.25">
      <c r="A599">
        <f t="shared" si="11"/>
        <v>598</v>
      </c>
      <c r="D599" t="e">
        <f>VLOOKUP(ТабЗаказы[[#This Row],[client]],ТабКлиенты[[name]:[_id]],2,0)</f>
        <v>#N/A</v>
      </c>
      <c r="E599" t="str">
        <f>IFERROR(IF(ТабЗаказы[[#This Row],[orderSumm]]&gt;10000,10,VLOOKUP(ТабЗаказы[[#This Row],[client]],ТабКлиенты[[name]:[percent]],MATCH(E$1,ТабКлиенты[#Headers],0),0)),"")</f>
        <v/>
      </c>
      <c r="F599" s="18">
        <f>IFERROR(SUMIF(ТабПозиции[orderNum],ТабЗаказы[[#This Row],[orderNum]],ТабПозиции[orderSumm]),"")</f>
        <v>0</v>
      </c>
      <c r="G599" s="18">
        <f>SUMIF(ТабПозиции[orderNum],ТабЗаказы[[#This Row],[orderNum]],ТабПозиции[deliverySumm])</f>
        <v>0</v>
      </c>
      <c r="H599" s="18">
        <f>SUMIF(ТабПозиции[orderNum],ТабЗаказы[[#This Row],[orderNum]],ТабПозиции[totalSumm])</f>
        <v>0</v>
      </c>
      <c r="I599" s="18" t="str">
        <f>IFERROR(VLOOKUP(ТабЗаказы[[#This Row],[orderNum]],ТабПозиции[#Data],22,0),"")</f>
        <v/>
      </c>
    </row>
    <row r="600" spans="1:9" x14ac:dyDescent="0.25">
      <c r="A600">
        <f t="shared" si="11"/>
        <v>599</v>
      </c>
      <c r="D600" t="e">
        <f>VLOOKUP(ТабЗаказы[[#This Row],[client]],ТабКлиенты[[name]:[_id]],2,0)</f>
        <v>#N/A</v>
      </c>
      <c r="E600" t="str">
        <f>IFERROR(IF(ТабЗаказы[[#This Row],[orderSumm]]&gt;10000,10,VLOOKUP(ТабЗаказы[[#This Row],[client]],ТабКлиенты[[name]:[percent]],MATCH(E$1,ТабКлиенты[#Headers],0),0)),"")</f>
        <v/>
      </c>
      <c r="F600" s="18">
        <f>IFERROR(SUMIF(ТабПозиции[orderNum],ТабЗаказы[[#This Row],[orderNum]],ТабПозиции[orderSumm]),"")</f>
        <v>0</v>
      </c>
      <c r="G600" s="18">
        <f>SUMIF(ТабПозиции[orderNum],ТабЗаказы[[#This Row],[orderNum]],ТабПозиции[deliverySumm])</f>
        <v>0</v>
      </c>
      <c r="H600" s="18">
        <f>SUMIF(ТабПозиции[orderNum],ТабЗаказы[[#This Row],[orderNum]],ТабПозиции[totalSumm])</f>
        <v>0</v>
      </c>
      <c r="I600" s="18" t="str">
        <f>IFERROR(VLOOKUP(ТабЗаказы[[#This Row],[orderNum]],ТабПозиции[#Data],22,0),"")</f>
        <v/>
      </c>
    </row>
    <row r="601" spans="1:9" x14ac:dyDescent="0.25">
      <c r="A601">
        <f t="shared" si="11"/>
        <v>600</v>
      </c>
      <c r="D601" t="e">
        <f>VLOOKUP(ТабЗаказы[[#This Row],[client]],ТабКлиенты[[name]:[_id]],2,0)</f>
        <v>#N/A</v>
      </c>
      <c r="E601" t="str">
        <f>IFERROR(IF(ТабЗаказы[[#This Row],[orderSumm]]&gt;10000,10,VLOOKUP(ТабЗаказы[[#This Row],[client]],ТабКлиенты[[name]:[percent]],MATCH(E$1,ТабКлиенты[#Headers],0),0)),"")</f>
        <v/>
      </c>
      <c r="F601" s="18">
        <f>IFERROR(SUMIF(ТабПозиции[orderNum],ТабЗаказы[[#This Row],[orderNum]],ТабПозиции[orderSumm]),"")</f>
        <v>0</v>
      </c>
      <c r="G601" s="18">
        <f>SUMIF(ТабПозиции[orderNum],ТабЗаказы[[#This Row],[orderNum]],ТабПозиции[deliverySumm])</f>
        <v>0</v>
      </c>
      <c r="H601" s="18">
        <f>SUMIF(ТабПозиции[orderNum],ТабЗаказы[[#This Row],[orderNum]],ТабПозиции[totalSumm])</f>
        <v>0</v>
      </c>
      <c r="I601" s="18" t="str">
        <f>IFERROR(VLOOKUP(ТабЗаказы[[#This Row],[orderNum]],ТабПозиции[#Data],22,0),"")</f>
        <v/>
      </c>
    </row>
    <row r="602" spans="1:9" x14ac:dyDescent="0.25">
      <c r="A602">
        <f t="shared" si="11"/>
        <v>601</v>
      </c>
      <c r="D602" t="e">
        <f>VLOOKUP(ТабЗаказы[[#This Row],[client]],ТабКлиенты[[name]:[_id]],2,0)</f>
        <v>#N/A</v>
      </c>
      <c r="E602" t="str">
        <f>IFERROR(IF(ТабЗаказы[[#This Row],[orderSumm]]&gt;10000,10,VLOOKUP(ТабЗаказы[[#This Row],[client]],ТабКлиенты[[name]:[percent]],MATCH(E$1,ТабКлиенты[#Headers],0),0)),"")</f>
        <v/>
      </c>
      <c r="F602" s="18">
        <f>IFERROR(SUMIF(ТабПозиции[orderNum],ТабЗаказы[[#This Row],[orderNum]],ТабПозиции[orderSumm]),"")</f>
        <v>0</v>
      </c>
      <c r="G602" s="18">
        <f>SUMIF(ТабПозиции[orderNum],ТабЗаказы[[#This Row],[orderNum]],ТабПозиции[deliverySumm])</f>
        <v>0</v>
      </c>
      <c r="H602" s="18">
        <f>SUMIF(ТабПозиции[orderNum],ТабЗаказы[[#This Row],[orderNum]],ТабПозиции[totalSumm])</f>
        <v>0</v>
      </c>
      <c r="I602" s="18" t="str">
        <f>IFERROR(VLOOKUP(ТабЗаказы[[#This Row],[orderNum]],ТабПозиции[#Data],22,0),"")</f>
        <v/>
      </c>
    </row>
    <row r="603" spans="1:9" x14ac:dyDescent="0.25">
      <c r="A603">
        <f t="shared" si="11"/>
        <v>602</v>
      </c>
      <c r="D603" t="e">
        <f>VLOOKUP(ТабЗаказы[[#This Row],[client]],ТабКлиенты[[name]:[_id]],2,0)</f>
        <v>#N/A</v>
      </c>
      <c r="E603" t="str">
        <f>IFERROR(IF(ТабЗаказы[[#This Row],[orderSumm]]&gt;10000,10,VLOOKUP(ТабЗаказы[[#This Row],[client]],ТабКлиенты[[name]:[percent]],MATCH(E$1,ТабКлиенты[#Headers],0),0)),"")</f>
        <v/>
      </c>
      <c r="F603" s="18">
        <f>IFERROR(SUMIF(ТабПозиции[orderNum],ТабЗаказы[[#This Row],[orderNum]],ТабПозиции[orderSumm]),"")</f>
        <v>0</v>
      </c>
      <c r="G603" s="18">
        <f>SUMIF(ТабПозиции[orderNum],ТабЗаказы[[#This Row],[orderNum]],ТабПозиции[deliverySumm])</f>
        <v>0</v>
      </c>
      <c r="H603" s="18">
        <f>SUMIF(ТабПозиции[orderNum],ТабЗаказы[[#This Row],[orderNum]],ТабПозиции[totalSumm])</f>
        <v>0</v>
      </c>
      <c r="I603" s="18" t="str">
        <f>IFERROR(VLOOKUP(ТабЗаказы[[#This Row],[orderNum]],ТабПозиции[#Data],22,0),"")</f>
        <v/>
      </c>
    </row>
    <row r="604" spans="1:9" x14ac:dyDescent="0.25">
      <c r="A604">
        <f t="shared" si="11"/>
        <v>603</v>
      </c>
      <c r="D604" t="e">
        <f>VLOOKUP(ТабЗаказы[[#This Row],[client]],ТабКлиенты[[name]:[_id]],2,0)</f>
        <v>#N/A</v>
      </c>
      <c r="E604" t="str">
        <f>IFERROR(IF(ТабЗаказы[[#This Row],[orderSumm]]&gt;10000,10,VLOOKUP(ТабЗаказы[[#This Row],[client]],ТабКлиенты[[name]:[percent]],MATCH(E$1,ТабКлиенты[#Headers],0),0)),"")</f>
        <v/>
      </c>
      <c r="F604" s="18">
        <f>IFERROR(SUMIF(ТабПозиции[orderNum],ТабЗаказы[[#This Row],[orderNum]],ТабПозиции[orderSumm]),"")</f>
        <v>0</v>
      </c>
      <c r="G604" s="18">
        <f>SUMIF(ТабПозиции[orderNum],ТабЗаказы[[#This Row],[orderNum]],ТабПозиции[deliverySumm])</f>
        <v>0</v>
      </c>
      <c r="H604" s="18">
        <f>SUMIF(ТабПозиции[orderNum],ТабЗаказы[[#This Row],[orderNum]],ТабПозиции[totalSumm])</f>
        <v>0</v>
      </c>
      <c r="I604" s="18" t="str">
        <f>IFERROR(VLOOKUP(ТабЗаказы[[#This Row],[orderNum]],ТабПозиции[#Data],22,0),"")</f>
        <v/>
      </c>
    </row>
    <row r="605" spans="1:9" x14ac:dyDescent="0.25">
      <c r="A605">
        <f t="shared" si="11"/>
        <v>604</v>
      </c>
      <c r="D605" t="e">
        <f>VLOOKUP(ТабЗаказы[[#This Row],[client]],ТабКлиенты[[name]:[_id]],2,0)</f>
        <v>#N/A</v>
      </c>
      <c r="E605" t="str">
        <f>IFERROR(IF(ТабЗаказы[[#This Row],[orderSumm]]&gt;10000,10,VLOOKUP(ТабЗаказы[[#This Row],[client]],ТабКлиенты[[name]:[percent]],MATCH(E$1,ТабКлиенты[#Headers],0),0)),"")</f>
        <v/>
      </c>
      <c r="F605" s="18">
        <f>IFERROR(SUMIF(ТабПозиции[orderNum],ТабЗаказы[[#This Row],[orderNum]],ТабПозиции[orderSumm]),"")</f>
        <v>0</v>
      </c>
      <c r="G605" s="18">
        <f>SUMIF(ТабПозиции[orderNum],ТабЗаказы[[#This Row],[orderNum]],ТабПозиции[deliverySumm])</f>
        <v>0</v>
      </c>
      <c r="H605" s="18">
        <f>SUMIF(ТабПозиции[orderNum],ТабЗаказы[[#This Row],[orderNum]],ТабПозиции[totalSumm])</f>
        <v>0</v>
      </c>
      <c r="I605" s="18" t="str">
        <f>IFERROR(VLOOKUP(ТабЗаказы[[#This Row],[orderNum]],ТабПозиции[#Data],22,0),"")</f>
        <v/>
      </c>
    </row>
    <row r="606" spans="1:9" x14ac:dyDescent="0.25">
      <c r="A606">
        <f t="shared" si="11"/>
        <v>605</v>
      </c>
      <c r="D606" t="e">
        <f>VLOOKUP(ТабЗаказы[[#This Row],[client]],ТабКлиенты[[name]:[_id]],2,0)</f>
        <v>#N/A</v>
      </c>
      <c r="E606" t="str">
        <f>IFERROR(IF(ТабЗаказы[[#This Row],[orderSumm]]&gt;10000,10,VLOOKUP(ТабЗаказы[[#This Row],[client]],ТабКлиенты[[name]:[percent]],MATCH(E$1,ТабКлиенты[#Headers],0),0)),"")</f>
        <v/>
      </c>
      <c r="F606" s="18">
        <f>IFERROR(SUMIF(ТабПозиции[orderNum],ТабЗаказы[[#This Row],[orderNum]],ТабПозиции[orderSumm]),"")</f>
        <v>0</v>
      </c>
      <c r="G606" s="18">
        <f>SUMIF(ТабПозиции[orderNum],ТабЗаказы[[#This Row],[orderNum]],ТабПозиции[deliverySumm])</f>
        <v>0</v>
      </c>
      <c r="H606" s="18">
        <f>SUMIF(ТабПозиции[orderNum],ТабЗаказы[[#This Row],[orderNum]],ТабПозиции[totalSumm])</f>
        <v>0</v>
      </c>
      <c r="I606" s="18" t="str">
        <f>IFERROR(VLOOKUP(ТабЗаказы[[#This Row],[orderNum]],ТабПозиции[#Data],22,0),"")</f>
        <v/>
      </c>
    </row>
    <row r="607" spans="1:9" x14ac:dyDescent="0.25">
      <c r="A607">
        <f t="shared" si="11"/>
        <v>606</v>
      </c>
      <c r="D607" t="e">
        <f>VLOOKUP(ТабЗаказы[[#This Row],[client]],ТабКлиенты[[name]:[_id]],2,0)</f>
        <v>#N/A</v>
      </c>
      <c r="E607" t="str">
        <f>IFERROR(IF(ТабЗаказы[[#This Row],[orderSumm]]&gt;10000,10,VLOOKUP(ТабЗаказы[[#This Row],[client]],ТабКлиенты[[name]:[percent]],MATCH(E$1,ТабКлиенты[#Headers],0),0)),"")</f>
        <v/>
      </c>
      <c r="F607" s="18">
        <f>IFERROR(SUMIF(ТабПозиции[orderNum],ТабЗаказы[[#This Row],[orderNum]],ТабПозиции[orderSumm]),"")</f>
        <v>0</v>
      </c>
      <c r="G607" s="18">
        <f>SUMIF(ТабПозиции[orderNum],ТабЗаказы[[#This Row],[orderNum]],ТабПозиции[deliverySumm])</f>
        <v>0</v>
      </c>
      <c r="H607" s="18">
        <f>SUMIF(ТабПозиции[orderNum],ТабЗаказы[[#This Row],[orderNum]],ТабПозиции[totalSumm])</f>
        <v>0</v>
      </c>
      <c r="I607" s="18" t="str">
        <f>IFERROR(VLOOKUP(ТабЗаказы[[#This Row],[orderNum]],ТабПозиции[#Data],22,0),"")</f>
        <v/>
      </c>
    </row>
    <row r="608" spans="1:9" x14ac:dyDescent="0.25">
      <c r="A608" t="s">
        <v>520</v>
      </c>
      <c r="F608" s="18">
        <f>SUBTOTAL(109,ТабЗаказы[orderSumm])</f>
        <v>3893226</v>
      </c>
      <c r="G608" s="18">
        <f>SUBTOTAL(109,ТабЗаказы[deliverySumm])</f>
        <v>470524</v>
      </c>
      <c r="H608" s="18">
        <f>SUBTOTAL(109,ТабЗаказы[totalSumm])</f>
        <v>2385181.25</v>
      </c>
      <c r="I608" s="18"/>
    </row>
  </sheetData>
  <dataValidations count="2">
    <dataValidation type="list" showInputMessage="1" showErrorMessage="1" sqref="C2:C607 D2:D456" xr:uid="{110893BE-B9F4-41FE-9255-9C9179E72662}">
      <formula1>Клиенты</formula1>
    </dataValidation>
    <dataValidation showInputMessage="1" showErrorMessage="1" sqref="D457:D607" xr:uid="{1C0BCCF1-F646-4EA5-AC7B-AE637CCFA2D0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E1BB-BD28-4AD3-A081-E1E8F0B473B0}">
  <sheetPr codeName="Лист5"/>
  <dimension ref="A1:Z2184"/>
  <sheetViews>
    <sheetView tabSelected="1" zoomScale="85" zoomScaleNormal="85" workbookViewId="0">
      <pane ySplit="7" topLeftCell="A8" activePane="bottomLeft" state="frozen"/>
      <selection activeCell="B1" sqref="B1"/>
      <selection pane="bottomLeft" activeCell="D16" sqref="D16"/>
    </sheetView>
  </sheetViews>
  <sheetFormatPr defaultRowHeight="15" outlineLevelCol="1" x14ac:dyDescent="0.25"/>
  <cols>
    <col min="1" max="1" width="11.5703125" style="26" customWidth="1"/>
    <col min="2" max="2" width="11.28515625" customWidth="1"/>
    <col min="3" max="3" width="11.28515625" hidden="1" customWidth="1"/>
    <col min="4" max="4" width="24.28515625" customWidth="1"/>
    <col min="5" max="5" width="27.140625" style="26" customWidth="1"/>
    <col min="6" max="6" width="9.140625" style="56" customWidth="1" outlineLevel="1"/>
    <col min="7" max="7" width="14.7109375" style="28" customWidth="1" outlineLevel="1"/>
    <col min="8" max="8" width="11.7109375" style="26" bestFit="1" customWidth="1"/>
    <col min="9" max="9" width="5.140625" style="26" customWidth="1"/>
    <col min="10" max="10" width="7.85546875" style="26" customWidth="1" outlineLevel="1"/>
    <col min="11" max="11" width="8" customWidth="1" outlineLevel="1"/>
    <col min="12" max="12" width="7.42578125" style="26" customWidth="1"/>
    <col min="13" max="13" width="9.42578125" customWidth="1"/>
    <col min="14" max="14" width="9.42578125" style="26" customWidth="1" outlineLevel="1"/>
    <col min="15" max="15" width="7.5703125" customWidth="1"/>
    <col min="16" max="16" width="8.85546875" customWidth="1"/>
    <col min="17" max="17" width="8.85546875" style="57" customWidth="1"/>
    <col min="18" max="18" width="7.42578125" style="26" customWidth="1"/>
    <col min="19" max="19" width="23.28515625" style="26" bestFit="1" customWidth="1"/>
    <col min="20" max="20" width="9.85546875" style="56" customWidth="1"/>
    <col min="21" max="21" width="8.5703125" style="56" customWidth="1"/>
    <col min="23" max="23" width="13" style="56" customWidth="1"/>
    <col min="24" max="24" width="14.7109375" style="7" customWidth="1"/>
    <col min="26" max="26" width="12.28515625" bestFit="1" customWidth="1"/>
  </cols>
  <sheetData>
    <row r="1" spans="1:24" x14ac:dyDescent="0.25">
      <c r="L1" s="50" t="s">
        <v>521</v>
      </c>
      <c r="M1" s="16">
        <f>SUM(ТабПозиции[orderSumm])</f>
        <v>3893226</v>
      </c>
      <c r="P1" t="s">
        <v>522</v>
      </c>
      <c r="Q1" s="55">
        <f>SUBTOTAL(9,ТабПозиции[orderSumm])</f>
        <v>3893226</v>
      </c>
      <c r="R1" s="68">
        <f>Q2/Q1</f>
        <v>0.13784872750772753</v>
      </c>
      <c r="V1" s="56"/>
      <c r="W1"/>
      <c r="X1"/>
    </row>
    <row r="2" spans="1:24" x14ac:dyDescent="0.25">
      <c r="L2" s="50" t="s">
        <v>523</v>
      </c>
      <c r="M2" s="16">
        <f>SUM(ТабПозиции[deliverySumm])</f>
        <v>470524</v>
      </c>
      <c r="P2" t="s">
        <v>524</v>
      </c>
      <c r="Q2" s="55">
        <f>SUBTOTAL(9,ТабПозиции[deliverySumm])+SUBTOTAL(9,ТабПозиции[deliveryPost])</f>
        <v>536676.25</v>
      </c>
      <c r="V2" s="56"/>
      <c r="W2"/>
      <c r="X2"/>
    </row>
    <row r="3" spans="1:24" x14ac:dyDescent="0.25">
      <c r="L3" s="50" t="s">
        <v>525</v>
      </c>
      <c r="M3" s="16">
        <f>SUM(ТабПозиции[totalSumm])</f>
        <v>2385181.25</v>
      </c>
      <c r="P3" s="69" t="str">
        <f>"**К оплате: "&amp;$Q$1+$Q$2&amp;"**"</f>
        <v>**К оплате: 4429902,25**</v>
      </c>
      <c r="Q3" s="55"/>
      <c r="S3" s="57"/>
      <c r="V3" s="56"/>
      <c r="W3"/>
      <c r="X3"/>
    </row>
    <row r="4" spans="1:24" x14ac:dyDescent="0.25">
      <c r="L4" s="50" t="s">
        <v>526</v>
      </c>
      <c r="M4" s="16">
        <f>SUM(ТабПозиции[payment])</f>
        <v>2379188.25</v>
      </c>
      <c r="P4" s="12" t="s">
        <v>2651</v>
      </c>
      <c r="Q4" s="58"/>
      <c r="R4" s="59"/>
      <c r="V4" s="56"/>
      <c r="W4"/>
      <c r="X4"/>
    </row>
    <row r="5" spans="1:24" x14ac:dyDescent="0.25">
      <c r="L5" s="50" t="s">
        <v>527</v>
      </c>
      <c r="M5" s="16">
        <f>M3-M4</f>
        <v>5993</v>
      </c>
      <c r="P5" s="12" t="s">
        <v>2652</v>
      </c>
      <c r="Q5" s="58"/>
      <c r="R5" s="59"/>
      <c r="V5" s="56"/>
      <c r="W5"/>
      <c r="X5"/>
    </row>
    <row r="6" spans="1:24" x14ac:dyDescent="0.25">
      <c r="L6" s="50" t="s">
        <v>528</v>
      </c>
      <c r="M6" s="16">
        <f>SUMIF(ТабПозиции[ship],"Нет",ТабПозиции[totalSumm])</f>
        <v>0</v>
      </c>
      <c r="P6" s="12"/>
      <c r="Q6" s="58"/>
      <c r="R6" s="59"/>
      <c r="V6" s="56"/>
      <c r="W6"/>
      <c r="X6"/>
    </row>
    <row r="7" spans="1:24" s="7" customFormat="1" x14ac:dyDescent="0.25">
      <c r="A7" s="27" t="s">
        <v>512</v>
      </c>
      <c r="B7" s="8" t="s">
        <v>513</v>
      </c>
      <c r="C7" s="8" t="s">
        <v>1765</v>
      </c>
      <c r="D7" s="7" t="s">
        <v>514</v>
      </c>
      <c r="E7" s="29" t="s">
        <v>529</v>
      </c>
      <c r="F7" s="61" t="s">
        <v>3060</v>
      </c>
      <c r="G7" s="30" t="s">
        <v>530</v>
      </c>
      <c r="H7" s="31" t="s">
        <v>531</v>
      </c>
      <c r="I7" s="29" t="s">
        <v>532</v>
      </c>
      <c r="J7" s="29" t="s">
        <v>533</v>
      </c>
      <c r="K7" s="7" t="s">
        <v>534</v>
      </c>
      <c r="L7" s="29" t="s">
        <v>535</v>
      </c>
      <c r="M7" s="7" t="s">
        <v>515</v>
      </c>
      <c r="N7" s="29" t="s">
        <v>536</v>
      </c>
      <c r="O7" s="7" t="s">
        <v>516</v>
      </c>
      <c r="P7" s="7" t="s">
        <v>517</v>
      </c>
      <c r="Q7" s="60" t="s">
        <v>537</v>
      </c>
      <c r="R7" s="29" t="s">
        <v>538</v>
      </c>
      <c r="S7" s="29" t="s">
        <v>539</v>
      </c>
      <c r="T7" s="61" t="s">
        <v>3063</v>
      </c>
      <c r="U7" s="61" t="s">
        <v>3058</v>
      </c>
      <c r="V7" s="56" t="s">
        <v>3059</v>
      </c>
    </row>
    <row r="8" spans="1:24" x14ac:dyDescent="0.25">
      <c r="A8" s="26">
        <v>1</v>
      </c>
      <c r="B8" s="1">
        <f>IFERROR(VLOOKUP(ТабПозиции[[#This Row],[orderNum]],ТабЗаказы[#Data],MATCH(B$7,ТабЗаказы[#Headers],0),0),"")</f>
        <v>45361</v>
      </c>
      <c r="C8" t="str">
        <f>MONTH(ТабПозиции[[#This Row],[date]])&amp;"/"&amp;YEAR(ТабПозиции[[#This Row],[date]])</f>
        <v>3/2024</v>
      </c>
      <c r="D8" s="1" t="str">
        <f>IFERROR(VLOOKUP(ТабПозиции[[#This Row],[orderNum]],ТабЗаказы[#Data],MATCH(D$7,ТабЗаказы[#Headers],0),0),"")</f>
        <v>Полинка</v>
      </c>
      <c r="E8" s="32" t="s">
        <v>540</v>
      </c>
      <c r="F8" s="56" t="s">
        <v>3061</v>
      </c>
      <c r="G8" s="33"/>
      <c r="H8" s="34">
        <v>45363</v>
      </c>
      <c r="I8" s="26">
        <v>1</v>
      </c>
      <c r="K8">
        <v>0</v>
      </c>
      <c r="L8" s="26">
        <v>1229</v>
      </c>
      <c r="M8">
        <f>L8*I8</f>
        <v>1229</v>
      </c>
      <c r="O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Row],[orderNum]],ТабПозиции[orderSumm])&gt;1500),ABS(M8*VLOOKUP(ТабПозиции[[#This Row],[orderNum]],ТабЗаказы[#Data],MATCH("Percent",ТабЗаказы[#Headers],0),0))/100,200/COUNTIF(ТабПозиции[orderNum],ТабПозиции[[#This Row],[orderNum]])),0),"")</f>
        <v>184</v>
      </c>
      <c r="P8">
        <f>IF(OR(ТабПозиции[[#This Row],[item]]="По штрихкоду",ТабПозиции[[#This Row],[item]]="Посылка"),ТабПозиции[[#This Row],[deliverySumm]]+ТабПозиции[[#This Row],[deliveryPost]],SUM(M8:O8))</f>
        <v>1413</v>
      </c>
      <c r="Q8" s="57">
        <v>1413</v>
      </c>
      <c r="R8" s="62">
        <f>ТабПозиции[[#This Row],[totalSumm]]-ТабПозиции[[#This Row],[payment]]</f>
        <v>0</v>
      </c>
      <c r="S8" s="26" t="s">
        <v>541</v>
      </c>
      <c r="T8" s="56" t="s">
        <v>3061</v>
      </c>
      <c r="U8" s="56" t="s">
        <v>3061</v>
      </c>
      <c r="V8" s="56" t="s">
        <v>3061</v>
      </c>
      <c r="W8"/>
      <c r="X8"/>
    </row>
    <row r="9" spans="1:24" x14ac:dyDescent="0.25">
      <c r="A9" s="26">
        <v>1</v>
      </c>
      <c r="B9" s="1">
        <f>IFERROR(VLOOKUP(ТабПозиции[[#This Row],[orderNum]],ТабЗаказы[#Data],MATCH(B$7,ТабЗаказы[#Headers],0),0),"")</f>
        <v>45361</v>
      </c>
      <c r="C9" t="str">
        <f>MONTH(ТабПозиции[[#This Row],[date]])&amp;"/"&amp;YEAR(ТабПозиции[[#This Row],[date]])</f>
        <v>3/2024</v>
      </c>
      <c r="D9" s="1" t="str">
        <f>IFERROR(VLOOKUP(ТабПозиции[[#This Row],[orderNum]],ТабЗаказы[#Data],MATCH(D$7,ТабЗаказы[#Headers],0),0),"")</f>
        <v>Полинка</v>
      </c>
      <c r="E9" s="32" t="s">
        <v>542</v>
      </c>
      <c r="F9" s="56" t="s">
        <v>3061</v>
      </c>
      <c r="G9" s="33" t="s">
        <v>543</v>
      </c>
      <c r="H9" s="34">
        <v>45390</v>
      </c>
      <c r="I9" s="26">
        <v>1</v>
      </c>
      <c r="K9">
        <v>0</v>
      </c>
      <c r="L9" s="26">
        <v>1235</v>
      </c>
      <c r="M9">
        <f>L9*I9</f>
        <v>1235</v>
      </c>
      <c r="O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Row],[orderNum]],ТабПозиции[orderSumm])&gt;1500),ABS(M9*VLOOKUP(ТабПозиции[[#This Row],[orderNum]],ТабЗаказы[#Data],MATCH("Percent",ТабЗаказы[#Headers],0),0))/100,200/COUNTIF(ТабПозиции[orderNum],ТабПозиции[[#This Row],[orderNum]])),0),"")</f>
        <v>185</v>
      </c>
      <c r="P9">
        <f>IF(OR(ТабПозиции[[#This Row],[item]]="По штрихкоду",ТабПозиции[[#This Row],[item]]="Посылка"),ТабПозиции[[#This Row],[deliverySumm]]+ТабПозиции[[#This Row],[deliveryPost]],SUM(M9:O9))</f>
        <v>1420</v>
      </c>
      <c r="Q9" s="57">
        <v>1420</v>
      </c>
      <c r="R9" s="62">
        <f>ТабПозиции[[#This Row],[totalSumm]]-ТабПозиции[[#This Row],[payment]]</f>
        <v>0</v>
      </c>
      <c r="S9" s="26" t="s">
        <v>544</v>
      </c>
      <c r="T9" s="56" t="s">
        <v>3061</v>
      </c>
      <c r="U9" s="56" t="s">
        <v>3061</v>
      </c>
      <c r="V9" s="56" t="s">
        <v>3061</v>
      </c>
      <c r="W9"/>
      <c r="X9"/>
    </row>
    <row r="10" spans="1:24" x14ac:dyDescent="0.25">
      <c r="A10" s="26">
        <v>1</v>
      </c>
      <c r="B10" s="1">
        <f>IFERROR(VLOOKUP(ТабПозиции[[#This Row],[orderNum]],ТабЗаказы[#Data],MATCH(B$7,ТабЗаказы[#Headers],0),0),"")</f>
        <v>45361</v>
      </c>
      <c r="C10" t="str">
        <f>MONTH(ТабПозиции[[#This Row],[date]])&amp;"/"&amp;YEAR(ТабПозиции[[#This Row],[date]])</f>
        <v>3/2024</v>
      </c>
      <c r="D10" s="1" t="str">
        <f>IFERROR(VLOOKUP(ТабПозиции[[#This Row],[orderNum]],ТабЗаказы[#Data],MATCH(D$7,ТабЗаказы[#Headers],0),0),"")</f>
        <v>Полинка</v>
      </c>
      <c r="E10" s="32" t="s">
        <v>545</v>
      </c>
      <c r="F10" s="56" t="s">
        <v>3061</v>
      </c>
      <c r="G10" s="33"/>
      <c r="H10" s="34">
        <v>45363</v>
      </c>
      <c r="I10" s="26">
        <v>1</v>
      </c>
      <c r="K10">
        <v>0</v>
      </c>
      <c r="L10" s="26">
        <v>434</v>
      </c>
      <c r="M10">
        <f>L10*I10</f>
        <v>434</v>
      </c>
      <c r="O1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Row],[orderNum]],ТабПозиции[orderSumm])&gt;1500),ABS(M10*VLOOKUP(ТабПозиции[[#This Row],[orderNum]],ТабЗаказы[#Data],MATCH("Percent",ТабЗаказы[#Headers],0),0))/100,200/COUNTIF(ТабПозиции[orderNum],ТабПозиции[[#This Row],[orderNum]])),0),"")</f>
        <v>65</v>
      </c>
      <c r="P10">
        <f>IF(OR(ТабПозиции[[#This Row],[item]]="По штрихкоду",ТабПозиции[[#This Row],[item]]="Посылка"),ТабПозиции[[#This Row],[deliverySumm]]+ТабПозиции[[#This Row],[deliveryPost]],SUM(M10:O10))</f>
        <v>499</v>
      </c>
      <c r="Q10" s="57">
        <v>499</v>
      </c>
      <c r="R10" s="62">
        <f>ТабПозиции[[#This Row],[totalSumm]]-ТабПозиции[[#This Row],[payment]]</f>
        <v>0</v>
      </c>
      <c r="S10" s="26" t="s">
        <v>541</v>
      </c>
      <c r="T10" s="56" t="s">
        <v>3061</v>
      </c>
      <c r="U10" s="56" t="s">
        <v>3061</v>
      </c>
      <c r="V10" s="56" t="s">
        <v>3061</v>
      </c>
      <c r="W10"/>
      <c r="X10"/>
    </row>
    <row r="11" spans="1:24" x14ac:dyDescent="0.25">
      <c r="A11" s="26">
        <v>1</v>
      </c>
      <c r="B11" s="1">
        <f>IFERROR(VLOOKUP(ТабПозиции[[#This Row],[orderNum]],ТабЗаказы[#Data],MATCH(B$7,ТабЗаказы[#Headers],0),0),"")</f>
        <v>45361</v>
      </c>
      <c r="C11" t="str">
        <f>MONTH(ТабПозиции[[#This Row],[date]])&amp;"/"&amp;YEAR(ТабПозиции[[#This Row],[date]])</f>
        <v>3/2024</v>
      </c>
      <c r="D11" s="1" t="str">
        <f>IFERROR(VLOOKUP(ТабПозиции[[#This Row],[orderNum]],ТабЗаказы[#Data],MATCH(D$7,ТабЗаказы[#Headers],0),0),"")</f>
        <v>Полинка</v>
      </c>
      <c r="E11" s="32" t="s">
        <v>546</v>
      </c>
      <c r="F11" s="56" t="s">
        <v>3061</v>
      </c>
      <c r="G11" s="33"/>
      <c r="H11" s="34">
        <v>45363</v>
      </c>
      <c r="I11" s="26">
        <v>1</v>
      </c>
      <c r="K11">
        <v>0</v>
      </c>
      <c r="L11" s="26">
        <v>299</v>
      </c>
      <c r="M11">
        <f>L11*I11</f>
        <v>299</v>
      </c>
      <c r="O1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Row],[orderNum]],ТабПозиции[orderSumm])&gt;1500),ABS(M11*VLOOKUP(ТабПозиции[[#This Row],[orderNum]],ТабЗаказы[#Data],MATCH("Percent",ТабЗаказы[#Headers],0),0))/100,200/COUNTIF(ТабПозиции[orderNum],ТабПозиции[[#This Row],[orderNum]])),0),"")</f>
        <v>45</v>
      </c>
      <c r="P11">
        <f>IF(OR(ТабПозиции[[#This Row],[item]]="По штрихкоду",ТабПозиции[[#This Row],[item]]="Посылка"),ТабПозиции[[#This Row],[deliverySumm]]+ТабПозиции[[#This Row],[deliveryPost]],SUM(M11:O11))</f>
        <v>344</v>
      </c>
      <c r="Q11" s="57">
        <v>344</v>
      </c>
      <c r="R11" s="62">
        <f>ТабПозиции[[#This Row],[totalSumm]]-ТабПозиции[[#This Row],[payment]]</f>
        <v>0</v>
      </c>
      <c r="S11" s="26" t="s">
        <v>541</v>
      </c>
      <c r="T11" s="56" t="s">
        <v>3061</v>
      </c>
      <c r="U11" s="56" t="s">
        <v>3061</v>
      </c>
      <c r="V11" s="56" t="s">
        <v>3061</v>
      </c>
      <c r="W11"/>
      <c r="X11"/>
    </row>
    <row r="12" spans="1:24" x14ac:dyDescent="0.25">
      <c r="A12" s="26">
        <v>2</v>
      </c>
      <c r="B12" s="1">
        <f>IFERROR(VLOOKUP(ТабПозиции[[#This Row],[orderNum]],ТабЗаказы[#Data],MATCH(B$7,ТабЗаказы[#Headers],0),0),"")</f>
        <v>45361</v>
      </c>
      <c r="C12" t="str">
        <f>MONTH(ТабПозиции[[#This Row],[date]])&amp;"/"&amp;YEAR(ТабПозиции[[#This Row],[date]])</f>
        <v>3/2024</v>
      </c>
      <c r="D12" s="1" t="str">
        <f>IFERROR(VLOOKUP(ТабПозиции[[#This Row],[orderNum]],ТабЗаказы[#Data],MATCH(D$7,ТабЗаказы[#Headers],0),0),"")</f>
        <v>Руденко Юля</v>
      </c>
      <c r="E12" s="32" t="s">
        <v>547</v>
      </c>
      <c r="F12" s="56" t="s">
        <v>3061</v>
      </c>
      <c r="G12" s="33"/>
      <c r="H12" s="34">
        <v>45364</v>
      </c>
      <c r="I12" s="26">
        <v>1</v>
      </c>
      <c r="K12">
        <v>0</v>
      </c>
      <c r="L12" s="26">
        <v>795</v>
      </c>
      <c r="M12">
        <f t="shared" ref="M12:M75" si="0">L12*I12</f>
        <v>795</v>
      </c>
      <c r="O1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Row],[orderNum]],ТабПозиции[orderSumm])&gt;1500),ABS(M12*VLOOKUP(ТабПозиции[[#This Row],[orderNum]],ТабЗаказы[#Data],MATCH("Percent",ТабЗаказы[#Headers],0),0))/100,200/COUNTIF(ТабПозиции[orderNum],ТабПозиции[[#This Row],[orderNum]])),0),"")</f>
        <v>80</v>
      </c>
      <c r="P12">
        <f>IF(OR(ТабПозиции[[#This Row],[item]]="По штрихкоду",ТабПозиции[[#This Row],[item]]="Посылка"),ТабПозиции[[#This Row],[deliverySumm]]+ТабПозиции[[#This Row],[deliveryPost]],SUM(M12:O12))</f>
        <v>875</v>
      </c>
      <c r="Q12" s="57">
        <v>875</v>
      </c>
      <c r="R12" s="62">
        <f>ТабПозиции[[#This Row],[totalSumm]]-ТабПозиции[[#This Row],[payment]]</f>
        <v>0</v>
      </c>
      <c r="S12" s="26" t="s">
        <v>541</v>
      </c>
      <c r="T12" s="56" t="s">
        <v>3061</v>
      </c>
      <c r="U12" s="56" t="s">
        <v>3061</v>
      </c>
      <c r="V12" s="56" t="s">
        <v>3061</v>
      </c>
      <c r="W12"/>
      <c r="X12"/>
    </row>
    <row r="13" spans="1:24" x14ac:dyDescent="0.25">
      <c r="A13" s="26">
        <v>2</v>
      </c>
      <c r="B13" s="1">
        <f>IFERROR(VLOOKUP(ТабПозиции[[#This Row],[orderNum]],ТабЗаказы[#Data],MATCH(B$7,ТабЗаказы[#Headers],0),0),"")</f>
        <v>45361</v>
      </c>
      <c r="C13" t="str">
        <f>MONTH(ТабПозиции[[#This Row],[date]])&amp;"/"&amp;YEAR(ТабПозиции[[#This Row],[date]])</f>
        <v>3/2024</v>
      </c>
      <c r="D13" s="1" t="str">
        <f>IFERROR(VLOOKUP(ТабПозиции[[#This Row],[orderNum]],ТабЗаказы[#Data],MATCH(D$7,ТабЗаказы[#Headers],0),0),"")</f>
        <v>Руденко Юля</v>
      </c>
      <c r="E13" s="32" t="s">
        <v>548</v>
      </c>
      <c r="F13" s="56" t="s">
        <v>3061</v>
      </c>
      <c r="G13" s="33"/>
      <c r="H13" s="34">
        <v>45374</v>
      </c>
      <c r="I13" s="26">
        <v>1</v>
      </c>
      <c r="K13">
        <v>0</v>
      </c>
      <c r="L13" s="26">
        <v>496</v>
      </c>
      <c r="M13">
        <f t="shared" si="0"/>
        <v>496</v>
      </c>
      <c r="O1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Row],[orderNum]],ТабПозиции[orderSumm])&gt;1500),ABS(M13*VLOOKUP(ТабПозиции[[#This Row],[orderNum]],ТабЗаказы[#Data],MATCH("Percent",ТабЗаказы[#Headers],0),0))/100,200/COUNTIF(ТабПозиции[orderNum],ТабПозиции[[#This Row],[orderNum]])),0),"")</f>
        <v>50</v>
      </c>
      <c r="P13">
        <f>IF(OR(ТабПозиции[[#This Row],[item]]="По штрихкоду",ТабПозиции[[#This Row],[item]]="Посылка"),ТабПозиции[[#This Row],[deliverySumm]]+ТабПозиции[[#This Row],[deliveryPost]],SUM(M13:O13))</f>
        <v>546</v>
      </c>
      <c r="Q13" s="57">
        <v>546</v>
      </c>
      <c r="R13" s="62">
        <f>ТабПозиции[[#This Row],[totalSumm]]-ТабПозиции[[#This Row],[payment]]</f>
        <v>0</v>
      </c>
      <c r="S13" s="26" t="s">
        <v>541</v>
      </c>
      <c r="T13" s="56" t="s">
        <v>3061</v>
      </c>
      <c r="U13" s="56" t="s">
        <v>3061</v>
      </c>
      <c r="V13" s="56" t="s">
        <v>3061</v>
      </c>
      <c r="W13"/>
      <c r="X13"/>
    </row>
    <row r="14" spans="1:24" x14ac:dyDescent="0.25">
      <c r="A14" s="26">
        <v>2</v>
      </c>
      <c r="B14" s="1">
        <f>IFERROR(VLOOKUP(ТабПозиции[[#This Row],[orderNum]],ТабЗаказы[#Data],MATCH(B$7,ТабЗаказы[#Headers],0),0),"")</f>
        <v>45361</v>
      </c>
      <c r="C14" t="str">
        <f>MONTH(ТабПозиции[[#This Row],[date]])&amp;"/"&amp;YEAR(ТабПозиции[[#This Row],[date]])</f>
        <v>3/2024</v>
      </c>
      <c r="D14" s="1" t="str">
        <f>IFERROR(VLOOKUP(ТабПозиции[[#This Row],[orderNum]],ТабЗаказы[#Data],MATCH(D$7,ТабЗаказы[#Headers],0),0),"")</f>
        <v>Руденко Юля</v>
      </c>
      <c r="E14" s="32" t="s">
        <v>549</v>
      </c>
      <c r="F14" s="56" t="s">
        <v>3061</v>
      </c>
      <c r="G14" s="33"/>
      <c r="H14" s="34">
        <v>45364</v>
      </c>
      <c r="I14" s="26">
        <v>1</v>
      </c>
      <c r="K14">
        <v>0</v>
      </c>
      <c r="L14" s="26">
        <v>353</v>
      </c>
      <c r="M14">
        <f t="shared" si="0"/>
        <v>353</v>
      </c>
      <c r="O1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Row],[orderNum]],ТабПозиции[orderSumm])&gt;1500),ABS(M14*VLOOKUP(ТабПозиции[[#This Row],[orderNum]],ТабЗаказы[#Data],MATCH("Percent",ТабЗаказы[#Headers],0),0))/100,200/COUNTIF(ТабПозиции[orderNum],ТабПозиции[[#This Row],[orderNum]])),0),"")</f>
        <v>35</v>
      </c>
      <c r="P14">
        <f>IF(OR(ТабПозиции[[#This Row],[item]]="По штрихкоду",ТабПозиции[[#This Row],[item]]="Посылка"),ТабПозиции[[#This Row],[deliverySumm]]+ТабПозиции[[#This Row],[deliveryPost]],SUM(M14:O14))</f>
        <v>388</v>
      </c>
      <c r="Q14" s="57">
        <v>388</v>
      </c>
      <c r="R14" s="62">
        <f>ТабПозиции[[#This Row],[totalSumm]]-ТабПозиции[[#This Row],[payment]]</f>
        <v>0</v>
      </c>
      <c r="S14" s="26" t="s">
        <v>541</v>
      </c>
      <c r="T14" s="56" t="s">
        <v>3061</v>
      </c>
      <c r="U14" s="56" t="s">
        <v>3061</v>
      </c>
      <c r="V14" s="56" t="s">
        <v>3061</v>
      </c>
      <c r="W14"/>
      <c r="X14"/>
    </row>
    <row r="15" spans="1:24" x14ac:dyDescent="0.25">
      <c r="A15" s="26">
        <v>2</v>
      </c>
      <c r="B15" s="1">
        <f>IFERROR(VLOOKUP(ТабПозиции[[#This Row],[orderNum]],ТабЗаказы[#Data],MATCH(B$7,ТабЗаказы[#Headers],0),0),"")</f>
        <v>45361</v>
      </c>
      <c r="C15" t="str">
        <f>MONTH(ТабПозиции[[#This Row],[date]])&amp;"/"&amp;YEAR(ТабПозиции[[#This Row],[date]])</f>
        <v>3/2024</v>
      </c>
      <c r="D15" s="1" t="str">
        <f>IFERROR(VLOOKUP(ТабПозиции[[#This Row],[orderNum]],ТабЗаказы[#Data],MATCH(D$7,ТабЗаказы[#Headers],0),0),"")</f>
        <v>Руденко Юля</v>
      </c>
      <c r="E15" s="32" t="s">
        <v>548</v>
      </c>
      <c r="F15" s="56" t="s">
        <v>3061</v>
      </c>
      <c r="G15" s="33"/>
      <c r="H15" s="34">
        <v>45374</v>
      </c>
      <c r="I15" s="26">
        <v>1</v>
      </c>
      <c r="K15">
        <v>0</v>
      </c>
      <c r="L15" s="26">
        <v>496</v>
      </c>
      <c r="M15">
        <f t="shared" si="0"/>
        <v>496</v>
      </c>
      <c r="O1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Row],[orderNum]],ТабПозиции[orderSumm])&gt;1500),ABS(M15*VLOOKUP(ТабПозиции[[#This Row],[orderNum]],ТабЗаказы[#Data],MATCH("Percent",ТабЗаказы[#Headers],0),0))/100,200/COUNTIF(ТабПозиции[orderNum],ТабПозиции[[#This Row],[orderNum]])),0),"")</f>
        <v>50</v>
      </c>
      <c r="P15">
        <f>IF(OR(ТабПозиции[[#This Row],[item]]="По штрихкоду",ТабПозиции[[#This Row],[item]]="Посылка"),ТабПозиции[[#This Row],[deliverySumm]]+ТабПозиции[[#This Row],[deliveryPost]],SUM(M15:O15))</f>
        <v>546</v>
      </c>
      <c r="Q15" s="57">
        <v>546</v>
      </c>
      <c r="R15" s="62">
        <f>ТабПозиции[[#This Row],[totalSumm]]-ТабПозиции[[#This Row],[payment]]</f>
        <v>0</v>
      </c>
      <c r="S15" s="26" t="s">
        <v>541</v>
      </c>
      <c r="T15" s="56" t="s">
        <v>3061</v>
      </c>
      <c r="U15" s="56" t="s">
        <v>3061</v>
      </c>
      <c r="V15" s="56" t="s">
        <v>3061</v>
      </c>
      <c r="W15"/>
      <c r="X15"/>
    </row>
    <row r="16" spans="1:24" x14ac:dyDescent="0.25">
      <c r="A16" s="26">
        <v>2</v>
      </c>
      <c r="B16" s="1">
        <f>IFERROR(VLOOKUP(ТабПозиции[[#This Row],[orderNum]],ТабЗаказы[#Data],MATCH(B$7,ТабЗаказы[#Headers],0),0),"")</f>
        <v>45361</v>
      </c>
      <c r="C16" t="str">
        <f>MONTH(ТабПозиции[[#This Row],[date]])&amp;"/"&amp;YEAR(ТабПозиции[[#This Row],[date]])</f>
        <v>3/2024</v>
      </c>
      <c r="D16" s="1" t="str">
        <f>IFERROR(VLOOKUP(ТабПозиции[[#This Row],[orderNum]],ТабЗаказы[#Data],MATCH(D$7,ТабЗаказы[#Headers],0),0),"")</f>
        <v>Руденко Юля</v>
      </c>
      <c r="E16" s="32" t="s">
        <v>548</v>
      </c>
      <c r="F16" s="56" t="s">
        <v>3061</v>
      </c>
      <c r="G16" s="33"/>
      <c r="H16" s="34">
        <v>45374</v>
      </c>
      <c r="I16" s="26">
        <v>1</v>
      </c>
      <c r="K16">
        <v>0</v>
      </c>
      <c r="L16" s="26">
        <v>394</v>
      </c>
      <c r="M16">
        <f t="shared" si="0"/>
        <v>394</v>
      </c>
      <c r="O1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Row],[orderNum]],ТабПозиции[orderSumm])&gt;1500),ABS(M16*VLOOKUP(ТабПозиции[[#This Row],[orderNum]],ТабЗаказы[#Data],MATCH("Percent",ТабЗаказы[#Headers],0),0))/100,200/COUNTIF(ТабПозиции[orderNum],ТабПозиции[[#This Row],[orderNum]])),0),"")</f>
        <v>39</v>
      </c>
      <c r="P16">
        <f>IF(OR(ТабПозиции[[#This Row],[item]]="По штрихкоду",ТабПозиции[[#This Row],[item]]="Посылка"),ТабПозиции[[#This Row],[deliverySumm]]+ТабПозиции[[#This Row],[deliveryPost]],SUM(M16:O16))</f>
        <v>433</v>
      </c>
      <c r="Q16" s="57">
        <v>433</v>
      </c>
      <c r="R16" s="62">
        <f>ТабПозиции[[#This Row],[totalSumm]]-ТабПозиции[[#This Row],[payment]]</f>
        <v>0</v>
      </c>
      <c r="S16" s="26" t="s">
        <v>541</v>
      </c>
      <c r="T16" s="56" t="s">
        <v>3061</v>
      </c>
      <c r="U16" s="56" t="s">
        <v>3061</v>
      </c>
      <c r="V16" s="56" t="s">
        <v>3061</v>
      </c>
      <c r="W16"/>
      <c r="X16"/>
    </row>
    <row r="17" spans="1:24" x14ac:dyDescent="0.25">
      <c r="A17" s="26">
        <v>3</v>
      </c>
      <c r="B17" s="1">
        <f>IFERROR(VLOOKUP(ТабПозиции[[#This Row],[orderNum]],ТабЗаказы[#Data],MATCH(B$7,ТабЗаказы[#Headers],0),0),"")</f>
        <v>45361</v>
      </c>
      <c r="C17" t="str">
        <f>MONTH(ТабПозиции[[#This Row],[date]])&amp;"/"&amp;YEAR(ТабПозиции[[#This Row],[date]])</f>
        <v>3/2024</v>
      </c>
      <c r="D17" s="1" t="str">
        <f>IFERROR(VLOOKUP(ТабПозиции[[#This Row],[orderNum]],ТабЗаказы[#Data],MATCH(D$7,ТабЗаказы[#Headers],0),0),"")</f>
        <v>Маричка</v>
      </c>
      <c r="E17" s="32" t="s">
        <v>550</v>
      </c>
      <c r="F17" s="56" t="s">
        <v>3061</v>
      </c>
      <c r="G17" s="33"/>
      <c r="H17" s="34">
        <v>45363</v>
      </c>
      <c r="I17" s="26">
        <v>1</v>
      </c>
      <c r="K17">
        <v>0</v>
      </c>
      <c r="L17" s="51">
        <v>230</v>
      </c>
      <c r="M17">
        <f t="shared" si="0"/>
        <v>230</v>
      </c>
      <c r="O1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Row],[orderNum]],ТабПозиции[orderSumm])&gt;1500),ABS(M17*VLOOKUP(ТабПозиции[[#This Row],[orderNum]],ТабЗаказы[#Data],MATCH("Percent",ТабЗаказы[#Headers],0),0))/100,200/COUNTIF(ТабПозиции[orderNum],ТабПозиции[[#This Row],[orderNum]])),0),"")</f>
        <v>35</v>
      </c>
      <c r="P17">
        <f>IF(OR(ТабПозиции[[#This Row],[item]]="По штрихкоду",ТабПозиции[[#This Row],[item]]="Посылка"),ТабПозиции[[#This Row],[deliverySumm]]+ТабПозиции[[#This Row],[deliveryPost]],SUM(M17:O17))</f>
        <v>265</v>
      </c>
      <c r="Q17" s="57">
        <v>265</v>
      </c>
      <c r="R17" s="62">
        <f>ТабПозиции[[#This Row],[totalSumm]]-ТабПозиции[[#This Row],[payment]]</f>
        <v>0</v>
      </c>
      <c r="S17" s="26" t="s">
        <v>544</v>
      </c>
      <c r="T17" s="56" t="s">
        <v>3061</v>
      </c>
      <c r="U17" s="56" t="s">
        <v>3061</v>
      </c>
      <c r="V17" s="56" t="s">
        <v>3061</v>
      </c>
      <c r="W17"/>
      <c r="X17"/>
    </row>
    <row r="18" spans="1:24" x14ac:dyDescent="0.25">
      <c r="A18" s="26">
        <v>3</v>
      </c>
      <c r="B18" s="1">
        <f>IFERROR(VLOOKUP(ТабПозиции[[#This Row],[orderNum]],ТабЗаказы[#Data],MATCH(B$7,ТабЗаказы[#Headers],0),0),"")</f>
        <v>45361</v>
      </c>
      <c r="C18" t="str">
        <f>MONTH(ТабПозиции[[#This Row],[date]])&amp;"/"&amp;YEAR(ТабПозиции[[#This Row],[date]])</f>
        <v>3/2024</v>
      </c>
      <c r="D18" s="1" t="str">
        <f>IFERROR(VLOOKUP(ТабПозиции[[#This Row],[orderNum]],ТабЗаказы[#Data],MATCH(D$7,ТабЗаказы[#Headers],0),0),"")</f>
        <v>Маричка</v>
      </c>
      <c r="E18" s="32" t="s">
        <v>551</v>
      </c>
      <c r="F18" s="56" t="s">
        <v>3061</v>
      </c>
      <c r="G18" s="33"/>
      <c r="H18" s="34">
        <v>45367</v>
      </c>
      <c r="I18" s="26">
        <v>1</v>
      </c>
      <c r="K18">
        <v>0</v>
      </c>
      <c r="L18" s="51">
        <v>401</v>
      </c>
      <c r="M18">
        <f t="shared" si="0"/>
        <v>401</v>
      </c>
      <c r="O1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Row],[orderNum]],ТабПозиции[orderSumm])&gt;1500),ABS(M18*VLOOKUP(ТабПозиции[[#This Row],[orderNum]],ТабЗаказы[#Data],MATCH("Percent",ТабЗаказы[#Headers],0),0))/100,200/COUNTIF(ТабПозиции[orderNum],ТабПозиции[[#This Row],[orderNum]])),0),"")</f>
        <v>60</v>
      </c>
      <c r="P18">
        <f>IF(OR(ТабПозиции[[#This Row],[item]]="По штрихкоду",ТабПозиции[[#This Row],[item]]="Посылка"),ТабПозиции[[#This Row],[deliverySumm]]+ТабПозиции[[#This Row],[deliveryPost]],SUM(M18:O18))</f>
        <v>461</v>
      </c>
      <c r="Q18" s="57">
        <v>461</v>
      </c>
      <c r="R18" s="62">
        <f>ТабПозиции[[#This Row],[totalSumm]]-ТабПозиции[[#This Row],[payment]]</f>
        <v>0</v>
      </c>
      <c r="S18" s="26" t="s">
        <v>544</v>
      </c>
      <c r="T18" s="56" t="s">
        <v>3061</v>
      </c>
      <c r="U18" s="56" t="s">
        <v>3061</v>
      </c>
      <c r="V18" s="56" t="s">
        <v>3061</v>
      </c>
      <c r="W18"/>
      <c r="X18"/>
    </row>
    <row r="19" spans="1:24" x14ac:dyDescent="0.25">
      <c r="A19" s="26">
        <v>3</v>
      </c>
      <c r="B19" s="1">
        <f>IFERROR(VLOOKUP(ТабПозиции[[#This Row],[orderNum]],ТабЗаказы[#Data],MATCH(B$7,ТабЗаказы[#Headers],0),0),"")</f>
        <v>45361</v>
      </c>
      <c r="C19" t="str">
        <f>MONTH(ТабПозиции[[#This Row],[date]])&amp;"/"&amp;YEAR(ТабПозиции[[#This Row],[date]])</f>
        <v>3/2024</v>
      </c>
      <c r="D19" s="1" t="str">
        <f>IFERROR(VLOOKUP(ТабПозиции[[#This Row],[orderNum]],ТабЗаказы[#Data],MATCH(D$7,ТабЗаказы[#Headers],0),0),"")</f>
        <v>Маричка</v>
      </c>
      <c r="E19" s="32" t="s">
        <v>552</v>
      </c>
      <c r="F19" s="56" t="s">
        <v>3061</v>
      </c>
      <c r="G19" s="33"/>
      <c r="H19" s="34">
        <v>45369</v>
      </c>
      <c r="I19" s="26">
        <v>1</v>
      </c>
      <c r="K19">
        <v>0</v>
      </c>
      <c r="L19" s="51">
        <v>783</v>
      </c>
      <c r="M19">
        <f t="shared" si="0"/>
        <v>783</v>
      </c>
      <c r="O1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Row],[orderNum]],ТабПозиции[orderSumm])&gt;1500),ABS(M19*VLOOKUP(ТабПозиции[[#This Row],[orderNum]],ТабЗаказы[#Data],MATCH("Percent",ТабЗаказы[#Headers],0),0))/100,200/COUNTIF(ТабПозиции[orderNum],ТабПозиции[[#This Row],[orderNum]])),0),"")</f>
        <v>117</v>
      </c>
      <c r="P19">
        <f>IF(OR(ТабПозиции[[#This Row],[item]]="По штрихкоду",ТабПозиции[[#This Row],[item]]="Посылка"),ТабПозиции[[#This Row],[deliverySumm]]+ТабПозиции[[#This Row],[deliveryPost]],SUM(M19:O19))</f>
        <v>900</v>
      </c>
      <c r="Q19" s="57">
        <v>900</v>
      </c>
      <c r="R19" s="62">
        <f>ТабПозиции[[#This Row],[totalSumm]]-ТабПозиции[[#This Row],[payment]]</f>
        <v>0</v>
      </c>
      <c r="S19" s="26" t="s">
        <v>544</v>
      </c>
      <c r="T19" s="56" t="s">
        <v>3061</v>
      </c>
      <c r="U19" s="56" t="s">
        <v>3061</v>
      </c>
      <c r="V19" s="56" t="s">
        <v>3061</v>
      </c>
      <c r="W19"/>
      <c r="X19"/>
    </row>
    <row r="20" spans="1:24" x14ac:dyDescent="0.25">
      <c r="A20" s="26">
        <v>3</v>
      </c>
      <c r="B20" s="1">
        <f>IFERROR(VLOOKUP(ТабПозиции[[#This Row],[orderNum]],ТабЗаказы[#Data],MATCH(B$7,ТабЗаказы[#Headers],0),0),"")</f>
        <v>45361</v>
      </c>
      <c r="C20" t="str">
        <f>MONTH(ТабПозиции[[#This Row],[date]])&amp;"/"&amp;YEAR(ТабПозиции[[#This Row],[date]])</f>
        <v>3/2024</v>
      </c>
      <c r="D20" s="1" t="str">
        <f>IFERROR(VLOOKUP(ТабПозиции[[#This Row],[orderNum]],ТабЗаказы[#Data],MATCH(D$7,ТабЗаказы[#Headers],0),0),"")</f>
        <v>Маричка</v>
      </c>
      <c r="E20" s="32" t="s">
        <v>553</v>
      </c>
      <c r="F20" s="56" t="s">
        <v>3061</v>
      </c>
      <c r="G20" s="33"/>
      <c r="H20" s="34">
        <v>45363</v>
      </c>
      <c r="I20" s="26">
        <v>1</v>
      </c>
      <c r="K20">
        <v>0</v>
      </c>
      <c r="L20" s="51">
        <v>821</v>
      </c>
      <c r="M20">
        <f t="shared" si="0"/>
        <v>821</v>
      </c>
      <c r="O2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Row],[orderNum]],ТабПозиции[orderSumm])&gt;1500),ABS(M20*VLOOKUP(ТабПозиции[[#This Row],[orderNum]],ТабЗаказы[#Data],MATCH("Percent",ТабЗаказы[#Headers],0),0))/100,200/COUNTIF(ТабПозиции[orderNum],ТабПозиции[[#This Row],[orderNum]])),0),"")</f>
        <v>123</v>
      </c>
      <c r="P20">
        <f>IF(OR(ТабПозиции[[#This Row],[item]]="По штрихкоду",ТабПозиции[[#This Row],[item]]="Посылка"),ТабПозиции[[#This Row],[deliverySumm]]+ТабПозиции[[#This Row],[deliveryPost]],SUM(M20:O20))</f>
        <v>944</v>
      </c>
      <c r="Q20" s="57">
        <v>944</v>
      </c>
      <c r="R20" s="62">
        <f>ТабПозиции[[#This Row],[totalSumm]]-ТабПозиции[[#This Row],[payment]]</f>
        <v>0</v>
      </c>
      <c r="S20" s="26" t="s">
        <v>544</v>
      </c>
      <c r="T20" s="56" t="s">
        <v>3061</v>
      </c>
      <c r="U20" s="56" t="s">
        <v>3061</v>
      </c>
      <c r="V20" s="56" t="s">
        <v>3061</v>
      </c>
      <c r="W20"/>
      <c r="X20"/>
    </row>
    <row r="21" spans="1:24" x14ac:dyDescent="0.25">
      <c r="A21" s="26">
        <v>3</v>
      </c>
      <c r="B21" s="1">
        <f>IFERROR(VLOOKUP(ТабПозиции[[#This Row],[orderNum]],ТабЗаказы[#Data],MATCH(B$7,ТабЗаказы[#Headers],0),0),"")</f>
        <v>45361</v>
      </c>
      <c r="C21" t="str">
        <f>MONTH(ТабПозиции[[#This Row],[date]])&amp;"/"&amp;YEAR(ТабПозиции[[#This Row],[date]])</f>
        <v>3/2024</v>
      </c>
      <c r="D21" s="1" t="str">
        <f>IFERROR(VLOOKUP(ТабПозиции[[#This Row],[orderNum]],ТабЗаказы[#Data],MATCH(D$7,ТабЗаказы[#Headers],0),0),"")</f>
        <v>Маричка</v>
      </c>
      <c r="E21" s="32" t="s">
        <v>554</v>
      </c>
      <c r="F21" s="56" t="s">
        <v>3061</v>
      </c>
      <c r="G21" s="33"/>
      <c r="H21" s="34">
        <v>45370</v>
      </c>
      <c r="I21" s="26">
        <v>2</v>
      </c>
      <c r="K21">
        <v>0</v>
      </c>
      <c r="L21" s="51">
        <v>544</v>
      </c>
      <c r="M21">
        <f>L21*I21</f>
        <v>1088</v>
      </c>
      <c r="O2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Row],[orderNum]],ТабПозиции[orderSumm])&gt;1500),ABS(M21*VLOOKUP(ТабПозиции[[#This Row],[orderNum]],ТабЗаказы[#Data],MATCH("Percent",ТабЗаказы[#Headers],0),0))/100,200/COUNTIF(ТабПозиции[orderNum],ТабПозиции[[#This Row],[orderNum]])),0),"")</f>
        <v>163</v>
      </c>
      <c r="P21">
        <f>IF(OR(ТабПозиции[[#This Row],[item]]="По штрихкоду",ТабПозиции[[#This Row],[item]]="Посылка"),ТабПозиции[[#This Row],[deliverySumm]]+ТабПозиции[[#This Row],[deliveryPost]],SUM(M21:O21))</f>
        <v>1251</v>
      </c>
      <c r="Q21" s="57">
        <v>1251</v>
      </c>
      <c r="R21" s="62">
        <f>ТабПозиции[[#This Row],[totalSumm]]-ТабПозиции[[#This Row],[payment]]</f>
        <v>0</v>
      </c>
      <c r="S21" s="26" t="s">
        <v>544</v>
      </c>
      <c r="T21" s="56" t="s">
        <v>3061</v>
      </c>
      <c r="U21" s="56" t="s">
        <v>3061</v>
      </c>
      <c r="V21" s="56" t="s">
        <v>3061</v>
      </c>
      <c r="W21"/>
      <c r="X21"/>
    </row>
    <row r="22" spans="1:24" x14ac:dyDescent="0.25">
      <c r="A22" s="26">
        <v>3</v>
      </c>
      <c r="B22" s="1">
        <f>IFERROR(VLOOKUP(ТабПозиции[[#This Row],[orderNum]],ТабЗаказы[#Data],MATCH(B$7,ТабЗаказы[#Headers],0),0),"")</f>
        <v>45361</v>
      </c>
      <c r="C22" t="str">
        <f>MONTH(ТабПозиции[[#This Row],[date]])&amp;"/"&amp;YEAR(ТабПозиции[[#This Row],[date]])</f>
        <v>3/2024</v>
      </c>
      <c r="D22" s="1" t="str">
        <f>IFERROR(VLOOKUP(ТабПозиции[[#This Row],[orderNum]],ТабЗаказы[#Data],MATCH(D$7,ТабЗаказы[#Headers],0),0),"")</f>
        <v>Маричка</v>
      </c>
      <c r="E22" s="32" t="s">
        <v>555</v>
      </c>
      <c r="F22" s="56" t="s">
        <v>3061</v>
      </c>
      <c r="G22" s="33"/>
      <c r="H22" s="34">
        <v>45363</v>
      </c>
      <c r="I22" s="26">
        <v>1</v>
      </c>
      <c r="K22">
        <v>0</v>
      </c>
      <c r="L22" s="51">
        <v>159</v>
      </c>
      <c r="M22">
        <f t="shared" si="0"/>
        <v>159</v>
      </c>
      <c r="O2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Row],[orderNum]],ТабПозиции[orderSumm])&gt;1500),ABS(M22*VLOOKUP(ТабПозиции[[#This Row],[orderNum]],ТабЗаказы[#Data],MATCH("Percent",ТабЗаказы[#Headers],0),0))/100,200/COUNTIF(ТабПозиции[orderNum],ТабПозиции[[#This Row],[orderNum]])),0),"")</f>
        <v>24</v>
      </c>
      <c r="P22">
        <f>IF(OR(ТабПозиции[[#This Row],[item]]="По штрихкоду",ТабПозиции[[#This Row],[item]]="Посылка"),ТабПозиции[[#This Row],[deliverySumm]]+ТабПозиции[[#This Row],[deliveryPost]],SUM(M22:O22))</f>
        <v>183</v>
      </c>
      <c r="Q22" s="57">
        <v>183</v>
      </c>
      <c r="R22" s="62">
        <f>ТабПозиции[[#This Row],[totalSumm]]-ТабПозиции[[#This Row],[payment]]</f>
        <v>0</v>
      </c>
      <c r="S22" s="26" t="s">
        <v>544</v>
      </c>
      <c r="T22" s="56" t="s">
        <v>3061</v>
      </c>
      <c r="U22" s="56" t="s">
        <v>3061</v>
      </c>
      <c r="V22" s="56" t="s">
        <v>3061</v>
      </c>
      <c r="W22"/>
      <c r="X22"/>
    </row>
    <row r="23" spans="1:24" x14ac:dyDescent="0.25">
      <c r="A23" s="26">
        <v>3</v>
      </c>
      <c r="B23" s="1">
        <f>IFERROR(VLOOKUP(ТабПозиции[[#This Row],[orderNum]],ТабЗаказы[#Data],MATCH(B$7,ТабЗаказы[#Headers],0),0),"")</f>
        <v>45361</v>
      </c>
      <c r="C23" t="str">
        <f>MONTH(ТабПозиции[[#This Row],[date]])&amp;"/"&amp;YEAR(ТабПозиции[[#This Row],[date]])</f>
        <v>3/2024</v>
      </c>
      <c r="D23" s="1" t="str">
        <f>IFERROR(VLOOKUP(ТабПозиции[[#This Row],[orderNum]],ТабЗаказы[#Data],MATCH(D$7,ТабЗаказы[#Headers],0),0),"")</f>
        <v>Маричка</v>
      </c>
      <c r="E23" s="32" t="s">
        <v>556</v>
      </c>
      <c r="F23" s="56" t="s">
        <v>3061</v>
      </c>
      <c r="G23" s="33"/>
      <c r="H23" s="34">
        <v>45363</v>
      </c>
      <c r="I23" s="26">
        <v>1</v>
      </c>
      <c r="K23">
        <v>0</v>
      </c>
      <c r="L23" s="51">
        <v>262</v>
      </c>
      <c r="M23">
        <f t="shared" si="0"/>
        <v>262</v>
      </c>
      <c r="O2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Row],[orderNum]],ТабПозиции[orderSumm])&gt;1500),ABS(M23*VLOOKUP(ТабПозиции[[#This Row],[orderNum]],ТабЗаказы[#Data],MATCH("Percent",ТабЗаказы[#Headers],0),0))/100,200/COUNTIF(ТабПозиции[orderNum],ТабПозиции[[#This Row],[orderNum]])),0),"")</f>
        <v>39</v>
      </c>
      <c r="P23">
        <f>IF(OR(ТабПозиции[[#This Row],[item]]="По штрихкоду",ТабПозиции[[#This Row],[item]]="Посылка"),ТабПозиции[[#This Row],[deliverySumm]]+ТабПозиции[[#This Row],[deliveryPost]],SUM(M23:O23))</f>
        <v>301</v>
      </c>
      <c r="Q23" s="57">
        <v>301</v>
      </c>
      <c r="R23" s="62">
        <f>ТабПозиции[[#This Row],[totalSumm]]-ТабПозиции[[#This Row],[payment]]</f>
        <v>0</v>
      </c>
      <c r="S23" s="26" t="s">
        <v>544</v>
      </c>
      <c r="T23" s="56" t="s">
        <v>3061</v>
      </c>
      <c r="U23" s="56" t="s">
        <v>3061</v>
      </c>
      <c r="V23" s="56" t="s">
        <v>3061</v>
      </c>
      <c r="W23"/>
      <c r="X23"/>
    </row>
    <row r="24" spans="1:24" x14ac:dyDescent="0.25">
      <c r="A24" s="26">
        <v>3</v>
      </c>
      <c r="B24" s="1">
        <f>IFERROR(VLOOKUP(ТабПозиции[[#This Row],[orderNum]],ТабЗаказы[#Data],MATCH(B$7,ТабЗаказы[#Headers],0),0),"")</f>
        <v>45361</v>
      </c>
      <c r="C24" t="str">
        <f>MONTH(ТабПозиции[[#This Row],[date]])&amp;"/"&amp;YEAR(ТабПозиции[[#This Row],[date]])</f>
        <v>3/2024</v>
      </c>
      <c r="D24" s="1" t="str">
        <f>IFERROR(VLOOKUP(ТабПозиции[[#This Row],[orderNum]],ТабЗаказы[#Data],MATCH(D$7,ТабЗаказы[#Headers],0),0),"")</f>
        <v>Маричка</v>
      </c>
      <c r="E24" s="32" t="s">
        <v>557</v>
      </c>
      <c r="F24" s="56" t="s">
        <v>3061</v>
      </c>
      <c r="G24" s="33"/>
      <c r="H24" s="34">
        <v>45366</v>
      </c>
      <c r="I24" s="26">
        <v>2</v>
      </c>
      <c r="K24">
        <v>0</v>
      </c>
      <c r="L24" s="51">
        <v>384</v>
      </c>
      <c r="M24">
        <f t="shared" si="0"/>
        <v>768</v>
      </c>
      <c r="O2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Row],[orderNum]],ТабПозиции[orderSumm])&gt;1500),ABS(M24*VLOOKUP(ТабПозиции[[#This Row],[orderNum]],ТабЗаказы[#Data],MATCH("Percent",ТабЗаказы[#Headers],0),0))/100,200/COUNTIF(ТабПозиции[orderNum],ТабПозиции[[#This Row],[orderNum]])),0),"")</f>
        <v>115</v>
      </c>
      <c r="P24">
        <f>IF(OR(ТабПозиции[[#This Row],[item]]="По штрихкоду",ТабПозиции[[#This Row],[item]]="Посылка"),ТабПозиции[[#This Row],[deliverySumm]]+ТабПозиции[[#This Row],[deliveryPost]],SUM(M24:O24))</f>
        <v>883</v>
      </c>
      <c r="Q24" s="57">
        <v>883</v>
      </c>
      <c r="R24" s="62">
        <f>ТабПозиции[[#This Row],[totalSumm]]-ТабПозиции[[#This Row],[payment]]</f>
        <v>0</v>
      </c>
      <c r="S24" s="26" t="s">
        <v>558</v>
      </c>
      <c r="T24" s="56" t="s">
        <v>3061</v>
      </c>
      <c r="U24" s="56" t="s">
        <v>3061</v>
      </c>
      <c r="V24" s="56" t="s">
        <v>3061</v>
      </c>
      <c r="W24"/>
      <c r="X24"/>
    </row>
    <row r="25" spans="1:24" x14ac:dyDescent="0.25">
      <c r="A25" s="26">
        <v>4</v>
      </c>
      <c r="B25" s="1">
        <f>IFERROR(VLOOKUP(ТабПозиции[[#This Row],[orderNum]],ТабЗаказы[#Data],MATCH(B$7,ТабЗаказы[#Headers],0),0),"")</f>
        <v>45361</v>
      </c>
      <c r="C25" t="str">
        <f>MONTH(ТабПозиции[[#This Row],[date]])&amp;"/"&amp;YEAR(ТабПозиции[[#This Row],[date]])</f>
        <v>3/2024</v>
      </c>
      <c r="D25" s="1" t="str">
        <f>IFERROR(VLOOKUP(ТабПозиции[[#This Row],[orderNum]],ТабЗаказы[#Data],MATCH(D$7,ТабЗаказы[#Headers],0),0),"")</f>
        <v>Митрофанов Евгений</v>
      </c>
      <c r="E25" s="32" t="s">
        <v>559</v>
      </c>
      <c r="F25" s="56" t="s">
        <v>3061</v>
      </c>
      <c r="G25" s="33" t="s">
        <v>560</v>
      </c>
      <c r="H25" s="34">
        <v>45387</v>
      </c>
      <c r="I25" s="26">
        <v>1</v>
      </c>
      <c r="K25">
        <v>0</v>
      </c>
      <c r="L25" s="26">
        <v>2789</v>
      </c>
      <c r="M25">
        <f t="shared" si="0"/>
        <v>2789</v>
      </c>
      <c r="O2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Row],[orderNum]],ТабПозиции[orderSumm])&gt;1500),ABS(M25*VLOOKUP(ТабПозиции[[#This Row],[orderNum]],ТабЗаказы[#Data],MATCH("Percent",ТабЗаказы[#Headers],0),0))/100,200/COUNTIF(ТабПозиции[orderNum],ТабПозиции[[#This Row],[orderNum]])),0),"")</f>
        <v>418</v>
      </c>
      <c r="P25">
        <f>IF(OR(ТабПозиции[[#This Row],[item]]="По штрихкоду",ТабПозиции[[#This Row],[item]]="Посылка"),ТабПозиции[[#This Row],[deliverySumm]]+ТабПозиции[[#This Row],[deliveryPost]],SUM(M25:O25))</f>
        <v>3207</v>
      </c>
      <c r="Q25" s="57">
        <v>3207</v>
      </c>
      <c r="R25" s="62">
        <f>ТабПозиции[[#This Row],[totalSumm]]-ТабПозиции[[#This Row],[payment]]</f>
        <v>0</v>
      </c>
      <c r="S25" s="26" t="s">
        <v>561</v>
      </c>
      <c r="T25" s="56" t="s">
        <v>3061</v>
      </c>
      <c r="U25" s="56" t="s">
        <v>3061</v>
      </c>
      <c r="V25" s="56" t="s">
        <v>3061</v>
      </c>
      <c r="W25"/>
      <c r="X25"/>
    </row>
    <row r="26" spans="1:24" x14ac:dyDescent="0.25">
      <c r="A26" s="26">
        <v>4</v>
      </c>
      <c r="B26" s="1">
        <f>IFERROR(VLOOKUP(ТабПозиции[[#This Row],[orderNum]],ТабЗаказы[#Data],MATCH(B$7,ТабЗаказы[#Headers],0),0),"")</f>
        <v>45361</v>
      </c>
      <c r="C26" t="str">
        <f>MONTH(ТабПозиции[[#This Row],[date]])&amp;"/"&amp;YEAR(ТабПозиции[[#This Row],[date]])</f>
        <v>3/2024</v>
      </c>
      <c r="D26" s="1" t="str">
        <f>IFERROR(VLOOKUP(ТабПозиции[[#This Row],[orderNum]],ТабЗаказы[#Data],MATCH(D$7,ТабЗаказы[#Headers],0),0),"")</f>
        <v>Митрофанов Евгений</v>
      </c>
      <c r="E26" s="32" t="s">
        <v>562</v>
      </c>
      <c r="F26" s="56" t="s">
        <v>3061</v>
      </c>
      <c r="G26" s="33" t="s">
        <v>563</v>
      </c>
      <c r="H26" s="34">
        <v>45387</v>
      </c>
      <c r="I26" s="26">
        <v>1</v>
      </c>
      <c r="K26">
        <v>0</v>
      </c>
      <c r="L26" s="26">
        <v>462</v>
      </c>
      <c r="M26">
        <f t="shared" si="0"/>
        <v>462</v>
      </c>
      <c r="O2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Row],[orderNum]],ТабПозиции[orderSumm])&gt;1500),ABS(M26*VLOOKUP(ТабПозиции[[#This Row],[orderNum]],ТабЗаказы[#Data],MATCH("Percent",ТабЗаказы[#Headers],0),0))/100,200/COUNTIF(ТабПозиции[orderNum],ТабПозиции[[#This Row],[orderNum]])),0),"")</f>
        <v>69</v>
      </c>
      <c r="P26">
        <f>IF(OR(ТабПозиции[[#This Row],[item]]="По штрихкоду",ТабПозиции[[#This Row],[item]]="Посылка"),ТабПозиции[[#This Row],[deliverySumm]]+ТабПозиции[[#This Row],[deliveryPost]],SUM(M26:O26))</f>
        <v>531</v>
      </c>
      <c r="Q26" s="57">
        <v>531</v>
      </c>
      <c r="R26" s="62">
        <f>ТабПозиции[[#This Row],[totalSumm]]-ТабПозиции[[#This Row],[payment]]</f>
        <v>0</v>
      </c>
      <c r="S26" s="26" t="s">
        <v>561</v>
      </c>
      <c r="T26" s="56" t="s">
        <v>3061</v>
      </c>
      <c r="U26" s="56" t="s">
        <v>3061</v>
      </c>
      <c r="V26" s="56" t="s">
        <v>3061</v>
      </c>
      <c r="W26"/>
      <c r="X26"/>
    </row>
    <row r="27" spans="1:24" x14ac:dyDescent="0.25">
      <c r="A27" s="26">
        <v>5</v>
      </c>
      <c r="B27" s="1">
        <f>IFERROR(VLOOKUP(ТабПозиции[[#This Row],[orderNum]],ТабЗаказы[#Data],MATCH(B$7,ТабЗаказы[#Headers],0),0),"")</f>
        <v>45365</v>
      </c>
      <c r="C27" t="str">
        <f>MONTH(ТабПозиции[[#This Row],[date]])&amp;"/"&amp;YEAR(ТабПозиции[[#This Row],[date]])</f>
        <v>3/2024</v>
      </c>
      <c r="D27" s="1" t="str">
        <f>IFERROR(VLOOKUP(ТабПозиции[[#This Row],[orderNum]],ТабЗаказы[#Data],MATCH(D$7,ТабЗаказы[#Headers],0),0),"")</f>
        <v>Марк Полинкин</v>
      </c>
      <c r="E27" s="32" t="s">
        <v>564</v>
      </c>
      <c r="F27" s="56" t="s">
        <v>3061</v>
      </c>
      <c r="G27" s="33"/>
      <c r="H27" s="34">
        <v>45367</v>
      </c>
      <c r="I27" s="26">
        <v>1</v>
      </c>
      <c r="K27">
        <v>0</v>
      </c>
      <c r="L27" s="26">
        <v>1190</v>
      </c>
      <c r="M27">
        <f t="shared" si="0"/>
        <v>1190</v>
      </c>
      <c r="O2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Row],[orderNum]],ТабПозиции[orderSumm])&gt;1500),ABS(M27*VLOOKUP(ТабПозиции[[#This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27">
        <f>IF(OR(ТабПозиции[[#This Row],[item]]="По штрихкоду",ТабПозиции[[#This Row],[item]]="Посылка"),ТабПозиции[[#This Row],[deliverySumm]]+ТабПозиции[[#This Row],[deliveryPost]],SUM(M27:O27))</f>
        <v>1390</v>
      </c>
      <c r="Q27" s="57">
        <v>1390</v>
      </c>
      <c r="R27" s="62">
        <f>ТабПозиции[[#This Row],[totalSumm]]-ТабПозиции[[#This Row],[payment]]</f>
        <v>0</v>
      </c>
      <c r="S27" s="26" t="s">
        <v>558</v>
      </c>
      <c r="T27" s="56" t="s">
        <v>3061</v>
      </c>
      <c r="U27" s="56" t="s">
        <v>3061</v>
      </c>
      <c r="V27" s="56" t="s">
        <v>3061</v>
      </c>
      <c r="W27"/>
      <c r="X27"/>
    </row>
    <row r="28" spans="1:24" x14ac:dyDescent="0.25">
      <c r="A28" s="26">
        <v>6</v>
      </c>
      <c r="B28" s="1">
        <f>IFERROR(VLOOKUP(ТабПозиции[[#This Row],[orderNum]],ТабЗаказы[#Data],MATCH(B$7,ТабЗаказы[#Headers],0),0),"")</f>
        <v>45365</v>
      </c>
      <c r="C28" t="str">
        <f>MONTH(ТабПозиции[[#This Row],[date]])&amp;"/"&amp;YEAR(ТабПозиции[[#This Row],[date]])</f>
        <v>3/2024</v>
      </c>
      <c r="D28" s="1" t="str">
        <f>IFERROR(VLOOKUP(ТабПозиции[[#This Row],[orderNum]],ТабЗаказы[#Data],MATCH(D$7,ТабЗаказы[#Headers],0),0),"")</f>
        <v>петроград</v>
      </c>
      <c r="E28" s="26" t="s">
        <v>565</v>
      </c>
      <c r="F28" s="56" t="s">
        <v>3061</v>
      </c>
      <c r="H28" s="34">
        <v>45366</v>
      </c>
      <c r="I28" s="26">
        <v>1</v>
      </c>
      <c r="K28">
        <v>0</v>
      </c>
      <c r="L28" s="26">
        <v>2135</v>
      </c>
      <c r="M28">
        <f t="shared" si="0"/>
        <v>2135</v>
      </c>
      <c r="O2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Row],[orderNum]],ТабПозиции[orderSumm])&gt;1500),ABS(M28*VLOOKUP(ТабПозиции[[#This Row],[orderNum]],ТабЗаказы[#Data],MATCH("Percent",ТабЗаказы[#Headers],0),0))/100,200/COUNTIF(ТабПозиции[orderNum],ТабПозиции[[#This Row],[orderNum]])),0),"")</f>
        <v>320</v>
      </c>
      <c r="P28">
        <f>IF(OR(ТабПозиции[[#This Row],[item]]="По штрихкоду",ТабПозиции[[#This Row],[item]]="Посылка"),ТабПозиции[[#This Row],[deliverySumm]]+ТабПозиции[[#This Row],[deliveryPost]],SUM(M28:O28))</f>
        <v>2455</v>
      </c>
      <c r="Q28" s="57">
        <v>2455</v>
      </c>
      <c r="R28" s="62">
        <f>ТабПозиции[[#This Row],[totalSumm]]-ТабПозиции[[#This Row],[payment]]</f>
        <v>0</v>
      </c>
      <c r="S28" s="26" t="s">
        <v>544</v>
      </c>
      <c r="T28" s="56" t="s">
        <v>3061</v>
      </c>
      <c r="U28" s="56" t="s">
        <v>3061</v>
      </c>
      <c r="V28" s="56" t="s">
        <v>3061</v>
      </c>
      <c r="W28"/>
      <c r="X28"/>
    </row>
    <row r="29" spans="1:24" x14ac:dyDescent="0.25">
      <c r="A29" s="26">
        <v>7</v>
      </c>
      <c r="B29" s="1">
        <f>IFERROR(VLOOKUP(ТабПозиции[[#This Row],[orderNum]],ТабЗаказы[#Data],MATCH(B$7,ТабЗаказы[#Headers],0),0),"")</f>
        <v>45367</v>
      </c>
      <c r="C29" t="str">
        <f>MONTH(ТабПозиции[[#This Row],[date]])&amp;"/"&amp;YEAR(ТабПозиции[[#This Row],[date]])</f>
        <v>3/2024</v>
      </c>
      <c r="D29" s="1" t="str">
        <f>IFERROR(VLOOKUP(ТабПозиции[[#This Row],[orderNum]],ТабЗаказы[#Data],MATCH(D$7,ТабЗаказы[#Headers],0),0),"")</f>
        <v>Виктор Электростанция</v>
      </c>
      <c r="E29" s="32" t="s">
        <v>566</v>
      </c>
      <c r="F29" s="56" t="s">
        <v>3061</v>
      </c>
      <c r="G29" s="33"/>
      <c r="H29" s="34">
        <v>45369</v>
      </c>
      <c r="I29" s="26">
        <v>1</v>
      </c>
      <c r="K29">
        <v>0</v>
      </c>
      <c r="L29" s="26">
        <v>3549</v>
      </c>
      <c r="M29">
        <f t="shared" si="0"/>
        <v>3549</v>
      </c>
      <c r="O2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Row],[orderNum]],ТабПозиции[orderSumm])&gt;1500),ABS(M29*VLOOKUP(ТабПозиции[[#This Row],[orderNum]],ТабЗаказы[#Data],MATCH("Percent",ТабЗаказы[#Headers],0),0))/100,200/COUNTIF(ТабПозиции[orderNum],ТабПозиции[[#This Row],[orderNum]])),0),"")</f>
        <v>532</v>
      </c>
      <c r="P29">
        <f>IF(OR(ТабПозиции[[#This Row],[item]]="По штрихкоду",ТабПозиции[[#This Row],[item]]="Посылка"),ТабПозиции[[#This Row],[deliverySumm]]+ТабПозиции[[#This Row],[deliveryPost]],SUM(M29:O29))</f>
        <v>4081</v>
      </c>
      <c r="Q29" s="57">
        <v>4081</v>
      </c>
      <c r="R29" s="62">
        <f>ТабПозиции[[#This Row],[totalSumm]]-ТабПозиции[[#This Row],[payment]]</f>
        <v>0</v>
      </c>
      <c r="S29" s="26" t="s">
        <v>558</v>
      </c>
      <c r="T29" s="56" t="s">
        <v>3061</v>
      </c>
      <c r="U29" s="56" t="s">
        <v>3061</v>
      </c>
      <c r="V29" s="56" t="s">
        <v>3061</v>
      </c>
      <c r="W29"/>
      <c r="X29"/>
    </row>
    <row r="30" spans="1:24" x14ac:dyDescent="0.25">
      <c r="A30" s="26">
        <v>8</v>
      </c>
      <c r="B30" s="1">
        <f>IFERROR(VLOOKUP(ТабПозиции[[#This Row],[orderNum]],ТабЗаказы[#Data],MATCH(B$7,ТабЗаказы[#Headers],0),0),"")</f>
        <v>45367</v>
      </c>
      <c r="C30" t="str">
        <f>MONTH(ТабПозиции[[#This Row],[date]])&amp;"/"&amp;YEAR(ТабПозиции[[#This Row],[date]])</f>
        <v>3/2024</v>
      </c>
      <c r="D30" s="1" t="str">
        <f>IFERROR(VLOOKUP(ТабПозиции[[#This Row],[orderNum]],ТабЗаказы[#Data],MATCH(D$7,ТабЗаказы[#Headers],0),0),"")</f>
        <v>ято кен</v>
      </c>
      <c r="E30" s="32" t="s">
        <v>567</v>
      </c>
      <c r="F30" s="56" t="s">
        <v>3061</v>
      </c>
      <c r="G30" s="33"/>
      <c r="H30" s="34">
        <v>45379</v>
      </c>
      <c r="I30" s="26">
        <v>1</v>
      </c>
      <c r="K30">
        <v>0</v>
      </c>
      <c r="L30" s="26">
        <v>2100</v>
      </c>
      <c r="M30">
        <f t="shared" si="0"/>
        <v>2100</v>
      </c>
      <c r="O3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Row],[orderNum]],ТабПозиции[orderSumm])&gt;1500),ABS(M30*VLOOKUP(ТабПозиции[[#This Row],[orderNum]],ТабЗаказы[#Data],MATCH("Percent",ТабЗаказы[#Headers],0),0))/100,200/COUNTIF(ТабПозиции[orderNum],ТабПозиции[[#This Row],[orderNum]])),0),"")</f>
        <v>315</v>
      </c>
      <c r="P30">
        <f>IF(OR(ТабПозиции[[#This Row],[item]]="По штрихкоду",ТабПозиции[[#This Row],[item]]="Посылка"),ТабПозиции[[#This Row],[deliverySumm]]+ТабПозиции[[#This Row],[deliveryPost]],SUM(M30:O30))</f>
        <v>2415</v>
      </c>
      <c r="Q30" s="57">
        <v>2415</v>
      </c>
      <c r="R30" s="62">
        <f>ТабПозиции[[#This Row],[totalSumm]]-ТабПозиции[[#This Row],[payment]]</f>
        <v>0</v>
      </c>
      <c r="S30" s="26" t="s">
        <v>558</v>
      </c>
      <c r="T30" s="56" t="s">
        <v>3061</v>
      </c>
      <c r="U30" s="56" t="s">
        <v>3061</v>
      </c>
      <c r="V30" s="56" t="s">
        <v>3061</v>
      </c>
      <c r="W30"/>
      <c r="X30"/>
    </row>
    <row r="31" spans="1:24" x14ac:dyDescent="0.25">
      <c r="A31" s="26">
        <v>9</v>
      </c>
      <c r="B31" s="1">
        <f>IFERROR(VLOOKUP(ТабПозиции[[#This Row],[orderNum]],ТабЗаказы[#Data],MATCH(B$7,ТабЗаказы[#Headers],0),0),"")</f>
        <v>45367</v>
      </c>
      <c r="C31" t="str">
        <f>MONTH(ТабПозиции[[#This Row],[date]])&amp;"/"&amp;YEAR(ТабПозиции[[#This Row],[date]])</f>
        <v>3/2024</v>
      </c>
      <c r="D31" s="1" t="str">
        <f>IFERROR(VLOOKUP(ТабПозиции[[#This Row],[orderNum]],ТабЗаказы[#Data],MATCH(D$7,ТабЗаказы[#Headers],0),0),"")</f>
        <v>Полинка</v>
      </c>
      <c r="E31" s="32" t="s">
        <v>568</v>
      </c>
      <c r="F31" s="56" t="s">
        <v>3061</v>
      </c>
      <c r="G31" s="33"/>
      <c r="H31" s="34">
        <v>45369</v>
      </c>
      <c r="I31" s="26">
        <v>1</v>
      </c>
      <c r="K31">
        <v>0</v>
      </c>
      <c r="L31" s="26">
        <v>275</v>
      </c>
      <c r="M31">
        <f t="shared" si="0"/>
        <v>275</v>
      </c>
      <c r="O3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Row],[orderNum]],ТабПозиции[orderSumm])&gt;1500),ABS(M31*VLOOKUP(ТабПозиции[[#This Row],[orderNum]],ТабЗаказы[#Data],MATCH("Percent",ТабЗаказы[#Headers],0),0))/100,200/COUNTIF(ТабПозиции[orderNum],ТабПозиции[[#This Row],[orderNum]])),0),"")</f>
        <v>41</v>
      </c>
      <c r="P31">
        <f>IF(OR(ТабПозиции[[#This Row],[item]]="По штрихкоду",ТабПозиции[[#This Row],[item]]="Посылка"),ТабПозиции[[#This Row],[deliverySumm]]+ТабПозиции[[#This Row],[deliveryPost]],SUM(M31:O31))</f>
        <v>316</v>
      </c>
      <c r="Q31" s="57">
        <v>316</v>
      </c>
      <c r="R31" s="62">
        <f>ТабПозиции[[#This Row],[totalSumm]]-ТабПозиции[[#This Row],[payment]]</f>
        <v>0</v>
      </c>
      <c r="S31" s="26" t="s">
        <v>558</v>
      </c>
      <c r="T31" s="56" t="s">
        <v>3061</v>
      </c>
      <c r="U31" s="56" t="s">
        <v>3061</v>
      </c>
      <c r="V31" s="56" t="s">
        <v>3061</v>
      </c>
      <c r="W31"/>
      <c r="X31"/>
    </row>
    <row r="32" spans="1:24" x14ac:dyDescent="0.25">
      <c r="A32" s="26">
        <v>9</v>
      </c>
      <c r="B32" s="1">
        <f>IFERROR(VLOOKUP(ТабПозиции[[#This Row],[orderNum]],ТабЗаказы[#Data],MATCH(B$7,ТабЗаказы[#Headers],0),0),"")</f>
        <v>45367</v>
      </c>
      <c r="C32" t="str">
        <f>MONTH(ТабПозиции[[#This Row],[date]])&amp;"/"&amp;YEAR(ТабПозиции[[#This Row],[date]])</f>
        <v>3/2024</v>
      </c>
      <c r="D32" s="1" t="str">
        <f>IFERROR(VLOOKUP(ТабПозиции[[#This Row],[orderNum]],ТабЗаказы[#Data],MATCH(D$7,ТабЗаказы[#Headers],0),0),"")</f>
        <v>Полинка</v>
      </c>
      <c r="E32" s="32" t="s">
        <v>569</v>
      </c>
      <c r="F32" s="56" t="s">
        <v>3061</v>
      </c>
      <c r="G32" s="33"/>
      <c r="H32" s="34">
        <v>45369</v>
      </c>
      <c r="I32" s="26">
        <v>1</v>
      </c>
      <c r="K32">
        <v>0</v>
      </c>
      <c r="L32" s="26">
        <v>292</v>
      </c>
      <c r="M32">
        <f t="shared" si="0"/>
        <v>292</v>
      </c>
      <c r="O3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Row],[orderNum]],ТабПозиции[orderSumm])&gt;1500),ABS(M32*VLOOKUP(ТабПозиции[[#This Row],[orderNum]],ТабЗаказы[#Data],MATCH("Percent",ТабЗаказы[#Headers],0),0))/100,200/COUNTIF(ТабПозиции[orderNum],ТабПозиции[[#This Row],[orderNum]])),0),"")</f>
        <v>44</v>
      </c>
      <c r="P32">
        <f>IF(OR(ТабПозиции[[#This Row],[item]]="По штрихкоду",ТабПозиции[[#This Row],[item]]="Посылка"),ТабПозиции[[#This Row],[deliverySumm]]+ТабПозиции[[#This Row],[deliveryPost]],SUM(M32:O32))</f>
        <v>336</v>
      </c>
      <c r="Q32" s="57">
        <v>336</v>
      </c>
      <c r="R32" s="62">
        <f>ТабПозиции[[#This Row],[totalSumm]]-ТабПозиции[[#This Row],[payment]]</f>
        <v>0</v>
      </c>
      <c r="S32" s="26" t="s">
        <v>558</v>
      </c>
      <c r="T32" s="56" t="s">
        <v>3061</v>
      </c>
      <c r="U32" s="56" t="s">
        <v>3061</v>
      </c>
      <c r="V32" s="56" t="s">
        <v>3061</v>
      </c>
      <c r="W32"/>
      <c r="X32"/>
    </row>
    <row r="33" spans="1:24" x14ac:dyDescent="0.25">
      <c r="A33" s="26">
        <v>9</v>
      </c>
      <c r="B33" s="1">
        <f>IFERROR(VLOOKUP(ТабПозиции[[#This Row],[orderNum]],ТабЗаказы[#Data],MATCH(B$7,ТабЗаказы[#Headers],0),0),"")</f>
        <v>45367</v>
      </c>
      <c r="C33" t="str">
        <f>MONTH(ТабПозиции[[#This Row],[date]])&amp;"/"&amp;YEAR(ТабПозиции[[#This Row],[date]])</f>
        <v>3/2024</v>
      </c>
      <c r="D33" s="1" t="str">
        <f>IFERROR(VLOOKUP(ТабПозиции[[#This Row],[orderNum]],ТабЗаказы[#Data],MATCH(D$7,ТабЗаказы[#Headers],0),0),"")</f>
        <v>Полинка</v>
      </c>
      <c r="E33" s="32" t="s">
        <v>570</v>
      </c>
      <c r="F33" s="56" t="s">
        <v>3061</v>
      </c>
      <c r="G33" s="33"/>
      <c r="H33" s="34">
        <v>45369</v>
      </c>
      <c r="I33" s="26">
        <v>1</v>
      </c>
      <c r="K33">
        <v>0</v>
      </c>
      <c r="L33" s="26">
        <v>374</v>
      </c>
      <c r="M33">
        <f t="shared" si="0"/>
        <v>374</v>
      </c>
      <c r="O3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Row],[orderNum]],ТабПозиции[orderSumm])&gt;1500),ABS(M33*VLOOKUP(ТабПозиции[[#This Row],[orderNum]],ТабЗаказы[#Data],MATCH("Percent",ТабЗаказы[#Headers],0),0))/100,200/COUNTIF(ТабПозиции[orderNum],ТабПозиции[[#This Row],[orderNum]])),0),"")</f>
        <v>56</v>
      </c>
      <c r="P33">
        <f>IF(OR(ТабПозиции[[#This Row],[item]]="По штрихкоду",ТабПозиции[[#This Row],[item]]="Посылка"),ТабПозиции[[#This Row],[deliverySumm]]+ТабПозиции[[#This Row],[deliveryPost]],SUM(M33:O33))</f>
        <v>430</v>
      </c>
      <c r="Q33" s="57">
        <v>430</v>
      </c>
      <c r="R33" s="62">
        <f>ТабПозиции[[#This Row],[totalSumm]]-ТабПозиции[[#This Row],[payment]]</f>
        <v>0</v>
      </c>
      <c r="S33" s="26" t="s">
        <v>558</v>
      </c>
      <c r="T33" s="56" t="s">
        <v>3061</v>
      </c>
      <c r="U33" s="56" t="s">
        <v>3061</v>
      </c>
      <c r="V33" s="56" t="s">
        <v>3061</v>
      </c>
      <c r="W33"/>
      <c r="X33"/>
    </row>
    <row r="34" spans="1:24" x14ac:dyDescent="0.25">
      <c r="A34" s="26">
        <v>9</v>
      </c>
      <c r="B34" s="1">
        <f>IFERROR(VLOOKUP(ТабПозиции[[#This Row],[orderNum]],ТабЗаказы[#Data],MATCH(B$7,ТабЗаказы[#Headers],0),0),"")</f>
        <v>45367</v>
      </c>
      <c r="C34" t="str">
        <f>MONTH(ТабПозиции[[#This Row],[date]])&amp;"/"&amp;YEAR(ТабПозиции[[#This Row],[date]])</f>
        <v>3/2024</v>
      </c>
      <c r="D34" s="1" t="str">
        <f>IFERROR(VLOOKUP(ТабПозиции[[#This Row],[orderNum]],ТабЗаказы[#Data],MATCH(D$7,ТабЗаказы[#Headers],0),0),"")</f>
        <v>Полинка</v>
      </c>
      <c r="E34" s="32" t="s">
        <v>571</v>
      </c>
      <c r="F34" s="56" t="s">
        <v>3061</v>
      </c>
      <c r="G34" s="33"/>
      <c r="H34" s="34">
        <v>45369</v>
      </c>
      <c r="I34" s="26">
        <v>1</v>
      </c>
      <c r="K34">
        <v>0</v>
      </c>
      <c r="L34" s="26">
        <v>88</v>
      </c>
      <c r="M34">
        <f t="shared" si="0"/>
        <v>88</v>
      </c>
      <c r="O3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Row],[orderNum]],ТабПозиции[orderSumm])&gt;1500),ABS(M34*VLOOKUP(ТабПозиции[[#This Row],[orderNum]],ТабЗаказы[#Data],MATCH("Percent",ТабЗаказы[#Headers],0),0))/100,200/COUNTIF(ТабПозиции[orderNum],ТабПозиции[[#This Row],[orderNum]])),0),"")</f>
        <v>13</v>
      </c>
      <c r="P34">
        <f>IF(OR(ТабПозиции[[#This Row],[item]]="По штрихкоду",ТабПозиции[[#This Row],[item]]="Посылка"),ТабПозиции[[#This Row],[deliverySumm]]+ТабПозиции[[#This Row],[deliveryPost]],SUM(M34:O34))</f>
        <v>101</v>
      </c>
      <c r="Q34" s="57">
        <v>101</v>
      </c>
      <c r="R34" s="62">
        <f>ТабПозиции[[#This Row],[totalSumm]]-ТабПозиции[[#This Row],[payment]]</f>
        <v>0</v>
      </c>
      <c r="S34" s="26" t="s">
        <v>558</v>
      </c>
      <c r="T34" s="56" t="s">
        <v>3061</v>
      </c>
      <c r="U34" s="56" t="s">
        <v>3061</v>
      </c>
      <c r="V34" s="56" t="s">
        <v>3061</v>
      </c>
      <c r="W34"/>
      <c r="X34"/>
    </row>
    <row r="35" spans="1:24" x14ac:dyDescent="0.25">
      <c r="A35" s="26">
        <v>9</v>
      </c>
      <c r="B35" s="1">
        <f>IFERROR(VLOOKUP(ТабПозиции[[#This Row],[orderNum]],ТабЗаказы[#Data],MATCH(B$7,ТабЗаказы[#Headers],0),0),"")</f>
        <v>45367</v>
      </c>
      <c r="C35" t="str">
        <f>MONTH(ТабПозиции[[#This Row],[date]])&amp;"/"&amp;YEAR(ТабПозиции[[#This Row],[date]])</f>
        <v>3/2024</v>
      </c>
      <c r="D35" s="1" t="str">
        <f>IFERROR(VLOOKUP(ТабПозиции[[#This Row],[orderNum]],ТабЗаказы[#Data],MATCH(D$7,ТабЗаказы[#Headers],0),0),"")</f>
        <v>Полинка</v>
      </c>
      <c r="E35" s="32" t="s">
        <v>572</v>
      </c>
      <c r="F35" s="56" t="s">
        <v>3061</v>
      </c>
      <c r="G35" s="33"/>
      <c r="H35" s="34">
        <v>45369</v>
      </c>
      <c r="I35" s="26">
        <v>1</v>
      </c>
      <c r="K35">
        <v>0</v>
      </c>
      <c r="L35" s="26">
        <v>159</v>
      </c>
      <c r="M35">
        <f t="shared" si="0"/>
        <v>159</v>
      </c>
      <c r="O3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Row],[orderNum]],ТабПозиции[orderSumm])&gt;1500),ABS(M35*VLOOKUP(ТабПозиции[[#This Row],[orderNum]],ТабЗаказы[#Data],MATCH("Percent",ТабЗаказы[#Headers],0),0))/100,200/COUNTIF(ТабПозиции[orderNum],ТабПозиции[[#This Row],[orderNum]])),0),"")</f>
        <v>24</v>
      </c>
      <c r="P35">
        <f>IF(OR(ТабПозиции[[#This Row],[item]]="По штрихкоду",ТабПозиции[[#This Row],[item]]="Посылка"),ТабПозиции[[#This Row],[deliverySumm]]+ТабПозиции[[#This Row],[deliveryPost]],SUM(M35:O35))</f>
        <v>183</v>
      </c>
      <c r="Q35" s="57">
        <v>183</v>
      </c>
      <c r="R35" s="62">
        <f>ТабПозиции[[#This Row],[totalSumm]]-ТабПозиции[[#This Row],[payment]]</f>
        <v>0</v>
      </c>
      <c r="S35" s="26" t="s">
        <v>558</v>
      </c>
      <c r="T35" s="56" t="s">
        <v>3061</v>
      </c>
      <c r="U35" s="56" t="s">
        <v>3061</v>
      </c>
      <c r="V35" s="56" t="s">
        <v>3061</v>
      </c>
      <c r="W35"/>
      <c r="X35"/>
    </row>
    <row r="36" spans="1:24" x14ac:dyDescent="0.25">
      <c r="A36" s="26">
        <v>9</v>
      </c>
      <c r="B36" s="1">
        <f>IFERROR(VLOOKUP(ТабПозиции[[#This Row],[orderNum]],ТабЗаказы[#Data],MATCH(B$7,ТабЗаказы[#Headers],0),0),"")</f>
        <v>45367</v>
      </c>
      <c r="C36" t="str">
        <f>MONTH(ТабПозиции[[#This Row],[date]])&amp;"/"&amp;YEAR(ТабПозиции[[#This Row],[date]])</f>
        <v>3/2024</v>
      </c>
      <c r="D36" s="1" t="str">
        <f>IFERROR(VLOOKUP(ТабПозиции[[#This Row],[orderNum]],ТабЗаказы[#Data],MATCH(D$7,ТабЗаказы[#Headers],0),0),"")</f>
        <v>Полинка</v>
      </c>
      <c r="E36" s="32" t="s">
        <v>573</v>
      </c>
      <c r="F36" s="56" t="s">
        <v>3061</v>
      </c>
      <c r="G36" s="33"/>
      <c r="H36" s="34">
        <v>45370</v>
      </c>
      <c r="I36" s="26">
        <v>1</v>
      </c>
      <c r="K36">
        <v>0</v>
      </c>
      <c r="L36" s="26">
        <v>409</v>
      </c>
      <c r="M36">
        <f t="shared" si="0"/>
        <v>409</v>
      </c>
      <c r="O3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Row],[orderNum]],ТабПозиции[orderSumm])&gt;1500),ABS(M36*VLOOKUP(ТабПозиции[[#This Row],[orderNum]],ТабЗаказы[#Data],MATCH("Percent",ТабЗаказы[#Headers],0),0))/100,200/COUNTIF(ТабПозиции[orderNum],ТабПозиции[[#This Row],[orderNum]])),0),"")</f>
        <v>61</v>
      </c>
      <c r="P36">
        <f>IF(OR(ТабПозиции[[#This Row],[item]]="По штрихкоду",ТабПозиции[[#This Row],[item]]="Посылка"),ТабПозиции[[#This Row],[deliverySumm]]+ТабПозиции[[#This Row],[deliveryPost]],SUM(M36:O36))</f>
        <v>470</v>
      </c>
      <c r="Q36" s="57">
        <v>470</v>
      </c>
      <c r="R36" s="62">
        <f>ТабПозиции[[#This Row],[totalSumm]]-ТабПозиции[[#This Row],[payment]]</f>
        <v>0</v>
      </c>
      <c r="S36" s="26" t="s">
        <v>558</v>
      </c>
      <c r="T36" s="56" t="s">
        <v>3061</v>
      </c>
      <c r="U36" s="56" t="s">
        <v>3061</v>
      </c>
      <c r="V36" s="56" t="s">
        <v>3061</v>
      </c>
      <c r="W36"/>
      <c r="X36"/>
    </row>
    <row r="37" spans="1:24" x14ac:dyDescent="0.25">
      <c r="A37" s="26">
        <v>9</v>
      </c>
      <c r="B37" s="1">
        <f>IFERROR(VLOOKUP(ТабПозиции[[#This Row],[orderNum]],ТабЗаказы[#Data],MATCH(B$7,ТабЗаказы[#Headers],0),0),"")</f>
        <v>45367</v>
      </c>
      <c r="C37" t="str">
        <f>MONTH(ТабПозиции[[#This Row],[date]])&amp;"/"&amp;YEAR(ТабПозиции[[#This Row],[date]])</f>
        <v>3/2024</v>
      </c>
      <c r="D37" s="1" t="str">
        <f>IFERROR(VLOOKUP(ТабПозиции[[#This Row],[orderNum]],ТабЗаказы[#Data],MATCH(D$7,ТабЗаказы[#Headers],0),0),"")</f>
        <v>Полинка</v>
      </c>
      <c r="E37" s="32" t="s">
        <v>574</v>
      </c>
      <c r="F37" s="56" t="s">
        <v>3061</v>
      </c>
      <c r="G37" s="33"/>
      <c r="H37" s="34">
        <v>45368</v>
      </c>
      <c r="I37" s="26">
        <v>1</v>
      </c>
      <c r="K37">
        <v>0</v>
      </c>
      <c r="L37" s="26">
        <v>310</v>
      </c>
      <c r="M37">
        <f t="shared" si="0"/>
        <v>310</v>
      </c>
      <c r="O3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Row],[orderNum]],ТабПозиции[orderSumm])&gt;1500),ABS(M37*VLOOKUP(ТабПозиции[[#This Row],[orderNum]],ТабЗаказы[#Data],MATCH("Percent",ТабЗаказы[#Headers],0),0))/100,200/COUNTIF(ТабПозиции[orderNum],ТабПозиции[[#This Row],[orderNum]])),0),"")</f>
        <v>47</v>
      </c>
      <c r="P37">
        <f>IF(OR(ТабПозиции[[#This Row],[item]]="По штрихкоду",ТабПозиции[[#This Row],[item]]="Посылка"),ТабПозиции[[#This Row],[deliverySumm]]+ТабПозиции[[#This Row],[deliveryPost]],SUM(M37:O37))</f>
        <v>357</v>
      </c>
      <c r="Q37" s="57">
        <v>357</v>
      </c>
      <c r="R37" s="62">
        <f>ТабПозиции[[#This Row],[totalSumm]]-ТабПозиции[[#This Row],[payment]]</f>
        <v>0</v>
      </c>
      <c r="S37" s="26" t="s">
        <v>575</v>
      </c>
      <c r="T37" s="56" t="s">
        <v>3061</v>
      </c>
      <c r="U37" s="56" t="s">
        <v>3061</v>
      </c>
      <c r="V37" s="56" t="s">
        <v>3061</v>
      </c>
      <c r="W37"/>
      <c r="X37"/>
    </row>
    <row r="38" spans="1:24" x14ac:dyDescent="0.25">
      <c r="A38" s="26">
        <v>9</v>
      </c>
      <c r="B38" s="1">
        <f>IFERROR(VLOOKUP(ТабПозиции[[#This Row],[orderNum]],ТабЗаказы[#Data],MATCH(B$7,ТабЗаказы[#Headers],0),0),"")</f>
        <v>45367</v>
      </c>
      <c r="C38" t="str">
        <f>MONTH(ТабПозиции[[#This Row],[date]])&amp;"/"&amp;YEAR(ТабПозиции[[#This Row],[date]])</f>
        <v>3/2024</v>
      </c>
      <c r="D38" s="1" t="str">
        <f>IFERROR(VLOOKUP(ТабПозиции[[#This Row],[orderNum]],ТабЗаказы[#Data],MATCH(D$7,ТабЗаказы[#Headers],0),0),"")</f>
        <v>Полинка</v>
      </c>
      <c r="E38" s="32" t="s">
        <v>576</v>
      </c>
      <c r="F38" s="56" t="s">
        <v>3061</v>
      </c>
      <c r="G38" s="33"/>
      <c r="H38" s="34">
        <v>45369</v>
      </c>
      <c r="I38" s="26">
        <v>1</v>
      </c>
      <c r="K38">
        <v>0</v>
      </c>
      <c r="L38" s="26">
        <v>264</v>
      </c>
      <c r="M38">
        <f t="shared" si="0"/>
        <v>264</v>
      </c>
      <c r="O3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Row],[orderNum]],ТабПозиции[orderSumm])&gt;1500),ABS(M38*VLOOKUP(ТабПозиции[[#This Row],[orderNum]],ТабЗаказы[#Data],MATCH("Percent",ТабЗаказы[#Headers],0),0))/100,200/COUNTIF(ТабПозиции[orderNum],ТабПозиции[[#This Row],[orderNum]])),0),"")</f>
        <v>40</v>
      </c>
      <c r="P38">
        <f>IF(OR(ТабПозиции[[#This Row],[item]]="По штрихкоду",ТабПозиции[[#This Row],[item]]="Посылка"),ТабПозиции[[#This Row],[deliverySumm]]+ТабПозиции[[#This Row],[deliveryPost]],SUM(M38:O38))</f>
        <v>304</v>
      </c>
      <c r="Q38" s="57">
        <v>304</v>
      </c>
      <c r="R38" s="62">
        <f>ТабПозиции[[#This Row],[totalSumm]]-ТабПозиции[[#This Row],[payment]]</f>
        <v>0</v>
      </c>
      <c r="S38" s="26" t="s">
        <v>575</v>
      </c>
      <c r="T38" s="56" t="s">
        <v>3061</v>
      </c>
      <c r="U38" s="56" t="s">
        <v>3061</v>
      </c>
      <c r="V38" s="56" t="s">
        <v>3061</v>
      </c>
      <c r="W38"/>
      <c r="X38"/>
    </row>
    <row r="39" spans="1:24" x14ac:dyDescent="0.25">
      <c r="A39" s="26">
        <v>10</v>
      </c>
      <c r="B39" s="1">
        <f>IFERROR(VLOOKUP(ТабПозиции[[#This Row],[orderNum]],ТабЗаказы[#Data],MATCH(B$7,ТабЗаказы[#Headers],0),0),"")</f>
        <v>45368</v>
      </c>
      <c r="C39" t="str">
        <f>MONTH(ТабПозиции[[#This Row],[date]])&amp;"/"&amp;YEAR(ТабПозиции[[#This Row],[date]])</f>
        <v>3/2024</v>
      </c>
      <c r="D39" s="1" t="str">
        <f>IFERROR(VLOOKUP(ТабПозиции[[#This Row],[orderNum]],ТабЗаказы[#Data],MATCH(D$7,ТабЗаказы[#Headers],0),0),"")</f>
        <v>Виктор Электростанция</v>
      </c>
      <c r="E39" s="35" t="s">
        <v>577</v>
      </c>
      <c r="F39" s="56" t="s">
        <v>3061</v>
      </c>
      <c r="G39" s="36"/>
      <c r="H39" s="34">
        <v>45369</v>
      </c>
      <c r="I39" s="26">
        <v>1</v>
      </c>
      <c r="K39">
        <v>0</v>
      </c>
      <c r="L39" s="26">
        <v>2189</v>
      </c>
      <c r="M39">
        <f t="shared" si="0"/>
        <v>2189</v>
      </c>
      <c r="O3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Row],[orderNum]],ТабПозиции[orderSumm])&gt;1500),ABS(M39*VLOOKUP(ТабПозиции[[#This Row],[orderNum]],ТабЗаказы[#Data],MATCH("Percent",ТабЗаказы[#Headers],0),0))/100,200/COUNTIF(ТабПозиции[orderNum],ТабПозиции[[#This Row],[orderNum]])),0),"")</f>
        <v>328</v>
      </c>
      <c r="P39">
        <f>IF(OR(ТабПозиции[[#This Row],[item]]="По штрихкоду",ТабПозиции[[#This Row],[item]]="Посылка"),ТабПозиции[[#This Row],[deliverySumm]]+ТабПозиции[[#This Row],[deliveryPost]],SUM(M39:O39))</f>
        <v>2517</v>
      </c>
      <c r="Q39" s="57">
        <v>2517</v>
      </c>
      <c r="R39" s="62">
        <f>ТабПозиции[[#This Row],[totalSumm]]-ТабПозиции[[#This Row],[payment]]</f>
        <v>0</v>
      </c>
      <c r="S39" s="26" t="s">
        <v>558</v>
      </c>
      <c r="T39" s="56" t="s">
        <v>3061</v>
      </c>
      <c r="U39" s="56" t="s">
        <v>3061</v>
      </c>
      <c r="V39" s="56" t="s">
        <v>3061</v>
      </c>
      <c r="W39"/>
      <c r="X39"/>
    </row>
    <row r="40" spans="1:24" x14ac:dyDescent="0.25">
      <c r="A40" s="26">
        <v>11</v>
      </c>
      <c r="B40" s="1">
        <f>IFERROR(VLOOKUP(ТабПозиции[[#This Row],[orderNum]],ТабЗаказы[#Data],MATCH(B$7,ТабЗаказы[#Headers],0),0),"")</f>
        <v>45368</v>
      </c>
      <c r="C40" t="str">
        <f>MONTH(ТабПозиции[[#This Row],[date]])&amp;"/"&amp;YEAR(ТабПозиции[[#This Row],[date]])</f>
        <v>3/2024</v>
      </c>
      <c r="D40" s="1" t="str">
        <f>IFERROR(VLOOKUP(ТабПозиции[[#This Row],[orderNum]],ТабЗаказы[#Data],MATCH(D$7,ТабЗаказы[#Headers],0),0),"")</f>
        <v>Алена запчасти</v>
      </c>
      <c r="E40" s="26" t="s">
        <v>578</v>
      </c>
      <c r="F40" s="56" t="s">
        <v>3061</v>
      </c>
      <c r="H40" s="34">
        <v>45374</v>
      </c>
      <c r="I40" s="26">
        <v>1</v>
      </c>
      <c r="K40">
        <v>0</v>
      </c>
      <c r="L40" s="26">
        <v>1301</v>
      </c>
      <c r="M40">
        <f t="shared" si="0"/>
        <v>1301</v>
      </c>
      <c r="O4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Row],[orderNum]],ТабПозиции[orderSumm])&gt;1500),ABS(M40*VLOOKUP(ТабПозиции[[#This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40">
        <f>IF(OR(ТабПозиции[[#This Row],[item]]="По штрихкоду",ТабПозиции[[#This Row],[item]]="Посылка"),ТабПозиции[[#This Row],[deliverySumm]]+ТабПозиции[[#This Row],[deliveryPost]],SUM(M40:O40))</f>
        <v>1501</v>
      </c>
      <c r="Q40" s="57">
        <v>1501</v>
      </c>
      <c r="R40" s="62">
        <f>ТабПозиции[[#This Row],[totalSumm]]-ТабПозиции[[#This Row],[payment]]</f>
        <v>0</v>
      </c>
      <c r="S40" s="26" t="s">
        <v>579</v>
      </c>
      <c r="T40" s="56" t="s">
        <v>3061</v>
      </c>
      <c r="U40" s="56" t="s">
        <v>3061</v>
      </c>
      <c r="V40" s="56" t="s">
        <v>3061</v>
      </c>
      <c r="W40"/>
      <c r="X40"/>
    </row>
    <row r="41" spans="1:24" x14ac:dyDescent="0.25">
      <c r="A41" s="26">
        <v>12</v>
      </c>
      <c r="B41" s="1">
        <f>IFERROR(VLOOKUP(ТабПозиции[[#This Row],[orderNum]],ТабЗаказы[#Data],MATCH(B$7,ТабЗаказы[#Headers],0),0),"")</f>
        <v>45368</v>
      </c>
      <c r="C41" t="str">
        <f>MONTH(ТабПозиции[[#This Row],[date]])&amp;"/"&amp;YEAR(ТабПозиции[[#This Row],[date]])</f>
        <v>3/2024</v>
      </c>
      <c r="D41" s="1" t="str">
        <f>IFERROR(VLOOKUP(ТабПозиции[[#This Row],[orderNum]],ТабЗаказы[#Data],MATCH(D$7,ТабЗаказы[#Headers],0),0),"")</f>
        <v>Александр 3 Металлургов</v>
      </c>
      <c r="E41" s="32" t="s">
        <v>580</v>
      </c>
      <c r="F41" s="56" t="s">
        <v>3061</v>
      </c>
      <c r="G41" s="33"/>
      <c r="H41" s="34">
        <v>45374</v>
      </c>
      <c r="I41" s="26">
        <v>1</v>
      </c>
      <c r="K41">
        <v>0</v>
      </c>
      <c r="L41" s="26">
        <v>1477</v>
      </c>
      <c r="M41">
        <f t="shared" si="0"/>
        <v>1477</v>
      </c>
      <c r="O4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Row],[orderNum]],ТабПозиции[orderSumm])&gt;1500),ABS(M41*VLOOKUP(ТабПозиции[[#This Row],[orderNum]],ТабЗаказы[#Data],MATCH("Percent",ТабЗаказы[#Headers],0),0))/100,200/COUNTIF(ТабПозиции[orderNum],ТабПозиции[[#This Row],[orderNum]])),0),"")</f>
        <v>222</v>
      </c>
      <c r="P41">
        <f>IF(OR(ТабПозиции[[#This Row],[item]]="По штрихкоду",ТабПозиции[[#This Row],[item]]="Посылка"),ТабПозиции[[#This Row],[deliverySumm]]+ТабПозиции[[#This Row],[deliveryPost]],SUM(M41:O41))</f>
        <v>1699</v>
      </c>
      <c r="Q41" s="57">
        <v>1699</v>
      </c>
      <c r="R41" s="62">
        <f>ТабПозиции[[#This Row],[totalSumm]]-ТабПозиции[[#This Row],[payment]]</f>
        <v>0</v>
      </c>
      <c r="S41" s="26" t="s">
        <v>575</v>
      </c>
      <c r="T41" s="56" t="s">
        <v>3061</v>
      </c>
      <c r="U41" s="56" t="s">
        <v>3061</v>
      </c>
      <c r="V41" s="56" t="s">
        <v>3061</v>
      </c>
      <c r="W41"/>
      <c r="X41"/>
    </row>
    <row r="42" spans="1:24" x14ac:dyDescent="0.25">
      <c r="A42" s="26">
        <v>13</v>
      </c>
      <c r="B42" s="1">
        <f>IFERROR(VLOOKUP(ТабПозиции[[#This Row],[orderNum]],ТабЗаказы[#Data],MATCH(B$7,ТабЗаказы[#Headers],0),0),"")</f>
        <v>45369</v>
      </c>
      <c r="C42" t="str">
        <f>MONTH(ТабПозиции[[#This Row],[date]])&amp;"/"&amp;YEAR(ТабПозиции[[#This Row],[date]])</f>
        <v>3/2024</v>
      </c>
      <c r="D42" s="1" t="str">
        <f>IFERROR(VLOOKUP(ТабПозиции[[#This Row],[orderNum]],ТабЗаказы[#Data],MATCH(D$7,ТабЗаказы[#Headers],0),0),"")</f>
        <v>Маричка</v>
      </c>
      <c r="E42" s="32" t="s">
        <v>581</v>
      </c>
      <c r="F42" s="56" t="s">
        <v>3061</v>
      </c>
      <c r="G42" s="33"/>
      <c r="H42" s="34">
        <v>45373</v>
      </c>
      <c r="I42" s="26">
        <v>1</v>
      </c>
      <c r="K42">
        <v>0</v>
      </c>
      <c r="L42" s="26">
        <v>29654</v>
      </c>
      <c r="M42">
        <f t="shared" si="0"/>
        <v>29654</v>
      </c>
      <c r="N42" s="26">
        <v>1483</v>
      </c>
      <c r="O4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Row],[orderNum]],ТабПозиции[orderSumm])&gt;1500),ABS(M42*VLOOKUP(ТабПозиции[[#This Row],[orderNum]],ТабЗаказы[#Data],MATCH("Percent",ТабЗаказы[#Headers],0),0))/100,200/COUNTIF(ТабПозиции[orderNum],ТабПозиции[[#This Row],[orderNum]])),0),"")</f>
        <v>2965</v>
      </c>
      <c r="P42">
        <f>IF(OR(ТабПозиции[[#This Row],[item]]="По штрихкоду",ТабПозиции[[#This Row],[item]]="Посылка"),ТабПозиции[[#This Row],[deliverySumm]]+ТабПозиции[[#This Row],[deliveryPost]],SUM(M42:O42))</f>
        <v>34102</v>
      </c>
      <c r="Q42" s="57">
        <v>34102</v>
      </c>
      <c r="R42" s="62">
        <f>ТабПозиции[[#This Row],[totalSumm]]-ТабПозиции[[#This Row],[payment]]</f>
        <v>0</v>
      </c>
      <c r="S42" s="26" t="s">
        <v>575</v>
      </c>
      <c r="T42" s="56" t="s">
        <v>3061</v>
      </c>
      <c r="U42" s="56" t="s">
        <v>3061</v>
      </c>
      <c r="V42" s="56" t="s">
        <v>3061</v>
      </c>
      <c r="W42"/>
      <c r="X42"/>
    </row>
    <row r="43" spans="1:24" x14ac:dyDescent="0.25">
      <c r="A43" s="26">
        <v>13</v>
      </c>
      <c r="B43" s="1">
        <f>IFERROR(VLOOKUP(ТабПозиции[[#This Row],[orderNum]],ТабЗаказы[#Data],MATCH(B$7,ТабЗаказы[#Headers],0),0),"")</f>
        <v>45369</v>
      </c>
      <c r="C43" t="str">
        <f>MONTH(ТабПозиции[[#This Row],[date]])&amp;"/"&amp;YEAR(ТабПозиции[[#This Row],[date]])</f>
        <v>3/2024</v>
      </c>
      <c r="D43" s="1" t="str">
        <f>IFERROR(VLOOKUP(ТабПозиции[[#This Row],[orderNum]],ТабЗаказы[#Data],MATCH(D$7,ТабЗаказы[#Headers],0),0),"")</f>
        <v>Маричка</v>
      </c>
      <c r="E43" s="32" t="s">
        <v>582</v>
      </c>
      <c r="F43" s="56" t="s">
        <v>3061</v>
      </c>
      <c r="G43" s="33"/>
      <c r="H43" s="34">
        <v>45375</v>
      </c>
      <c r="I43" s="26">
        <v>1</v>
      </c>
      <c r="K43">
        <v>0</v>
      </c>
      <c r="L43" s="26">
        <v>307</v>
      </c>
      <c r="M43">
        <f t="shared" si="0"/>
        <v>307</v>
      </c>
      <c r="O4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Row],[orderNum]],ТабПозиции[orderSumm])&gt;1500),ABS(M43*VLOOKUP(ТабПозиции[[#This Row],[orderNum]],ТабЗаказы[#Data],MATCH("Percent",ТабЗаказы[#Headers],0),0))/100,200/COUNTIF(ТабПозиции[orderNum],ТабПозиции[[#This Row],[orderNum]])),0),"")</f>
        <v>31</v>
      </c>
      <c r="P43">
        <f>IF(OR(ТабПозиции[[#This Row],[item]]="По штрихкоду",ТабПозиции[[#This Row],[item]]="Посылка"),ТабПозиции[[#This Row],[deliverySumm]]+ТабПозиции[[#This Row],[deliveryPost]],SUM(M43:O43))</f>
        <v>338</v>
      </c>
      <c r="Q43" s="57">
        <v>338</v>
      </c>
      <c r="R43" s="62">
        <f>ТабПозиции[[#This Row],[totalSumm]]-ТабПозиции[[#This Row],[payment]]</f>
        <v>0</v>
      </c>
      <c r="S43" s="26" t="s">
        <v>575</v>
      </c>
      <c r="T43" s="56" t="s">
        <v>3061</v>
      </c>
      <c r="U43" s="56" t="s">
        <v>3061</v>
      </c>
      <c r="V43" s="56" t="s">
        <v>3061</v>
      </c>
      <c r="W43"/>
      <c r="X43"/>
    </row>
    <row r="44" spans="1:24" x14ac:dyDescent="0.25">
      <c r="A44" s="26">
        <v>14</v>
      </c>
      <c r="B44" s="1">
        <f>IFERROR(VLOOKUP(ТабПозиции[[#This Row],[orderNum]],ТабЗаказы[#Data],MATCH(B$7,ТабЗаказы[#Headers],0),0),"")</f>
        <v>45369</v>
      </c>
      <c r="C44" t="str">
        <f>MONTH(ТабПозиции[[#This Row],[date]])&amp;"/"&amp;YEAR(ТабПозиции[[#This Row],[date]])</f>
        <v>3/2024</v>
      </c>
      <c r="D44" s="1" t="str">
        <f>IFERROR(VLOOKUP(ТабПозиции[[#This Row],[orderNum]],ТабЗаказы[#Data],MATCH(D$7,ТабЗаказы[#Headers],0),0),"")</f>
        <v>Максим рюкзак</v>
      </c>
      <c r="E44" s="32" t="s">
        <v>583</v>
      </c>
      <c r="F44" s="56" t="s">
        <v>3061</v>
      </c>
      <c r="G44" s="33"/>
      <c r="H44" s="34">
        <v>45371</v>
      </c>
      <c r="I44" s="26">
        <v>1</v>
      </c>
      <c r="K44">
        <v>0</v>
      </c>
      <c r="L44" s="26">
        <v>425</v>
      </c>
      <c r="M44">
        <f t="shared" si="0"/>
        <v>425</v>
      </c>
      <c r="O4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Row],[orderNum]],ТабПозиции[orderSumm])&gt;1500),ABS(M44*VLOOKUP(ТабПозиции[[#This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44">
        <f>IF(OR(ТабПозиции[[#This Row],[item]]="По штрихкоду",ТабПозиции[[#This Row],[item]]="Посылка"),ТабПозиции[[#This Row],[deliverySumm]]+ТабПозиции[[#This Row],[deliveryPost]],SUM(M44:O44))</f>
        <v>625</v>
      </c>
      <c r="Q44" s="57">
        <v>625</v>
      </c>
      <c r="R44" s="62">
        <f>ТабПозиции[[#This Row],[totalSumm]]-ТабПозиции[[#This Row],[payment]]</f>
        <v>0</v>
      </c>
      <c r="S44" s="26" t="s">
        <v>575</v>
      </c>
      <c r="T44" s="56" t="s">
        <v>3061</v>
      </c>
      <c r="U44" s="56" t="s">
        <v>3061</v>
      </c>
      <c r="V44" s="56" t="s">
        <v>3061</v>
      </c>
      <c r="W44"/>
      <c r="X44"/>
    </row>
    <row r="45" spans="1:24" x14ac:dyDescent="0.25">
      <c r="A45" s="26">
        <v>15</v>
      </c>
      <c r="B45" s="1">
        <f>IFERROR(VLOOKUP(ТабПозиции[[#This Row],[orderNum]],ТабЗаказы[#Data],MATCH(B$7,ТабЗаказы[#Headers],0),0),"")</f>
        <v>45370</v>
      </c>
      <c r="C45" t="str">
        <f>MONTH(ТабПозиции[[#This Row],[date]])&amp;"/"&amp;YEAR(ТабПозиции[[#This Row],[date]])</f>
        <v>3/2024</v>
      </c>
      <c r="D45" s="1" t="str">
        <f>IFERROR(VLOOKUP(ТабПозиции[[#This Row],[orderNum]],ТабЗаказы[#Data],MATCH(D$7,ТабЗаказы[#Headers],0),0),"")</f>
        <v>Наталья 12</v>
      </c>
      <c r="E45" s="32" t="s">
        <v>584</v>
      </c>
      <c r="F45" s="56" t="s">
        <v>3061</v>
      </c>
      <c r="G45" s="33"/>
      <c r="H45" s="34">
        <v>45372</v>
      </c>
      <c r="I45" s="26">
        <v>1</v>
      </c>
      <c r="K45">
        <v>0</v>
      </c>
      <c r="L45" s="26">
        <v>229</v>
      </c>
      <c r="M45">
        <f t="shared" si="0"/>
        <v>229</v>
      </c>
      <c r="O4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Row],[orderNum]],ТабПозиции[orderSumm])&gt;1500),ABS(M45*VLOOKUP(ТабПозиции[[#This Row],[orderNum]],ТабЗаказы[#Data],MATCH("Percent",ТабЗаказы[#Headers],0),0))/100,200/COUNTIF(ТабПозиции[orderNum],ТабПозиции[[#This Row],[orderNum]])),0),"")</f>
        <v>34</v>
      </c>
      <c r="P45">
        <f>IF(OR(ТабПозиции[[#This Row],[item]]="По штрихкоду",ТабПозиции[[#This Row],[item]]="Посылка"),ТабПозиции[[#This Row],[deliverySumm]]+ТабПозиции[[#This Row],[deliveryPost]],SUM(M45:O45))</f>
        <v>263</v>
      </c>
      <c r="Q45" s="57">
        <v>263</v>
      </c>
      <c r="R45" s="62">
        <f>ТабПозиции[[#This Row],[totalSumm]]-ТабПозиции[[#This Row],[payment]]</f>
        <v>0</v>
      </c>
      <c r="S45" s="26" t="s">
        <v>575</v>
      </c>
      <c r="T45" s="56" t="s">
        <v>3061</v>
      </c>
      <c r="U45" s="56" t="s">
        <v>3061</v>
      </c>
      <c r="V45" s="56" t="s">
        <v>3061</v>
      </c>
      <c r="W45"/>
      <c r="X45"/>
    </row>
    <row r="46" spans="1:24" x14ac:dyDescent="0.25">
      <c r="A46" s="26">
        <v>15</v>
      </c>
      <c r="B46" s="1">
        <f>IFERROR(VLOOKUP(ТабПозиции[[#This Row],[orderNum]],ТабЗаказы[#Data],MATCH(B$7,ТабЗаказы[#Headers],0),0),"")</f>
        <v>45370</v>
      </c>
      <c r="C46" t="str">
        <f>MONTH(ТабПозиции[[#This Row],[date]])&amp;"/"&amp;YEAR(ТабПозиции[[#This Row],[date]])</f>
        <v>3/2024</v>
      </c>
      <c r="D46" s="1" t="str">
        <f>IFERROR(VLOOKUP(ТабПозиции[[#This Row],[orderNum]],ТабЗаказы[#Data],MATCH(D$7,ТабЗаказы[#Headers],0),0),"")</f>
        <v>Наталья 12</v>
      </c>
      <c r="E46" s="32" t="s">
        <v>585</v>
      </c>
      <c r="F46" s="56" t="s">
        <v>3061</v>
      </c>
      <c r="G46" s="33"/>
      <c r="H46" s="34">
        <v>45380</v>
      </c>
      <c r="I46" s="26">
        <v>1</v>
      </c>
      <c r="K46">
        <v>0</v>
      </c>
      <c r="L46" s="26">
        <v>1399</v>
      </c>
      <c r="M46">
        <f t="shared" si="0"/>
        <v>1399</v>
      </c>
      <c r="O4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Row],[orderNum]],ТабПозиции[orderSumm])&gt;1500),ABS(M46*VLOOKUP(ТабПозиции[[#This Row],[orderNum]],ТабЗаказы[#Data],MATCH("Percent",ТабЗаказы[#Headers],0),0))/100,200/COUNTIF(ТабПозиции[orderNum],ТабПозиции[[#This Row],[orderNum]])),0),"")</f>
        <v>210</v>
      </c>
      <c r="P46">
        <f>IF(OR(ТабПозиции[[#This Row],[item]]="По штрихкоду",ТабПозиции[[#This Row],[item]]="Посылка"),ТабПозиции[[#This Row],[deliverySumm]]+ТабПозиции[[#This Row],[deliveryPost]],SUM(M46:O46))</f>
        <v>1609</v>
      </c>
      <c r="Q46" s="57">
        <v>1609</v>
      </c>
      <c r="R46" s="62">
        <f>ТабПозиции[[#This Row],[totalSumm]]-ТабПозиции[[#This Row],[payment]]</f>
        <v>0</v>
      </c>
      <c r="S46" s="26" t="s">
        <v>575</v>
      </c>
      <c r="T46" s="56" t="s">
        <v>3061</v>
      </c>
      <c r="U46" s="56" t="s">
        <v>3061</v>
      </c>
      <c r="V46" s="56" t="s">
        <v>3061</v>
      </c>
      <c r="W46"/>
      <c r="X46"/>
    </row>
    <row r="47" spans="1:24" x14ac:dyDescent="0.25">
      <c r="A47" s="26">
        <v>15</v>
      </c>
      <c r="B47" s="1">
        <f>IFERROR(VLOOKUP(ТабПозиции[[#This Row],[orderNum]],ТабЗаказы[#Data],MATCH(B$7,ТабЗаказы[#Headers],0),0),"")</f>
        <v>45370</v>
      </c>
      <c r="C47" t="str">
        <f>MONTH(ТабПозиции[[#This Row],[date]])&amp;"/"&amp;YEAR(ТабПозиции[[#This Row],[date]])</f>
        <v>3/2024</v>
      </c>
      <c r="D47" s="1" t="str">
        <f>IFERROR(VLOOKUP(ТабПозиции[[#This Row],[orderNum]],ТабЗаказы[#Data],MATCH(D$7,ТабЗаказы[#Headers],0),0),"")</f>
        <v>Наталья 12</v>
      </c>
      <c r="E47" s="32" t="s">
        <v>586</v>
      </c>
      <c r="F47" s="56" t="s">
        <v>3061</v>
      </c>
      <c r="G47" s="33"/>
      <c r="H47" s="34">
        <v>45372</v>
      </c>
      <c r="I47" s="26">
        <v>1</v>
      </c>
      <c r="K47">
        <v>0</v>
      </c>
      <c r="L47" s="26">
        <v>570</v>
      </c>
      <c r="M47">
        <f t="shared" si="0"/>
        <v>570</v>
      </c>
      <c r="O4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Row],[orderNum]],ТабПозиции[orderSumm])&gt;1500),ABS(M47*VLOOKUP(ТабПозиции[[#This Row],[orderNum]],ТабЗаказы[#Data],MATCH("Percent",ТабЗаказы[#Headers],0),0))/100,200/COUNTIF(ТабПозиции[orderNum],ТабПозиции[[#This Row],[orderNum]])),0),"")</f>
        <v>86</v>
      </c>
      <c r="P47">
        <f>IF(OR(ТабПозиции[[#This Row],[item]]="По штрихкоду",ТабПозиции[[#This Row],[item]]="Посылка"),ТабПозиции[[#This Row],[deliverySumm]]+ТабПозиции[[#This Row],[deliveryPost]],SUM(M47:O47))</f>
        <v>656</v>
      </c>
      <c r="Q47" s="57">
        <v>656</v>
      </c>
      <c r="R47" s="62">
        <f>ТабПозиции[[#This Row],[totalSumm]]-ТабПозиции[[#This Row],[payment]]</f>
        <v>0</v>
      </c>
      <c r="S47" s="26" t="s">
        <v>575</v>
      </c>
      <c r="T47" s="56" t="s">
        <v>3061</v>
      </c>
      <c r="U47" s="56" t="s">
        <v>3061</v>
      </c>
      <c r="V47" s="56" t="s">
        <v>3061</v>
      </c>
      <c r="W47"/>
      <c r="X47"/>
    </row>
    <row r="48" spans="1:24" x14ac:dyDescent="0.25">
      <c r="A48" s="26">
        <v>15</v>
      </c>
      <c r="B48" s="1">
        <f>IFERROR(VLOOKUP(ТабПозиции[[#This Row],[orderNum]],ТабЗаказы[#Data],MATCH(B$7,ТабЗаказы[#Headers],0),0),"")</f>
        <v>45370</v>
      </c>
      <c r="C48" t="str">
        <f>MONTH(ТабПозиции[[#This Row],[date]])&amp;"/"&amp;YEAR(ТабПозиции[[#This Row],[date]])</f>
        <v>3/2024</v>
      </c>
      <c r="D48" s="1" t="str">
        <f>IFERROR(VLOOKUP(ТабПозиции[[#This Row],[orderNum]],ТабЗаказы[#Data],MATCH(D$7,ТабЗаказы[#Headers],0),0),"")</f>
        <v>Наталья 12</v>
      </c>
      <c r="E48" s="32" t="s">
        <v>587</v>
      </c>
      <c r="F48" s="56" t="s">
        <v>3061</v>
      </c>
      <c r="G48" s="33"/>
      <c r="H48" s="34">
        <v>45373</v>
      </c>
      <c r="I48" s="26">
        <v>1</v>
      </c>
      <c r="K48">
        <v>0</v>
      </c>
      <c r="L48" s="26">
        <v>212</v>
      </c>
      <c r="M48">
        <f t="shared" si="0"/>
        <v>212</v>
      </c>
      <c r="O4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Row],[orderNum]],ТабПозиции[orderSumm])&gt;1500),ABS(M48*VLOOKUP(ТабПозиции[[#This Row],[orderNum]],ТабЗаказы[#Data],MATCH("Percent",ТабЗаказы[#Headers],0),0))/100,200/COUNTIF(ТабПозиции[orderNum],ТабПозиции[[#This Row],[orderNum]])),0),"")</f>
        <v>32</v>
      </c>
      <c r="P48">
        <f>IF(OR(ТабПозиции[[#This Row],[item]]="По штрихкоду",ТабПозиции[[#This Row],[item]]="Посылка"),ТабПозиции[[#This Row],[deliverySumm]]+ТабПозиции[[#This Row],[deliveryPost]],SUM(M48:O48))</f>
        <v>244</v>
      </c>
      <c r="Q48" s="57">
        <v>244</v>
      </c>
      <c r="R48" s="62">
        <f>ТабПозиции[[#This Row],[totalSumm]]-ТабПозиции[[#This Row],[payment]]</f>
        <v>0</v>
      </c>
      <c r="S48" s="26" t="s">
        <v>575</v>
      </c>
      <c r="T48" s="56" t="s">
        <v>3061</v>
      </c>
      <c r="U48" s="56" t="s">
        <v>3061</v>
      </c>
      <c r="V48" s="56" t="s">
        <v>3061</v>
      </c>
      <c r="W48"/>
      <c r="X48"/>
    </row>
    <row r="49" spans="1:24" x14ac:dyDescent="0.25">
      <c r="A49" s="26">
        <v>15</v>
      </c>
      <c r="B49" s="1">
        <f>IFERROR(VLOOKUP(ТабПозиции[[#This Row],[orderNum]],ТабЗаказы[#Data],MATCH(B$7,ТабЗаказы[#Headers],0),0),"")</f>
        <v>45370</v>
      </c>
      <c r="C49" t="str">
        <f>MONTH(ТабПозиции[[#This Row],[date]])&amp;"/"&amp;YEAR(ТабПозиции[[#This Row],[date]])</f>
        <v>3/2024</v>
      </c>
      <c r="D49" s="1" t="str">
        <f>IFERROR(VLOOKUP(ТабПозиции[[#This Row],[orderNum]],ТабЗаказы[#Data],MATCH(D$7,ТабЗаказы[#Headers],0),0),"")</f>
        <v>Наталья 12</v>
      </c>
      <c r="E49" s="32" t="s">
        <v>588</v>
      </c>
      <c r="F49" s="56" t="s">
        <v>3061</v>
      </c>
      <c r="G49" s="33"/>
      <c r="H49" s="34">
        <v>45374</v>
      </c>
      <c r="I49" s="26">
        <v>1</v>
      </c>
      <c r="K49">
        <v>0</v>
      </c>
      <c r="L49" s="26">
        <v>1246</v>
      </c>
      <c r="M49">
        <f t="shared" si="0"/>
        <v>1246</v>
      </c>
      <c r="O4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Row],[orderNum]],ТабПозиции[orderSumm])&gt;1500),ABS(M49*VLOOKUP(ТабПозиции[[#This Row],[orderNum]],ТабЗаказы[#Data],MATCH("Percent",ТабЗаказы[#Headers],0),0))/100,200/COUNTIF(ТабПозиции[orderNum],ТабПозиции[[#This Row],[orderNum]])),0),"")</f>
        <v>187</v>
      </c>
      <c r="P49">
        <f>IF(OR(ТабПозиции[[#This Row],[item]]="По штрихкоду",ТабПозиции[[#This Row],[item]]="Посылка"),ТабПозиции[[#This Row],[deliverySumm]]+ТабПозиции[[#This Row],[deliveryPost]],SUM(M49:O49))</f>
        <v>1433</v>
      </c>
      <c r="Q49" s="57">
        <v>1433</v>
      </c>
      <c r="R49" s="62">
        <f>ТабПозиции[[#This Row],[totalSumm]]-ТабПозиции[[#This Row],[payment]]</f>
        <v>0</v>
      </c>
      <c r="S49" s="26" t="s">
        <v>575</v>
      </c>
      <c r="T49" s="56" t="s">
        <v>3061</v>
      </c>
      <c r="U49" s="56" t="s">
        <v>3061</v>
      </c>
      <c r="V49" s="56" t="s">
        <v>3061</v>
      </c>
      <c r="W49"/>
      <c r="X49"/>
    </row>
    <row r="50" spans="1:24" x14ac:dyDescent="0.25">
      <c r="A50" s="26">
        <v>15</v>
      </c>
      <c r="B50" s="1">
        <f>IFERROR(VLOOKUP(ТабПозиции[[#This Row],[orderNum]],ТабЗаказы[#Data],MATCH(B$7,ТабЗаказы[#Headers],0),0),"")</f>
        <v>45370</v>
      </c>
      <c r="C50" t="str">
        <f>MONTH(ТабПозиции[[#This Row],[date]])&amp;"/"&amp;YEAR(ТабПозиции[[#This Row],[date]])</f>
        <v>3/2024</v>
      </c>
      <c r="D50" s="1" t="str">
        <f>IFERROR(VLOOKUP(ТабПозиции[[#This Row],[orderNum]],ТабЗаказы[#Data],MATCH(D$7,ТабЗаказы[#Headers],0),0),"")</f>
        <v>Наталья 12</v>
      </c>
      <c r="E50" s="32" t="s">
        <v>589</v>
      </c>
      <c r="F50" s="56" t="s">
        <v>3061</v>
      </c>
      <c r="G50" s="33"/>
      <c r="H50" s="34">
        <v>45375</v>
      </c>
      <c r="I50" s="26">
        <v>1</v>
      </c>
      <c r="K50">
        <v>0</v>
      </c>
      <c r="L50" s="26">
        <v>388</v>
      </c>
      <c r="M50">
        <f t="shared" si="0"/>
        <v>388</v>
      </c>
      <c r="O5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Row],[orderNum]],ТабПозиции[orderSumm])&gt;1500),ABS(M50*VLOOKUP(ТабПозиции[[#This Row],[orderNum]],ТабЗаказы[#Data],MATCH("Percent",ТабЗаказы[#Headers],0),0))/100,200/COUNTIF(ТабПозиции[orderNum],ТабПозиции[[#This Row],[orderNum]])),0),"")</f>
        <v>58</v>
      </c>
      <c r="P50">
        <f>IF(OR(ТабПозиции[[#This Row],[item]]="По штрихкоду",ТабПозиции[[#This Row],[item]]="Посылка"),ТабПозиции[[#This Row],[deliverySumm]]+ТабПозиции[[#This Row],[deliveryPost]],SUM(M50:O50))</f>
        <v>446</v>
      </c>
      <c r="Q50" s="57">
        <v>446</v>
      </c>
      <c r="R50" s="62">
        <f>ТабПозиции[[#This Row],[totalSumm]]-ТабПозиции[[#This Row],[payment]]</f>
        <v>0</v>
      </c>
      <c r="S50" s="26" t="s">
        <v>575</v>
      </c>
      <c r="T50" s="56" t="s">
        <v>3061</v>
      </c>
      <c r="U50" s="56" t="s">
        <v>3061</v>
      </c>
      <c r="V50" s="56" t="s">
        <v>3061</v>
      </c>
      <c r="W50"/>
      <c r="X50"/>
    </row>
    <row r="51" spans="1:24" x14ac:dyDescent="0.25">
      <c r="A51" s="26">
        <v>15</v>
      </c>
      <c r="B51" s="1">
        <f>IFERROR(VLOOKUP(ТабПозиции[[#This Row],[orderNum]],ТабЗаказы[#Data],MATCH(B$7,ТабЗаказы[#Headers],0),0),"")</f>
        <v>45370</v>
      </c>
      <c r="C51" t="str">
        <f>MONTH(ТабПозиции[[#This Row],[date]])&amp;"/"&amp;YEAR(ТабПозиции[[#This Row],[date]])</f>
        <v>3/2024</v>
      </c>
      <c r="D51" s="1" t="str">
        <f>IFERROR(VLOOKUP(ТабПозиции[[#This Row],[orderNum]],ТабЗаказы[#Data],MATCH(D$7,ТабЗаказы[#Headers],0),0),"")</f>
        <v>Наталья 12</v>
      </c>
      <c r="E51" s="32" t="s">
        <v>590</v>
      </c>
      <c r="F51" s="56" t="s">
        <v>3061</v>
      </c>
      <c r="G51" s="33"/>
      <c r="H51" s="34">
        <v>45372</v>
      </c>
      <c r="I51" s="26">
        <v>1</v>
      </c>
      <c r="K51">
        <v>0</v>
      </c>
      <c r="L51" s="26">
        <v>531</v>
      </c>
      <c r="M51">
        <f t="shared" si="0"/>
        <v>531</v>
      </c>
      <c r="O5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Row],[orderNum]],ТабПозиции[orderSumm])&gt;1500),ABS(M51*VLOOKUP(ТабПозиции[[#This Row],[orderNum]],ТабЗаказы[#Data],MATCH("Percent",ТабЗаказы[#Headers],0),0))/100,200/COUNTIF(ТабПозиции[orderNum],ТабПозиции[[#This Row],[orderNum]])),0),"")</f>
        <v>80</v>
      </c>
      <c r="P51">
        <f>IF(OR(ТабПозиции[[#This Row],[item]]="По штрихкоду",ТабПозиции[[#This Row],[item]]="Посылка"),ТабПозиции[[#This Row],[deliverySumm]]+ТабПозиции[[#This Row],[deliveryPost]],SUM(M51:O51))</f>
        <v>611</v>
      </c>
      <c r="Q51" s="57">
        <v>611</v>
      </c>
      <c r="R51" s="62">
        <f>ТабПозиции[[#This Row],[totalSumm]]-ТабПозиции[[#This Row],[payment]]</f>
        <v>0</v>
      </c>
      <c r="S51" s="26" t="s">
        <v>575</v>
      </c>
      <c r="T51" s="56" t="s">
        <v>3061</v>
      </c>
      <c r="U51" s="56" t="s">
        <v>3061</v>
      </c>
      <c r="V51" s="56" t="s">
        <v>3061</v>
      </c>
      <c r="W51"/>
      <c r="X51"/>
    </row>
    <row r="52" spans="1:24" x14ac:dyDescent="0.25">
      <c r="A52" s="26">
        <v>16</v>
      </c>
      <c r="B52" s="1">
        <f>IFERROR(VLOOKUP(ТабПозиции[[#This Row],[orderNum]],ТабЗаказы[#Data],MATCH(B$7,ТабЗаказы[#Headers],0),0),"")</f>
        <v>45371</v>
      </c>
      <c r="C52" t="str">
        <f>MONTH(ТабПозиции[[#This Row],[date]])&amp;"/"&amp;YEAR(ТабПозиции[[#This Row],[date]])</f>
        <v>3/2024</v>
      </c>
      <c r="D52" s="1" t="str">
        <f>IFERROR(VLOOKUP(ТабПозиции[[#This Row],[orderNum]],ТабЗаказы[#Data],MATCH(D$7,ТабЗаказы[#Headers],0),0),"")</f>
        <v>Руденко Юля</v>
      </c>
      <c r="E52" s="32" t="s">
        <v>591</v>
      </c>
      <c r="F52" s="56" t="s">
        <v>3061</v>
      </c>
      <c r="G52" s="33"/>
      <c r="H52" s="34">
        <v>45373</v>
      </c>
      <c r="I52" s="26">
        <v>1</v>
      </c>
      <c r="K52">
        <v>0</v>
      </c>
      <c r="L52" s="26">
        <v>1199</v>
      </c>
      <c r="M52">
        <f t="shared" si="0"/>
        <v>1199</v>
      </c>
      <c r="O5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Row],[orderNum]],ТабПозиции[orderSumm])&gt;1500),ABS(M52*VLOOKUP(ТабПозиции[[#This Row],[orderNum]],ТабЗаказы[#Data],MATCH("Percent",ТабЗаказы[#Headers],0),0))/100,200/COUNTIF(ТабПозиции[orderNum],ТабПозиции[[#This Row],[orderNum]])),0),"")</f>
        <v>120</v>
      </c>
      <c r="P52">
        <f>IF(OR(ТабПозиции[[#This Row],[item]]="По штрихкоду",ТабПозиции[[#This Row],[item]]="Посылка"),ТабПозиции[[#This Row],[deliverySumm]]+ТабПозиции[[#This Row],[deliveryPost]],SUM(M52:O52))</f>
        <v>1319</v>
      </c>
      <c r="Q52" s="57">
        <v>1319</v>
      </c>
      <c r="R52" s="62">
        <f>ТабПозиции[[#This Row],[totalSumm]]-ТабПозиции[[#This Row],[payment]]</f>
        <v>0</v>
      </c>
      <c r="S52" s="26" t="s">
        <v>558</v>
      </c>
      <c r="T52" s="56" t="s">
        <v>3061</v>
      </c>
      <c r="U52" s="56" t="s">
        <v>3061</v>
      </c>
      <c r="V52" s="56" t="s">
        <v>3061</v>
      </c>
      <c r="W52"/>
      <c r="X52"/>
    </row>
    <row r="53" spans="1:24" x14ac:dyDescent="0.25">
      <c r="A53" s="26">
        <v>16</v>
      </c>
      <c r="B53" s="1">
        <f>IFERROR(VLOOKUP(ТабПозиции[[#This Row],[orderNum]],ТабЗаказы[#Data],MATCH(B$7,ТабЗаказы[#Headers],0),0),"")</f>
        <v>45371</v>
      </c>
      <c r="C53" t="str">
        <f>MONTH(ТабПозиции[[#This Row],[date]])&amp;"/"&amp;YEAR(ТабПозиции[[#This Row],[date]])</f>
        <v>3/2024</v>
      </c>
      <c r="D53" s="1" t="str">
        <f>IFERROR(VLOOKUP(ТабПозиции[[#This Row],[orderNum]],ТабЗаказы[#Data],MATCH(D$7,ТабЗаказы[#Headers],0),0),"")</f>
        <v>Руденко Юля</v>
      </c>
      <c r="E53" s="32" t="s">
        <v>592</v>
      </c>
      <c r="F53" s="56" t="s">
        <v>3061</v>
      </c>
      <c r="G53" s="33"/>
      <c r="H53" s="34">
        <v>45379</v>
      </c>
      <c r="I53" s="26">
        <v>1</v>
      </c>
      <c r="K53">
        <v>0</v>
      </c>
      <c r="L53" s="26">
        <v>470</v>
      </c>
      <c r="M53">
        <f t="shared" si="0"/>
        <v>470</v>
      </c>
      <c r="O5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Row],[orderNum]],ТабПозиции[orderSumm])&gt;1500),ABS(M53*VLOOKUP(ТабПозиции[[#This Row],[orderNum]],ТабЗаказы[#Data],MATCH("Percent",ТабЗаказы[#Headers],0),0))/100,200/COUNTIF(ТабПозиции[orderNum],ТабПозиции[[#This Row],[orderNum]])),0),"")</f>
        <v>47</v>
      </c>
      <c r="P53">
        <f>IF(OR(ТабПозиции[[#This Row],[item]]="По штрихкоду",ТабПозиции[[#This Row],[item]]="Посылка"),ТабПозиции[[#This Row],[deliverySumm]]+ТабПозиции[[#This Row],[deliveryPost]],SUM(M53:O53))</f>
        <v>517</v>
      </c>
      <c r="Q53" s="57">
        <v>517</v>
      </c>
      <c r="R53" s="62">
        <f>ТабПозиции[[#This Row],[totalSumm]]-ТабПозиции[[#This Row],[payment]]</f>
        <v>0</v>
      </c>
      <c r="S53" s="26" t="s">
        <v>558</v>
      </c>
      <c r="T53" s="56" t="s">
        <v>3061</v>
      </c>
      <c r="U53" s="56" t="s">
        <v>3061</v>
      </c>
      <c r="V53" s="56" t="s">
        <v>3061</v>
      </c>
      <c r="W53"/>
      <c r="X53"/>
    </row>
    <row r="54" spans="1:24" x14ac:dyDescent="0.25">
      <c r="A54" s="26">
        <v>16</v>
      </c>
      <c r="B54" s="1">
        <f>IFERROR(VLOOKUP(ТабПозиции[[#This Row],[orderNum]],ТабЗаказы[#Data],MATCH(B$7,ТабЗаказы[#Headers],0),0),"")</f>
        <v>45371</v>
      </c>
      <c r="C54" t="str">
        <f>MONTH(ТабПозиции[[#This Row],[date]])&amp;"/"&amp;YEAR(ТабПозиции[[#This Row],[date]])</f>
        <v>3/2024</v>
      </c>
      <c r="D54" s="1" t="str">
        <f>IFERROR(VLOOKUP(ТабПозиции[[#This Row],[orderNum]],ТабЗаказы[#Data],MATCH(D$7,ТабЗаказы[#Headers],0),0),"")</f>
        <v>Руденко Юля</v>
      </c>
      <c r="E54" s="32" t="s">
        <v>593</v>
      </c>
      <c r="F54" s="56" t="s">
        <v>3061</v>
      </c>
      <c r="G54" s="33"/>
      <c r="H54" s="34">
        <v>45373</v>
      </c>
      <c r="I54" s="26">
        <v>1</v>
      </c>
      <c r="K54">
        <v>0</v>
      </c>
      <c r="L54" s="26">
        <v>428</v>
      </c>
      <c r="M54">
        <f t="shared" si="0"/>
        <v>428</v>
      </c>
      <c r="O5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Row],[orderNum]],ТабПозиции[orderSumm])&gt;1500),ABS(M54*VLOOKUP(ТабПозиции[[#This Row],[orderNum]],ТабЗаказы[#Data],MATCH("Percent",ТабЗаказы[#Headers],0),0))/100,200/COUNTIF(ТабПозиции[orderNum],ТабПозиции[[#This Row],[orderNum]])),0),"")</f>
        <v>43</v>
      </c>
      <c r="P54">
        <f>IF(OR(ТабПозиции[[#This Row],[item]]="По штрихкоду",ТабПозиции[[#This Row],[item]]="Посылка"),ТабПозиции[[#This Row],[deliverySumm]]+ТабПозиции[[#This Row],[deliveryPost]],SUM(M54:O54))</f>
        <v>471</v>
      </c>
      <c r="Q54" s="57">
        <v>471</v>
      </c>
      <c r="R54" s="62">
        <f>ТабПозиции[[#This Row],[totalSumm]]-ТабПозиции[[#This Row],[payment]]</f>
        <v>0</v>
      </c>
      <c r="S54" s="26" t="s">
        <v>558</v>
      </c>
      <c r="T54" s="56" t="s">
        <v>3061</v>
      </c>
      <c r="U54" s="56" t="s">
        <v>3061</v>
      </c>
      <c r="V54" s="56" t="s">
        <v>3061</v>
      </c>
      <c r="W54"/>
      <c r="X54"/>
    </row>
    <row r="55" spans="1:24" x14ac:dyDescent="0.25">
      <c r="A55" s="26">
        <v>16</v>
      </c>
      <c r="B55" s="1">
        <f>IFERROR(VLOOKUP(ТабПозиции[[#This Row],[orderNum]],ТабЗаказы[#Data],MATCH(B$7,ТабЗаказы[#Headers],0),0),"")</f>
        <v>45371</v>
      </c>
      <c r="C55" t="str">
        <f>MONTH(ТабПозиции[[#This Row],[date]])&amp;"/"&amp;YEAR(ТабПозиции[[#This Row],[date]])</f>
        <v>3/2024</v>
      </c>
      <c r="D55" s="1" t="str">
        <f>IFERROR(VLOOKUP(ТабПозиции[[#This Row],[orderNum]],ТабЗаказы[#Data],MATCH(D$7,ТабЗаказы[#Headers],0),0),"")</f>
        <v>Руденко Юля</v>
      </c>
      <c r="E55" s="32" t="s">
        <v>594</v>
      </c>
      <c r="F55" s="56" t="s">
        <v>3061</v>
      </c>
      <c r="G55" s="33"/>
      <c r="H55" s="34">
        <v>45373</v>
      </c>
      <c r="I55" s="26">
        <v>1</v>
      </c>
      <c r="K55">
        <v>0</v>
      </c>
      <c r="L55" s="26">
        <v>284</v>
      </c>
      <c r="M55">
        <f t="shared" si="0"/>
        <v>284</v>
      </c>
      <c r="O5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Row],[orderNum]],ТабПозиции[orderSumm])&gt;1500),ABS(M55*VLOOKUP(ТабПозиции[[#This Row],[orderNum]],ТабЗаказы[#Data],MATCH("Percent",ТабЗаказы[#Headers],0),0))/100,200/COUNTIF(ТабПозиции[orderNum],ТабПозиции[[#This Row],[orderNum]])),0),"")</f>
        <v>28</v>
      </c>
      <c r="P55">
        <f>IF(OR(ТабПозиции[[#This Row],[item]]="По штрихкоду",ТабПозиции[[#This Row],[item]]="Посылка"),ТабПозиции[[#This Row],[deliverySumm]]+ТабПозиции[[#This Row],[deliveryPost]],SUM(M55:O55))</f>
        <v>312</v>
      </c>
      <c r="Q55" s="57">
        <v>312</v>
      </c>
      <c r="R55" s="62">
        <f>ТабПозиции[[#This Row],[totalSumm]]-ТабПозиции[[#This Row],[payment]]</f>
        <v>0</v>
      </c>
      <c r="S55" s="26" t="s">
        <v>558</v>
      </c>
      <c r="T55" s="56" t="s">
        <v>3061</v>
      </c>
      <c r="U55" s="56" t="s">
        <v>3061</v>
      </c>
      <c r="V55" s="56" t="s">
        <v>3061</v>
      </c>
      <c r="W55"/>
      <c r="X55"/>
    </row>
    <row r="56" spans="1:24" x14ac:dyDescent="0.25">
      <c r="A56" s="26">
        <v>16</v>
      </c>
      <c r="B56" s="1">
        <f>IFERROR(VLOOKUP(ТабПозиции[[#This Row],[orderNum]],ТабЗаказы[#Data],MATCH(B$7,ТабЗаказы[#Headers],0),0),"")</f>
        <v>45371</v>
      </c>
      <c r="C56" t="str">
        <f>MONTH(ТабПозиции[[#This Row],[date]])&amp;"/"&amp;YEAR(ТабПозиции[[#This Row],[date]])</f>
        <v>3/2024</v>
      </c>
      <c r="D56" s="1" t="str">
        <f>IFERROR(VLOOKUP(ТабПозиции[[#This Row],[orderNum]],ТабЗаказы[#Data],MATCH(D$7,ТабЗаказы[#Headers],0),0),"")</f>
        <v>Руденко Юля</v>
      </c>
      <c r="E56" s="32" t="s">
        <v>595</v>
      </c>
      <c r="F56" s="56" t="s">
        <v>3061</v>
      </c>
      <c r="G56" s="33"/>
      <c r="H56" s="34">
        <v>45373</v>
      </c>
      <c r="I56" s="26">
        <v>1</v>
      </c>
      <c r="K56">
        <v>0</v>
      </c>
      <c r="L56" s="26">
        <v>454</v>
      </c>
      <c r="M56">
        <f t="shared" si="0"/>
        <v>454</v>
      </c>
      <c r="O5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Row],[orderNum]],ТабПозиции[orderSumm])&gt;1500),ABS(M56*VLOOKUP(ТабПозиции[[#This Row],[orderNum]],ТабЗаказы[#Data],MATCH("Percent",ТабЗаказы[#Headers],0),0))/100,200/COUNTIF(ТабПозиции[orderNum],ТабПозиции[[#This Row],[orderNum]])),0),"")</f>
        <v>45</v>
      </c>
      <c r="P56">
        <f>IF(OR(ТабПозиции[[#This Row],[item]]="По штрихкоду",ТабПозиции[[#This Row],[item]]="Посылка"),ТабПозиции[[#This Row],[deliverySumm]]+ТабПозиции[[#This Row],[deliveryPost]],SUM(M56:O56))</f>
        <v>499</v>
      </c>
      <c r="Q56" s="57">
        <v>499</v>
      </c>
      <c r="R56" s="62">
        <f>ТабПозиции[[#This Row],[totalSumm]]-ТабПозиции[[#This Row],[payment]]</f>
        <v>0</v>
      </c>
      <c r="S56" s="26" t="s">
        <v>558</v>
      </c>
      <c r="T56" s="56" t="s">
        <v>3061</v>
      </c>
      <c r="U56" s="56" t="s">
        <v>3061</v>
      </c>
      <c r="V56" s="56" t="s">
        <v>3061</v>
      </c>
      <c r="W56"/>
      <c r="X56"/>
    </row>
    <row r="57" spans="1:24" x14ac:dyDescent="0.25">
      <c r="A57" s="26">
        <v>16</v>
      </c>
      <c r="B57" s="1">
        <f>IFERROR(VLOOKUP(ТабПозиции[[#This Row],[orderNum]],ТабЗаказы[#Data],MATCH(B$7,ТабЗаказы[#Headers],0),0),"")</f>
        <v>45371</v>
      </c>
      <c r="C57" t="str">
        <f>MONTH(ТабПозиции[[#This Row],[date]])&amp;"/"&amp;YEAR(ТабПозиции[[#This Row],[date]])</f>
        <v>3/2024</v>
      </c>
      <c r="D57" s="1" t="str">
        <f>IFERROR(VLOOKUP(ТабПозиции[[#This Row],[orderNum]],ТабЗаказы[#Data],MATCH(D$7,ТабЗаказы[#Headers],0),0),"")</f>
        <v>Руденко Юля</v>
      </c>
      <c r="E57" s="32" t="s">
        <v>596</v>
      </c>
      <c r="F57" s="56" t="s">
        <v>3061</v>
      </c>
      <c r="G57" s="33"/>
      <c r="H57" s="34">
        <v>45376</v>
      </c>
      <c r="I57" s="26">
        <v>1</v>
      </c>
      <c r="K57">
        <v>0</v>
      </c>
      <c r="L57" s="26">
        <v>524</v>
      </c>
      <c r="M57">
        <f t="shared" si="0"/>
        <v>524</v>
      </c>
      <c r="O5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Row],[orderNum]],ТабПозиции[orderSumm])&gt;1500),ABS(M57*VLOOKUP(ТабПозиции[[#This Row],[orderNum]],ТабЗаказы[#Data],MATCH("Percent",ТабЗаказы[#Headers],0),0))/100,200/COUNTIF(ТабПозиции[orderNum],ТабПозиции[[#This Row],[orderNum]])),0),"")</f>
        <v>52</v>
      </c>
      <c r="P57">
        <f>IF(OR(ТабПозиции[[#This Row],[item]]="По штрихкоду",ТабПозиции[[#This Row],[item]]="Посылка"),ТабПозиции[[#This Row],[deliverySumm]]+ТабПозиции[[#This Row],[deliveryPost]],SUM(M57:O57))</f>
        <v>576</v>
      </c>
      <c r="Q57" s="57">
        <v>576</v>
      </c>
      <c r="R57" s="62">
        <f>ТабПозиции[[#This Row],[totalSumm]]-ТабПозиции[[#This Row],[payment]]</f>
        <v>0</v>
      </c>
      <c r="S57" s="26" t="s">
        <v>558</v>
      </c>
      <c r="T57" s="56" t="s">
        <v>3061</v>
      </c>
      <c r="U57" s="56" t="s">
        <v>3061</v>
      </c>
      <c r="V57" s="56" t="s">
        <v>3061</v>
      </c>
      <c r="W57"/>
      <c r="X57"/>
    </row>
    <row r="58" spans="1:24" x14ac:dyDescent="0.25">
      <c r="A58" s="26">
        <v>18</v>
      </c>
      <c r="B58" s="1">
        <f>IFERROR(VLOOKUP(ТабПозиции[[#This Row],[orderNum]],ТабЗаказы[#Data],MATCH(B$7,ТабЗаказы[#Headers],0),0),"")</f>
        <v>45374</v>
      </c>
      <c r="C58" t="str">
        <f>MONTH(ТабПозиции[[#This Row],[date]])&amp;"/"&amp;YEAR(ТабПозиции[[#This Row],[date]])</f>
        <v>3/2024</v>
      </c>
      <c r="D58" s="1" t="str">
        <f>IFERROR(VLOOKUP(ТабПозиции[[#This Row],[orderNum]],ТабЗаказы[#Data],MATCH(D$7,ТабЗаказы[#Headers],0),0),"")</f>
        <v>виктор</v>
      </c>
      <c r="E58" s="32" t="s">
        <v>597</v>
      </c>
      <c r="F58" s="56" t="s">
        <v>3061</v>
      </c>
      <c r="G58" s="33"/>
      <c r="H58" s="34">
        <v>45377</v>
      </c>
      <c r="I58" s="26">
        <v>1</v>
      </c>
      <c r="K58">
        <v>0</v>
      </c>
      <c r="L58" s="26">
        <v>484</v>
      </c>
      <c r="M58">
        <f t="shared" si="0"/>
        <v>484</v>
      </c>
      <c r="O5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Row],[orderNum]],ТабПозиции[orderSumm])&gt;1500),ABS(M58*VLOOKUP(ТабПозиции[[#This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58">
        <f>IF(OR(ТабПозиции[[#This Row],[item]]="По штрихкоду",ТабПозиции[[#This Row],[item]]="Посылка"),ТабПозиции[[#This Row],[deliverySumm]]+ТабПозиции[[#This Row],[deliveryPost]],SUM(M58:O58))</f>
        <v>684</v>
      </c>
      <c r="Q58" s="57">
        <v>684</v>
      </c>
      <c r="R58" s="62">
        <f>ТабПозиции[[#This Row],[totalSumm]]-ТабПозиции[[#This Row],[payment]]</f>
        <v>0</v>
      </c>
      <c r="S58" s="26" t="s">
        <v>575</v>
      </c>
      <c r="T58" s="56" t="s">
        <v>3061</v>
      </c>
      <c r="U58" s="56" t="s">
        <v>3061</v>
      </c>
      <c r="V58" s="56" t="s">
        <v>3061</v>
      </c>
      <c r="W58"/>
      <c r="X58"/>
    </row>
    <row r="59" spans="1:24" x14ac:dyDescent="0.25">
      <c r="A59" s="26">
        <v>19</v>
      </c>
      <c r="B59" s="1">
        <f>IFERROR(VLOOKUP(ТабПозиции[[#This Row],[orderNum]],ТабЗаказы[#Data],MATCH(B$7,ТабЗаказы[#Headers],0),0),"")</f>
        <v>45374</v>
      </c>
      <c r="C59" t="str">
        <f>MONTH(ТабПозиции[[#This Row],[date]])&amp;"/"&amp;YEAR(ТабПозиции[[#This Row],[date]])</f>
        <v>3/2024</v>
      </c>
      <c r="D59" s="1" t="str">
        <f>IFERROR(VLOOKUP(ТабПозиции[[#This Row],[orderNum]],ТабЗаказы[#Data],MATCH(D$7,ТабЗаказы[#Headers],0),0),"")</f>
        <v>григорий(танковый )</v>
      </c>
      <c r="E59" s="32" t="s">
        <v>598</v>
      </c>
      <c r="F59" s="56" t="s">
        <v>3061</v>
      </c>
      <c r="G59" s="33"/>
      <c r="H59" s="34">
        <v>45376</v>
      </c>
      <c r="I59" s="26">
        <v>1</v>
      </c>
      <c r="K59">
        <v>0</v>
      </c>
      <c r="L59" s="26">
        <v>155</v>
      </c>
      <c r="M59">
        <f t="shared" si="0"/>
        <v>155</v>
      </c>
      <c r="O5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Row],[orderNum]],ТабПозиции[orderSumm])&gt;1500),ABS(M59*VLOOKUP(ТабПозиции[[#This Row],[orderNum]],ТабЗаказы[#Data],MATCH("Percent",ТабЗаказы[#Headers],0),0))/100,200/COUNTIF(ТабПозиции[orderNum],ТабПозиции[[#This Row],[orderNum]])),0),"")</f>
        <v>23</v>
      </c>
      <c r="P59">
        <f>IF(OR(ТабПозиции[[#This Row],[item]]="По штрихкоду",ТабПозиции[[#This Row],[item]]="Посылка"),ТабПозиции[[#This Row],[deliverySumm]]+ТабПозиции[[#This Row],[deliveryPost]],SUM(M59:O59))</f>
        <v>178</v>
      </c>
      <c r="Q59" s="57">
        <v>178</v>
      </c>
      <c r="R59" s="62">
        <f>ТабПозиции[[#This Row],[totalSumm]]-ТабПозиции[[#This Row],[payment]]</f>
        <v>0</v>
      </c>
      <c r="S59" s="26" t="s">
        <v>575</v>
      </c>
      <c r="T59" s="56" t="s">
        <v>3061</v>
      </c>
      <c r="U59" s="56" t="s">
        <v>3061</v>
      </c>
      <c r="V59" s="56" t="s">
        <v>3061</v>
      </c>
      <c r="W59"/>
      <c r="X59"/>
    </row>
    <row r="60" spans="1:24" x14ac:dyDescent="0.25">
      <c r="A60" s="26">
        <v>19</v>
      </c>
      <c r="B60" s="1">
        <f>IFERROR(VLOOKUP(ТабПозиции[[#This Row],[orderNum]],ТабЗаказы[#Data],MATCH(B$7,ТабЗаказы[#Headers],0),0),"")</f>
        <v>45374</v>
      </c>
      <c r="C60" t="str">
        <f>MONTH(ТабПозиции[[#This Row],[date]])&amp;"/"&amp;YEAR(ТабПозиции[[#This Row],[date]])</f>
        <v>3/2024</v>
      </c>
      <c r="D60" s="1" t="str">
        <f>IFERROR(VLOOKUP(ТабПозиции[[#This Row],[orderNum]],ТабЗаказы[#Data],MATCH(D$7,ТабЗаказы[#Headers],0),0),"")</f>
        <v>григорий(танковый )</v>
      </c>
      <c r="E60" s="32" t="s">
        <v>599</v>
      </c>
      <c r="F60" s="56" t="s">
        <v>3061</v>
      </c>
      <c r="G60" s="33"/>
      <c r="H60" s="34">
        <v>45378</v>
      </c>
      <c r="I60" s="26">
        <v>1</v>
      </c>
      <c r="K60">
        <v>0</v>
      </c>
      <c r="L60" s="26">
        <v>278</v>
      </c>
      <c r="M60">
        <f t="shared" si="0"/>
        <v>278</v>
      </c>
      <c r="O6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Row],[orderNum]],ТабПозиции[orderSumm])&gt;1500),ABS(M60*VLOOKUP(ТабПозиции[[#This Row],[orderNum]],ТабЗаказы[#Data],MATCH("Percent",ТабЗаказы[#Headers],0),0))/100,200/COUNTIF(ТабПозиции[orderNum],ТабПозиции[[#This Row],[orderNum]])),0),"")</f>
        <v>42</v>
      </c>
      <c r="P60">
        <f>IF(OR(ТабПозиции[[#This Row],[item]]="По штрихкоду",ТабПозиции[[#This Row],[item]]="Посылка"),ТабПозиции[[#This Row],[deliverySumm]]+ТабПозиции[[#This Row],[deliveryPost]],SUM(M60:O60))</f>
        <v>320</v>
      </c>
      <c r="Q60" s="57">
        <v>320</v>
      </c>
      <c r="R60" s="62">
        <f>ТабПозиции[[#This Row],[totalSumm]]-ТабПозиции[[#This Row],[payment]]</f>
        <v>0</v>
      </c>
      <c r="S60" s="26" t="s">
        <v>558</v>
      </c>
      <c r="T60" s="56" t="s">
        <v>3061</v>
      </c>
      <c r="U60" s="56" t="s">
        <v>3061</v>
      </c>
      <c r="V60" s="56" t="s">
        <v>3061</v>
      </c>
      <c r="W60"/>
      <c r="X60"/>
    </row>
    <row r="61" spans="1:24" x14ac:dyDescent="0.25">
      <c r="A61" s="26">
        <v>19</v>
      </c>
      <c r="B61" s="1">
        <f>IFERROR(VLOOKUP(ТабПозиции[[#This Row],[orderNum]],ТабЗаказы[#Data],MATCH(B$7,ТабЗаказы[#Headers],0),0),"")</f>
        <v>45374</v>
      </c>
      <c r="C61" t="str">
        <f>MONTH(ТабПозиции[[#This Row],[date]])&amp;"/"&amp;YEAR(ТабПозиции[[#This Row],[date]])</f>
        <v>3/2024</v>
      </c>
      <c r="D61" s="1" t="str">
        <f>IFERROR(VLOOKUP(ТабПозиции[[#This Row],[orderNum]],ТабЗаказы[#Data],MATCH(D$7,ТабЗаказы[#Headers],0),0),"")</f>
        <v>григорий(танковый )</v>
      </c>
      <c r="E61" s="32" t="s">
        <v>600</v>
      </c>
      <c r="F61" s="56" t="s">
        <v>3061</v>
      </c>
      <c r="G61" s="33"/>
      <c r="H61" s="34">
        <v>45377</v>
      </c>
      <c r="I61" s="26">
        <v>1</v>
      </c>
      <c r="K61">
        <v>0</v>
      </c>
      <c r="L61" s="26">
        <v>362</v>
      </c>
      <c r="M61">
        <f t="shared" si="0"/>
        <v>362</v>
      </c>
      <c r="O6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Row],[orderNum]],ТабПозиции[orderSumm])&gt;1500),ABS(M61*VLOOKUP(ТабПозиции[[#This Row],[orderNum]],ТабЗаказы[#Data],MATCH("Percent",ТабЗаказы[#Headers],0),0))/100,200/COUNTIF(ТабПозиции[orderNum],ТабПозиции[[#This Row],[orderNum]])),0),"")</f>
        <v>54</v>
      </c>
      <c r="P61">
        <f>IF(OR(ТабПозиции[[#This Row],[item]]="По штрихкоду",ТабПозиции[[#This Row],[item]]="Посылка"),ТабПозиции[[#This Row],[deliverySumm]]+ТабПозиции[[#This Row],[deliveryPost]],SUM(M61:O61))</f>
        <v>416</v>
      </c>
      <c r="Q61" s="57">
        <v>416</v>
      </c>
      <c r="R61" s="62">
        <f>ТабПозиции[[#This Row],[totalSumm]]-ТабПозиции[[#This Row],[payment]]</f>
        <v>0</v>
      </c>
      <c r="S61" s="26" t="s">
        <v>575</v>
      </c>
      <c r="T61" s="56" t="s">
        <v>3061</v>
      </c>
      <c r="U61" s="56" t="s">
        <v>3061</v>
      </c>
      <c r="V61" s="56" t="s">
        <v>3061</v>
      </c>
      <c r="W61"/>
      <c r="X61"/>
    </row>
    <row r="62" spans="1:24" x14ac:dyDescent="0.25">
      <c r="A62" s="26">
        <v>19</v>
      </c>
      <c r="B62" s="1">
        <f>IFERROR(VLOOKUP(ТабПозиции[[#This Row],[orderNum]],ТабЗаказы[#Data],MATCH(B$7,ТабЗаказы[#Headers],0),0),"")</f>
        <v>45374</v>
      </c>
      <c r="C62" t="str">
        <f>MONTH(ТабПозиции[[#This Row],[date]])&amp;"/"&amp;YEAR(ТабПозиции[[#This Row],[date]])</f>
        <v>3/2024</v>
      </c>
      <c r="D62" s="1" t="str">
        <f>IFERROR(VLOOKUP(ТабПозиции[[#This Row],[orderNum]],ТабЗаказы[#Data],MATCH(D$7,ТабЗаказы[#Headers],0),0),"")</f>
        <v>григорий(танковый )</v>
      </c>
      <c r="E62" s="32" t="s">
        <v>601</v>
      </c>
      <c r="F62" s="56" t="s">
        <v>3061</v>
      </c>
      <c r="G62" s="33"/>
      <c r="H62" s="34">
        <v>45382</v>
      </c>
      <c r="I62" s="26">
        <v>1</v>
      </c>
      <c r="K62">
        <v>0</v>
      </c>
      <c r="L62" s="26">
        <v>360</v>
      </c>
      <c r="M62">
        <f t="shared" si="0"/>
        <v>360</v>
      </c>
      <c r="O6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Row],[orderNum]],ТабПозиции[orderSumm])&gt;1500),ABS(M62*VLOOKUP(ТабПозиции[[#This Row],[orderNum]],ТабЗаказы[#Data],MATCH("Percent",ТабЗаказы[#Headers],0),0))/100,200/COUNTIF(ТабПозиции[orderNum],ТабПозиции[[#This Row],[orderNum]])),0),"")</f>
        <v>54</v>
      </c>
      <c r="P62">
        <f>IF(OR(ТабПозиции[[#This Row],[item]]="По штрихкоду",ТабПозиции[[#This Row],[item]]="Посылка"),ТабПозиции[[#This Row],[deliverySumm]]+ТабПозиции[[#This Row],[deliveryPost]],SUM(M62:O62))</f>
        <v>414</v>
      </c>
      <c r="Q62" s="57">
        <v>414</v>
      </c>
      <c r="R62" s="62">
        <f>ТабПозиции[[#This Row],[totalSumm]]-ТабПозиции[[#This Row],[payment]]</f>
        <v>0</v>
      </c>
      <c r="S62" s="34" t="s">
        <v>575</v>
      </c>
      <c r="T62" s="56" t="s">
        <v>3061</v>
      </c>
      <c r="U62" s="56" t="s">
        <v>3061</v>
      </c>
      <c r="V62" s="56" t="s">
        <v>3061</v>
      </c>
      <c r="W62"/>
      <c r="X62"/>
    </row>
    <row r="63" spans="1:24" x14ac:dyDescent="0.25">
      <c r="A63" s="26">
        <v>19</v>
      </c>
      <c r="B63" s="1">
        <f>IFERROR(VLOOKUP(ТабПозиции[[#This Row],[orderNum]],ТабЗаказы[#Data],MATCH(B$7,ТабЗаказы[#Headers],0),0),"")</f>
        <v>45374</v>
      </c>
      <c r="C63" t="str">
        <f>MONTH(ТабПозиции[[#This Row],[date]])&amp;"/"&amp;YEAR(ТабПозиции[[#This Row],[date]])</f>
        <v>3/2024</v>
      </c>
      <c r="D63" s="1" t="str">
        <f>IFERROR(VLOOKUP(ТабПозиции[[#This Row],[orderNum]],ТабЗаказы[#Data],MATCH(D$7,ТабЗаказы[#Headers],0),0),"")</f>
        <v>григорий(танковый )</v>
      </c>
      <c r="E63" s="32" t="s">
        <v>602</v>
      </c>
      <c r="F63" s="56" t="s">
        <v>3061</v>
      </c>
      <c r="G63" s="33"/>
      <c r="H63" s="34">
        <v>45377</v>
      </c>
      <c r="I63" s="26">
        <v>1</v>
      </c>
      <c r="K63">
        <v>0</v>
      </c>
      <c r="L63" s="26">
        <v>565</v>
      </c>
      <c r="M63">
        <f t="shared" si="0"/>
        <v>565</v>
      </c>
      <c r="O6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Row],[orderNum]],ТабПозиции[orderSumm])&gt;1500),ABS(M63*VLOOKUP(ТабПозиции[[#This Row],[orderNum]],ТабЗаказы[#Data],MATCH("Percent",ТабЗаказы[#Headers],0),0))/100,200/COUNTIF(ТабПозиции[orderNum],ТабПозиции[[#This Row],[orderNum]])),0),"")</f>
        <v>85</v>
      </c>
      <c r="P63">
        <f>IF(OR(ТабПозиции[[#This Row],[item]]="По штрихкоду",ТабПозиции[[#This Row],[item]]="Посылка"),ТабПозиции[[#This Row],[deliverySumm]]+ТабПозиции[[#This Row],[deliveryPost]],SUM(M63:O63))</f>
        <v>650</v>
      </c>
      <c r="Q63" s="57">
        <v>650</v>
      </c>
      <c r="R63" s="62">
        <f>ТабПозиции[[#This Row],[totalSumm]]-ТабПозиции[[#This Row],[payment]]</f>
        <v>0</v>
      </c>
      <c r="S63" s="34" t="s">
        <v>575</v>
      </c>
      <c r="T63" s="56" t="s">
        <v>3061</v>
      </c>
      <c r="U63" s="56" t="s">
        <v>3061</v>
      </c>
      <c r="V63" s="56" t="s">
        <v>3061</v>
      </c>
      <c r="W63"/>
      <c r="X63"/>
    </row>
    <row r="64" spans="1:24" x14ac:dyDescent="0.25">
      <c r="A64" s="26">
        <v>19</v>
      </c>
      <c r="B64" s="1">
        <f>IFERROR(VLOOKUP(ТабПозиции[[#This Row],[orderNum]],ТабЗаказы[#Data],MATCH(B$7,ТабЗаказы[#Headers],0),0),"")</f>
        <v>45374</v>
      </c>
      <c r="C64" t="str">
        <f>MONTH(ТабПозиции[[#This Row],[date]])&amp;"/"&amp;YEAR(ТабПозиции[[#This Row],[date]])</f>
        <v>3/2024</v>
      </c>
      <c r="D64" s="1" t="str">
        <f>IFERROR(VLOOKUP(ТабПозиции[[#This Row],[orderNum]],ТабЗаказы[#Data],MATCH(D$7,ТабЗаказы[#Headers],0),0),"")</f>
        <v>григорий(танковый )</v>
      </c>
      <c r="E64" s="32" t="s">
        <v>603</v>
      </c>
      <c r="F64" s="56" t="s">
        <v>3061</v>
      </c>
      <c r="G64" s="33"/>
      <c r="H64" s="34">
        <v>45378</v>
      </c>
      <c r="I64" s="26">
        <v>1</v>
      </c>
      <c r="K64">
        <v>0</v>
      </c>
      <c r="L64" s="26">
        <v>292</v>
      </c>
      <c r="M64">
        <f t="shared" si="0"/>
        <v>292</v>
      </c>
      <c r="O6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Row],[orderNum]],ТабПозиции[orderSumm])&gt;1500),ABS(M64*VLOOKUP(ТабПозиции[[#This Row],[orderNum]],ТабЗаказы[#Data],MATCH("Percent",ТабЗаказы[#Headers],0),0))/100,200/COUNTIF(ТабПозиции[orderNum],ТабПозиции[[#This Row],[orderNum]])),0),"")</f>
        <v>44</v>
      </c>
      <c r="P64">
        <f>IF(OR(ТабПозиции[[#This Row],[item]]="По штрихкоду",ТабПозиции[[#This Row],[item]]="Посылка"),ТабПозиции[[#This Row],[deliverySumm]]+ТабПозиции[[#This Row],[deliveryPost]],SUM(M64:O64))</f>
        <v>336</v>
      </c>
      <c r="Q64" s="57">
        <v>336</v>
      </c>
      <c r="R64" s="62">
        <f>ТабПозиции[[#This Row],[totalSumm]]-ТабПозиции[[#This Row],[payment]]</f>
        <v>0</v>
      </c>
      <c r="S64" s="34" t="s">
        <v>575</v>
      </c>
      <c r="T64" s="56" t="s">
        <v>3061</v>
      </c>
      <c r="U64" s="56" t="s">
        <v>3061</v>
      </c>
      <c r="V64" s="56" t="s">
        <v>3061</v>
      </c>
      <c r="W64"/>
      <c r="X64"/>
    </row>
    <row r="65" spans="1:24" x14ac:dyDescent="0.25">
      <c r="A65" s="26">
        <v>19</v>
      </c>
      <c r="B65" s="1">
        <f>IFERROR(VLOOKUP(ТабПозиции[[#This Row],[orderNum]],ТабЗаказы[#Data],MATCH(B$7,ТабЗаказы[#Headers],0),0),"")</f>
        <v>45374</v>
      </c>
      <c r="C65" t="str">
        <f>MONTH(ТабПозиции[[#This Row],[date]])&amp;"/"&amp;YEAR(ТабПозиции[[#This Row],[date]])</f>
        <v>3/2024</v>
      </c>
      <c r="D65" s="1" t="str">
        <f>IFERROR(VLOOKUP(ТабПозиции[[#This Row],[orderNum]],ТабЗаказы[#Data],MATCH(D$7,ТабЗаказы[#Headers],0),0),"")</f>
        <v>григорий(танковый )</v>
      </c>
      <c r="E65" s="32" t="s">
        <v>604</v>
      </c>
      <c r="F65" s="56" t="s">
        <v>3061</v>
      </c>
      <c r="G65" s="33"/>
      <c r="H65" s="34">
        <v>45377</v>
      </c>
      <c r="I65" s="26">
        <v>1</v>
      </c>
      <c r="K65">
        <v>0</v>
      </c>
      <c r="L65" s="26">
        <v>441</v>
      </c>
      <c r="M65">
        <f t="shared" si="0"/>
        <v>441</v>
      </c>
      <c r="O6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Row],[orderNum]],ТабПозиции[orderSumm])&gt;1500),ABS(M65*VLOOKUP(ТабПозиции[[#This Row],[orderNum]],ТабЗаказы[#Data],MATCH("Percent",ТабЗаказы[#Headers],0),0))/100,200/COUNTIF(ТабПозиции[orderNum],ТабПозиции[[#This Row],[orderNum]])),0),"")</f>
        <v>66</v>
      </c>
      <c r="P65">
        <f>IF(OR(ТабПозиции[[#This Row],[item]]="По штрихкоду",ТабПозиции[[#This Row],[item]]="Посылка"),ТабПозиции[[#This Row],[deliverySumm]]+ТабПозиции[[#This Row],[deliveryPost]],SUM(M65:O65))</f>
        <v>507</v>
      </c>
      <c r="Q65" s="57">
        <v>507</v>
      </c>
      <c r="R65" s="62">
        <f>ТабПозиции[[#This Row],[totalSumm]]-ТабПозиции[[#This Row],[payment]]</f>
        <v>0</v>
      </c>
      <c r="S65" s="34" t="s">
        <v>575</v>
      </c>
      <c r="T65" s="56" t="s">
        <v>3061</v>
      </c>
      <c r="U65" s="56" t="s">
        <v>3061</v>
      </c>
      <c r="V65" s="56" t="s">
        <v>3061</v>
      </c>
      <c r="W65"/>
      <c r="X65"/>
    </row>
    <row r="66" spans="1:24" x14ac:dyDescent="0.25">
      <c r="A66" s="26">
        <v>12</v>
      </c>
      <c r="B66" s="1">
        <f>IFERROR(VLOOKUP(ТабПозиции[[#This Row],[orderNum]],ТабЗаказы[#Data],MATCH(B$7,ТабЗаказы[#Headers],0),0),"")</f>
        <v>45368</v>
      </c>
      <c r="C66" t="str">
        <f>MONTH(ТабПозиции[[#This Row],[date]])&amp;"/"&amp;YEAR(ТабПозиции[[#This Row],[date]])</f>
        <v>3/2024</v>
      </c>
      <c r="D66" s="1" t="str">
        <f>IFERROR(VLOOKUP(ТабПозиции[[#This Row],[orderNum]],ТабЗаказы[#Data],MATCH(D$7,ТабЗаказы[#Headers],0),0),"")</f>
        <v>Александр 3 Металлургов</v>
      </c>
      <c r="E66" s="32" t="s">
        <v>605</v>
      </c>
      <c r="F66" s="56" t="s">
        <v>3061</v>
      </c>
      <c r="G66" s="33"/>
      <c r="H66" s="34">
        <v>45379</v>
      </c>
      <c r="I66" s="26">
        <v>1</v>
      </c>
      <c r="K66">
        <v>0</v>
      </c>
      <c r="L66" s="26">
        <v>1184</v>
      </c>
      <c r="M66">
        <f t="shared" si="0"/>
        <v>1184</v>
      </c>
      <c r="O6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Row],[orderNum]],ТабПозиции[orderSumm])&gt;1500),ABS(M66*VLOOKUP(ТабПозиции[[#This Row],[orderNum]],ТабЗаказы[#Data],MATCH("Percent",ТабЗаказы[#Headers],0),0))/100,200/COUNTIF(ТабПозиции[orderNum],ТабПозиции[[#This Row],[orderNum]])),0),"")</f>
        <v>178</v>
      </c>
      <c r="P66">
        <f>IF(OR(ТабПозиции[[#This Row],[item]]="По штрихкоду",ТабПозиции[[#This Row],[item]]="Посылка"),ТабПозиции[[#This Row],[deliverySumm]]+ТабПозиции[[#This Row],[deliveryPost]],SUM(M66:O66))</f>
        <v>1362</v>
      </c>
      <c r="Q66" s="57">
        <v>1362</v>
      </c>
      <c r="R66" s="62">
        <f>ТабПозиции[[#This Row],[totalSumm]]-ТабПозиции[[#This Row],[payment]]</f>
        <v>0</v>
      </c>
      <c r="S66" s="34" t="s">
        <v>575</v>
      </c>
      <c r="T66" s="56" t="s">
        <v>3061</v>
      </c>
      <c r="U66" s="56" t="s">
        <v>3061</v>
      </c>
      <c r="V66" s="56" t="s">
        <v>3061</v>
      </c>
      <c r="W66"/>
      <c r="X66"/>
    </row>
    <row r="67" spans="1:24" x14ac:dyDescent="0.25">
      <c r="A67" s="26">
        <v>21</v>
      </c>
      <c r="B67" s="1">
        <f>IFERROR(VLOOKUP(ТабПозиции[[#This Row],[orderNum]],ТабЗаказы[#Data],MATCH(B$7,ТабЗаказы[#Headers],0),0),"")</f>
        <v>45375</v>
      </c>
      <c r="C67" t="str">
        <f>MONTH(ТабПозиции[[#This Row],[date]])&amp;"/"&amp;YEAR(ТабПозиции[[#This Row],[date]])</f>
        <v>3/2024</v>
      </c>
      <c r="D67" s="1" t="str">
        <f>IFERROR(VLOOKUP(ТабПозиции[[#This Row],[orderNum]],ТабЗаказы[#Data],MATCH(D$7,ТабЗаказы[#Headers],0),0),"")</f>
        <v>Пашок</v>
      </c>
      <c r="E67" s="32" t="s">
        <v>606</v>
      </c>
      <c r="F67" s="56" t="s">
        <v>3061</v>
      </c>
      <c r="G67" s="33"/>
      <c r="H67" s="34">
        <v>45381</v>
      </c>
      <c r="I67" s="26">
        <v>1</v>
      </c>
      <c r="K67">
        <v>0</v>
      </c>
      <c r="L67" s="26">
        <v>4740</v>
      </c>
      <c r="M67">
        <f t="shared" si="0"/>
        <v>4740</v>
      </c>
      <c r="O6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Row],[orderNum]],ТабПозиции[orderSumm])&gt;1500),ABS(M67*VLOOKUP(ТабПозиции[[#This Row],[orderNum]],ТабЗаказы[#Data],MATCH("Percent",ТабЗаказы[#Headers],0),0))/100,200/COUNTIF(ТабПозиции[orderNum],ТабПозиции[[#This Row],[orderNum]])),0),"")</f>
        <v>711</v>
      </c>
      <c r="P67">
        <f>IF(OR(ТабПозиции[[#This Row],[item]]="По штрихкоду",ТабПозиции[[#This Row],[item]]="Посылка"),ТабПозиции[[#This Row],[deliverySumm]]+ТабПозиции[[#This Row],[deliveryPost]],SUM(M67:O67))</f>
        <v>5451</v>
      </c>
      <c r="Q67" s="57">
        <v>5451</v>
      </c>
      <c r="R67" s="62">
        <f>ТабПозиции[[#This Row],[totalSumm]]-ТабПозиции[[#This Row],[payment]]</f>
        <v>0</v>
      </c>
      <c r="S67" s="34" t="s">
        <v>575</v>
      </c>
      <c r="T67" s="56" t="s">
        <v>3061</v>
      </c>
      <c r="U67" s="56" t="s">
        <v>3061</v>
      </c>
      <c r="V67" s="56" t="s">
        <v>3061</v>
      </c>
      <c r="W67"/>
      <c r="X67"/>
    </row>
    <row r="68" spans="1:24" x14ac:dyDescent="0.25">
      <c r="A68" s="26">
        <v>22</v>
      </c>
      <c r="B68" s="1">
        <f>IFERROR(VLOOKUP(ТабПозиции[[#This Row],[orderNum]],ТабЗаказы[#Data],MATCH(B$7,ТабЗаказы[#Headers],0),0),"")</f>
        <v>45376</v>
      </c>
      <c r="C68" t="str">
        <f>MONTH(ТабПозиции[[#This Row],[date]])&amp;"/"&amp;YEAR(ТабПозиции[[#This Row],[date]])</f>
        <v>3/2024</v>
      </c>
      <c r="D68" s="1" t="str">
        <f>IFERROR(VLOOKUP(ТабПозиции[[#This Row],[orderNum]],ТабЗаказы[#Data],MATCH(D$7,ТабЗаказы[#Headers],0),0),"")</f>
        <v>Вадим</v>
      </c>
      <c r="E68" s="26" t="s">
        <v>607</v>
      </c>
      <c r="F68" s="56" t="s">
        <v>3061</v>
      </c>
      <c r="H68" s="34">
        <v>45376</v>
      </c>
      <c r="I68" s="26">
        <v>1</v>
      </c>
      <c r="K68">
        <v>0</v>
      </c>
      <c r="L68" s="26">
        <v>8769</v>
      </c>
      <c r="M68">
        <f t="shared" si="0"/>
        <v>8769</v>
      </c>
      <c r="O6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Row],[orderNum]],ТабПозиции[orderSumm])&gt;1500),ABS(M68*VLOOKUP(ТабПозиции[[#This Row],[orderNum]],ТабЗаказы[#Data],MATCH("Percent",ТабЗаказы[#Headers],0),0))/100,200/COUNTIF(ТабПозиции[orderNum],ТабПозиции[[#This Row],[orderNum]])),0),"")</f>
        <v>1315</v>
      </c>
      <c r="P68">
        <f>IF(OR(ТабПозиции[[#This Row],[item]]="По штрихкоду",ТабПозиции[[#This Row],[item]]="Посылка"),ТабПозиции[[#This Row],[deliverySumm]]+ТабПозиции[[#This Row],[deliveryPost]],SUM(M68:O68))</f>
        <v>10084</v>
      </c>
      <c r="Q68" s="57">
        <f>8800+1284</f>
        <v>10084</v>
      </c>
      <c r="R68" s="62">
        <f>ТабПозиции[[#This Row],[totalSumm]]-ТабПозиции[[#This Row],[payment]]</f>
        <v>0</v>
      </c>
      <c r="S68" s="34" t="s">
        <v>608</v>
      </c>
      <c r="T68" s="56" t="s">
        <v>3061</v>
      </c>
      <c r="U68" s="56" t="s">
        <v>3061</v>
      </c>
      <c r="V68" s="56" t="s">
        <v>3061</v>
      </c>
      <c r="W68"/>
      <c r="X68"/>
    </row>
    <row r="69" spans="1:24" x14ac:dyDescent="0.25">
      <c r="A69" s="26">
        <v>22</v>
      </c>
      <c r="B69" s="1">
        <f>IFERROR(VLOOKUP(ТабПозиции[[#This Row],[orderNum]],ТабЗаказы[#Data],MATCH(B$7,ТабЗаказы[#Headers],0),0),"")</f>
        <v>45376</v>
      </c>
      <c r="C69" t="str">
        <f>MONTH(ТабПозиции[[#This Row],[date]])&amp;"/"&amp;YEAR(ТабПозиции[[#This Row],[date]])</f>
        <v>3/2024</v>
      </c>
      <c r="D69" s="1" t="str">
        <f>IFERROR(VLOOKUP(ТабПозиции[[#This Row],[orderNum]],ТабЗаказы[#Data],MATCH(D$7,ТабЗаказы[#Headers],0),0),"")</f>
        <v>Вадим</v>
      </c>
      <c r="E69" s="26" t="s">
        <v>540</v>
      </c>
      <c r="F69" s="56" t="s">
        <v>3061</v>
      </c>
      <c r="H69" s="34">
        <v>45376</v>
      </c>
      <c r="K69">
        <v>0</v>
      </c>
      <c r="M69">
        <f t="shared" si="0"/>
        <v>0</v>
      </c>
      <c r="O6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Row],[orderNum]],ТабПозиции[orderSumm])&gt;1500),ABS(M69*VLOOKUP(ТабПозиции[[#This Row],[orderNum]],ТабЗаказы[#Data],MATCH("Percent",ТабЗаказы[#Headers],0),0))/100,200/COUNTIF(ТабПозиции[orderNum],ТабПозиции[[#This Row],[orderNum]])),0),"")</f>
        <v>0</v>
      </c>
      <c r="P69">
        <f>IF(OR(ТабПозиции[[#This Row],[item]]="По штрихкоду",ТабПозиции[[#This Row],[item]]="Посылка"),ТабПозиции[[#This Row],[deliverySumm]]+ТабПозиции[[#This Row],[deliveryPost]],SUM(M69:O69))</f>
        <v>0</v>
      </c>
      <c r="R69" s="62">
        <f>ТабПозиции[[#This Row],[totalSumm]]-ТабПозиции[[#This Row],[payment]]</f>
        <v>0</v>
      </c>
      <c r="S69" s="34" t="s">
        <v>608</v>
      </c>
      <c r="T69" s="56" t="s">
        <v>3061</v>
      </c>
      <c r="U69" s="56" t="s">
        <v>3061</v>
      </c>
      <c r="V69" s="56" t="s">
        <v>3061</v>
      </c>
      <c r="W69"/>
      <c r="X69"/>
    </row>
    <row r="70" spans="1:24" x14ac:dyDescent="0.25">
      <c r="A70" s="26">
        <v>31</v>
      </c>
      <c r="B70" s="1">
        <f>IFERROR(VLOOKUP(ТабПозиции[[#This Row],[orderNum]],ТабЗаказы[#Data],MATCH(B$7,ТабЗаказы[#Headers],0),0),"")</f>
        <v>45378</v>
      </c>
      <c r="C70" t="str">
        <f>MONTH(ТабПозиции[[#This Row],[date]])&amp;"/"&amp;YEAR(ТабПозиции[[#This Row],[date]])</f>
        <v>3/2024</v>
      </c>
      <c r="D70" s="1" t="str">
        <f>IFERROR(VLOOKUP(ТабПозиции[[#This Row],[orderNum]],ТабЗаказы[#Data],MATCH(D$7,ТабЗаказы[#Headers],0),0),"")</f>
        <v>Вадим</v>
      </c>
      <c r="E70" s="26" t="s">
        <v>609</v>
      </c>
      <c r="F70" s="56" t="s">
        <v>3061</v>
      </c>
      <c r="H70" s="34">
        <v>45376</v>
      </c>
      <c r="I70" s="26">
        <v>1</v>
      </c>
      <c r="K70">
        <v>0</v>
      </c>
      <c r="L70" s="26">
        <v>3749</v>
      </c>
      <c r="M70">
        <f t="shared" si="0"/>
        <v>3749</v>
      </c>
      <c r="O7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Row],[orderNum]],ТабПозиции[orderSumm])&gt;1500),ABS(M70*VLOOKUP(ТабПозиции[[#This Row],[orderNum]],ТабЗаказы[#Data],MATCH("Percent",ТабЗаказы[#Headers],0),0))/100,200/COUNTIF(ТабПозиции[orderNum],ТабПозиции[[#This Row],[orderNum]])),0),"")</f>
        <v>562</v>
      </c>
      <c r="P70">
        <f>IF(OR(ТабПозиции[[#This Row],[item]]="По штрихкоду",ТабПозиции[[#This Row],[item]]="Посылка"),ТабПозиции[[#This Row],[deliverySumm]]+ТабПозиции[[#This Row],[deliveryPost]],SUM(M70:O70))</f>
        <v>4311</v>
      </c>
      <c r="Q70" s="57">
        <v>4311</v>
      </c>
      <c r="R70" s="62">
        <f>ТабПозиции[[#This Row],[totalSumm]]-ТабПозиции[[#This Row],[payment]]</f>
        <v>0</v>
      </c>
      <c r="S70" s="34" t="s">
        <v>610</v>
      </c>
      <c r="T70" s="56" t="s">
        <v>3061</v>
      </c>
      <c r="U70" s="56" t="s">
        <v>3061</v>
      </c>
      <c r="V70" s="56" t="s">
        <v>3061</v>
      </c>
      <c r="W70"/>
      <c r="X70"/>
    </row>
    <row r="71" spans="1:24" x14ac:dyDescent="0.25">
      <c r="A71" s="26">
        <v>23</v>
      </c>
      <c r="B71" s="1">
        <f>IFERROR(VLOOKUP(ТабПозиции[[#This Row],[orderNum]],ТабЗаказы[#Data],MATCH(B$7,ТабЗаказы[#Headers],0),0),"")</f>
        <v>45376</v>
      </c>
      <c r="C71" t="str">
        <f>MONTH(ТабПозиции[[#This Row],[date]])&amp;"/"&amp;YEAR(ТабПозиции[[#This Row],[date]])</f>
        <v>3/2024</v>
      </c>
      <c r="D71" s="1" t="str">
        <f>IFERROR(VLOOKUP(ТабПозиции[[#This Row],[orderNum]],ТабЗаказы[#Data],MATCH(D$7,ТабЗаказы[#Headers],0),0),"")</f>
        <v>Алексей перфоратор</v>
      </c>
      <c r="E71" s="26" t="s">
        <v>611</v>
      </c>
      <c r="F71" s="56" t="s">
        <v>3061</v>
      </c>
      <c r="H71" s="34">
        <v>45376</v>
      </c>
      <c r="I71" s="26">
        <v>3</v>
      </c>
      <c r="K71">
        <v>0</v>
      </c>
      <c r="L71" s="26">
        <v>1500</v>
      </c>
      <c r="M71">
        <f>L71*I71+279</f>
        <v>4779</v>
      </c>
      <c r="O7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Row],[orderNum]],ТабПозиции[orderSumm])&gt;1500),ABS(M71*VLOOKUP(ТабПозиции[[#This Row],[orderNum]],ТабЗаказы[#Data],MATCH("Percent",ТабЗаказы[#Headers],0),0))/100,200/COUNTIF(ТабПозиции[orderNum],ТабПозиции[[#This Row],[orderNum]])),0),"")</f>
        <v>717</v>
      </c>
      <c r="P71">
        <f>IF(OR(ТабПозиции[[#This Row],[item]]="По штрихкоду",ТабПозиции[[#This Row],[item]]="Посылка"),ТабПозиции[[#This Row],[deliverySumm]]+ТабПозиции[[#This Row],[deliveryPost]],SUM(M71:O71))</f>
        <v>5496</v>
      </c>
      <c r="Q71" s="57">
        <v>5496</v>
      </c>
      <c r="R71" s="62">
        <f>ТабПозиции[[#This Row],[totalSumm]]-ТабПозиции[[#This Row],[payment]]</f>
        <v>0</v>
      </c>
      <c r="S71" s="34" t="s">
        <v>612</v>
      </c>
      <c r="T71" s="56" t="s">
        <v>3061</v>
      </c>
      <c r="U71" s="56" t="s">
        <v>3061</v>
      </c>
      <c r="V71" s="56" t="s">
        <v>3061</v>
      </c>
      <c r="W71"/>
      <c r="X71"/>
    </row>
    <row r="72" spans="1:24" x14ac:dyDescent="0.25">
      <c r="A72" s="26">
        <v>23</v>
      </c>
      <c r="B72" s="1">
        <f>IFERROR(VLOOKUP(ТабПозиции[[#This Row],[orderNum]],ТабЗаказы[#Data],MATCH(B$7,ТабЗаказы[#Headers],0),0),"")</f>
        <v>45376</v>
      </c>
      <c r="C72" t="str">
        <f>MONTH(ТабПозиции[[#This Row],[date]])&amp;"/"&amp;YEAR(ТабПозиции[[#This Row],[date]])</f>
        <v>3/2024</v>
      </c>
      <c r="D72" s="1" t="str">
        <f>IFERROR(VLOOKUP(ТабПозиции[[#This Row],[orderNum]],ТабЗаказы[#Data],MATCH(D$7,ТабЗаказы[#Headers],0),0),"")</f>
        <v>Алексей перфоратор</v>
      </c>
      <c r="E72" s="32" t="s">
        <v>613</v>
      </c>
      <c r="F72" s="56" t="s">
        <v>3061</v>
      </c>
      <c r="G72" s="33"/>
      <c r="H72" s="34">
        <v>45381</v>
      </c>
      <c r="I72" s="26">
        <v>1</v>
      </c>
      <c r="K72">
        <v>0</v>
      </c>
      <c r="L72" s="26">
        <v>355</v>
      </c>
      <c r="M72">
        <f>L72*I72</f>
        <v>355</v>
      </c>
      <c r="O7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Row],[orderNum]],ТабПозиции[orderSumm])&gt;1500),ABS(M72*VLOOKUP(ТабПозиции[[#This Row],[orderNum]],ТабЗаказы[#Data],MATCH("Percent",ТабЗаказы[#Headers],0),0))/100,200/COUNTIF(ТабПозиции[orderNum],ТабПозиции[[#This Row],[orderNum]])),0),"")</f>
        <v>53</v>
      </c>
      <c r="P72">
        <f>IF(OR(ТабПозиции[[#This Row],[item]]="По штрихкоду",ТабПозиции[[#This Row],[item]]="Посылка"),ТабПозиции[[#This Row],[deliverySumm]]+ТабПозиции[[#This Row],[deliveryPost]],SUM(M72:O72))</f>
        <v>408</v>
      </c>
      <c r="Q72" s="57">
        <v>408</v>
      </c>
      <c r="R72" s="62">
        <f>ТабПозиции[[#This Row],[totalSumm]]-ТабПозиции[[#This Row],[payment]]</f>
        <v>0</v>
      </c>
      <c r="S72" s="34" t="s">
        <v>558</v>
      </c>
      <c r="T72" s="56" t="s">
        <v>3061</v>
      </c>
      <c r="U72" s="56" t="s">
        <v>3061</v>
      </c>
      <c r="V72" s="56" t="s">
        <v>3061</v>
      </c>
      <c r="W72"/>
      <c r="X72"/>
    </row>
    <row r="73" spans="1:24" x14ac:dyDescent="0.25">
      <c r="A73" s="26">
        <v>23</v>
      </c>
      <c r="B73" s="1">
        <f>IFERROR(VLOOKUP(ТабПозиции[[#This Row],[orderNum]],ТабЗаказы[#Data],MATCH(B$7,ТабЗаказы[#Headers],0),0),"")</f>
        <v>45376</v>
      </c>
      <c r="C73" t="str">
        <f>MONTH(ТабПозиции[[#This Row],[date]])&amp;"/"&amp;YEAR(ТабПозиции[[#This Row],[date]])</f>
        <v>3/2024</v>
      </c>
      <c r="D73" s="1" t="str">
        <f>IFERROR(VLOOKUP(ТабПозиции[[#This Row],[orderNum]],ТабЗаказы[#Data],MATCH(D$7,ТабЗаказы[#Headers],0),0),"")</f>
        <v>Алексей перфоратор</v>
      </c>
      <c r="E73" s="32" t="s">
        <v>614</v>
      </c>
      <c r="F73" s="56" t="s">
        <v>3061</v>
      </c>
      <c r="G73" s="33"/>
      <c r="H73" s="34">
        <v>45381</v>
      </c>
      <c r="I73" s="26">
        <v>1</v>
      </c>
      <c r="K73">
        <v>0</v>
      </c>
      <c r="L73" s="26">
        <v>403</v>
      </c>
      <c r="M73">
        <f t="shared" si="0"/>
        <v>403</v>
      </c>
      <c r="O7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Row],[orderNum]],ТабПозиции[orderSumm])&gt;1500),ABS(M73*VLOOKUP(ТабПозиции[[#This Row],[orderNum]],ТабЗаказы[#Data],MATCH("Percent",ТабЗаказы[#Headers],0),0))/100,200/COUNTIF(ТабПозиции[orderNum],ТабПозиции[[#This Row],[orderNum]])),0),"")</f>
        <v>60</v>
      </c>
      <c r="P73">
        <f>IF(OR(ТабПозиции[[#This Row],[item]]="По штрихкоду",ТабПозиции[[#This Row],[item]]="Посылка"),ТабПозиции[[#This Row],[deliverySumm]]+ТабПозиции[[#This Row],[deliveryPost]],SUM(M73:O73))</f>
        <v>463</v>
      </c>
      <c r="Q73" s="57">
        <v>463</v>
      </c>
      <c r="R73" s="62">
        <f>ТабПозиции[[#This Row],[totalSumm]]-ТабПозиции[[#This Row],[payment]]</f>
        <v>0</v>
      </c>
      <c r="S73" s="34" t="s">
        <v>558</v>
      </c>
      <c r="T73" s="56" t="s">
        <v>3061</v>
      </c>
      <c r="U73" s="56" t="s">
        <v>3061</v>
      </c>
      <c r="V73" s="56" t="s">
        <v>3061</v>
      </c>
      <c r="W73"/>
      <c r="X73"/>
    </row>
    <row r="74" spans="1:24" x14ac:dyDescent="0.25">
      <c r="A74" s="26">
        <v>24</v>
      </c>
      <c r="B74" s="1">
        <f>IFERROR(VLOOKUP(ТабПозиции[[#This Row],[orderNum]],ТабЗаказы[#Data],MATCH(B$7,ТабЗаказы[#Headers],0),0),"")</f>
        <v>45376</v>
      </c>
      <c r="C74" t="str">
        <f>MONTH(ТабПозиции[[#This Row],[date]])&amp;"/"&amp;YEAR(ТабПозиции[[#This Row],[date]])</f>
        <v>3/2024</v>
      </c>
      <c r="D74" s="1" t="str">
        <f>IFERROR(VLOOKUP(ТабПозиции[[#This Row],[orderNum]],ТабЗаказы[#Data],MATCH(D$7,ТабЗаказы[#Headers],0),0),"")</f>
        <v>Полинка</v>
      </c>
      <c r="E74" s="32" t="s">
        <v>615</v>
      </c>
      <c r="F74" s="56" t="s">
        <v>3061</v>
      </c>
      <c r="G74" s="33"/>
      <c r="H74" s="34">
        <v>45380</v>
      </c>
      <c r="I74" s="26">
        <v>1</v>
      </c>
      <c r="K74">
        <v>0</v>
      </c>
      <c r="L74" s="26">
        <v>533</v>
      </c>
      <c r="M74">
        <f t="shared" si="0"/>
        <v>533</v>
      </c>
      <c r="O7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Row],[orderNum]],ТабПозиции[orderSumm])&gt;1500),ABS(M74*VLOOKUP(ТабПозиции[[#This Row],[orderNum]],ТабЗаказы[#Data],MATCH("Percent",ТабЗаказы[#Headers],0),0))/100,200/COUNTIF(ТабПозиции[orderNum],ТабПозиции[[#This Row],[orderNum]])),0),"")</f>
        <v>80</v>
      </c>
      <c r="P74">
        <f>IF(OR(ТабПозиции[[#This Row],[item]]="По штрихкоду",ТабПозиции[[#This Row],[item]]="Посылка"),ТабПозиции[[#This Row],[deliverySumm]]+ТабПозиции[[#This Row],[deliveryPost]],SUM(M74:O74))</f>
        <v>613</v>
      </c>
      <c r="Q74" s="57">
        <v>613</v>
      </c>
      <c r="R74" s="62">
        <f>ТабПозиции[[#This Row],[totalSumm]]-ТабПозиции[[#This Row],[payment]]</f>
        <v>0</v>
      </c>
      <c r="S74" s="34" t="s">
        <v>558</v>
      </c>
      <c r="T74" s="56" t="s">
        <v>3061</v>
      </c>
      <c r="U74" s="56" t="s">
        <v>3061</v>
      </c>
      <c r="V74" s="56" t="s">
        <v>3061</v>
      </c>
      <c r="W74"/>
      <c r="X74"/>
    </row>
    <row r="75" spans="1:24" x14ac:dyDescent="0.25">
      <c r="A75" s="26">
        <v>24</v>
      </c>
      <c r="B75" s="1">
        <f>IFERROR(VLOOKUP(ТабПозиции[[#This Row],[orderNum]],ТабЗаказы[#Data],MATCH(B$7,ТабЗаказы[#Headers],0),0),"")</f>
        <v>45376</v>
      </c>
      <c r="C75" t="str">
        <f>MONTH(ТабПозиции[[#This Row],[date]])&amp;"/"&amp;YEAR(ТабПозиции[[#This Row],[date]])</f>
        <v>3/2024</v>
      </c>
      <c r="D75" s="1" t="str">
        <f>IFERROR(VLOOKUP(ТабПозиции[[#This Row],[orderNum]],ТабЗаказы[#Data],MATCH(D$7,ТабЗаказы[#Headers],0),0),"")</f>
        <v>Полинка</v>
      </c>
      <c r="E75" s="32" t="s">
        <v>616</v>
      </c>
      <c r="F75" s="56" t="s">
        <v>3061</v>
      </c>
      <c r="G75" s="33"/>
      <c r="H75" s="34">
        <v>45379</v>
      </c>
      <c r="I75" s="26">
        <v>1</v>
      </c>
      <c r="K75">
        <v>0</v>
      </c>
      <c r="L75" s="26">
        <v>117</v>
      </c>
      <c r="M75">
        <f t="shared" si="0"/>
        <v>117</v>
      </c>
      <c r="O7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Row],[orderNum]],ТабПозиции[orderSumm])&gt;1500),ABS(M75*VLOOKUP(ТабПозиции[[#This Row],[orderNum]],ТабЗаказы[#Data],MATCH("Percent",ТабЗаказы[#Headers],0),0))/100,200/COUNTIF(ТабПозиции[orderNum],ТабПозиции[[#This Row],[orderNum]])),0),"")</f>
        <v>18</v>
      </c>
      <c r="P75">
        <f>IF(OR(ТабПозиции[[#This Row],[item]]="По штрихкоду",ТабПозиции[[#This Row],[item]]="Посылка"),ТабПозиции[[#This Row],[deliverySumm]]+ТабПозиции[[#This Row],[deliveryPost]],SUM(M75:O75))</f>
        <v>135</v>
      </c>
      <c r="Q75" s="57">
        <v>135</v>
      </c>
      <c r="R75" s="62">
        <f>ТабПозиции[[#This Row],[totalSumm]]-ТабПозиции[[#This Row],[payment]]</f>
        <v>0</v>
      </c>
      <c r="S75" s="34" t="s">
        <v>558</v>
      </c>
      <c r="T75" s="56" t="s">
        <v>3061</v>
      </c>
      <c r="U75" s="56" t="s">
        <v>3061</v>
      </c>
      <c r="V75" s="56" t="s">
        <v>3061</v>
      </c>
      <c r="W75"/>
      <c r="X75"/>
    </row>
    <row r="76" spans="1:24" x14ac:dyDescent="0.25">
      <c r="A76" s="26">
        <v>24</v>
      </c>
      <c r="B76" s="1">
        <f>IFERROR(VLOOKUP(ТабПозиции[[#This Row],[orderNum]],ТабЗаказы[#Data],MATCH(B$7,ТабЗаказы[#Headers],0),0),"")</f>
        <v>45376</v>
      </c>
      <c r="C76" t="str">
        <f>MONTH(ТабПозиции[[#This Row],[date]])&amp;"/"&amp;YEAR(ТабПозиции[[#This Row],[date]])</f>
        <v>3/2024</v>
      </c>
      <c r="D76" s="1" t="str">
        <f>IFERROR(VLOOKUP(ТабПозиции[[#This Row],[orderNum]],ТабЗаказы[#Data],MATCH(D$7,ТабЗаказы[#Headers],0),0),"")</f>
        <v>Полинка</v>
      </c>
      <c r="E76" s="32" t="s">
        <v>617</v>
      </c>
      <c r="F76" s="56" t="s">
        <v>3061</v>
      </c>
      <c r="G76" s="33"/>
      <c r="H76" s="34">
        <v>45378</v>
      </c>
      <c r="I76" s="26">
        <v>1</v>
      </c>
      <c r="K76">
        <v>0</v>
      </c>
      <c r="L76" s="26">
        <v>205</v>
      </c>
      <c r="M76">
        <f t="shared" ref="M76:M139" si="1">L76*I76</f>
        <v>205</v>
      </c>
      <c r="O7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Row],[orderNum]],ТабПозиции[orderSumm])&gt;1500),ABS(M76*VLOOKUP(ТабПозиции[[#This Row],[orderNum]],ТабЗаказы[#Data],MATCH("Percent",ТабЗаказы[#Headers],0),0))/100,200/COUNTIF(ТабПозиции[orderNum],ТабПозиции[[#This Row],[orderNum]])),0),"")</f>
        <v>31</v>
      </c>
      <c r="P76">
        <f>IF(OR(ТабПозиции[[#This Row],[item]]="По штрихкоду",ТабПозиции[[#This Row],[item]]="Посылка"),ТабПозиции[[#This Row],[deliverySumm]]+ТабПозиции[[#This Row],[deliveryPost]],SUM(M76:O76))</f>
        <v>236</v>
      </c>
      <c r="Q76" s="57">
        <v>236</v>
      </c>
      <c r="R76" s="62">
        <f>ТабПозиции[[#This Row],[totalSumm]]-ТабПозиции[[#This Row],[payment]]</f>
        <v>0</v>
      </c>
      <c r="S76" s="34" t="s">
        <v>558</v>
      </c>
      <c r="T76" s="56" t="s">
        <v>3061</v>
      </c>
      <c r="U76" s="56" t="s">
        <v>3061</v>
      </c>
      <c r="V76" s="56" t="s">
        <v>3061</v>
      </c>
      <c r="W76"/>
      <c r="X76"/>
    </row>
    <row r="77" spans="1:24" x14ac:dyDescent="0.25">
      <c r="A77" s="26">
        <v>24</v>
      </c>
      <c r="B77" s="1">
        <f>IFERROR(VLOOKUP(ТабПозиции[[#This Row],[orderNum]],ТабЗаказы[#Data],MATCH(B$7,ТабЗаказы[#Headers],0),0),"")</f>
        <v>45376</v>
      </c>
      <c r="C77" t="str">
        <f>MONTH(ТабПозиции[[#This Row],[date]])&amp;"/"&amp;YEAR(ТабПозиции[[#This Row],[date]])</f>
        <v>3/2024</v>
      </c>
      <c r="D77" s="1" t="str">
        <f>IFERROR(VLOOKUP(ТабПозиции[[#This Row],[orderNum]],ТабЗаказы[#Data],MATCH(D$7,ТабЗаказы[#Headers],0),0),"")</f>
        <v>Полинка</v>
      </c>
      <c r="E77" s="32" t="s">
        <v>618</v>
      </c>
      <c r="F77" s="56" t="s">
        <v>3061</v>
      </c>
      <c r="G77" s="33"/>
      <c r="H77" s="34">
        <v>45381</v>
      </c>
      <c r="I77" s="26">
        <v>1</v>
      </c>
      <c r="K77">
        <v>0</v>
      </c>
      <c r="L77" s="26">
        <v>174</v>
      </c>
      <c r="M77">
        <f t="shared" si="1"/>
        <v>174</v>
      </c>
      <c r="O7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Row],[orderNum]],ТабПозиции[orderSumm])&gt;1500),ABS(M77*VLOOKUP(ТабПозиции[[#This Row],[orderNum]],ТабЗаказы[#Data],MATCH("Percent",ТабЗаказы[#Headers],0),0))/100,200/COUNTIF(ТабПозиции[orderNum],ТабПозиции[[#This Row],[orderNum]])),0),"")</f>
        <v>26</v>
      </c>
      <c r="P77">
        <f>IF(OR(ТабПозиции[[#This Row],[item]]="По штрихкоду",ТабПозиции[[#This Row],[item]]="Посылка"),ТабПозиции[[#This Row],[deliverySumm]]+ТабПозиции[[#This Row],[deliveryPost]],SUM(M77:O77))</f>
        <v>200</v>
      </c>
      <c r="Q77" s="57">
        <v>200</v>
      </c>
      <c r="R77" s="62">
        <f>ТабПозиции[[#This Row],[totalSumm]]-ТабПозиции[[#This Row],[payment]]</f>
        <v>0</v>
      </c>
      <c r="S77" s="34" t="s">
        <v>575</v>
      </c>
      <c r="T77" s="56" t="s">
        <v>3061</v>
      </c>
      <c r="U77" s="56" t="s">
        <v>3061</v>
      </c>
      <c r="V77" s="56" t="s">
        <v>3061</v>
      </c>
      <c r="W77"/>
      <c r="X77"/>
    </row>
    <row r="78" spans="1:24" x14ac:dyDescent="0.25">
      <c r="A78" s="26">
        <v>24</v>
      </c>
      <c r="B78" s="1">
        <f>IFERROR(VLOOKUP(ТабПозиции[[#This Row],[orderNum]],ТабЗаказы[#Data],MATCH(B$7,ТабЗаказы[#Headers],0),0),"")</f>
        <v>45376</v>
      </c>
      <c r="C78" t="str">
        <f>MONTH(ТабПозиции[[#This Row],[date]])&amp;"/"&amp;YEAR(ТабПозиции[[#This Row],[date]])</f>
        <v>3/2024</v>
      </c>
      <c r="D78" s="1" t="str">
        <f>IFERROR(VLOOKUP(ТабПозиции[[#This Row],[orderNum]],ТабЗаказы[#Data],MATCH(D$7,ТабЗаказы[#Headers],0),0),"")</f>
        <v>Полинка</v>
      </c>
      <c r="E78" s="32" t="s">
        <v>619</v>
      </c>
      <c r="F78" s="56" t="s">
        <v>3061</v>
      </c>
      <c r="G78" s="33"/>
      <c r="H78" s="34">
        <v>45380</v>
      </c>
      <c r="I78" s="26">
        <v>1</v>
      </c>
      <c r="K78">
        <v>0</v>
      </c>
      <c r="L78" s="26">
        <v>131</v>
      </c>
      <c r="M78">
        <f t="shared" si="1"/>
        <v>131</v>
      </c>
      <c r="O7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Row],[orderNum]],ТабПозиции[orderSumm])&gt;1500),ABS(M78*VLOOKUP(ТабПозиции[[#This Row],[orderNum]],ТабЗаказы[#Data],MATCH("Percent",ТабЗаказы[#Headers],0),0))/100,200/COUNTIF(ТабПозиции[orderNum],ТабПозиции[[#This Row],[orderNum]])),0),"")</f>
        <v>20</v>
      </c>
      <c r="P78">
        <f>IF(OR(ТабПозиции[[#This Row],[item]]="По штрихкоду",ТабПозиции[[#This Row],[item]]="Посылка"),ТабПозиции[[#This Row],[deliverySumm]]+ТабПозиции[[#This Row],[deliveryPost]],SUM(M78:O78))</f>
        <v>151</v>
      </c>
      <c r="Q78" s="57">
        <v>151</v>
      </c>
      <c r="R78" s="62">
        <f>ТабПозиции[[#This Row],[totalSumm]]-ТабПозиции[[#This Row],[payment]]</f>
        <v>0</v>
      </c>
      <c r="S78" s="34" t="s">
        <v>575</v>
      </c>
      <c r="T78" s="56" t="s">
        <v>3061</v>
      </c>
      <c r="U78" s="56" t="s">
        <v>3061</v>
      </c>
      <c r="V78" s="56" t="s">
        <v>3061</v>
      </c>
      <c r="W78"/>
      <c r="X78"/>
    </row>
    <row r="79" spans="1:24" x14ac:dyDescent="0.25">
      <c r="A79" s="26">
        <v>24</v>
      </c>
      <c r="B79" s="1">
        <f>IFERROR(VLOOKUP(ТабПозиции[[#This Row],[orderNum]],ТабЗаказы[#Data],MATCH(B$7,ТабЗаказы[#Headers],0),0),"")</f>
        <v>45376</v>
      </c>
      <c r="C79" t="str">
        <f>MONTH(ТабПозиции[[#This Row],[date]])&amp;"/"&amp;YEAR(ТабПозиции[[#This Row],[date]])</f>
        <v>3/2024</v>
      </c>
      <c r="D79" s="1" t="str">
        <f>IFERROR(VLOOKUP(ТабПозиции[[#This Row],[orderNum]],ТабЗаказы[#Data],MATCH(D$7,ТабЗаказы[#Headers],0),0),"")</f>
        <v>Полинка</v>
      </c>
      <c r="E79" s="32" t="s">
        <v>620</v>
      </c>
      <c r="F79" s="56" t="s">
        <v>3061</v>
      </c>
      <c r="G79" s="33"/>
      <c r="H79" s="34">
        <v>45378</v>
      </c>
      <c r="I79" s="26">
        <v>1</v>
      </c>
      <c r="K79">
        <v>0</v>
      </c>
      <c r="L79" s="26">
        <v>265</v>
      </c>
      <c r="M79">
        <f t="shared" si="1"/>
        <v>265</v>
      </c>
      <c r="O7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Row],[orderNum]],ТабПозиции[orderSumm])&gt;1500),ABS(M79*VLOOKUP(ТабПозиции[[#This Row],[orderNum]],ТабЗаказы[#Data],MATCH("Percent",ТабЗаказы[#Headers],0),0))/100,200/COUNTIF(ТабПозиции[orderNum],ТабПозиции[[#This Row],[orderNum]])),0),"")</f>
        <v>40</v>
      </c>
      <c r="P79">
        <f>IF(OR(ТабПозиции[[#This Row],[item]]="По штрихкоду",ТабПозиции[[#This Row],[item]]="Посылка"),ТабПозиции[[#This Row],[deliverySumm]]+ТабПозиции[[#This Row],[deliveryPost]],SUM(M79:O79))</f>
        <v>305</v>
      </c>
      <c r="Q79" s="57">
        <v>305</v>
      </c>
      <c r="R79" s="62">
        <f>ТабПозиции[[#This Row],[totalSumm]]-ТабПозиции[[#This Row],[payment]]</f>
        <v>0</v>
      </c>
      <c r="S79" s="34" t="s">
        <v>558</v>
      </c>
      <c r="T79" s="56" t="s">
        <v>3061</v>
      </c>
      <c r="U79" s="56" t="s">
        <v>3061</v>
      </c>
      <c r="V79" s="56" t="s">
        <v>3061</v>
      </c>
      <c r="W79"/>
      <c r="X79"/>
    </row>
    <row r="80" spans="1:24" x14ac:dyDescent="0.25">
      <c r="A80" s="26">
        <v>24</v>
      </c>
      <c r="B80" s="1">
        <f>IFERROR(VLOOKUP(ТабПозиции[[#This Row],[orderNum]],ТабЗаказы[#Data],MATCH(B$7,ТабЗаказы[#Headers],0),0),"")</f>
        <v>45376</v>
      </c>
      <c r="C80" t="str">
        <f>MONTH(ТабПозиции[[#This Row],[date]])&amp;"/"&amp;YEAR(ТабПозиции[[#This Row],[date]])</f>
        <v>3/2024</v>
      </c>
      <c r="D80" s="1" t="str">
        <f>IFERROR(VLOOKUP(ТабПозиции[[#This Row],[orderNum]],ТабЗаказы[#Data],MATCH(D$7,ТабЗаказы[#Headers],0),0),"")</f>
        <v>Полинка</v>
      </c>
      <c r="E80" s="32" t="s">
        <v>621</v>
      </c>
      <c r="F80" s="56" t="s">
        <v>3061</v>
      </c>
      <c r="G80" s="33"/>
      <c r="H80" s="34">
        <v>45378</v>
      </c>
      <c r="I80" s="26">
        <v>1</v>
      </c>
      <c r="K80">
        <v>0</v>
      </c>
      <c r="L80" s="26">
        <v>250</v>
      </c>
      <c r="M80">
        <f t="shared" si="1"/>
        <v>250</v>
      </c>
      <c r="O8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Row],[orderNum]],ТабПозиции[orderSumm])&gt;1500),ABS(M80*VLOOKUP(ТабПозиции[[#This Row],[orderNum]],ТабЗаказы[#Data],MATCH("Percent",ТабЗаказы[#Headers],0),0))/100,200/COUNTIF(ТабПозиции[orderNum],ТабПозиции[[#This Row],[orderNum]])),0),"")</f>
        <v>38</v>
      </c>
      <c r="P80">
        <f>IF(OR(ТабПозиции[[#This Row],[item]]="По штрихкоду",ТабПозиции[[#This Row],[item]]="Посылка"),ТабПозиции[[#This Row],[deliverySumm]]+ТабПозиции[[#This Row],[deliveryPost]],SUM(M80:O80))</f>
        <v>288</v>
      </c>
      <c r="Q80" s="57">
        <v>288</v>
      </c>
      <c r="R80" s="62">
        <f>ТабПозиции[[#This Row],[totalSumm]]-ТабПозиции[[#This Row],[payment]]</f>
        <v>0</v>
      </c>
      <c r="S80" s="34" t="s">
        <v>558</v>
      </c>
      <c r="T80" s="56" t="s">
        <v>3061</v>
      </c>
      <c r="U80" s="56" t="s">
        <v>3061</v>
      </c>
      <c r="V80" s="56" t="s">
        <v>3061</v>
      </c>
      <c r="W80"/>
      <c r="X80"/>
    </row>
    <row r="81" spans="1:24" x14ac:dyDescent="0.25">
      <c r="A81" s="26">
        <v>24</v>
      </c>
      <c r="B81" s="1">
        <f>IFERROR(VLOOKUP(ТабПозиции[[#This Row],[orderNum]],ТабЗаказы[#Data],MATCH(B$7,ТабЗаказы[#Headers],0),0),"")</f>
        <v>45376</v>
      </c>
      <c r="C81" t="str">
        <f>MONTH(ТабПозиции[[#This Row],[date]])&amp;"/"&amp;YEAR(ТабПозиции[[#This Row],[date]])</f>
        <v>3/2024</v>
      </c>
      <c r="D81" s="1" t="str">
        <f>IFERROR(VLOOKUP(ТабПозиции[[#This Row],[orderNum]],ТабЗаказы[#Data],MATCH(D$7,ТабЗаказы[#Headers],0),0),"")</f>
        <v>Полинка</v>
      </c>
      <c r="E81" s="32" t="s">
        <v>622</v>
      </c>
      <c r="F81" s="56" t="s">
        <v>3061</v>
      </c>
      <c r="G81" s="33"/>
      <c r="H81" s="34">
        <v>45378</v>
      </c>
      <c r="I81" s="26">
        <v>1</v>
      </c>
      <c r="K81">
        <v>0</v>
      </c>
      <c r="L81" s="26">
        <v>292</v>
      </c>
      <c r="M81">
        <f t="shared" si="1"/>
        <v>292</v>
      </c>
      <c r="O8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Row],[orderNum]],ТабПозиции[orderSumm])&gt;1500),ABS(M81*VLOOKUP(ТабПозиции[[#This Row],[orderNum]],ТабЗаказы[#Data],MATCH("Percent",ТабЗаказы[#Headers],0),0))/100,200/COUNTIF(ТабПозиции[orderNum],ТабПозиции[[#This Row],[orderNum]])),0),"")</f>
        <v>44</v>
      </c>
      <c r="P81">
        <f>IF(OR(ТабПозиции[[#This Row],[item]]="По штрихкоду",ТабПозиции[[#This Row],[item]]="Посылка"),ТабПозиции[[#This Row],[deliverySumm]]+ТабПозиции[[#This Row],[deliveryPost]],SUM(M81:O81))</f>
        <v>336</v>
      </c>
      <c r="Q81" s="57">
        <v>336</v>
      </c>
      <c r="R81" s="62">
        <f>ТабПозиции[[#This Row],[totalSumm]]-ТабПозиции[[#This Row],[payment]]</f>
        <v>0</v>
      </c>
      <c r="S81" s="34" t="s">
        <v>558</v>
      </c>
      <c r="T81" s="56" t="s">
        <v>3061</v>
      </c>
      <c r="U81" s="56" t="s">
        <v>3061</v>
      </c>
      <c r="V81" s="56" t="s">
        <v>3061</v>
      </c>
      <c r="W81"/>
      <c r="X81"/>
    </row>
    <row r="82" spans="1:24" x14ac:dyDescent="0.25">
      <c r="A82" s="26">
        <v>24</v>
      </c>
      <c r="B82" s="1">
        <f>IFERROR(VLOOKUP(ТабПозиции[[#This Row],[orderNum]],ТабЗаказы[#Data],MATCH(B$7,ТабЗаказы[#Headers],0),0),"")</f>
        <v>45376</v>
      </c>
      <c r="C82" t="str">
        <f>MONTH(ТабПозиции[[#This Row],[date]])&amp;"/"&amp;YEAR(ТабПозиции[[#This Row],[date]])</f>
        <v>3/2024</v>
      </c>
      <c r="D82" s="1" t="str">
        <f>IFERROR(VLOOKUP(ТабПозиции[[#This Row],[orderNum]],ТабЗаказы[#Data],MATCH(D$7,ТабЗаказы[#Headers],0),0),"")</f>
        <v>Полинка</v>
      </c>
      <c r="E82" s="32" t="s">
        <v>623</v>
      </c>
      <c r="F82" s="56" t="s">
        <v>3061</v>
      </c>
      <c r="G82" s="33"/>
      <c r="H82" s="34">
        <v>45379</v>
      </c>
      <c r="I82" s="26">
        <v>1</v>
      </c>
      <c r="K82">
        <v>0</v>
      </c>
      <c r="L82" s="26">
        <v>719</v>
      </c>
      <c r="M82">
        <f t="shared" si="1"/>
        <v>719</v>
      </c>
      <c r="O8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Row],[orderNum]],ТабПозиции[orderSumm])&gt;1500),ABS(M82*VLOOKUP(ТабПозиции[[#This Row],[orderNum]],ТабЗаказы[#Data],MATCH("Percent",ТабЗаказы[#Headers],0),0))/100,200/COUNTIF(ТабПозиции[orderNum],ТабПозиции[[#This Row],[orderNum]])),0),"")</f>
        <v>108</v>
      </c>
      <c r="P82">
        <f>IF(OR(ТабПозиции[[#This Row],[item]]="По штрихкоду",ТабПозиции[[#This Row],[item]]="Посылка"),ТабПозиции[[#This Row],[deliverySumm]]+ТабПозиции[[#This Row],[deliveryPost]],SUM(M82:O82))</f>
        <v>827</v>
      </c>
      <c r="Q82" s="57">
        <v>827</v>
      </c>
      <c r="R82" s="62">
        <f>ТабПозиции[[#This Row],[totalSumm]]-ТабПозиции[[#This Row],[payment]]</f>
        <v>0</v>
      </c>
      <c r="S82" s="34" t="s">
        <v>558</v>
      </c>
      <c r="T82" s="56" t="s">
        <v>3061</v>
      </c>
      <c r="U82" s="56" t="s">
        <v>3061</v>
      </c>
      <c r="V82" s="56" t="s">
        <v>3061</v>
      </c>
      <c r="W82"/>
      <c r="X82"/>
    </row>
    <row r="83" spans="1:24" x14ac:dyDescent="0.25">
      <c r="A83" s="26">
        <v>24</v>
      </c>
      <c r="B83" s="1">
        <f>IFERROR(VLOOKUP(ТабПозиции[[#This Row],[orderNum]],ТабЗаказы[#Data],MATCH(B$7,ТабЗаказы[#Headers],0),0),"")</f>
        <v>45376</v>
      </c>
      <c r="C83" t="str">
        <f>MONTH(ТабПозиции[[#This Row],[date]])&amp;"/"&amp;YEAR(ТабПозиции[[#This Row],[date]])</f>
        <v>3/2024</v>
      </c>
      <c r="D83" s="1" t="str">
        <f>IFERROR(VLOOKUP(ТабПозиции[[#This Row],[orderNum]],ТабЗаказы[#Data],MATCH(D$7,ТабЗаказы[#Headers],0),0),"")</f>
        <v>Полинка</v>
      </c>
      <c r="E83" s="32" t="s">
        <v>624</v>
      </c>
      <c r="F83" s="56" t="s">
        <v>3061</v>
      </c>
      <c r="G83" s="33"/>
      <c r="H83" s="34">
        <v>45383</v>
      </c>
      <c r="I83" s="26">
        <v>1</v>
      </c>
      <c r="K83">
        <v>0</v>
      </c>
      <c r="L83" s="26">
        <v>329</v>
      </c>
      <c r="M83">
        <f t="shared" si="1"/>
        <v>329</v>
      </c>
      <c r="O8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Row],[orderNum]],ТабПозиции[orderSumm])&gt;1500),ABS(M83*VLOOKUP(ТабПозиции[[#This Row],[orderNum]],ТабЗаказы[#Data],MATCH("Percent",ТабЗаказы[#Headers],0),0))/100,200/COUNTIF(ТабПозиции[orderNum],ТабПозиции[[#This Row],[orderNum]])),0),"")</f>
        <v>49</v>
      </c>
      <c r="P83">
        <f>IF(OR(ТабПозиции[[#This Row],[item]]="По штрихкоду",ТабПозиции[[#This Row],[item]]="Посылка"),ТабПозиции[[#This Row],[deliverySumm]]+ТабПозиции[[#This Row],[deliveryPost]],SUM(M83:O83))</f>
        <v>378</v>
      </c>
      <c r="Q83" s="57">
        <v>378</v>
      </c>
      <c r="R83" s="62">
        <f>ТабПозиции[[#This Row],[totalSumm]]-ТабПозиции[[#This Row],[payment]]</f>
        <v>0</v>
      </c>
      <c r="S83" s="34" t="s">
        <v>575</v>
      </c>
      <c r="T83" s="56" t="s">
        <v>3061</v>
      </c>
      <c r="U83" s="56" t="s">
        <v>3061</v>
      </c>
      <c r="V83" s="56" t="s">
        <v>3061</v>
      </c>
      <c r="W83"/>
      <c r="X83"/>
    </row>
    <row r="84" spans="1:24" x14ac:dyDescent="0.25">
      <c r="A84" s="26">
        <v>26</v>
      </c>
      <c r="B84" s="1">
        <f>IFERROR(VLOOKUP(ТабПозиции[[#This Row],[orderNum]],ТабЗаказы[#Data],MATCH(B$7,ТабЗаказы[#Headers],0),0),"")</f>
        <v>45374</v>
      </c>
      <c r="C84" t="str">
        <f>MONTH(ТабПозиции[[#This Row],[date]])&amp;"/"&amp;YEAR(ТабПозиции[[#This Row],[date]])</f>
        <v>3/2024</v>
      </c>
      <c r="D84" s="1" t="str">
        <f>IFERROR(VLOOKUP(ТабПозиции[[#This Row],[orderNum]],ТабЗаказы[#Data],MATCH(D$7,ТабЗаказы[#Headers],0),0),"")</f>
        <v>Кристина Босанец</v>
      </c>
      <c r="E84" s="26" t="s">
        <v>32</v>
      </c>
      <c r="F84" s="56" t="s">
        <v>3061</v>
      </c>
      <c r="H84" s="34">
        <v>45374</v>
      </c>
      <c r="I84" s="26">
        <v>1</v>
      </c>
      <c r="J84" s="26">
        <v>0</v>
      </c>
      <c r="K84">
        <v>0</v>
      </c>
      <c r="L84" s="26">
        <v>3414</v>
      </c>
      <c r="M84">
        <f t="shared" si="1"/>
        <v>3414</v>
      </c>
      <c r="O8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Row],[orderNum]],ТабПозиции[orderSumm])&gt;1500),ABS(M84*VLOOKUP(ТабПозиции[[#This Row],[orderNum]],ТабЗаказы[#Data],MATCH("Percent",ТабЗаказы[#Headers],0),0))/100,200/COUNTIF(ТабПозиции[orderNum],ТабПозиции[[#This Row],[orderNum]])),0),"")</f>
        <v>512</v>
      </c>
      <c r="P84">
        <f>IF(OR(ТабПозиции[[#This Row],[item]]="По штрихкоду",ТабПозиции[[#This Row],[item]]="Посылка"),ТабПозиции[[#This Row],[deliverySumm]]+ТабПозиции[[#This Row],[deliveryPost]],SUM(M84:O84))</f>
        <v>512</v>
      </c>
      <c r="Q84" s="57">
        <v>512</v>
      </c>
      <c r="R84" s="62">
        <f>ТабПозиции[[#This Row],[totalSumm]]-ТабПозиции[[#This Row],[payment]]</f>
        <v>0</v>
      </c>
      <c r="S84" s="34" t="s">
        <v>544</v>
      </c>
      <c r="T84" s="56" t="s">
        <v>3061</v>
      </c>
      <c r="U84" s="56" t="s">
        <v>3061</v>
      </c>
      <c r="V84" s="56" t="s">
        <v>3061</v>
      </c>
      <c r="W84"/>
      <c r="X84"/>
    </row>
    <row r="85" spans="1:24" x14ac:dyDescent="0.25">
      <c r="A85" s="26">
        <v>27</v>
      </c>
      <c r="B85" s="1">
        <f>IFERROR(VLOOKUP(ТабПозиции[[#This Row],[orderNum]],ТабЗаказы[#Data],MATCH(B$7,ТабЗаказы[#Headers],0),0),"")</f>
        <v>45374</v>
      </c>
      <c r="C85" t="str">
        <f>MONTH(ТабПозиции[[#This Row],[date]])&amp;"/"&amp;YEAR(ТабПозиции[[#This Row],[date]])</f>
        <v>3/2024</v>
      </c>
      <c r="D85" s="1" t="str">
        <f>IFERROR(VLOOKUP(ТабПозиции[[#This Row],[orderNum]],ТабЗаказы[#Data],MATCH(D$7,ТабЗаказы[#Headers],0),0),"")</f>
        <v>Наталья Троицкий</v>
      </c>
      <c r="E85" s="26" t="s">
        <v>32</v>
      </c>
      <c r="F85" s="56" t="s">
        <v>3061</v>
      </c>
      <c r="H85" s="34">
        <v>45374</v>
      </c>
      <c r="I85" s="26">
        <v>1</v>
      </c>
      <c r="J85" s="26">
        <v>0</v>
      </c>
      <c r="K85">
        <v>0</v>
      </c>
      <c r="L85" s="26">
        <v>10000</v>
      </c>
      <c r="M85">
        <f t="shared" si="1"/>
        <v>10000</v>
      </c>
      <c r="O8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Row],[orderNum]],ТабПозиции[orderSumm])&gt;1500),ABS(M85*VLOOKUP(ТабПозиции[[#This Row],[orderNum]],ТабЗаказы[#Data],MATCH("Percent",ТабЗаказы[#Headers],0),0))/100,200/COUNTIF(ТабПозиции[orderNum],ТабПозиции[[#This Row],[orderNum]])),0),"")</f>
        <v>1000</v>
      </c>
      <c r="P85">
        <f>IF(OR(ТабПозиции[[#This Row],[item]]="По штрихкоду",ТабПозиции[[#This Row],[item]]="Посылка"),ТабПозиции[[#This Row],[deliverySumm]]+ТабПозиции[[#This Row],[deliveryPost]],SUM(M85:O85))</f>
        <v>1000</v>
      </c>
      <c r="Q85" s="57">
        <v>1000</v>
      </c>
      <c r="R85" s="62">
        <f>ТабПозиции[[#This Row],[totalSumm]]-ТабПозиции[[#This Row],[payment]]</f>
        <v>0</v>
      </c>
      <c r="S85" s="34" t="s">
        <v>625</v>
      </c>
      <c r="T85" s="56" t="s">
        <v>3061</v>
      </c>
      <c r="U85" s="56" t="s">
        <v>3061</v>
      </c>
      <c r="V85" s="56" t="s">
        <v>3061</v>
      </c>
      <c r="W85"/>
      <c r="X85"/>
    </row>
    <row r="86" spans="1:24" x14ac:dyDescent="0.25">
      <c r="A86" s="26">
        <v>28</v>
      </c>
      <c r="B86" s="1">
        <f>IFERROR(VLOOKUP(ТабПозиции[[#This Row],[orderNum]],ТабЗаказы[#Data],MATCH(B$7,ТабЗаказы[#Headers],0),0),"")</f>
        <v>45376</v>
      </c>
      <c r="C86" t="str">
        <f>MONTH(ТабПозиции[[#This Row],[date]])&amp;"/"&amp;YEAR(ТабПозиции[[#This Row],[date]])</f>
        <v>3/2024</v>
      </c>
      <c r="D86" s="1" t="str">
        <f>IFERROR(VLOOKUP(ТабПозиции[[#This Row],[orderNum]],ТабЗаказы[#Data],MATCH(D$7,ТабЗаказы[#Headers],0),0),"")</f>
        <v>Лариса Лавицкого 16</v>
      </c>
      <c r="E86" s="26" t="s">
        <v>626</v>
      </c>
      <c r="F86" s="56" t="s">
        <v>3061</v>
      </c>
      <c r="H86" s="34">
        <v>45376</v>
      </c>
      <c r="I86" s="26">
        <v>1</v>
      </c>
      <c r="K86">
        <v>0</v>
      </c>
      <c r="L86" s="26">
        <v>0</v>
      </c>
      <c r="M86">
        <f t="shared" si="1"/>
        <v>0</v>
      </c>
      <c r="N86" s="26">
        <v>400</v>
      </c>
      <c r="O8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Row],[orderNum]],ТабПозиции[orderSumm])&gt;1500),ABS(M86*VLOOKUP(ТабПозиции[[#This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86">
        <f>IF(OR(ТабПозиции[[#This Row],[item]]="По штрихкоду",ТабПозиции[[#This Row],[item]]="Посылка"),ТабПозиции[[#This Row],[deliverySumm]]+ТабПозиции[[#This Row],[deliveryPost]],SUM(M86:O86))</f>
        <v>600</v>
      </c>
      <c r="Q86" s="57">
        <v>600</v>
      </c>
      <c r="R86" s="62">
        <f>ТабПозиции[[#This Row],[totalSumm]]-ТабПозиции[[#This Row],[payment]]</f>
        <v>0</v>
      </c>
      <c r="S86" s="34" t="s">
        <v>627</v>
      </c>
      <c r="T86" s="56" t="s">
        <v>3061</v>
      </c>
      <c r="U86" s="56" t="s">
        <v>3061</v>
      </c>
      <c r="V86" s="56" t="s">
        <v>3061</v>
      </c>
      <c r="W86"/>
      <c r="X86"/>
    </row>
    <row r="87" spans="1:24" x14ac:dyDescent="0.25">
      <c r="A87" s="26">
        <v>29</v>
      </c>
      <c r="B87" s="1">
        <f>IFERROR(VLOOKUP(ТабПозиции[[#This Row],[orderNum]],ТабЗаказы[#Data],MATCH(B$7,ТабЗаказы[#Headers],0),0),"")</f>
        <v>45377</v>
      </c>
      <c r="C87" t="str">
        <f>MONTH(ТабПозиции[[#This Row],[date]])&amp;"/"&amp;YEAR(ТабПозиции[[#This Row],[date]])</f>
        <v>3/2024</v>
      </c>
      <c r="D87" s="1" t="str">
        <f>IFERROR(VLOOKUP(ТабПозиции[[#This Row],[orderNum]],ТабЗаказы[#Data],MATCH(D$7,ТабЗаказы[#Headers],0),0),"")</f>
        <v>григорий(танковый )</v>
      </c>
      <c r="E87" s="32" t="s">
        <v>628</v>
      </c>
      <c r="F87" s="56" t="s">
        <v>3061</v>
      </c>
      <c r="G87" s="33"/>
      <c r="H87" s="34">
        <v>45380</v>
      </c>
      <c r="I87" s="26">
        <v>1</v>
      </c>
      <c r="K87">
        <v>0</v>
      </c>
      <c r="L87" s="26">
        <v>1454</v>
      </c>
      <c r="M87">
        <f t="shared" si="1"/>
        <v>1454</v>
      </c>
      <c r="N87" s="26">
        <v>18</v>
      </c>
      <c r="O8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Row],[orderNum]],ТабПозиции[orderSumm])&gt;1500),ABS(M87*VLOOKUP(ТабПозиции[[#This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87">
        <f>IF(OR(ТабПозиции[[#This Row],[item]]="По штрихкоду",ТабПозиции[[#This Row],[item]]="Посылка"),ТабПозиции[[#This Row],[deliverySumm]]+ТабПозиции[[#This Row],[deliveryPost]],SUM(M87:O87))</f>
        <v>1672</v>
      </c>
      <c r="Q87" s="57">
        <v>1672</v>
      </c>
      <c r="R87" s="62">
        <f>ТабПозиции[[#This Row],[totalSumm]]-ТабПозиции[[#This Row],[payment]]</f>
        <v>0</v>
      </c>
      <c r="S87" s="34" t="s">
        <v>575</v>
      </c>
      <c r="T87" s="56" t="s">
        <v>3061</v>
      </c>
      <c r="U87" s="56" t="s">
        <v>3061</v>
      </c>
      <c r="V87" s="56" t="s">
        <v>3061</v>
      </c>
      <c r="W87"/>
      <c r="X87"/>
    </row>
    <row r="88" spans="1:24" x14ac:dyDescent="0.25">
      <c r="A88" s="26">
        <v>30</v>
      </c>
      <c r="B88" s="1">
        <f>IFERROR(VLOOKUP(ТабПозиции[[#This Row],[orderNum]],ТабЗаказы[#Data],MATCH(B$7,ТабЗаказы[#Headers],0),0),"")</f>
        <v>45376</v>
      </c>
      <c r="C88" t="str">
        <f>MONTH(ТабПозиции[[#This Row],[date]])&amp;"/"&amp;YEAR(ТабПозиции[[#This Row],[date]])</f>
        <v>3/2024</v>
      </c>
      <c r="D88" s="1" t="str">
        <f>IFERROR(VLOOKUP(ТабПозиции[[#This Row],[orderNum]],ТабЗаказы[#Data],MATCH(D$7,ТабЗаказы[#Headers],0),0),"")</f>
        <v>Горжовская Ульяна NSP</v>
      </c>
      <c r="E88" s="26" t="s">
        <v>629</v>
      </c>
      <c r="F88" s="56" t="s">
        <v>3061</v>
      </c>
      <c r="H88" s="34">
        <v>45376</v>
      </c>
      <c r="I88" s="26">
        <v>1</v>
      </c>
      <c r="K88">
        <v>0</v>
      </c>
      <c r="M88">
        <f t="shared" si="1"/>
        <v>0</v>
      </c>
      <c r="O8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Row],[orderNum]],ТабПозиции[orderSumm])&gt;1500),ABS(M88*VLOOKUP(ТабПозиции[[#This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88">
        <f>IF(OR(ТабПозиции[[#This Row],[item]]="По штрихкоду",ТабПозиции[[#This Row],[item]]="Посылка"),ТабПозиции[[#This Row],[deliverySumm]]+ТабПозиции[[#This Row],[deliveryPost]],SUM(M88:O88))</f>
        <v>200</v>
      </c>
      <c r="Q88" s="57">
        <v>200</v>
      </c>
      <c r="R88" s="62">
        <f>ТабПозиции[[#This Row],[totalSumm]]-ТабПозиции[[#This Row],[payment]]</f>
        <v>0</v>
      </c>
      <c r="S88" s="34" t="s">
        <v>561</v>
      </c>
      <c r="T88" s="56" t="s">
        <v>3061</v>
      </c>
      <c r="U88" s="56" t="s">
        <v>3061</v>
      </c>
      <c r="V88" s="56" t="s">
        <v>3061</v>
      </c>
      <c r="W88"/>
      <c r="X88"/>
    </row>
    <row r="89" spans="1:24" x14ac:dyDescent="0.25">
      <c r="A89" s="26">
        <v>31</v>
      </c>
      <c r="B89" s="1">
        <f>IFERROR(VLOOKUP(ТабПозиции[[#This Row],[orderNum]],ТабЗаказы[#Data],MATCH(B$7,ТабЗаказы[#Headers],0),0),"")</f>
        <v>45378</v>
      </c>
      <c r="C89" t="str">
        <f>MONTH(ТабПозиции[[#This Row],[date]])&amp;"/"&amp;YEAR(ТабПозиции[[#This Row],[date]])</f>
        <v>3/2024</v>
      </c>
      <c r="D89" s="1" t="str">
        <f>IFERROR(VLOOKUP(ТабПозиции[[#This Row],[orderNum]],ТабЗаказы[#Data],MATCH(D$7,ТабЗаказы[#Headers],0),0),"")</f>
        <v>Вадим</v>
      </c>
      <c r="E89" s="32" t="s">
        <v>630</v>
      </c>
      <c r="F89" s="56" t="s">
        <v>3061</v>
      </c>
      <c r="G89" s="33"/>
      <c r="H89" s="34">
        <v>45384</v>
      </c>
      <c r="I89" s="26">
        <v>1</v>
      </c>
      <c r="K89">
        <v>0</v>
      </c>
      <c r="L89" s="26">
        <v>1090</v>
      </c>
      <c r="M89">
        <f t="shared" si="1"/>
        <v>1090</v>
      </c>
      <c r="O8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Row],[orderNum]],ТабПозиции[orderSumm])&gt;1500),ABS(M89*VLOOKUP(ТабПозиции[[#This Row],[orderNum]],ТабЗаказы[#Data],MATCH("Percent",ТабЗаказы[#Headers],0),0))/100,200/COUNTIF(ТабПозиции[orderNum],ТабПозиции[[#This Row],[orderNum]])),0),"")</f>
        <v>164</v>
      </c>
      <c r="P89">
        <f>IF(OR(ТабПозиции[[#This Row],[item]]="По штрихкоду",ТабПозиции[[#This Row],[item]]="Посылка"),ТабПозиции[[#This Row],[deliverySumm]]+ТабПозиции[[#This Row],[deliveryPost]],SUM(M89:O89))</f>
        <v>1254</v>
      </c>
      <c r="Q89" s="57">
        <v>1254</v>
      </c>
      <c r="R89" s="62">
        <f>ТабПозиции[[#This Row],[totalSumm]]-ТабПозиции[[#This Row],[payment]]</f>
        <v>0</v>
      </c>
      <c r="S89" s="34" t="s">
        <v>575</v>
      </c>
      <c r="T89" s="56" t="s">
        <v>3061</v>
      </c>
      <c r="U89" s="56" t="s">
        <v>3061</v>
      </c>
      <c r="V89" s="56" t="s">
        <v>3061</v>
      </c>
      <c r="W89"/>
      <c r="X89"/>
    </row>
    <row r="90" spans="1:24" x14ac:dyDescent="0.25">
      <c r="A90" s="26">
        <v>31</v>
      </c>
      <c r="B90" s="1">
        <f>IFERROR(VLOOKUP(ТабПозиции[[#This Row],[orderNum]],ТабЗаказы[#Data],MATCH(B$7,ТабЗаказы[#Headers],0),0),"")</f>
        <v>45378</v>
      </c>
      <c r="C90" t="str">
        <f>MONTH(ТабПозиции[[#This Row],[date]])&amp;"/"&amp;YEAR(ТабПозиции[[#This Row],[date]])</f>
        <v>3/2024</v>
      </c>
      <c r="D90" s="1" t="str">
        <f>IFERROR(VLOOKUP(ТабПозиции[[#This Row],[orderNum]],ТабЗаказы[#Data],MATCH(D$7,ТабЗаказы[#Headers],0),0),"")</f>
        <v>Вадим</v>
      </c>
      <c r="E90" s="32" t="s">
        <v>631</v>
      </c>
      <c r="F90" s="56" t="s">
        <v>3061</v>
      </c>
      <c r="G90" s="33"/>
      <c r="H90" s="34">
        <v>45379</v>
      </c>
      <c r="I90" s="26">
        <v>1</v>
      </c>
      <c r="K90">
        <v>0</v>
      </c>
      <c r="L90" s="26">
        <v>309</v>
      </c>
      <c r="M90">
        <f t="shared" si="1"/>
        <v>309</v>
      </c>
      <c r="O9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Row],[orderNum]],ТабПозиции[orderSumm])&gt;1500),ABS(M90*VLOOKUP(ТабПозиции[[#This Row],[orderNum]],ТабЗаказы[#Data],MATCH("Percent",ТабЗаказы[#Headers],0),0))/100,200/COUNTIF(ТабПозиции[orderNum],ТабПозиции[[#This Row],[orderNum]])),0),"")</f>
        <v>46</v>
      </c>
      <c r="P90">
        <f>IF(OR(ТабПозиции[[#This Row],[item]]="По штрихкоду",ТабПозиции[[#This Row],[item]]="Посылка"),ТабПозиции[[#This Row],[deliverySumm]]+ТабПозиции[[#This Row],[deliveryPost]],SUM(M90:O90))</f>
        <v>355</v>
      </c>
      <c r="Q90" s="57">
        <v>355</v>
      </c>
      <c r="R90" s="62">
        <f>ТабПозиции[[#This Row],[totalSumm]]-ТабПозиции[[#This Row],[payment]]</f>
        <v>0</v>
      </c>
      <c r="S90" s="34" t="s">
        <v>575</v>
      </c>
      <c r="T90" s="56" t="s">
        <v>3061</v>
      </c>
      <c r="U90" s="56" t="s">
        <v>3061</v>
      </c>
      <c r="V90" s="56" t="s">
        <v>3061</v>
      </c>
      <c r="W90"/>
      <c r="X90"/>
    </row>
    <row r="91" spans="1:24" x14ac:dyDescent="0.25">
      <c r="A91" s="26">
        <v>32</v>
      </c>
      <c r="B91" s="1">
        <f>IFERROR(VLOOKUP(ТабПозиции[[#This Row],[orderNum]],ТабЗаказы[#Data],MATCH(B$7,ТабЗаказы[#Headers],0),0),"")</f>
        <v>45379</v>
      </c>
      <c r="C91" t="str">
        <f>MONTH(ТабПозиции[[#This Row],[date]])&amp;"/"&amp;YEAR(ТабПозиции[[#This Row],[date]])</f>
        <v>3/2024</v>
      </c>
      <c r="D91" s="1" t="str">
        <f>IFERROR(VLOOKUP(ТабПозиции[[#This Row],[orderNum]],ТабЗаказы[#Data],MATCH(D$7,ТабЗаказы[#Headers],0),0),"")</f>
        <v>Александр 4</v>
      </c>
      <c r="E91" s="26" t="s">
        <v>32</v>
      </c>
      <c r="F91" s="56" t="s">
        <v>3061</v>
      </c>
      <c r="H91" s="34">
        <v>45380</v>
      </c>
      <c r="I91" s="26">
        <v>1</v>
      </c>
      <c r="J91" s="26">
        <v>0</v>
      </c>
      <c r="K91">
        <v>0</v>
      </c>
      <c r="M91">
        <f t="shared" si="1"/>
        <v>0</v>
      </c>
      <c r="O9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Row],[orderNum]],ТабПозиции[orderSumm])&gt;1500),ABS(M91*VLOOKUP(ТабПозиции[[#This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91">
        <f>IF(OR(ТабПозиции[[#This Row],[item]]="По штрихкоду",ТабПозиции[[#This Row],[item]]="Посылка"),ТабПозиции[[#This Row],[deliverySumm]]+ТабПозиции[[#This Row],[deliveryPost]],SUM(M91:O91))</f>
        <v>200</v>
      </c>
      <c r="Q91" s="57">
        <v>200</v>
      </c>
      <c r="R91" s="62">
        <f>ТабПозиции[[#This Row],[totalSumm]]-ТабПозиции[[#This Row],[payment]]</f>
        <v>0</v>
      </c>
      <c r="S91" s="34" t="s">
        <v>544</v>
      </c>
      <c r="T91" s="56" t="s">
        <v>3061</v>
      </c>
      <c r="U91" s="56" t="s">
        <v>3061</v>
      </c>
      <c r="V91" s="56" t="s">
        <v>3061</v>
      </c>
      <c r="W91"/>
      <c r="X91"/>
    </row>
    <row r="92" spans="1:24" x14ac:dyDescent="0.25">
      <c r="A92" s="26">
        <v>33</v>
      </c>
      <c r="B92" s="1">
        <f>IFERROR(VLOOKUP(ТабПозиции[[#This Row],[orderNum]],ТабЗаказы[#Data],MATCH(B$7,ТабЗаказы[#Headers],0),0),"")</f>
        <v>45379</v>
      </c>
      <c r="C92" t="str">
        <f>MONTH(ТабПозиции[[#This Row],[date]])&amp;"/"&amp;YEAR(ТабПозиции[[#This Row],[date]])</f>
        <v>3/2024</v>
      </c>
      <c r="D92" s="1" t="str">
        <f>IFERROR(VLOOKUP(ТабПозиции[[#This Row],[orderNum]],ТабЗаказы[#Data],MATCH(D$7,ТабЗаказы[#Headers],0),0),"")</f>
        <v>Руденко Юля</v>
      </c>
      <c r="E92" s="32" t="s">
        <v>632</v>
      </c>
      <c r="F92" s="56" t="s">
        <v>3061</v>
      </c>
      <c r="G92" s="33"/>
      <c r="H92" s="34">
        <v>45378</v>
      </c>
      <c r="I92" s="26">
        <v>1</v>
      </c>
      <c r="K92">
        <v>0</v>
      </c>
      <c r="L92" s="26">
        <v>271</v>
      </c>
      <c r="M92">
        <f t="shared" si="1"/>
        <v>271</v>
      </c>
      <c r="O9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Row],[orderNum]],ТабПозиции[orderSumm])&gt;1500),ABS(M92*VLOOKUP(ТабПозиции[[#This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92">
        <f>IF(OR(ТабПозиции[[#This Row],[item]]="По штрихкоду",ТабПозиции[[#This Row],[item]]="Посылка"),ТабПозиции[[#This Row],[deliverySumm]]+ТабПозиции[[#This Row],[deliveryPost]],SUM(M92:O92))</f>
        <v>471</v>
      </c>
      <c r="Q92" s="57">
        <v>471</v>
      </c>
      <c r="R92" s="62">
        <f>ТабПозиции[[#This Row],[totalSumm]]-ТабПозиции[[#This Row],[payment]]</f>
        <v>0</v>
      </c>
      <c r="S92" s="34" t="s">
        <v>575</v>
      </c>
      <c r="T92" s="56" t="s">
        <v>3061</v>
      </c>
      <c r="U92" s="56" t="s">
        <v>3061</v>
      </c>
      <c r="V92" s="56" t="s">
        <v>3061</v>
      </c>
      <c r="W92"/>
      <c r="X92"/>
    </row>
    <row r="93" spans="1:24" x14ac:dyDescent="0.25">
      <c r="A93" s="26">
        <v>35</v>
      </c>
      <c r="B93" s="1">
        <f>IFERROR(VLOOKUP(ТабПозиции[[#This Row],[orderNum]],ТабЗаказы[#Data],MATCH(B$7,ТабЗаказы[#Headers],0),0),"")</f>
        <v>45380</v>
      </c>
      <c r="C93" t="str">
        <f>MONTH(ТабПозиции[[#This Row],[date]])&amp;"/"&amp;YEAR(ТабПозиции[[#This Row],[date]])</f>
        <v>3/2024</v>
      </c>
      <c r="D93" s="1" t="str">
        <f>IFERROR(VLOOKUP(ТабПозиции[[#This Row],[orderNum]],ТабЗаказы[#Data],MATCH(D$7,ТабЗаказы[#Headers],0),0),"")</f>
        <v>Геннадий Генерал</v>
      </c>
      <c r="E93" s="26" t="s">
        <v>32</v>
      </c>
      <c r="F93" s="56" t="s">
        <v>3061</v>
      </c>
      <c r="H93" s="34">
        <v>45380</v>
      </c>
      <c r="I93" s="26">
        <v>1</v>
      </c>
      <c r="J93" s="26">
        <v>0</v>
      </c>
      <c r="K93">
        <v>0</v>
      </c>
      <c r="L93" s="26">
        <v>3932</v>
      </c>
      <c r="M93">
        <f t="shared" si="1"/>
        <v>3932</v>
      </c>
      <c r="O9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Row],[orderNum]],ТабПозиции[orderSumm])&gt;1500),ABS(M93*VLOOKUP(ТабПозиции[[#This Row],[orderNum]],ТабЗаказы[#Data],MATCH("Percent",ТабЗаказы[#Headers],0),0))/100,200/COUNTIF(ТабПозиции[orderNum],ТабПозиции[[#This Row],[orderNum]])),0),"")</f>
        <v>393</v>
      </c>
      <c r="P93">
        <f>IF(OR(ТабПозиции[[#This Row],[item]]="По штрихкоду",ТабПозиции[[#This Row],[item]]="Посылка"),ТабПозиции[[#This Row],[deliverySumm]]+ТабПозиции[[#This Row],[deliveryPost]],SUM(M93:O93))</f>
        <v>393</v>
      </c>
      <c r="Q93" s="57">
        <v>393</v>
      </c>
      <c r="R93" s="62">
        <f>ТабПозиции[[#This Row],[totalSumm]]-ТабПозиции[[#This Row],[payment]]</f>
        <v>0</v>
      </c>
      <c r="S93" s="34" t="s">
        <v>544</v>
      </c>
      <c r="T93" s="56" t="s">
        <v>3061</v>
      </c>
      <c r="U93" s="56" t="s">
        <v>3061</v>
      </c>
      <c r="V93" s="56" t="s">
        <v>3061</v>
      </c>
      <c r="W93"/>
      <c r="X93"/>
    </row>
    <row r="94" spans="1:24" x14ac:dyDescent="0.25">
      <c r="A94" s="26">
        <v>36</v>
      </c>
      <c r="B94" s="1">
        <f>IFERROR(VLOOKUP(ТабПозиции[[#This Row],[orderNum]],ТабЗаказы[#Data],MATCH(B$7,ТабЗаказы[#Headers],0),0),"")</f>
        <v>45380</v>
      </c>
      <c r="C94" t="str">
        <f>MONTH(ТабПозиции[[#This Row],[date]])&amp;"/"&amp;YEAR(ТабПозиции[[#This Row],[date]])</f>
        <v>3/2024</v>
      </c>
      <c r="D94" s="1" t="str">
        <f>IFERROR(VLOOKUP(ТабПозиции[[#This Row],[orderNum]],ТабЗаказы[#Data],MATCH(D$7,ТабЗаказы[#Headers],0),0),"")</f>
        <v>Вадим</v>
      </c>
      <c r="E94" s="26" t="s">
        <v>32</v>
      </c>
      <c r="F94" s="56" t="s">
        <v>3061</v>
      </c>
      <c r="H94" s="34">
        <v>45380</v>
      </c>
      <c r="I94" s="26">
        <v>1</v>
      </c>
      <c r="J94" s="26">
        <v>0</v>
      </c>
      <c r="K94">
        <v>0</v>
      </c>
      <c r="L94" s="26">
        <v>2951</v>
      </c>
      <c r="M94">
        <f t="shared" si="1"/>
        <v>2951</v>
      </c>
      <c r="O9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Row],[orderNum]],ТабПозиции[orderSumm])&gt;1500),ABS(M94*VLOOKUP(ТабПозиции[[#This Row],[orderNum]],ТабЗаказы[#Data],MATCH("Percent",ТабЗаказы[#Headers],0),0))/100,200/COUNTIF(ТабПозиции[orderNum],ТабПозиции[[#This Row],[orderNum]])),0),"")</f>
        <v>443</v>
      </c>
      <c r="P94">
        <f>IF(OR(ТабПозиции[[#This Row],[item]]="По штрихкоду",ТабПозиции[[#This Row],[item]]="Посылка"),ТабПозиции[[#This Row],[deliverySumm]]+ТабПозиции[[#This Row],[deliveryPost]],SUM(M94:O94))</f>
        <v>443</v>
      </c>
      <c r="Q94" s="57">
        <v>443</v>
      </c>
      <c r="R94" s="62">
        <f>ТабПозиции[[#This Row],[totalSumm]]-ТабПозиции[[#This Row],[payment]]</f>
        <v>0</v>
      </c>
      <c r="S94" s="34" t="s">
        <v>544</v>
      </c>
      <c r="T94" s="56" t="s">
        <v>3061</v>
      </c>
      <c r="U94" s="56" t="s">
        <v>3061</v>
      </c>
      <c r="V94" s="56" t="s">
        <v>3061</v>
      </c>
      <c r="W94"/>
      <c r="X94"/>
    </row>
    <row r="95" spans="1:24" x14ac:dyDescent="0.25">
      <c r="A95" s="26">
        <v>37</v>
      </c>
      <c r="B95" s="1">
        <f>IFERROR(VLOOKUP(ТабПозиции[[#This Row],[orderNum]],ТабЗаказы[#Data],MATCH(B$7,ТабЗаказы[#Headers],0),0),"")</f>
        <v>45381</v>
      </c>
      <c r="C95" t="str">
        <f>MONTH(ТабПозиции[[#This Row],[date]])&amp;"/"&amp;YEAR(ТабПозиции[[#This Row],[date]])</f>
        <v>3/2024</v>
      </c>
      <c r="D95" s="1" t="str">
        <f>IFERROR(VLOOKUP(ТабПозиции[[#This Row],[orderNum]],ТабЗаказы[#Data],MATCH(D$7,ТабЗаказы[#Headers],0),0),"")</f>
        <v>Маричка</v>
      </c>
      <c r="E95" s="26" t="s">
        <v>32</v>
      </c>
      <c r="F95" s="56" t="s">
        <v>3061</v>
      </c>
      <c r="H95" s="34">
        <v>45381</v>
      </c>
      <c r="I95" s="26">
        <v>1</v>
      </c>
      <c r="J95" s="26">
        <v>0</v>
      </c>
      <c r="K95">
        <v>0</v>
      </c>
      <c r="M95">
        <f t="shared" si="1"/>
        <v>0</v>
      </c>
      <c r="O9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Row],[orderNum]],ТабПозиции[orderSumm])&gt;1500),ABS(M95*VLOOKUP(ТабПозиции[[#This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95">
        <f>IF(OR(ТабПозиции[[#This Row],[item]]="По штрихкоду",ТабПозиции[[#This Row],[item]]="Посылка"),ТабПозиции[[#This Row],[deliverySumm]]+ТабПозиции[[#This Row],[deliveryPost]],SUM(M95:O95))</f>
        <v>200</v>
      </c>
      <c r="Q95" s="57">
        <v>200</v>
      </c>
      <c r="R95" s="62">
        <f>ТабПозиции[[#This Row],[totalSumm]]-ТабПозиции[[#This Row],[payment]]</f>
        <v>0</v>
      </c>
      <c r="S95" s="34" t="s">
        <v>544</v>
      </c>
      <c r="T95" s="56" t="s">
        <v>3061</v>
      </c>
      <c r="U95" s="56" t="s">
        <v>3061</v>
      </c>
      <c r="V95" s="56" t="s">
        <v>3061</v>
      </c>
      <c r="W95"/>
      <c r="X95"/>
    </row>
    <row r="96" spans="1:24" x14ac:dyDescent="0.25">
      <c r="A96" s="26">
        <v>38</v>
      </c>
      <c r="B96" s="1">
        <f>IFERROR(VLOOKUP(ТабПозиции[[#This Row],[orderNum]],ТабЗаказы[#Data],MATCH(B$7,ТабЗаказы[#Headers],0),0),"")</f>
        <v>45381</v>
      </c>
      <c r="C96" t="str">
        <f>MONTH(ТабПозиции[[#This Row],[date]])&amp;"/"&amp;YEAR(ТабПозиции[[#This Row],[date]])</f>
        <v>3/2024</v>
      </c>
      <c r="D96" s="1" t="str">
        <f>IFERROR(VLOOKUP(ТабПозиции[[#This Row],[orderNum]],ТабЗаказы[#Data],MATCH(D$7,ТабЗаказы[#Headers],0),0),"")</f>
        <v>Лариса Лавицкого 16</v>
      </c>
      <c r="E96" s="26" t="s">
        <v>626</v>
      </c>
      <c r="F96" s="56" t="s">
        <v>3061</v>
      </c>
      <c r="H96" s="34">
        <v>45381</v>
      </c>
      <c r="I96" s="26">
        <v>1</v>
      </c>
      <c r="K96">
        <v>0</v>
      </c>
      <c r="M96">
        <f t="shared" si="1"/>
        <v>0</v>
      </c>
      <c r="N96" s="26">
        <v>400</v>
      </c>
      <c r="O9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Row],[orderNum]],ТабПозиции[orderSumm])&gt;1500),ABS(M96*VLOOKUP(ТабПозиции[[#This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96">
        <f>IF(OR(ТабПозиции[[#This Row],[item]]="По штрихкоду",ТабПозиции[[#This Row],[item]]="Посылка"),ТабПозиции[[#This Row],[deliverySumm]]+ТабПозиции[[#This Row],[deliveryPost]],SUM(M96:O96))</f>
        <v>600</v>
      </c>
      <c r="Q96" s="57">
        <v>600</v>
      </c>
      <c r="R96" s="62">
        <f>ТабПозиции[[#This Row],[totalSumm]]-ТабПозиции[[#This Row],[payment]]</f>
        <v>0</v>
      </c>
      <c r="S96" s="34" t="s">
        <v>627</v>
      </c>
      <c r="T96" s="56" t="s">
        <v>3061</v>
      </c>
      <c r="U96" s="56" t="s">
        <v>3061</v>
      </c>
      <c r="V96" s="56" t="s">
        <v>3061</v>
      </c>
      <c r="W96"/>
      <c r="X96"/>
    </row>
    <row r="97" spans="1:24" x14ac:dyDescent="0.25">
      <c r="A97" s="26">
        <v>39</v>
      </c>
      <c r="B97" s="1">
        <f>IFERROR(VLOOKUP(ТабПозиции[[#This Row],[orderNum]],ТабЗаказы[#Data],MATCH(B$7,ТабЗаказы[#Headers],0),0),"")</f>
        <v>45381</v>
      </c>
      <c r="C97" t="str">
        <f>MONTH(ТабПозиции[[#This Row],[date]])&amp;"/"&amp;YEAR(ТабПозиции[[#This Row],[date]])</f>
        <v>3/2024</v>
      </c>
      <c r="D97" s="1" t="str">
        <f>IFERROR(VLOOKUP(ТабПозиции[[#This Row],[orderNum]],ТабЗаказы[#Data],MATCH(D$7,ТабЗаказы[#Headers],0),0),"")</f>
        <v>Лариса Кирова</v>
      </c>
      <c r="E97" s="32" t="s">
        <v>633</v>
      </c>
      <c r="F97" s="56" t="s">
        <v>3061</v>
      </c>
      <c r="G97" s="33"/>
      <c r="H97" s="34">
        <v>45384</v>
      </c>
      <c r="I97" s="26">
        <v>1</v>
      </c>
      <c r="K97">
        <v>0</v>
      </c>
      <c r="L97" s="26">
        <v>1275</v>
      </c>
      <c r="M97">
        <f t="shared" si="1"/>
        <v>1275</v>
      </c>
      <c r="O9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Row],[orderNum]],ТабПозиции[orderSumm])&gt;1500),ABS(M97*VLOOKUP(ТабПозиции[[#This Row],[orderNum]],ТабЗаказы[#Data],MATCH("Percent",ТабЗаказы[#Headers],0),0))/100,200/COUNTIF(ТабПозиции[orderNum],ТабПозиции[[#This Row],[orderNum]])),0),"")</f>
        <v>191</v>
      </c>
      <c r="P97">
        <f>IF(OR(ТабПозиции[[#This Row],[item]]="По штрихкоду",ТабПозиции[[#This Row],[item]]="Посылка"),ТабПозиции[[#This Row],[deliverySumm]]+ТабПозиции[[#This Row],[deliveryPost]],SUM(M97:O97))</f>
        <v>1466</v>
      </c>
      <c r="Q97" s="57">
        <v>1466</v>
      </c>
      <c r="R97" s="62">
        <f>ТабПозиции[[#This Row],[totalSumm]]-ТабПозиции[[#This Row],[payment]]</f>
        <v>0</v>
      </c>
      <c r="S97" s="34" t="s">
        <v>558</v>
      </c>
      <c r="T97" s="56" t="s">
        <v>3061</v>
      </c>
      <c r="U97" s="56" t="s">
        <v>3061</v>
      </c>
      <c r="V97" s="56" t="s">
        <v>3061</v>
      </c>
      <c r="W97"/>
      <c r="X97"/>
    </row>
    <row r="98" spans="1:24" x14ac:dyDescent="0.25">
      <c r="A98" s="26">
        <v>39</v>
      </c>
      <c r="B98" s="1">
        <f>IFERROR(VLOOKUP(ТабПозиции[[#This Row],[orderNum]],ТабЗаказы[#Data],MATCH(B$7,ТабЗаказы[#Headers],0),0),"")</f>
        <v>45381</v>
      </c>
      <c r="C98" t="str">
        <f>MONTH(ТабПозиции[[#This Row],[date]])&amp;"/"&amp;YEAR(ТабПозиции[[#This Row],[date]])</f>
        <v>3/2024</v>
      </c>
      <c r="D98" s="1" t="str">
        <f>IFERROR(VLOOKUP(ТабПозиции[[#This Row],[orderNum]],ТабЗаказы[#Data],MATCH(D$7,ТабЗаказы[#Headers],0),0),"")</f>
        <v>Лариса Кирова</v>
      </c>
      <c r="E98" s="32" t="s">
        <v>574</v>
      </c>
      <c r="F98" s="56" t="s">
        <v>3061</v>
      </c>
      <c r="G98" s="33"/>
      <c r="H98" s="34">
        <v>45384</v>
      </c>
      <c r="I98" s="26">
        <v>1</v>
      </c>
      <c r="K98">
        <v>0</v>
      </c>
      <c r="L98" s="26">
        <v>406</v>
      </c>
      <c r="M98">
        <f t="shared" si="1"/>
        <v>406</v>
      </c>
      <c r="O9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Row],[orderNum]],ТабПозиции[orderSumm])&gt;1500),ABS(M98*VLOOKUP(ТабПозиции[[#This Row],[orderNum]],ТабЗаказы[#Data],MATCH("Percent",ТабЗаказы[#Headers],0),0))/100,200/COUNTIF(ТабПозиции[orderNum],ТабПозиции[[#This Row],[orderNum]])),0),"")</f>
        <v>61</v>
      </c>
      <c r="P98">
        <f>IF(OR(ТабПозиции[[#This Row],[item]]="По штрихкоду",ТабПозиции[[#This Row],[item]]="Посылка"),ТабПозиции[[#This Row],[deliverySumm]]+ТабПозиции[[#This Row],[deliveryPost]],SUM(M98:O98))</f>
        <v>467</v>
      </c>
      <c r="Q98" s="57">
        <v>467</v>
      </c>
      <c r="R98" s="62">
        <f>ТабПозиции[[#This Row],[totalSumm]]-ТабПозиции[[#This Row],[payment]]</f>
        <v>0</v>
      </c>
      <c r="S98" s="34" t="s">
        <v>558</v>
      </c>
      <c r="T98" s="56" t="s">
        <v>3061</v>
      </c>
      <c r="U98" s="56" t="s">
        <v>3061</v>
      </c>
      <c r="V98" s="56" t="s">
        <v>3061</v>
      </c>
      <c r="W98"/>
      <c r="X98"/>
    </row>
    <row r="99" spans="1:24" x14ac:dyDescent="0.25">
      <c r="A99" s="26">
        <v>39</v>
      </c>
      <c r="B99" s="1">
        <f>IFERROR(VLOOKUP(ТабПозиции[[#This Row],[orderNum]],ТабЗаказы[#Data],MATCH(B$7,ТабЗаказы[#Headers],0),0),"")</f>
        <v>45381</v>
      </c>
      <c r="C99" t="str">
        <f>MONTH(ТабПозиции[[#This Row],[date]])&amp;"/"&amp;YEAR(ТабПозиции[[#This Row],[date]])</f>
        <v>3/2024</v>
      </c>
      <c r="D99" s="1" t="str">
        <f>IFERROR(VLOOKUP(ТабПозиции[[#This Row],[orderNum]],ТабЗаказы[#Data],MATCH(D$7,ТабЗаказы[#Headers],0),0),"")</f>
        <v>Лариса Кирова</v>
      </c>
      <c r="E99" s="32" t="s">
        <v>634</v>
      </c>
      <c r="F99" s="56" t="s">
        <v>3061</v>
      </c>
      <c r="G99" s="33"/>
      <c r="H99" s="34">
        <v>45383</v>
      </c>
      <c r="I99" s="26">
        <v>2</v>
      </c>
      <c r="K99">
        <v>0</v>
      </c>
      <c r="L99" s="26">
        <v>967</v>
      </c>
      <c r="M99">
        <f t="shared" si="1"/>
        <v>1934</v>
      </c>
      <c r="O9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Row],[orderNum]],ТабПозиции[orderSumm])&gt;1500),ABS(M99*VLOOKUP(ТабПозиции[[#This Row],[orderNum]],ТабЗаказы[#Data],MATCH("Percent",ТабЗаказы[#Headers],0),0))/100,200/COUNTIF(ТабПозиции[orderNum],ТабПозиции[[#This Row],[orderNum]])),0),"")</f>
        <v>290</v>
      </c>
      <c r="P99">
        <f>IF(OR(ТабПозиции[[#This Row],[item]]="По штрихкоду",ТабПозиции[[#This Row],[item]]="Посылка"),ТабПозиции[[#This Row],[deliverySumm]]+ТабПозиции[[#This Row],[deliveryPost]],SUM(M99:O99))</f>
        <v>2224</v>
      </c>
      <c r="Q99" s="57">
        <v>2224</v>
      </c>
      <c r="R99" s="62">
        <f>ТабПозиции[[#This Row],[totalSumm]]-ТабПозиции[[#This Row],[payment]]</f>
        <v>0</v>
      </c>
      <c r="S99" s="34" t="s">
        <v>558</v>
      </c>
      <c r="T99" s="56" t="s">
        <v>3061</v>
      </c>
      <c r="U99" s="56" t="s">
        <v>3061</v>
      </c>
      <c r="V99" s="56" t="s">
        <v>3061</v>
      </c>
      <c r="W99"/>
      <c r="X99"/>
    </row>
    <row r="100" spans="1:24" x14ac:dyDescent="0.25">
      <c r="A100" s="26">
        <v>39</v>
      </c>
      <c r="B100" s="1">
        <f>IFERROR(VLOOKUP(ТабПозиции[[#This Row],[orderNum]],ТабЗаказы[#Data],MATCH(B$7,ТабЗаказы[#Headers],0),0),"")</f>
        <v>45381</v>
      </c>
      <c r="C100" t="str">
        <f>MONTH(ТабПозиции[[#This Row],[date]])&amp;"/"&amp;YEAR(ТабПозиции[[#This Row],[date]])</f>
        <v>3/2024</v>
      </c>
      <c r="D100" s="1" t="str">
        <f>IFERROR(VLOOKUP(ТабПозиции[[#This Row],[orderNum]],ТабЗаказы[#Data],MATCH(D$7,ТабЗаказы[#Headers],0),0),"")</f>
        <v>Лариса Кирова</v>
      </c>
      <c r="E100" s="32" t="s">
        <v>635</v>
      </c>
      <c r="F100" s="56" t="s">
        <v>3061</v>
      </c>
      <c r="G100" s="33"/>
      <c r="H100" s="34">
        <v>45384</v>
      </c>
      <c r="I100" s="26">
        <v>1</v>
      </c>
      <c r="K100">
        <v>0</v>
      </c>
      <c r="L100" s="26">
        <v>250</v>
      </c>
      <c r="M100">
        <f t="shared" si="1"/>
        <v>250</v>
      </c>
      <c r="O10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Row],[orderNum]],ТабПозиции[orderSumm])&gt;1500),ABS(M100*VLOOKUP(ТабПозиции[[#This Row],[orderNum]],ТабЗаказы[#Data],MATCH("Percent",ТабЗаказы[#Headers],0),0))/100,200/COUNTIF(ТабПозиции[orderNum],ТабПозиции[[#This Row],[orderNum]])),0),"")</f>
        <v>38</v>
      </c>
      <c r="P100">
        <f>IF(OR(ТабПозиции[[#This Row],[item]]="По штрихкоду",ТабПозиции[[#This Row],[item]]="Посылка"),ТабПозиции[[#This Row],[deliverySumm]]+ТабПозиции[[#This Row],[deliveryPost]],SUM(M100:O100))</f>
        <v>288</v>
      </c>
      <c r="Q100" s="57">
        <v>288</v>
      </c>
      <c r="R100" s="62">
        <f>ТабПозиции[[#This Row],[totalSumm]]-ТабПозиции[[#This Row],[payment]]</f>
        <v>0</v>
      </c>
      <c r="S100" s="34" t="s">
        <v>558</v>
      </c>
      <c r="T100" s="56" t="s">
        <v>3061</v>
      </c>
      <c r="U100" s="56" t="s">
        <v>3061</v>
      </c>
      <c r="V100" s="56" t="s">
        <v>3061</v>
      </c>
      <c r="W100"/>
      <c r="X100"/>
    </row>
    <row r="101" spans="1:24" x14ac:dyDescent="0.25">
      <c r="A101" s="26">
        <v>39</v>
      </c>
      <c r="B101" s="1">
        <f>IFERROR(VLOOKUP(ТабПозиции[[#This Row],[orderNum]],ТабЗаказы[#Data],MATCH(B$7,ТабЗаказы[#Headers],0),0),"")</f>
        <v>45381</v>
      </c>
      <c r="C101" t="str">
        <f>MONTH(ТабПозиции[[#This Row],[date]])&amp;"/"&amp;YEAR(ТабПозиции[[#This Row],[date]])</f>
        <v>3/2024</v>
      </c>
      <c r="D101" s="1" t="str">
        <f>IFERROR(VLOOKUP(ТабПозиции[[#This Row],[orderNum]],ТабЗаказы[#Data],MATCH(D$7,ТабЗаказы[#Headers],0),0),"")</f>
        <v>Лариса Кирова</v>
      </c>
      <c r="E101" s="32" t="s">
        <v>636</v>
      </c>
      <c r="F101" s="56" t="s">
        <v>3061</v>
      </c>
      <c r="G101" s="33"/>
      <c r="H101" s="34">
        <v>45385</v>
      </c>
      <c r="I101" s="26">
        <v>1</v>
      </c>
      <c r="K101">
        <v>0</v>
      </c>
      <c r="L101" s="26">
        <v>424</v>
      </c>
      <c r="M101">
        <f t="shared" si="1"/>
        <v>424</v>
      </c>
      <c r="O10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Row],[orderNum]],ТабПозиции[orderSumm])&gt;1500),ABS(M101*VLOOKUP(ТабПозиции[[#This Row],[orderNum]],ТабЗаказы[#Data],MATCH("Percent",ТабЗаказы[#Headers],0),0))/100,200/COUNTIF(ТабПозиции[orderNum],ТабПозиции[[#This Row],[orderNum]])),0),"")</f>
        <v>64</v>
      </c>
      <c r="P101">
        <f>IF(OR(ТабПозиции[[#This Row],[item]]="По штрихкоду",ТабПозиции[[#This Row],[item]]="Посылка"),ТабПозиции[[#This Row],[deliverySumm]]+ТабПозиции[[#This Row],[deliveryPost]],SUM(M101:O101))</f>
        <v>488</v>
      </c>
      <c r="Q101" s="57">
        <v>488</v>
      </c>
      <c r="R101" s="62">
        <f>ТабПозиции[[#This Row],[totalSumm]]-ТабПозиции[[#This Row],[payment]]</f>
        <v>0</v>
      </c>
      <c r="S101" s="34" t="s">
        <v>558</v>
      </c>
      <c r="T101" s="56" t="s">
        <v>3061</v>
      </c>
      <c r="U101" s="56" t="s">
        <v>3061</v>
      </c>
      <c r="V101" s="56" t="s">
        <v>3061</v>
      </c>
      <c r="W101"/>
      <c r="X101"/>
    </row>
    <row r="102" spans="1:24" x14ac:dyDescent="0.25">
      <c r="A102" s="26">
        <v>39</v>
      </c>
      <c r="B102" s="1">
        <f>IFERROR(VLOOKUP(ТабПозиции[[#This Row],[orderNum]],ТабЗаказы[#Data],MATCH(B$7,ТабЗаказы[#Headers],0),0),"")</f>
        <v>45381</v>
      </c>
      <c r="C102" t="str">
        <f>MONTH(ТабПозиции[[#This Row],[date]])&amp;"/"&amp;YEAR(ТабПозиции[[#This Row],[date]])</f>
        <v>3/2024</v>
      </c>
      <c r="D102" s="1" t="str">
        <f>IFERROR(VLOOKUP(ТабПозиции[[#This Row],[orderNum]],ТабЗаказы[#Data],MATCH(D$7,ТабЗаказы[#Headers],0),0),"")</f>
        <v>Лариса Кирова</v>
      </c>
      <c r="E102" s="32" t="s">
        <v>637</v>
      </c>
      <c r="F102" s="56" t="s">
        <v>3061</v>
      </c>
      <c r="G102" s="33"/>
      <c r="H102" s="34">
        <v>45384</v>
      </c>
      <c r="I102" s="26">
        <v>1</v>
      </c>
      <c r="K102">
        <v>0</v>
      </c>
      <c r="L102" s="26">
        <v>255</v>
      </c>
      <c r="M102">
        <f t="shared" si="1"/>
        <v>255</v>
      </c>
      <c r="O10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Row],[orderNum]],ТабПозиции[orderSumm])&gt;1500),ABS(M102*VLOOKUP(ТабПозиции[[#This Row],[orderNum]],ТабЗаказы[#Data],MATCH("Percent",ТабЗаказы[#Headers],0),0))/100,200/COUNTIF(ТабПозиции[orderNum],ТабПозиции[[#This Row],[orderNum]])),0),"")</f>
        <v>38</v>
      </c>
      <c r="P102">
        <f>IF(OR(ТабПозиции[[#This Row],[item]]="По штрихкоду",ТабПозиции[[#This Row],[item]]="Посылка"),ТабПозиции[[#This Row],[deliverySumm]]+ТабПозиции[[#This Row],[deliveryPost]],SUM(M102:O102))</f>
        <v>293</v>
      </c>
      <c r="Q102" s="57">
        <v>293</v>
      </c>
      <c r="R102" s="62">
        <f>ТабПозиции[[#This Row],[totalSumm]]-ТабПозиции[[#This Row],[payment]]</f>
        <v>0</v>
      </c>
      <c r="S102" s="34" t="s">
        <v>558</v>
      </c>
      <c r="T102" s="56" t="s">
        <v>3061</v>
      </c>
      <c r="U102" s="56" t="s">
        <v>3061</v>
      </c>
      <c r="V102" s="56" t="s">
        <v>3061</v>
      </c>
      <c r="W102"/>
      <c r="X102"/>
    </row>
    <row r="103" spans="1:24" x14ac:dyDescent="0.25">
      <c r="A103" s="26">
        <v>39</v>
      </c>
      <c r="B103" s="1">
        <f>IFERROR(VLOOKUP(ТабПозиции[[#This Row],[orderNum]],ТабЗаказы[#Data],MATCH(B$7,ТабЗаказы[#Headers],0),0),"")</f>
        <v>45381</v>
      </c>
      <c r="C103" t="str">
        <f>MONTH(ТабПозиции[[#This Row],[date]])&amp;"/"&amp;YEAR(ТабПозиции[[#This Row],[date]])</f>
        <v>3/2024</v>
      </c>
      <c r="D103" s="1" t="str">
        <f>IFERROR(VLOOKUP(ТабПозиции[[#This Row],[orderNum]],ТабЗаказы[#Data],MATCH(D$7,ТабЗаказы[#Headers],0),0),"")</f>
        <v>Лариса Кирова</v>
      </c>
      <c r="E103" s="32" t="s">
        <v>638</v>
      </c>
      <c r="F103" s="56" t="s">
        <v>3061</v>
      </c>
      <c r="G103" s="33"/>
      <c r="H103" s="34">
        <v>45384</v>
      </c>
      <c r="I103" s="26">
        <v>1</v>
      </c>
      <c r="K103">
        <v>0</v>
      </c>
      <c r="L103" s="26">
        <v>255</v>
      </c>
      <c r="M103">
        <f t="shared" si="1"/>
        <v>255</v>
      </c>
      <c r="O10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Row],[orderNum]],ТабПозиции[orderSumm])&gt;1500),ABS(M103*VLOOKUP(ТабПозиции[[#This Row],[orderNum]],ТабЗаказы[#Data],MATCH("Percent",ТабЗаказы[#Headers],0),0))/100,200/COUNTIF(ТабПозиции[orderNum],ТабПозиции[[#This Row],[orderNum]])),0),"")</f>
        <v>38</v>
      </c>
      <c r="P103">
        <f>IF(OR(ТабПозиции[[#This Row],[item]]="По штрихкоду",ТабПозиции[[#This Row],[item]]="Посылка"),ТабПозиции[[#This Row],[deliverySumm]]+ТабПозиции[[#This Row],[deliveryPost]],SUM(M103:O103))</f>
        <v>293</v>
      </c>
      <c r="Q103" s="57">
        <v>293</v>
      </c>
      <c r="R103" s="62">
        <f>ТабПозиции[[#This Row],[totalSumm]]-ТабПозиции[[#This Row],[payment]]</f>
        <v>0</v>
      </c>
      <c r="S103" s="34" t="s">
        <v>558</v>
      </c>
      <c r="T103" s="56" t="s">
        <v>3061</v>
      </c>
      <c r="U103" s="56" t="s">
        <v>3061</v>
      </c>
      <c r="V103" s="56" t="s">
        <v>3061</v>
      </c>
      <c r="W103"/>
      <c r="X103"/>
    </row>
    <row r="104" spans="1:24" x14ac:dyDescent="0.25">
      <c r="A104" s="26">
        <v>39</v>
      </c>
      <c r="B104" s="1">
        <f>IFERROR(VLOOKUP(ТабПозиции[[#This Row],[orderNum]],ТабЗаказы[#Data],MATCH(B$7,ТабЗаказы[#Headers],0),0),"")</f>
        <v>45381</v>
      </c>
      <c r="C104" t="str">
        <f>MONTH(ТабПозиции[[#This Row],[date]])&amp;"/"&amp;YEAR(ТабПозиции[[#This Row],[date]])</f>
        <v>3/2024</v>
      </c>
      <c r="D104" s="1" t="str">
        <f>IFERROR(VLOOKUP(ТабПозиции[[#This Row],[orderNum]],ТабЗаказы[#Data],MATCH(D$7,ТабЗаказы[#Headers],0),0),"")</f>
        <v>Лариса Кирова</v>
      </c>
      <c r="E104" s="32" t="s">
        <v>639</v>
      </c>
      <c r="F104" s="56" t="s">
        <v>3061</v>
      </c>
      <c r="G104" s="33"/>
      <c r="H104" s="34">
        <v>45384</v>
      </c>
      <c r="I104" s="26">
        <v>1</v>
      </c>
      <c r="K104">
        <v>0</v>
      </c>
      <c r="L104" s="26">
        <v>382</v>
      </c>
      <c r="M104">
        <f t="shared" si="1"/>
        <v>382</v>
      </c>
      <c r="O10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Row],[orderNum]],ТабПозиции[orderSumm])&gt;1500),ABS(M104*VLOOKUP(ТабПозиции[[#This Row],[orderNum]],ТабЗаказы[#Data],MATCH("Percent",ТабЗаказы[#Headers],0),0))/100,200/COUNTIF(ТабПозиции[orderNum],ТабПозиции[[#This Row],[orderNum]])),0),"")</f>
        <v>57</v>
      </c>
      <c r="P104">
        <f>IF(OR(ТабПозиции[[#This Row],[item]]="По штрихкоду",ТабПозиции[[#This Row],[item]]="Посылка"),ТабПозиции[[#This Row],[deliverySumm]]+ТабПозиции[[#This Row],[deliveryPost]],SUM(M104:O104))</f>
        <v>439</v>
      </c>
      <c r="Q104" s="57">
        <v>439</v>
      </c>
      <c r="R104" s="62">
        <f>ТабПозиции[[#This Row],[totalSumm]]-ТабПозиции[[#This Row],[payment]]</f>
        <v>0</v>
      </c>
      <c r="S104" s="34" t="s">
        <v>558</v>
      </c>
      <c r="T104" s="56" t="s">
        <v>3061</v>
      </c>
      <c r="U104" s="56" t="s">
        <v>3061</v>
      </c>
      <c r="V104" s="56" t="s">
        <v>3061</v>
      </c>
      <c r="W104"/>
      <c r="X104"/>
    </row>
    <row r="105" spans="1:24" x14ac:dyDescent="0.25">
      <c r="A105" s="26">
        <v>39</v>
      </c>
      <c r="B105" s="1">
        <f>IFERROR(VLOOKUP(ТабПозиции[[#This Row],[orderNum]],ТабЗаказы[#Data],MATCH(B$7,ТабЗаказы[#Headers],0),0),"")</f>
        <v>45381</v>
      </c>
      <c r="C105" t="str">
        <f>MONTH(ТабПозиции[[#This Row],[date]])&amp;"/"&amp;YEAR(ТабПозиции[[#This Row],[date]])</f>
        <v>3/2024</v>
      </c>
      <c r="D105" s="1" t="str">
        <f>IFERROR(VLOOKUP(ТабПозиции[[#This Row],[orderNum]],ТабЗаказы[#Data],MATCH(D$7,ТабЗаказы[#Headers],0),0),"")</f>
        <v>Лариса Кирова</v>
      </c>
      <c r="E105" s="32" t="s">
        <v>640</v>
      </c>
      <c r="F105" s="56" t="s">
        <v>3061</v>
      </c>
      <c r="G105" s="33"/>
      <c r="H105" s="34"/>
      <c r="I105" s="26">
        <v>1</v>
      </c>
      <c r="K105">
        <v>0</v>
      </c>
      <c r="L105" s="26">
        <v>306</v>
      </c>
      <c r="M105">
        <f t="shared" si="1"/>
        <v>306</v>
      </c>
      <c r="O10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Row],[orderNum]],ТабПозиции[orderSumm])&gt;1500),ABS(M105*VLOOKUP(ТабПозиции[[#This Row],[orderNum]],ТабЗаказы[#Data],MATCH("Percent",ТабЗаказы[#Headers],0),0))/100,200/COUNTIF(ТабПозиции[orderNum],ТабПозиции[[#This Row],[orderNum]])),0),"")</f>
        <v>46</v>
      </c>
      <c r="P105">
        <f>IF(OR(ТабПозиции[[#This Row],[item]]="По штрихкоду",ТабПозиции[[#This Row],[item]]="Посылка"),ТабПозиции[[#This Row],[deliverySumm]]+ТабПозиции[[#This Row],[deliveryPost]],SUM(M105:O105))</f>
        <v>352</v>
      </c>
      <c r="Q105" s="57">
        <v>352</v>
      </c>
      <c r="R105" s="62">
        <f>ТабПозиции[[#This Row],[totalSumm]]-ТабПозиции[[#This Row],[payment]]</f>
        <v>0</v>
      </c>
      <c r="S105" s="34" t="s">
        <v>575</v>
      </c>
      <c r="T105" s="56" t="s">
        <v>3061</v>
      </c>
      <c r="U105" s="56" t="s">
        <v>3061</v>
      </c>
      <c r="V105" s="56" t="s">
        <v>3061</v>
      </c>
      <c r="W105"/>
      <c r="X105"/>
    </row>
    <row r="106" spans="1:24" x14ac:dyDescent="0.25">
      <c r="A106" s="26">
        <v>39</v>
      </c>
      <c r="B106" s="1">
        <f>IFERROR(VLOOKUP(ТабПозиции[[#This Row],[orderNum]],ТабЗаказы[#Data],MATCH(B$7,ТабЗаказы[#Headers],0),0),"")</f>
        <v>45381</v>
      </c>
      <c r="C106" t="str">
        <f>MONTH(ТабПозиции[[#This Row],[date]])&amp;"/"&amp;YEAR(ТабПозиции[[#This Row],[date]])</f>
        <v>3/2024</v>
      </c>
      <c r="D106" s="1" t="str">
        <f>IFERROR(VLOOKUP(ТабПозиции[[#This Row],[orderNum]],ТабЗаказы[#Data],MATCH(D$7,ТабЗаказы[#Headers],0),0),"")</f>
        <v>Лариса Кирова</v>
      </c>
      <c r="E106" s="32" t="s">
        <v>641</v>
      </c>
      <c r="F106" s="56" t="s">
        <v>3061</v>
      </c>
      <c r="G106" s="33"/>
      <c r="H106" s="34"/>
      <c r="I106" s="26">
        <v>1</v>
      </c>
      <c r="K106">
        <v>0</v>
      </c>
      <c r="L106" s="26">
        <v>1751</v>
      </c>
      <c r="M106">
        <f t="shared" si="1"/>
        <v>1751</v>
      </c>
      <c r="O10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Row],[orderNum]],ТабПозиции[orderSumm])&gt;1500),ABS(M106*VLOOKUP(ТабПозиции[[#This Row],[orderNum]],ТабЗаказы[#Data],MATCH("Percent",ТабЗаказы[#Headers],0),0))/100,200/COUNTIF(ТабПозиции[orderNum],ТабПозиции[[#This Row],[orderNum]])),0),"")</f>
        <v>263</v>
      </c>
      <c r="P106">
        <f>IF(OR(ТабПозиции[[#This Row],[item]]="По штрихкоду",ТабПозиции[[#This Row],[item]]="Посылка"),ТабПозиции[[#This Row],[deliverySumm]]+ТабПозиции[[#This Row],[deliveryPost]],SUM(M106:O106))</f>
        <v>2014</v>
      </c>
      <c r="Q106" s="57">
        <v>2014</v>
      </c>
      <c r="R106" s="62">
        <f>ТабПозиции[[#This Row],[totalSumm]]-ТабПозиции[[#This Row],[payment]]</f>
        <v>0</v>
      </c>
      <c r="S106" s="34" t="s">
        <v>575</v>
      </c>
      <c r="T106" s="56" t="s">
        <v>3061</v>
      </c>
      <c r="U106" s="56" t="s">
        <v>3061</v>
      </c>
      <c r="V106" s="56" t="s">
        <v>3061</v>
      </c>
      <c r="W106"/>
      <c r="X106"/>
    </row>
    <row r="107" spans="1:24" x14ac:dyDescent="0.25">
      <c r="A107" s="26">
        <v>39</v>
      </c>
      <c r="B107" s="1">
        <f>IFERROR(VLOOKUP(ТабПозиции[[#This Row],[orderNum]],ТабЗаказы[#Data],MATCH(B$7,ТабЗаказы[#Headers],0),0),"")</f>
        <v>45381</v>
      </c>
      <c r="C107" t="str">
        <f>MONTH(ТабПозиции[[#This Row],[date]])&amp;"/"&amp;YEAR(ТабПозиции[[#This Row],[date]])</f>
        <v>3/2024</v>
      </c>
      <c r="D107" s="1" t="str">
        <f>IFERROR(VLOOKUP(ТабПозиции[[#This Row],[orderNum]],ТабЗаказы[#Data],MATCH(D$7,ТабЗаказы[#Headers],0),0),"")</f>
        <v>Лариса Кирова</v>
      </c>
      <c r="E107" s="32" t="s">
        <v>642</v>
      </c>
      <c r="F107" s="56" t="s">
        <v>3061</v>
      </c>
      <c r="G107" s="33"/>
      <c r="H107" s="34"/>
      <c r="I107" s="26">
        <v>2</v>
      </c>
      <c r="K107">
        <v>0</v>
      </c>
      <c r="L107" s="26">
        <v>214</v>
      </c>
      <c r="M107">
        <f t="shared" si="1"/>
        <v>428</v>
      </c>
      <c r="O10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Row],[orderNum]],ТабПозиции[orderSumm])&gt;1500),ABS(M107*VLOOKUP(ТабПозиции[[#This Row],[orderNum]],ТабЗаказы[#Data],MATCH("Percent",ТабЗаказы[#Headers],0),0))/100,200/COUNTIF(ТабПозиции[orderNum],ТабПозиции[[#This Row],[orderNum]])),0),"")</f>
        <v>64</v>
      </c>
      <c r="P107">
        <f>IF(OR(ТабПозиции[[#This Row],[item]]="По штрихкоду",ТабПозиции[[#This Row],[item]]="Посылка"),ТабПозиции[[#This Row],[deliverySumm]]+ТабПозиции[[#This Row],[deliveryPost]],SUM(M107:O107))</f>
        <v>492</v>
      </c>
      <c r="Q107" s="57">
        <v>492</v>
      </c>
      <c r="R107" s="62">
        <f>ТабПозиции[[#This Row],[totalSumm]]-ТабПозиции[[#This Row],[payment]]</f>
        <v>0</v>
      </c>
      <c r="S107" s="34" t="s">
        <v>575</v>
      </c>
      <c r="T107" s="56" t="s">
        <v>3061</v>
      </c>
      <c r="U107" s="56" t="s">
        <v>3061</v>
      </c>
      <c r="V107" s="56" t="s">
        <v>3061</v>
      </c>
      <c r="W107"/>
      <c r="X107"/>
    </row>
    <row r="108" spans="1:24" x14ac:dyDescent="0.25">
      <c r="A108" s="26">
        <v>39</v>
      </c>
      <c r="B108" s="1">
        <f>IFERROR(VLOOKUP(ТабПозиции[[#This Row],[orderNum]],ТабЗаказы[#Data],MATCH(B$7,ТабЗаказы[#Headers],0),0),"")</f>
        <v>45381</v>
      </c>
      <c r="C108" t="str">
        <f>MONTH(ТабПозиции[[#This Row],[date]])&amp;"/"&amp;YEAR(ТабПозиции[[#This Row],[date]])</f>
        <v>3/2024</v>
      </c>
      <c r="D108" s="1" t="str">
        <f>IFERROR(VLOOKUP(ТабПозиции[[#This Row],[orderNum]],ТабЗаказы[#Data],MATCH(D$7,ТабЗаказы[#Headers],0),0),"")</f>
        <v>Лариса Кирова</v>
      </c>
      <c r="E108" s="32" t="s">
        <v>643</v>
      </c>
      <c r="F108" s="56" t="s">
        <v>3061</v>
      </c>
      <c r="G108" s="33"/>
      <c r="H108" s="34"/>
      <c r="I108" s="26">
        <v>1</v>
      </c>
      <c r="K108">
        <v>0</v>
      </c>
      <c r="L108" s="26">
        <v>225</v>
      </c>
      <c r="M108">
        <f t="shared" si="1"/>
        <v>225</v>
      </c>
      <c r="O10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Row],[orderNum]],ТабПозиции[orderSumm])&gt;1500),ABS(M108*VLOOKUP(ТабПозиции[[#This Row],[orderNum]],ТабЗаказы[#Data],MATCH("Percent",ТабЗаказы[#Headers],0),0))/100,200/COUNTIF(ТабПозиции[orderNum],ТабПозиции[[#This Row],[orderNum]])),0),"")</f>
        <v>34</v>
      </c>
      <c r="P108">
        <f>IF(OR(ТабПозиции[[#This Row],[item]]="По штрихкоду",ТабПозиции[[#This Row],[item]]="Посылка"),ТабПозиции[[#This Row],[deliverySumm]]+ТабПозиции[[#This Row],[deliveryPost]],SUM(M108:O108))</f>
        <v>259</v>
      </c>
      <c r="Q108" s="57">
        <v>259</v>
      </c>
      <c r="R108" s="62">
        <f>ТабПозиции[[#This Row],[totalSumm]]-ТабПозиции[[#This Row],[payment]]</f>
        <v>0</v>
      </c>
      <c r="S108" s="34" t="s">
        <v>575</v>
      </c>
      <c r="T108" s="56" t="s">
        <v>3061</v>
      </c>
      <c r="U108" s="56" t="s">
        <v>3061</v>
      </c>
      <c r="V108" s="56" t="s">
        <v>3061</v>
      </c>
      <c r="W108"/>
      <c r="X108"/>
    </row>
    <row r="109" spans="1:24" x14ac:dyDescent="0.25">
      <c r="A109" s="26">
        <v>40</v>
      </c>
      <c r="B109" s="1">
        <f>IFERROR(VLOOKUP(ТабПозиции[[#This Row],[orderNum]],ТабЗаказы[#Data],MATCH(B$7,ТабЗаказы[#Headers],0),0),"")</f>
        <v>45381</v>
      </c>
      <c r="C109" t="str">
        <f>MONTH(ТабПозиции[[#This Row],[date]])&amp;"/"&amp;YEAR(ТабПозиции[[#This Row],[date]])</f>
        <v>3/2024</v>
      </c>
      <c r="D109" s="1" t="str">
        <f>IFERROR(VLOOKUP(ТабПозиции[[#This Row],[orderNum]],ТабЗаказы[#Data],MATCH(D$7,ТабЗаказы[#Headers],0),0),"")</f>
        <v>Галина Агабекова(церковь)</v>
      </c>
      <c r="E109" s="32" t="s">
        <v>644</v>
      </c>
      <c r="F109" s="56" t="s">
        <v>3061</v>
      </c>
      <c r="G109" s="33"/>
      <c r="H109" s="34">
        <v>45385</v>
      </c>
      <c r="I109" s="26">
        <v>1</v>
      </c>
      <c r="K109">
        <v>0</v>
      </c>
      <c r="L109" s="26">
        <v>1472</v>
      </c>
      <c r="M109">
        <f t="shared" si="1"/>
        <v>1472</v>
      </c>
      <c r="N109" s="26">
        <v>74</v>
      </c>
      <c r="O10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Row],[orderNum]],ТабПозиции[orderSumm])&gt;1500),ABS(M109*VLOOKUP(ТабПозиции[[#This Row],[orderNum]],ТабЗаказы[#Data],MATCH("Percent",ТабЗаказы[#Headers],0),0))/100,200/COUNTIF(ТабПозиции[orderNum],ТабПозиции[[#This Row],[orderNum]])),0),"")</f>
        <v>147</v>
      </c>
      <c r="P109">
        <f>IF(OR(ТабПозиции[[#This Row],[item]]="По штрихкоду",ТабПозиции[[#This Row],[item]]="Посылка"),ТабПозиции[[#This Row],[deliverySumm]]+ТабПозиции[[#This Row],[deliveryPost]],SUM(M109:O109))</f>
        <v>1693</v>
      </c>
      <c r="Q109" s="57">
        <v>1693</v>
      </c>
      <c r="R109" s="62">
        <f>ТабПозиции[[#This Row],[totalSumm]]-ТабПозиции[[#This Row],[payment]]</f>
        <v>0</v>
      </c>
      <c r="S109" s="34" t="s">
        <v>558</v>
      </c>
      <c r="T109" s="56" t="s">
        <v>3061</v>
      </c>
      <c r="U109" s="56" t="s">
        <v>3061</v>
      </c>
      <c r="V109" s="56" t="s">
        <v>3061</v>
      </c>
      <c r="W109"/>
      <c r="X109"/>
    </row>
    <row r="110" spans="1:24" x14ac:dyDescent="0.25">
      <c r="A110" s="26">
        <v>40</v>
      </c>
      <c r="B110" s="1">
        <f>IFERROR(VLOOKUP(ТабПозиции[[#This Row],[orderNum]],ТабЗаказы[#Data],MATCH(B$7,ТабЗаказы[#Headers],0),0),"")</f>
        <v>45381</v>
      </c>
      <c r="C110" t="str">
        <f>MONTH(ТабПозиции[[#This Row],[date]])&amp;"/"&amp;YEAR(ТабПозиции[[#This Row],[date]])</f>
        <v>3/2024</v>
      </c>
      <c r="D110" s="1" t="str">
        <f>IFERROR(VLOOKUP(ТабПозиции[[#This Row],[orderNum]],ТабЗаказы[#Data],MATCH(D$7,ТабЗаказы[#Headers],0),0),"")</f>
        <v>Галина Агабекова(церковь)</v>
      </c>
      <c r="E110" s="32" t="s">
        <v>645</v>
      </c>
      <c r="F110" s="56" t="s">
        <v>3061</v>
      </c>
      <c r="G110" s="33"/>
      <c r="H110" s="34">
        <v>45383</v>
      </c>
      <c r="I110" s="26">
        <v>1</v>
      </c>
      <c r="K110">
        <v>0</v>
      </c>
      <c r="L110" s="26">
        <v>1740</v>
      </c>
      <c r="M110">
        <f t="shared" si="1"/>
        <v>1740</v>
      </c>
      <c r="N110" s="26">
        <v>87</v>
      </c>
      <c r="O11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Row],[orderNum]],ТабПозиции[orderSumm])&gt;1500),ABS(M110*VLOOKUP(ТабПозиции[[#This Row],[orderNum]],ТабЗаказы[#Data],MATCH("Percent",ТабЗаказы[#Headers],0),0))/100,200/COUNTIF(ТабПозиции[orderNum],ТабПозиции[[#This Row],[orderNum]])),0),"")</f>
        <v>174</v>
      </c>
      <c r="P110">
        <f>IF(OR(ТабПозиции[[#This Row],[item]]="По штрихкоду",ТабПозиции[[#This Row],[item]]="Посылка"),ТабПозиции[[#This Row],[deliverySumm]]+ТабПозиции[[#This Row],[deliveryPost]],SUM(M110:O110))</f>
        <v>2001</v>
      </c>
      <c r="Q110" s="57">
        <v>2001</v>
      </c>
      <c r="R110" s="62">
        <f>ТабПозиции[[#This Row],[totalSumm]]-ТабПозиции[[#This Row],[payment]]</f>
        <v>0</v>
      </c>
      <c r="S110" s="34" t="s">
        <v>558</v>
      </c>
      <c r="T110" s="56" t="s">
        <v>3061</v>
      </c>
      <c r="U110" s="56" t="s">
        <v>3061</v>
      </c>
      <c r="V110" s="56" t="s">
        <v>3061</v>
      </c>
      <c r="W110"/>
      <c r="X110"/>
    </row>
    <row r="111" spans="1:24" x14ac:dyDescent="0.25">
      <c r="A111" s="26">
        <v>40</v>
      </c>
      <c r="B111" s="1">
        <f>IFERROR(VLOOKUP(ТабПозиции[[#This Row],[orderNum]],ТабЗаказы[#Data],MATCH(B$7,ТабЗаказы[#Headers],0),0),"")</f>
        <v>45381</v>
      </c>
      <c r="C111" t="str">
        <f>MONTH(ТабПозиции[[#This Row],[date]])&amp;"/"&amp;YEAR(ТабПозиции[[#This Row],[date]])</f>
        <v>3/2024</v>
      </c>
      <c r="D111" s="1" t="str">
        <f>IFERROR(VLOOKUP(ТабПозиции[[#This Row],[orderNum]],ТабЗаказы[#Data],MATCH(D$7,ТабЗаказы[#Headers],0),0),"")</f>
        <v>Галина Агабекова(церковь)</v>
      </c>
      <c r="E111" s="32" t="s">
        <v>646</v>
      </c>
      <c r="F111" s="56" t="s">
        <v>3061</v>
      </c>
      <c r="G111" s="33"/>
      <c r="H111" s="34">
        <v>45383</v>
      </c>
      <c r="I111" s="26">
        <v>1</v>
      </c>
      <c r="K111">
        <v>0</v>
      </c>
      <c r="L111" s="26">
        <v>1804</v>
      </c>
      <c r="M111">
        <f t="shared" si="1"/>
        <v>1804</v>
      </c>
      <c r="N111" s="26">
        <v>91</v>
      </c>
      <c r="O11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Row],[orderNum]],ТабПозиции[orderSumm])&gt;1500),ABS(M111*VLOOKUP(ТабПозиции[[#This Row],[orderNum]],ТабЗаказы[#Data],MATCH("Percent",ТабЗаказы[#Headers],0),0))/100,200/COUNTIF(ТабПозиции[orderNum],ТабПозиции[[#This Row],[orderNum]])),0),"")</f>
        <v>180</v>
      </c>
      <c r="P111">
        <f>IF(OR(ТабПозиции[[#This Row],[item]]="По штрихкоду",ТабПозиции[[#This Row],[item]]="Посылка"),ТабПозиции[[#This Row],[deliverySumm]]+ТабПозиции[[#This Row],[deliveryPost]],SUM(M111:O111))</f>
        <v>2075</v>
      </c>
      <c r="Q111" s="57">
        <v>2075</v>
      </c>
      <c r="R111" s="62">
        <f>ТабПозиции[[#This Row],[totalSumm]]-ТабПозиции[[#This Row],[payment]]</f>
        <v>0</v>
      </c>
      <c r="S111" s="34" t="s">
        <v>558</v>
      </c>
      <c r="T111" s="56" t="s">
        <v>3061</v>
      </c>
      <c r="U111" s="56" t="s">
        <v>3061</v>
      </c>
      <c r="V111" s="56" t="s">
        <v>3061</v>
      </c>
      <c r="W111"/>
      <c r="X111"/>
    </row>
    <row r="112" spans="1:24" x14ac:dyDescent="0.25">
      <c r="A112" s="26">
        <v>40</v>
      </c>
      <c r="B112" s="1">
        <f>IFERROR(VLOOKUP(ТабПозиции[[#This Row],[orderNum]],ТабЗаказы[#Data],MATCH(B$7,ТабЗаказы[#Headers],0),0),"")</f>
        <v>45381</v>
      </c>
      <c r="C112" t="str">
        <f>MONTH(ТабПозиции[[#This Row],[date]])&amp;"/"&amp;YEAR(ТабПозиции[[#This Row],[date]])</f>
        <v>3/2024</v>
      </c>
      <c r="D112" s="1" t="str">
        <f>IFERROR(VLOOKUP(ТабПозиции[[#This Row],[orderNum]],ТабЗаказы[#Data],MATCH(D$7,ТабЗаказы[#Headers],0),0),"")</f>
        <v>Галина Агабекова(церковь)</v>
      </c>
      <c r="E112" s="32" t="s">
        <v>647</v>
      </c>
      <c r="F112" s="56" t="s">
        <v>3061</v>
      </c>
      <c r="G112" s="33"/>
      <c r="H112" s="34">
        <v>45384</v>
      </c>
      <c r="I112" s="26">
        <v>1</v>
      </c>
      <c r="K112">
        <v>0</v>
      </c>
      <c r="L112" s="26">
        <v>3128</v>
      </c>
      <c r="M112">
        <f t="shared" si="1"/>
        <v>3128</v>
      </c>
      <c r="N112" s="26">
        <v>156</v>
      </c>
      <c r="O11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Row],[orderNum]],ТабПозиции[orderSumm])&gt;1500),ABS(M112*VLOOKUP(ТабПозиции[[#This Row],[orderNum]],ТабЗаказы[#Data],MATCH("Percent",ТабЗаказы[#Headers],0),0))/100,200/COUNTIF(ТабПозиции[orderNum],ТабПозиции[[#This Row],[orderNum]])),0),"")</f>
        <v>313</v>
      </c>
      <c r="P112">
        <f>IF(OR(ТабПозиции[[#This Row],[item]]="По штрихкоду",ТабПозиции[[#This Row],[item]]="Посылка"),ТабПозиции[[#This Row],[deliverySumm]]+ТабПозиции[[#This Row],[deliveryPost]],SUM(M112:O112))</f>
        <v>3597</v>
      </c>
      <c r="Q112" s="57">
        <v>3597</v>
      </c>
      <c r="R112" s="62">
        <f>ТабПозиции[[#This Row],[totalSumm]]-ТабПозиции[[#This Row],[payment]]</f>
        <v>0</v>
      </c>
      <c r="S112" s="34" t="s">
        <v>558</v>
      </c>
      <c r="T112" s="56" t="s">
        <v>3061</v>
      </c>
      <c r="U112" s="56" t="s">
        <v>3061</v>
      </c>
      <c r="V112" s="56" t="s">
        <v>3061</v>
      </c>
      <c r="W112"/>
      <c r="X112"/>
    </row>
    <row r="113" spans="1:24" x14ac:dyDescent="0.25">
      <c r="A113" s="26">
        <v>40</v>
      </c>
      <c r="B113" s="1">
        <f>IFERROR(VLOOKUP(ТабПозиции[[#This Row],[orderNum]],ТабЗаказы[#Data],MATCH(B$7,ТабЗаказы[#Headers],0),0),"")</f>
        <v>45381</v>
      </c>
      <c r="C113" t="str">
        <f>MONTH(ТабПозиции[[#This Row],[date]])&amp;"/"&amp;YEAR(ТабПозиции[[#This Row],[date]])</f>
        <v>3/2024</v>
      </c>
      <c r="D113" s="1" t="str">
        <f>IFERROR(VLOOKUP(ТабПозиции[[#This Row],[orderNum]],ТабЗаказы[#Data],MATCH(D$7,ТабЗаказы[#Headers],0),0),"")</f>
        <v>Галина Агабекова(церковь)</v>
      </c>
      <c r="E113" s="32" t="s">
        <v>648</v>
      </c>
      <c r="F113" s="56" t="s">
        <v>3061</v>
      </c>
      <c r="G113" s="33"/>
      <c r="H113" s="34">
        <v>45384</v>
      </c>
      <c r="I113" s="26">
        <v>1</v>
      </c>
      <c r="K113">
        <v>0</v>
      </c>
      <c r="L113" s="26">
        <v>520</v>
      </c>
      <c r="M113">
        <f t="shared" si="1"/>
        <v>520</v>
      </c>
      <c r="N113" s="26">
        <v>26</v>
      </c>
      <c r="O11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Row],[orderNum]],ТабПозиции[orderSumm])&gt;1500),ABS(M113*VLOOKUP(ТабПозиции[[#This Row],[orderNum]],ТабЗаказы[#Data],MATCH("Percent",ТабЗаказы[#Headers],0),0))/100,200/COUNTIF(ТабПозиции[orderNum],ТабПозиции[[#This Row],[orderNum]])),0),"")</f>
        <v>52</v>
      </c>
      <c r="P113">
        <f>IF(OR(ТабПозиции[[#This Row],[item]]="По штрихкоду",ТабПозиции[[#This Row],[item]]="Посылка"),ТабПозиции[[#This Row],[deliverySumm]]+ТабПозиции[[#This Row],[deliveryPost]],SUM(M113:O113))</f>
        <v>598</v>
      </c>
      <c r="Q113" s="57">
        <v>598</v>
      </c>
      <c r="R113" s="62">
        <f>ТабПозиции[[#This Row],[totalSumm]]-ТабПозиции[[#This Row],[payment]]</f>
        <v>0</v>
      </c>
      <c r="S113" s="34" t="s">
        <v>575</v>
      </c>
      <c r="T113" s="56" t="s">
        <v>3061</v>
      </c>
      <c r="U113" s="56" t="s">
        <v>3061</v>
      </c>
      <c r="V113" s="56" t="s">
        <v>3061</v>
      </c>
      <c r="W113"/>
      <c r="X113"/>
    </row>
    <row r="114" spans="1:24" x14ac:dyDescent="0.25">
      <c r="A114" s="26">
        <v>40</v>
      </c>
      <c r="B114" s="1">
        <f>IFERROR(VLOOKUP(ТабПозиции[[#This Row],[orderNum]],ТабЗаказы[#Data],MATCH(B$7,ТабЗаказы[#Headers],0),0),"")</f>
        <v>45381</v>
      </c>
      <c r="C114" t="str">
        <f>MONTH(ТабПозиции[[#This Row],[date]])&amp;"/"&amp;YEAR(ТабПозиции[[#This Row],[date]])</f>
        <v>3/2024</v>
      </c>
      <c r="D114" s="1" t="str">
        <f>IFERROR(VLOOKUP(ТабПозиции[[#This Row],[orderNum]],ТабЗаказы[#Data],MATCH(D$7,ТабЗаказы[#Headers],0),0),"")</f>
        <v>Галина Агабекова(церковь)</v>
      </c>
      <c r="E114" s="32" t="s">
        <v>649</v>
      </c>
      <c r="F114" s="56" t="s">
        <v>3061</v>
      </c>
      <c r="G114" s="33"/>
      <c r="H114" s="34">
        <v>45390</v>
      </c>
      <c r="I114" s="26">
        <v>1</v>
      </c>
      <c r="K114">
        <v>0</v>
      </c>
      <c r="L114" s="26">
        <v>1273</v>
      </c>
      <c r="M114">
        <f t="shared" si="1"/>
        <v>1273</v>
      </c>
      <c r="N114" s="26">
        <v>64</v>
      </c>
      <c r="O11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Row],[orderNum]],ТабПозиции[orderSumm])&gt;1500),ABS(M114*VLOOKUP(ТабПозиции[[#This Row],[orderNum]],ТабЗаказы[#Data],MATCH("Percent",ТабЗаказы[#Headers],0),0))/100,200/COUNTIF(ТабПозиции[orderNum],ТабПозиции[[#This Row],[orderNum]])),0),"")</f>
        <v>127</v>
      </c>
      <c r="P114">
        <f>IF(OR(ТабПозиции[[#This Row],[item]]="По штрихкоду",ТабПозиции[[#This Row],[item]]="Посылка"),ТабПозиции[[#This Row],[deliverySumm]]+ТабПозиции[[#This Row],[deliveryPost]],SUM(M114:O114))</f>
        <v>1464</v>
      </c>
      <c r="Q114" s="57">
        <v>1464</v>
      </c>
      <c r="R114" s="62">
        <f>ТабПозиции[[#This Row],[totalSumm]]-ТабПозиции[[#This Row],[payment]]</f>
        <v>0</v>
      </c>
      <c r="S114" s="34" t="s">
        <v>575</v>
      </c>
      <c r="T114" s="56" t="s">
        <v>3061</v>
      </c>
      <c r="U114" s="56" t="s">
        <v>3061</v>
      </c>
      <c r="V114" s="56" t="s">
        <v>3061</v>
      </c>
      <c r="W114"/>
      <c r="X114"/>
    </row>
    <row r="115" spans="1:24" x14ac:dyDescent="0.25">
      <c r="A115" s="26">
        <v>40</v>
      </c>
      <c r="B115" s="1">
        <f>IFERROR(VLOOKUP(ТабПозиции[[#This Row],[orderNum]],ТабЗаказы[#Data],MATCH(B$7,ТабЗаказы[#Headers],0),0),"")</f>
        <v>45381</v>
      </c>
      <c r="C115" t="str">
        <f>MONTH(ТабПозиции[[#This Row],[date]])&amp;"/"&amp;YEAR(ТабПозиции[[#This Row],[date]])</f>
        <v>3/2024</v>
      </c>
      <c r="D115" s="1" t="str">
        <f>IFERROR(VLOOKUP(ТабПозиции[[#This Row],[orderNum]],ТабЗаказы[#Data],MATCH(D$7,ТабЗаказы[#Headers],0),0),"")</f>
        <v>Галина Агабекова(церковь)</v>
      </c>
      <c r="E115" s="32" t="s">
        <v>650</v>
      </c>
      <c r="F115" s="56" t="s">
        <v>3061</v>
      </c>
      <c r="G115" s="33"/>
      <c r="H115" s="34">
        <v>45387</v>
      </c>
      <c r="I115" s="26">
        <v>1</v>
      </c>
      <c r="K115">
        <v>0</v>
      </c>
      <c r="L115" s="26">
        <v>227</v>
      </c>
      <c r="M115">
        <f t="shared" si="1"/>
        <v>227</v>
      </c>
      <c r="N115" s="26">
        <v>11</v>
      </c>
      <c r="O11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Row],[orderNum]],ТабПозиции[orderSumm])&gt;1500),ABS(M115*VLOOKUP(ТабПозиции[[#This Row],[orderNum]],ТабЗаказы[#Data],MATCH("Percent",ТабЗаказы[#Headers],0),0))/100,200/COUNTIF(ТабПозиции[orderNum],ТабПозиции[[#This Row],[orderNum]])),0),"")</f>
        <v>23</v>
      </c>
      <c r="P115">
        <f>IF(OR(ТабПозиции[[#This Row],[item]]="По штрихкоду",ТабПозиции[[#This Row],[item]]="Посылка"),ТабПозиции[[#This Row],[deliverySumm]]+ТабПозиции[[#This Row],[deliveryPost]],SUM(M115:O115))</f>
        <v>261</v>
      </c>
      <c r="Q115" s="57">
        <v>261</v>
      </c>
      <c r="R115" s="62">
        <f>ТабПозиции[[#This Row],[totalSumm]]-ТабПозиции[[#This Row],[payment]]</f>
        <v>0</v>
      </c>
      <c r="S115" s="34" t="s">
        <v>575</v>
      </c>
      <c r="T115" s="56" t="s">
        <v>3061</v>
      </c>
      <c r="U115" s="56" t="s">
        <v>3061</v>
      </c>
      <c r="V115" s="56" t="s">
        <v>3061</v>
      </c>
      <c r="W115"/>
      <c r="X115"/>
    </row>
    <row r="116" spans="1:24" x14ac:dyDescent="0.25">
      <c r="A116" s="26">
        <v>40</v>
      </c>
      <c r="B116" s="1">
        <f>IFERROR(VLOOKUP(ТабПозиции[[#This Row],[orderNum]],ТабЗаказы[#Data],MATCH(B$7,ТабЗаказы[#Headers],0),0),"")</f>
        <v>45381</v>
      </c>
      <c r="C116" t="str">
        <f>MONTH(ТабПозиции[[#This Row],[date]])&amp;"/"&amp;YEAR(ТабПозиции[[#This Row],[date]])</f>
        <v>3/2024</v>
      </c>
      <c r="D116" s="1" t="str">
        <f>IFERROR(VLOOKUP(ТабПозиции[[#This Row],[orderNum]],ТабЗаказы[#Data],MATCH(D$7,ТабЗаказы[#Headers],0),0),"")</f>
        <v>Галина Агабекова(церковь)</v>
      </c>
      <c r="E116" s="32" t="s">
        <v>651</v>
      </c>
      <c r="F116" s="56" t="s">
        <v>3061</v>
      </c>
      <c r="G116" s="33"/>
      <c r="H116" s="34">
        <v>45384</v>
      </c>
      <c r="I116" s="26">
        <v>1</v>
      </c>
      <c r="K116">
        <v>0</v>
      </c>
      <c r="L116" s="26">
        <v>849</v>
      </c>
      <c r="M116">
        <f t="shared" si="1"/>
        <v>849</v>
      </c>
      <c r="N116" s="26">
        <v>42</v>
      </c>
      <c r="O11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Row],[orderNum]],ТабПозиции[orderSumm])&gt;1500),ABS(M116*VLOOKUP(ТабПозиции[[#This Row],[orderNum]],ТабЗаказы[#Data],MATCH("Percent",ТабЗаказы[#Headers],0),0))/100,200/COUNTIF(ТабПозиции[orderNum],ТабПозиции[[#This Row],[orderNum]])),0),"")</f>
        <v>85</v>
      </c>
      <c r="P116">
        <f>IF(OR(ТабПозиции[[#This Row],[item]]="По штрихкоду",ТабПозиции[[#This Row],[item]]="Посылка"),ТабПозиции[[#This Row],[deliverySumm]]+ТабПозиции[[#This Row],[deliveryPost]],SUM(M116:O116))</f>
        <v>976</v>
      </c>
      <c r="Q116" s="57">
        <v>976</v>
      </c>
      <c r="R116" s="62">
        <f>ТабПозиции[[#This Row],[totalSumm]]-ТабПозиции[[#This Row],[payment]]</f>
        <v>0</v>
      </c>
      <c r="S116" s="34" t="s">
        <v>575</v>
      </c>
      <c r="T116" s="56" t="s">
        <v>3061</v>
      </c>
      <c r="U116" s="56" t="s">
        <v>3061</v>
      </c>
      <c r="V116" s="56" t="s">
        <v>3061</v>
      </c>
      <c r="W116"/>
      <c r="X116"/>
    </row>
    <row r="117" spans="1:24" x14ac:dyDescent="0.25">
      <c r="A117" s="26">
        <v>40</v>
      </c>
      <c r="B117" s="1">
        <f>IFERROR(VLOOKUP(ТабПозиции[[#This Row],[orderNum]],ТабЗаказы[#Data],MATCH(B$7,ТабЗаказы[#Headers],0),0),"")</f>
        <v>45381</v>
      </c>
      <c r="C117" t="str">
        <f>MONTH(ТабПозиции[[#This Row],[date]])&amp;"/"&amp;YEAR(ТабПозиции[[#This Row],[date]])</f>
        <v>3/2024</v>
      </c>
      <c r="D117" s="1" t="str">
        <f>IFERROR(VLOOKUP(ТабПозиции[[#This Row],[orderNum]],ТабЗаказы[#Data],MATCH(D$7,ТабЗаказы[#Headers],0),0),"")</f>
        <v>Галина Агабекова(церковь)</v>
      </c>
      <c r="E117" s="32" t="s">
        <v>652</v>
      </c>
      <c r="F117" s="56" t="s">
        <v>3061</v>
      </c>
      <c r="G117" s="33"/>
      <c r="H117" s="34">
        <v>45384</v>
      </c>
      <c r="I117" s="26">
        <v>1</v>
      </c>
      <c r="K117">
        <v>0</v>
      </c>
      <c r="L117" s="26">
        <v>1647</v>
      </c>
      <c r="M117">
        <f t="shared" si="1"/>
        <v>1647</v>
      </c>
      <c r="N117" s="26">
        <v>82</v>
      </c>
      <c r="O11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Row],[orderNum]],ТабПозиции[orderSumm])&gt;1500),ABS(M117*VLOOKUP(ТабПозиции[[#This Row],[orderNum]],ТабЗаказы[#Data],MATCH("Percent",ТабЗаказы[#Headers],0),0))/100,200/COUNTIF(ТабПозиции[orderNum],ТабПозиции[[#This Row],[orderNum]])),0),"")</f>
        <v>165</v>
      </c>
      <c r="P117">
        <f>IF(OR(ТабПозиции[[#This Row],[item]]="По штрихкоду",ТабПозиции[[#This Row],[item]]="Посылка"),ТабПозиции[[#This Row],[deliverySumm]]+ТабПозиции[[#This Row],[deliveryPost]],SUM(M117:O117))</f>
        <v>1894</v>
      </c>
      <c r="Q117" s="57">
        <v>1894</v>
      </c>
      <c r="R117" s="62">
        <f>ТабПозиции[[#This Row],[totalSumm]]-ТабПозиции[[#This Row],[payment]]</f>
        <v>0</v>
      </c>
      <c r="S117" s="34" t="s">
        <v>575</v>
      </c>
      <c r="T117" s="56" t="s">
        <v>3061</v>
      </c>
      <c r="U117" s="56" t="s">
        <v>3061</v>
      </c>
      <c r="V117" s="56" t="s">
        <v>3061</v>
      </c>
      <c r="W117"/>
      <c r="X117"/>
    </row>
    <row r="118" spans="1:24" x14ac:dyDescent="0.25">
      <c r="A118" s="26">
        <v>40</v>
      </c>
      <c r="B118" s="1">
        <f>IFERROR(VLOOKUP(ТабПозиции[[#This Row],[orderNum]],ТабЗаказы[#Data],MATCH(B$7,ТабЗаказы[#Headers],0),0),"")</f>
        <v>45381</v>
      </c>
      <c r="C118" t="str">
        <f>MONTH(ТабПозиции[[#This Row],[date]])&amp;"/"&amp;YEAR(ТабПозиции[[#This Row],[date]])</f>
        <v>3/2024</v>
      </c>
      <c r="D118" s="1" t="str">
        <f>IFERROR(VLOOKUP(ТабПозиции[[#This Row],[orderNum]],ТабЗаказы[#Data],MATCH(D$7,ТабЗаказы[#Headers],0),0),"")</f>
        <v>Галина Агабекова(церковь)</v>
      </c>
      <c r="E118" s="32" t="s">
        <v>653</v>
      </c>
      <c r="F118" s="56" t="s">
        <v>3061</v>
      </c>
      <c r="G118" s="33"/>
      <c r="H118" s="34">
        <v>45384</v>
      </c>
      <c r="I118" s="26">
        <v>1</v>
      </c>
      <c r="K118">
        <v>0</v>
      </c>
      <c r="L118" s="26">
        <v>531</v>
      </c>
      <c r="M118">
        <f t="shared" si="1"/>
        <v>531</v>
      </c>
      <c r="N118" s="26">
        <v>27</v>
      </c>
      <c r="O11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Row],[orderNum]],ТабПозиции[orderSumm])&gt;1500),ABS(M118*VLOOKUP(ТабПозиции[[#This Row],[orderNum]],ТабЗаказы[#Data],MATCH("Percent",ТабЗаказы[#Headers],0),0))/100,200/COUNTIF(ТабПозиции[orderNum],ТабПозиции[[#This Row],[orderNum]])),0),"")</f>
        <v>53</v>
      </c>
      <c r="P118">
        <f>IF(OR(ТабПозиции[[#This Row],[item]]="По штрихкоду",ТабПозиции[[#This Row],[item]]="Посылка"),ТабПозиции[[#This Row],[deliverySumm]]+ТабПозиции[[#This Row],[deliveryPost]],SUM(M118:O118))</f>
        <v>611</v>
      </c>
      <c r="Q118" s="57">
        <v>611</v>
      </c>
      <c r="R118" s="62">
        <f>ТабПозиции[[#This Row],[totalSumm]]-ТабПозиции[[#This Row],[payment]]</f>
        <v>0</v>
      </c>
      <c r="S118" s="34" t="s">
        <v>575</v>
      </c>
      <c r="T118" s="56" t="s">
        <v>3061</v>
      </c>
      <c r="U118" s="56" t="s">
        <v>3061</v>
      </c>
      <c r="V118" s="56" t="s">
        <v>3061</v>
      </c>
      <c r="W118"/>
      <c r="X118"/>
    </row>
    <row r="119" spans="1:24" x14ac:dyDescent="0.25">
      <c r="A119" s="26">
        <v>40</v>
      </c>
      <c r="B119" s="1">
        <f>IFERROR(VLOOKUP(ТабПозиции[[#This Row],[orderNum]],ТабЗаказы[#Data],MATCH(B$7,ТабЗаказы[#Headers],0),0),"")</f>
        <v>45381</v>
      </c>
      <c r="C119" t="str">
        <f>MONTH(ТабПозиции[[#This Row],[date]])&amp;"/"&amp;YEAR(ТабПозиции[[#This Row],[date]])</f>
        <v>3/2024</v>
      </c>
      <c r="D119" s="1" t="str">
        <f>IFERROR(VLOOKUP(ТабПозиции[[#This Row],[orderNum]],ТабЗаказы[#Data],MATCH(D$7,ТабЗаказы[#Headers],0),0),"")</f>
        <v>Галина Агабекова(церковь)</v>
      </c>
      <c r="E119" s="32" t="s">
        <v>654</v>
      </c>
      <c r="F119" s="56" t="s">
        <v>3061</v>
      </c>
      <c r="G119" s="33"/>
      <c r="H119" s="34">
        <v>45388</v>
      </c>
      <c r="I119" s="26">
        <v>1</v>
      </c>
      <c r="K119">
        <v>0</v>
      </c>
      <c r="L119" s="26">
        <v>682</v>
      </c>
      <c r="M119">
        <f t="shared" si="1"/>
        <v>682</v>
      </c>
      <c r="N119" s="26">
        <v>34</v>
      </c>
      <c r="O11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Row],[orderNum]],ТабПозиции[orderSumm])&gt;1500),ABS(M119*VLOOKUP(ТабПозиции[[#This Row],[orderNum]],ТабЗаказы[#Data],MATCH("Percent",ТабЗаказы[#Headers],0),0))/100,200/COUNTIF(ТабПозиции[orderNum],ТабПозиции[[#This Row],[orderNum]])),0),"")</f>
        <v>68</v>
      </c>
      <c r="P119">
        <f>IF(OR(ТабПозиции[[#This Row],[item]]="По штрихкоду",ТабПозиции[[#This Row],[item]]="Посылка"),ТабПозиции[[#This Row],[deliverySumm]]+ТабПозиции[[#This Row],[deliveryPost]],SUM(M119:O119))</f>
        <v>784</v>
      </c>
      <c r="Q119" s="57">
        <v>784</v>
      </c>
      <c r="R119" s="62">
        <f>ТабПозиции[[#This Row],[totalSumm]]-ТабПозиции[[#This Row],[payment]]</f>
        <v>0</v>
      </c>
      <c r="S119" s="34" t="s">
        <v>575</v>
      </c>
      <c r="T119" s="56" t="s">
        <v>3061</v>
      </c>
      <c r="U119" s="56" t="s">
        <v>3061</v>
      </c>
      <c r="V119" s="56" t="s">
        <v>3061</v>
      </c>
      <c r="W119"/>
      <c r="X119"/>
    </row>
    <row r="120" spans="1:24" x14ac:dyDescent="0.25">
      <c r="A120" s="26">
        <v>40</v>
      </c>
      <c r="B120" s="1">
        <f>IFERROR(VLOOKUP(ТабПозиции[[#This Row],[orderNum]],ТабЗаказы[#Data],MATCH(B$7,ТабЗаказы[#Headers],0),0),"")</f>
        <v>45381</v>
      </c>
      <c r="C120" t="str">
        <f>MONTH(ТабПозиции[[#This Row],[date]])&amp;"/"&amp;YEAR(ТабПозиции[[#This Row],[date]])</f>
        <v>3/2024</v>
      </c>
      <c r="D120" s="1" t="str">
        <f>IFERROR(VLOOKUP(ТабПозиции[[#This Row],[orderNum]],ТабЗаказы[#Data],MATCH(D$7,ТабЗаказы[#Headers],0),0),"")</f>
        <v>Галина Агабекова(церковь)</v>
      </c>
      <c r="E120" s="32" t="s">
        <v>655</v>
      </c>
      <c r="F120" s="56" t="s">
        <v>3061</v>
      </c>
      <c r="G120" s="33"/>
      <c r="H120" s="34">
        <v>45384</v>
      </c>
      <c r="I120" s="26">
        <v>1</v>
      </c>
      <c r="K120">
        <v>0</v>
      </c>
      <c r="L120" s="26">
        <v>274</v>
      </c>
      <c r="M120">
        <f t="shared" si="1"/>
        <v>274</v>
      </c>
      <c r="N120" s="26">
        <v>14</v>
      </c>
      <c r="O12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Row],[orderNum]],ТабПозиции[orderSumm])&gt;1500),ABS(M120*VLOOKUP(ТабПозиции[[#This Row],[orderNum]],ТабЗаказы[#Data],MATCH("Percent",ТабЗаказы[#Headers],0),0))/100,200/COUNTIF(ТабПозиции[orderNum],ТабПозиции[[#This Row],[orderNum]])),0),"")</f>
        <v>27</v>
      </c>
      <c r="P120">
        <f>IF(OR(ТабПозиции[[#This Row],[item]]="По штрихкоду",ТабПозиции[[#This Row],[item]]="Посылка"),ТабПозиции[[#This Row],[deliverySumm]]+ТабПозиции[[#This Row],[deliveryPost]],SUM(M120:O120))</f>
        <v>315</v>
      </c>
      <c r="Q120" s="57">
        <v>315</v>
      </c>
      <c r="R120" s="62">
        <f>ТабПозиции[[#This Row],[totalSumm]]-ТабПозиции[[#This Row],[payment]]</f>
        <v>0</v>
      </c>
      <c r="S120" s="34" t="s">
        <v>575</v>
      </c>
      <c r="T120" s="56" t="s">
        <v>3061</v>
      </c>
      <c r="U120" s="56" t="s">
        <v>3061</v>
      </c>
      <c r="V120" s="56" t="s">
        <v>3061</v>
      </c>
      <c r="W120"/>
      <c r="X120"/>
    </row>
    <row r="121" spans="1:24" x14ac:dyDescent="0.25">
      <c r="A121" s="26">
        <v>40</v>
      </c>
      <c r="B121" s="1">
        <f>IFERROR(VLOOKUP(ТабПозиции[[#This Row],[orderNum]],ТабЗаказы[#Data],MATCH(B$7,ТабЗаказы[#Headers],0),0),"")</f>
        <v>45381</v>
      </c>
      <c r="C121" t="str">
        <f>MONTH(ТабПозиции[[#This Row],[date]])&amp;"/"&amp;YEAR(ТабПозиции[[#This Row],[date]])</f>
        <v>3/2024</v>
      </c>
      <c r="D121" s="1" t="str">
        <f>IFERROR(VLOOKUP(ТабПозиции[[#This Row],[orderNum]],ТабЗаказы[#Data],MATCH(D$7,ТабЗаказы[#Headers],0),0),"")</f>
        <v>Галина Агабекова(церковь)</v>
      </c>
      <c r="E121" s="32" t="s">
        <v>656</v>
      </c>
      <c r="F121" s="56" t="s">
        <v>3061</v>
      </c>
      <c r="G121" s="33"/>
      <c r="H121" s="34">
        <v>45386</v>
      </c>
      <c r="I121" s="26">
        <v>1</v>
      </c>
      <c r="K121">
        <v>0</v>
      </c>
      <c r="L121" s="26">
        <v>1618</v>
      </c>
      <c r="M121">
        <f t="shared" si="1"/>
        <v>1618</v>
      </c>
      <c r="N121" s="26">
        <v>81</v>
      </c>
      <c r="O12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Row],[orderNum]],ТабПозиции[orderSumm])&gt;1500),ABS(M121*VLOOKUP(ТабПозиции[[#This Row],[orderNum]],ТабЗаказы[#Data],MATCH("Percent",ТабЗаказы[#Headers],0),0))/100,200/COUNTIF(ТабПозиции[orderNum],ТабПозиции[[#This Row],[orderNum]])),0),"")</f>
        <v>162</v>
      </c>
      <c r="P121">
        <f>IF(OR(ТабПозиции[[#This Row],[item]]="По штрихкоду",ТабПозиции[[#This Row],[item]]="Посылка"),ТабПозиции[[#This Row],[deliverySumm]]+ТабПозиции[[#This Row],[deliveryPost]],SUM(M121:O121))</f>
        <v>1861</v>
      </c>
      <c r="Q121" s="57">
        <v>1861</v>
      </c>
      <c r="R121" s="62">
        <f>ТабПозиции[[#This Row],[totalSumm]]-ТабПозиции[[#This Row],[payment]]</f>
        <v>0</v>
      </c>
      <c r="S121" s="34" t="s">
        <v>575</v>
      </c>
      <c r="T121" s="56" t="s">
        <v>3061</v>
      </c>
      <c r="U121" s="56" t="s">
        <v>3061</v>
      </c>
      <c r="V121" s="56" t="s">
        <v>3061</v>
      </c>
      <c r="W121"/>
      <c r="X121"/>
    </row>
    <row r="122" spans="1:24" x14ac:dyDescent="0.25">
      <c r="A122" s="26">
        <v>41</v>
      </c>
      <c r="B122" s="1">
        <f>IFERROR(VLOOKUP(ТабПозиции[[#This Row],[orderNum]],ТабЗаказы[#Data],MATCH(B$7,ТабЗаказы[#Headers],0),0),"")</f>
        <v>45381</v>
      </c>
      <c r="C122" t="str">
        <f>MONTH(ТабПозиции[[#This Row],[date]])&amp;"/"&amp;YEAR(ТабПозиции[[#This Row],[date]])</f>
        <v>3/2024</v>
      </c>
      <c r="D122" s="1" t="str">
        <f>IFERROR(VLOOKUP(ТабПозиции[[#This Row],[orderNum]],ТабЗаказы[#Data],MATCH(D$7,ТабЗаказы[#Headers],0),0),"")</f>
        <v>Александр 3 Металлургов</v>
      </c>
      <c r="E122" s="32" t="s">
        <v>657</v>
      </c>
      <c r="F122" s="56" t="s">
        <v>3061</v>
      </c>
      <c r="G122" s="33"/>
      <c r="H122" s="34">
        <v>45390</v>
      </c>
      <c r="I122" s="26">
        <v>1</v>
      </c>
      <c r="K122">
        <v>0</v>
      </c>
      <c r="L122" s="26">
        <v>1191</v>
      </c>
      <c r="M122">
        <f t="shared" si="1"/>
        <v>1191</v>
      </c>
      <c r="O12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Row],[orderNum]],ТабПозиции[orderSumm])&gt;1500),ABS(M122*VLOOKUP(ТабПозиции[[#This Row],[orderNum]],ТабЗаказы[#Data],MATCH("Percent",ТабЗаказы[#Headers],0),0))/100,200/COUNTIF(ТабПозиции[orderNum],ТабПозиции[[#This Row],[orderNum]])),0),"")</f>
        <v>179</v>
      </c>
      <c r="P122">
        <f>IF(OR(ТабПозиции[[#This Row],[item]]="По штрихкоду",ТабПозиции[[#This Row],[item]]="Посылка"),ТабПозиции[[#This Row],[deliverySumm]]+ТабПозиции[[#This Row],[deliveryPost]],SUM(M122:O122))</f>
        <v>1370</v>
      </c>
      <c r="Q122" s="57">
        <v>1370</v>
      </c>
      <c r="R122" s="62">
        <f>ТабПозиции[[#This Row],[totalSumm]]-ТабПозиции[[#This Row],[payment]]</f>
        <v>0</v>
      </c>
      <c r="S122" s="34" t="s">
        <v>575</v>
      </c>
      <c r="T122" s="56" t="s">
        <v>3061</v>
      </c>
      <c r="U122" s="56" t="s">
        <v>3061</v>
      </c>
      <c r="V122" s="56" t="s">
        <v>3061</v>
      </c>
      <c r="W122"/>
      <c r="X122"/>
    </row>
    <row r="123" spans="1:24" x14ac:dyDescent="0.25">
      <c r="A123" s="26">
        <v>41</v>
      </c>
      <c r="B123" s="1">
        <f>IFERROR(VLOOKUP(ТабПозиции[[#This Row],[orderNum]],ТабЗаказы[#Data],MATCH(B$7,ТабЗаказы[#Headers],0),0),"")</f>
        <v>45381</v>
      </c>
      <c r="C123" t="str">
        <f>MONTH(ТабПозиции[[#This Row],[date]])&amp;"/"&amp;YEAR(ТабПозиции[[#This Row],[date]])</f>
        <v>3/2024</v>
      </c>
      <c r="D123" s="1" t="str">
        <f>IFERROR(VLOOKUP(ТабПозиции[[#This Row],[orderNum]],ТабЗаказы[#Data],MATCH(D$7,ТабЗаказы[#Headers],0),0),"")</f>
        <v>Александр 3 Металлургов</v>
      </c>
      <c r="E123" s="32" t="s">
        <v>658</v>
      </c>
      <c r="F123" s="56" t="s">
        <v>3061</v>
      </c>
      <c r="G123" s="33"/>
      <c r="H123" s="34">
        <v>45390</v>
      </c>
      <c r="I123" s="26">
        <v>1</v>
      </c>
      <c r="K123">
        <v>0</v>
      </c>
      <c r="L123" s="26">
        <v>1267</v>
      </c>
      <c r="M123">
        <f t="shared" si="1"/>
        <v>1267</v>
      </c>
      <c r="O12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Row],[orderNum]],ТабПозиции[orderSumm])&gt;1500),ABS(M123*VLOOKUP(ТабПозиции[[#This Row],[orderNum]],ТабЗаказы[#Data],MATCH("Percent",ТабЗаказы[#Headers],0),0))/100,200/COUNTIF(ТабПозиции[orderNum],ТабПозиции[[#This Row],[orderNum]])),0),"")</f>
        <v>190</v>
      </c>
      <c r="P123">
        <f>IF(OR(ТабПозиции[[#This Row],[item]]="По штрихкоду",ТабПозиции[[#This Row],[item]]="Посылка"),ТабПозиции[[#This Row],[deliverySumm]]+ТабПозиции[[#This Row],[deliveryPost]],SUM(M123:O123))</f>
        <v>1457</v>
      </c>
      <c r="Q123" s="57">
        <v>1457</v>
      </c>
      <c r="R123" s="62">
        <f>ТабПозиции[[#This Row],[totalSumm]]-ТабПозиции[[#This Row],[payment]]</f>
        <v>0</v>
      </c>
      <c r="S123" s="34" t="s">
        <v>575</v>
      </c>
      <c r="T123" s="56" t="s">
        <v>3061</v>
      </c>
      <c r="U123" s="56" t="s">
        <v>3061</v>
      </c>
      <c r="V123" s="56" t="s">
        <v>3061</v>
      </c>
      <c r="W123"/>
      <c r="X123"/>
    </row>
    <row r="124" spans="1:24" x14ac:dyDescent="0.25">
      <c r="A124" s="26">
        <v>41</v>
      </c>
      <c r="B124" s="1">
        <f>IFERROR(VLOOKUP(ТабПозиции[[#This Row],[orderNum]],ТабЗаказы[#Data],MATCH(B$7,ТабЗаказы[#Headers],0),0),"")</f>
        <v>45381</v>
      </c>
      <c r="C124" t="str">
        <f>MONTH(ТабПозиции[[#This Row],[date]])&amp;"/"&amp;YEAR(ТабПозиции[[#This Row],[date]])</f>
        <v>3/2024</v>
      </c>
      <c r="D124" s="1" t="str">
        <f>IFERROR(VLOOKUP(ТабПозиции[[#This Row],[orderNum]],ТабЗаказы[#Data],MATCH(D$7,ТабЗаказы[#Headers],0),0),"")</f>
        <v>Александр 3 Металлургов</v>
      </c>
      <c r="E124" s="32" t="s">
        <v>659</v>
      </c>
      <c r="F124" s="56" t="s">
        <v>3061</v>
      </c>
      <c r="G124" s="33"/>
      <c r="H124" s="34">
        <v>45383</v>
      </c>
      <c r="I124" s="26">
        <v>1</v>
      </c>
      <c r="K124">
        <v>0</v>
      </c>
      <c r="L124" s="26">
        <v>396</v>
      </c>
      <c r="M124">
        <f t="shared" si="1"/>
        <v>396</v>
      </c>
      <c r="O12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Row],[orderNum]],ТабПозиции[orderSumm])&gt;1500),ABS(M124*VLOOKUP(ТабПозиции[[#This Row],[orderNum]],ТабЗаказы[#Data],MATCH("Percent",ТабЗаказы[#Headers],0),0))/100,200/COUNTIF(ТабПозиции[orderNum],ТабПозиции[[#This Row],[orderNum]])),0),"")</f>
        <v>59</v>
      </c>
      <c r="P124">
        <f>IF(OR(ТабПозиции[[#This Row],[item]]="По штрихкоду",ТабПозиции[[#This Row],[item]]="Посылка"),ТабПозиции[[#This Row],[deliverySumm]]+ТабПозиции[[#This Row],[deliveryPost]],SUM(M124:O124))</f>
        <v>455</v>
      </c>
      <c r="Q124" s="57">
        <v>455</v>
      </c>
      <c r="R124" s="62">
        <f>ТабПозиции[[#This Row],[totalSumm]]-ТабПозиции[[#This Row],[payment]]</f>
        <v>0</v>
      </c>
      <c r="S124" s="34" t="s">
        <v>558</v>
      </c>
      <c r="T124" s="56" t="s">
        <v>3061</v>
      </c>
      <c r="U124" s="56" t="s">
        <v>3061</v>
      </c>
      <c r="V124" s="56" t="s">
        <v>3061</v>
      </c>
      <c r="W124"/>
      <c r="X124"/>
    </row>
    <row r="125" spans="1:24" x14ac:dyDescent="0.25">
      <c r="A125" s="26">
        <v>40</v>
      </c>
      <c r="B125" s="1">
        <f>IFERROR(VLOOKUP(ТабПозиции[[#This Row],[orderNum]],ТабЗаказы[#Data],MATCH(B$7,ТабЗаказы[#Headers],0),0),"")</f>
        <v>45381</v>
      </c>
      <c r="C125" t="str">
        <f>MONTH(ТабПозиции[[#This Row],[date]])&amp;"/"&amp;YEAR(ТабПозиции[[#This Row],[date]])</f>
        <v>3/2024</v>
      </c>
      <c r="D125" s="1" t="str">
        <f>IFERROR(VLOOKUP(ТабПозиции[[#This Row],[orderNum]],ТабЗаказы[#Data],MATCH(D$7,ТабЗаказы[#Headers],0),0),"")</f>
        <v>Галина Агабекова(церковь)</v>
      </c>
      <c r="E125" s="32" t="s">
        <v>660</v>
      </c>
      <c r="F125" s="56" t="s">
        <v>3061</v>
      </c>
      <c r="G125" s="33"/>
      <c r="H125" s="34">
        <v>45383</v>
      </c>
      <c r="I125" s="26">
        <v>1</v>
      </c>
      <c r="K125">
        <v>0</v>
      </c>
      <c r="L125" s="26">
        <v>291</v>
      </c>
      <c r="M125">
        <f t="shared" si="1"/>
        <v>291</v>
      </c>
      <c r="N125" s="26">
        <v>15</v>
      </c>
      <c r="O12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Row],[orderNum]],ТабПозиции[orderSumm])&gt;1500),ABS(M125*VLOOKUP(ТабПозиции[[#This Row],[orderNum]],ТабЗаказы[#Data],MATCH("Percent",ТабЗаказы[#Headers],0),0))/100,200/COUNTIF(ТабПозиции[orderNum],ТабПозиции[[#This Row],[orderNum]])),0),"")</f>
        <v>29</v>
      </c>
      <c r="P125">
        <f>IF(OR(ТабПозиции[[#This Row],[item]]="По штрихкоду",ТабПозиции[[#This Row],[item]]="Посылка"),ТабПозиции[[#This Row],[deliverySumm]]+ТабПозиции[[#This Row],[deliveryPost]],SUM(M125:O125))</f>
        <v>335</v>
      </c>
      <c r="Q125" s="57">
        <v>335</v>
      </c>
      <c r="R125" s="62">
        <f>ТабПозиции[[#This Row],[totalSumm]]-ТабПозиции[[#This Row],[payment]]</f>
        <v>0</v>
      </c>
      <c r="S125" s="34" t="s">
        <v>558</v>
      </c>
      <c r="T125" s="56" t="s">
        <v>3061</v>
      </c>
      <c r="U125" s="56" t="s">
        <v>3061</v>
      </c>
      <c r="V125" s="56" t="s">
        <v>3061</v>
      </c>
      <c r="W125"/>
      <c r="X125"/>
    </row>
    <row r="126" spans="1:24" x14ac:dyDescent="0.25">
      <c r="A126" s="26">
        <v>40</v>
      </c>
      <c r="B126" s="1">
        <f>IFERROR(VLOOKUP(ТабПозиции[[#This Row],[orderNum]],ТабЗаказы[#Data],MATCH(B$7,ТабЗаказы[#Headers],0),0),"")</f>
        <v>45381</v>
      </c>
      <c r="C126" t="str">
        <f>MONTH(ТабПозиции[[#This Row],[date]])&amp;"/"&amp;YEAR(ТабПозиции[[#This Row],[date]])</f>
        <v>3/2024</v>
      </c>
      <c r="D126" s="1" t="str">
        <f>IFERROR(VLOOKUP(ТабПозиции[[#This Row],[orderNum]],ТабЗаказы[#Data],MATCH(D$7,ТабЗаказы[#Headers],0),0),"")</f>
        <v>Галина Агабекова(церковь)</v>
      </c>
      <c r="E126" s="32" t="s">
        <v>661</v>
      </c>
      <c r="F126" s="56" t="s">
        <v>3061</v>
      </c>
      <c r="G126" s="33"/>
      <c r="H126" s="34">
        <v>45385</v>
      </c>
      <c r="I126" s="26">
        <v>1</v>
      </c>
      <c r="K126">
        <v>0</v>
      </c>
      <c r="L126" s="26">
        <v>551</v>
      </c>
      <c r="M126">
        <f t="shared" si="1"/>
        <v>551</v>
      </c>
      <c r="N126" s="26">
        <v>28</v>
      </c>
      <c r="O12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Row],[orderNum]],ТабПозиции[orderSumm])&gt;1500),ABS(M126*VLOOKUP(ТабПозиции[[#This Row],[orderNum]],ТабЗаказы[#Data],MATCH("Percent",ТабЗаказы[#Headers],0),0))/100,200/COUNTIF(ТабПозиции[orderNum],ТабПозиции[[#This Row],[orderNum]])),0),"")</f>
        <v>55</v>
      </c>
      <c r="P126">
        <f>IF(OR(ТабПозиции[[#This Row],[item]]="По штрихкоду",ТабПозиции[[#This Row],[item]]="Посылка"),ТабПозиции[[#This Row],[deliverySumm]]+ТабПозиции[[#This Row],[deliveryPost]],SUM(M126:O126))</f>
        <v>634</v>
      </c>
      <c r="Q126" s="57">
        <v>634</v>
      </c>
      <c r="R126" s="62">
        <f>ТабПозиции[[#This Row],[totalSumm]]-ТабПозиции[[#This Row],[payment]]</f>
        <v>0</v>
      </c>
      <c r="S126" s="34" t="s">
        <v>558</v>
      </c>
      <c r="T126" s="56" t="s">
        <v>3061</v>
      </c>
      <c r="U126" s="56" t="s">
        <v>3061</v>
      </c>
      <c r="V126" s="56" t="s">
        <v>3061</v>
      </c>
      <c r="W126"/>
      <c r="X126"/>
    </row>
    <row r="127" spans="1:24" x14ac:dyDescent="0.25">
      <c r="A127" s="26">
        <v>40</v>
      </c>
      <c r="B127" s="1">
        <f>IFERROR(VLOOKUP(ТабПозиции[[#This Row],[orderNum]],ТабЗаказы[#Data],MATCH(B$7,ТабЗаказы[#Headers],0),0),"")</f>
        <v>45381</v>
      </c>
      <c r="C127" t="str">
        <f>MONTH(ТабПозиции[[#This Row],[date]])&amp;"/"&amp;YEAR(ТабПозиции[[#This Row],[date]])</f>
        <v>3/2024</v>
      </c>
      <c r="D127" s="1" t="str">
        <f>IFERROR(VLOOKUP(ТабПозиции[[#This Row],[orderNum]],ТабЗаказы[#Data],MATCH(D$7,ТабЗаказы[#Headers],0),0),"")</f>
        <v>Галина Агабекова(церковь)</v>
      </c>
      <c r="E127" s="32" t="s">
        <v>662</v>
      </c>
      <c r="F127" s="56" t="s">
        <v>3061</v>
      </c>
      <c r="G127" s="33"/>
      <c r="H127" s="34">
        <v>45391</v>
      </c>
      <c r="I127" s="26">
        <v>1</v>
      </c>
      <c r="K127">
        <v>0</v>
      </c>
      <c r="L127" s="26">
        <v>516</v>
      </c>
      <c r="M127">
        <f t="shared" si="1"/>
        <v>516</v>
      </c>
      <c r="N127" s="26">
        <v>25</v>
      </c>
      <c r="O12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Row],[orderNum]],ТабПозиции[orderSumm])&gt;1500),ABS(M127*VLOOKUP(ТабПозиции[[#This Row],[orderNum]],ТабЗаказы[#Data],MATCH("Percent",ТабЗаказы[#Headers],0),0))/100,200/COUNTIF(ТабПозиции[orderNum],ТабПозиции[[#This Row],[orderNum]])),0),"")</f>
        <v>52</v>
      </c>
      <c r="P127">
        <f>IF(OR(ТабПозиции[[#This Row],[item]]="По штрихкоду",ТабПозиции[[#This Row],[item]]="Посылка"),ТабПозиции[[#This Row],[deliverySumm]]+ТабПозиции[[#This Row],[deliveryPost]],SUM(M127:O127))</f>
        <v>593</v>
      </c>
      <c r="Q127" s="57">
        <v>593</v>
      </c>
      <c r="R127" s="62">
        <f>ТабПозиции[[#This Row],[totalSumm]]-ТабПозиции[[#This Row],[payment]]</f>
        <v>0</v>
      </c>
      <c r="S127" s="34" t="s">
        <v>610</v>
      </c>
      <c r="T127" s="56" t="s">
        <v>3061</v>
      </c>
      <c r="U127" s="56" t="s">
        <v>3061</v>
      </c>
      <c r="V127" s="56" t="s">
        <v>3061</v>
      </c>
      <c r="W127"/>
      <c r="X127"/>
    </row>
    <row r="128" spans="1:24" x14ac:dyDescent="0.25">
      <c r="A128" s="26">
        <v>42</v>
      </c>
      <c r="B128" s="1">
        <f>IFERROR(VLOOKUP(ТабПозиции[[#This Row],[orderNum]],ТабЗаказы[#Data],MATCH(B$7,ТабЗаказы[#Headers],0),0),"")</f>
        <v>45381</v>
      </c>
      <c r="C128" t="str">
        <f>MONTH(ТабПозиции[[#This Row],[date]])&amp;"/"&amp;YEAR(ТабПозиции[[#This Row],[date]])</f>
        <v>3/2024</v>
      </c>
      <c r="D128" s="1" t="str">
        <f>IFERROR(VLOOKUP(ТабПозиции[[#This Row],[orderNum]],ТабЗаказы[#Data],MATCH(D$7,ТабЗаказы[#Headers],0),0),"")</f>
        <v>Руденко Юля</v>
      </c>
      <c r="E128" s="32" t="s">
        <v>663</v>
      </c>
      <c r="F128" s="56" t="s">
        <v>3061</v>
      </c>
      <c r="G128" s="33"/>
      <c r="H128" s="34">
        <v>45383</v>
      </c>
      <c r="I128" s="26">
        <v>1</v>
      </c>
      <c r="K128">
        <v>0</v>
      </c>
      <c r="L128" s="26">
        <v>290</v>
      </c>
      <c r="M128">
        <f t="shared" si="1"/>
        <v>290</v>
      </c>
      <c r="O12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Row],[orderNum]],ТабПозиции[orderSumm])&gt;1500),ABS(M128*VLOOKUP(ТабПозиции[[#This Row],[orderNum]],ТабЗаказы[#Data],MATCH("Percent",ТабЗаказы[#Headers],0),0))/100,200/COUNTIF(ТабПозиции[orderNum],ТабПозиции[[#This Row],[orderNum]])),0),"")</f>
        <v>29</v>
      </c>
      <c r="P128">
        <f>IF(OR(ТабПозиции[[#This Row],[item]]="По штрихкоду",ТабПозиции[[#This Row],[item]]="Посылка"),ТабПозиции[[#This Row],[deliverySumm]]+ТабПозиции[[#This Row],[deliveryPost]],SUM(M128:O128))</f>
        <v>319</v>
      </c>
      <c r="Q128" s="57">
        <v>319</v>
      </c>
      <c r="R128" s="62">
        <f>ТабПозиции[[#This Row],[totalSumm]]-ТабПозиции[[#This Row],[payment]]</f>
        <v>0</v>
      </c>
      <c r="S128" s="34" t="s">
        <v>558</v>
      </c>
      <c r="T128" s="56" t="s">
        <v>3061</v>
      </c>
      <c r="U128" s="56" t="s">
        <v>3061</v>
      </c>
      <c r="V128" s="56" t="s">
        <v>3061</v>
      </c>
      <c r="W128"/>
      <c r="X128"/>
    </row>
    <row r="129" spans="1:24" x14ac:dyDescent="0.25">
      <c r="A129" s="26">
        <v>42</v>
      </c>
      <c r="B129" s="1">
        <f>IFERROR(VLOOKUP(ТабПозиции[[#This Row],[orderNum]],ТабЗаказы[#Data],MATCH(B$7,ТабЗаказы[#Headers],0),0),"")</f>
        <v>45381</v>
      </c>
      <c r="C129" t="str">
        <f>MONTH(ТабПозиции[[#This Row],[date]])&amp;"/"&amp;YEAR(ТабПозиции[[#This Row],[date]])</f>
        <v>3/2024</v>
      </c>
      <c r="D129" s="1" t="str">
        <f>IFERROR(VLOOKUP(ТабПозиции[[#This Row],[orderNum]],ТабЗаказы[#Data],MATCH(D$7,ТабЗаказы[#Headers],0),0),"")</f>
        <v>Руденко Юля</v>
      </c>
      <c r="E129" s="32" t="s">
        <v>664</v>
      </c>
      <c r="F129" s="56" t="s">
        <v>3061</v>
      </c>
      <c r="G129" s="33"/>
      <c r="H129" s="34">
        <v>45383</v>
      </c>
      <c r="I129" s="26">
        <v>1</v>
      </c>
      <c r="K129">
        <v>0</v>
      </c>
      <c r="L129" s="26">
        <v>270</v>
      </c>
      <c r="M129">
        <f t="shared" si="1"/>
        <v>270</v>
      </c>
      <c r="O12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Row],[orderNum]],ТабПозиции[orderSumm])&gt;1500),ABS(M129*VLOOKUP(ТабПозиции[[#This Row],[orderNum]],ТабЗаказы[#Data],MATCH("Percent",ТабЗаказы[#Headers],0),0))/100,200/COUNTIF(ТабПозиции[orderNum],ТабПозиции[[#This Row],[orderNum]])),0),"")</f>
        <v>27</v>
      </c>
      <c r="P129">
        <f>IF(OR(ТабПозиции[[#This Row],[item]]="По штрихкоду",ТабПозиции[[#This Row],[item]]="Посылка"),ТабПозиции[[#This Row],[deliverySumm]]+ТабПозиции[[#This Row],[deliveryPost]],SUM(M129:O129))</f>
        <v>297</v>
      </c>
      <c r="Q129" s="57">
        <v>297</v>
      </c>
      <c r="R129" s="62">
        <f>ТабПозиции[[#This Row],[totalSumm]]-ТабПозиции[[#This Row],[payment]]</f>
        <v>0</v>
      </c>
      <c r="S129" s="34" t="s">
        <v>558</v>
      </c>
      <c r="T129" s="56" t="s">
        <v>3061</v>
      </c>
      <c r="U129" s="56" t="s">
        <v>3061</v>
      </c>
      <c r="V129" s="56" t="s">
        <v>3061</v>
      </c>
      <c r="W129"/>
      <c r="X129"/>
    </row>
    <row r="130" spans="1:24" x14ac:dyDescent="0.25">
      <c r="A130" s="26">
        <v>42</v>
      </c>
      <c r="B130" s="1">
        <f>IFERROR(VLOOKUP(ТабПозиции[[#This Row],[orderNum]],ТабЗаказы[#Data],MATCH(B$7,ТабЗаказы[#Headers],0),0),"")</f>
        <v>45381</v>
      </c>
      <c r="C130" t="str">
        <f>MONTH(ТабПозиции[[#This Row],[date]])&amp;"/"&amp;YEAR(ТабПозиции[[#This Row],[date]])</f>
        <v>3/2024</v>
      </c>
      <c r="D130" s="1" t="str">
        <f>IFERROR(VLOOKUP(ТабПозиции[[#This Row],[orderNum]],ТабЗаказы[#Data],MATCH(D$7,ТабЗаказы[#Headers],0),0),"")</f>
        <v>Руденко Юля</v>
      </c>
      <c r="E130" s="32" t="s">
        <v>665</v>
      </c>
      <c r="F130" s="56" t="s">
        <v>3061</v>
      </c>
      <c r="G130" s="33"/>
      <c r="H130" s="34">
        <v>45383</v>
      </c>
      <c r="I130" s="26">
        <v>1</v>
      </c>
      <c r="K130">
        <v>0</v>
      </c>
      <c r="L130" s="26">
        <v>453</v>
      </c>
      <c r="M130">
        <f t="shared" si="1"/>
        <v>453</v>
      </c>
      <c r="O13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Row],[orderNum]],ТабПозиции[orderSumm])&gt;1500),ABS(M130*VLOOKUP(ТабПозиции[[#This Row],[orderNum]],ТабЗаказы[#Data],MATCH("Percent",ТабЗаказы[#Headers],0),0))/100,200/COUNTIF(ТабПозиции[orderNum],ТабПозиции[[#This Row],[orderNum]])),0),"")</f>
        <v>45</v>
      </c>
      <c r="P130">
        <f>IF(OR(ТабПозиции[[#This Row],[item]]="По штрихкоду",ТабПозиции[[#This Row],[item]]="Посылка"),ТабПозиции[[#This Row],[deliverySumm]]+ТабПозиции[[#This Row],[deliveryPost]],SUM(M130:O130))</f>
        <v>498</v>
      </c>
      <c r="Q130" s="57">
        <v>498</v>
      </c>
      <c r="R130" s="62">
        <f>ТабПозиции[[#This Row],[totalSumm]]-ТабПозиции[[#This Row],[payment]]</f>
        <v>0</v>
      </c>
      <c r="S130" s="34" t="s">
        <v>558</v>
      </c>
      <c r="T130" s="56" t="s">
        <v>3061</v>
      </c>
      <c r="U130" s="56" t="s">
        <v>3061</v>
      </c>
      <c r="V130" s="56" t="s">
        <v>3061</v>
      </c>
      <c r="W130"/>
      <c r="X130"/>
    </row>
    <row r="131" spans="1:24" x14ac:dyDescent="0.25">
      <c r="A131" s="26">
        <v>42</v>
      </c>
      <c r="B131" s="1">
        <f>IFERROR(VLOOKUP(ТабПозиции[[#This Row],[orderNum]],ТабЗаказы[#Data],MATCH(B$7,ТабЗаказы[#Headers],0),0),"")</f>
        <v>45381</v>
      </c>
      <c r="C131" t="str">
        <f>MONTH(ТабПозиции[[#This Row],[date]])&amp;"/"&amp;YEAR(ТабПозиции[[#This Row],[date]])</f>
        <v>3/2024</v>
      </c>
      <c r="D131" s="1" t="str">
        <f>IFERROR(VLOOKUP(ТабПозиции[[#This Row],[orderNum]],ТабЗаказы[#Data],MATCH(D$7,ТабЗаказы[#Headers],0),0),"")</f>
        <v>Руденко Юля</v>
      </c>
      <c r="E131" s="32" t="s">
        <v>666</v>
      </c>
      <c r="F131" s="56" t="s">
        <v>3061</v>
      </c>
      <c r="G131" s="33"/>
      <c r="H131" s="34">
        <v>45383</v>
      </c>
      <c r="I131" s="26">
        <v>1</v>
      </c>
      <c r="K131">
        <v>0</v>
      </c>
      <c r="L131" s="26">
        <v>662</v>
      </c>
      <c r="M131">
        <f t="shared" si="1"/>
        <v>662</v>
      </c>
      <c r="O13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Row],[orderNum]],ТабПозиции[orderSumm])&gt;1500),ABS(M131*VLOOKUP(ТабПозиции[[#This Row],[orderNum]],ТабЗаказы[#Data],MATCH("Percent",ТабЗаказы[#Headers],0),0))/100,200/COUNTIF(ТабПозиции[orderNum],ТабПозиции[[#This Row],[orderNum]])),0),"")</f>
        <v>66</v>
      </c>
      <c r="P131">
        <f>IF(OR(ТабПозиции[[#This Row],[item]]="По штрихкоду",ТабПозиции[[#This Row],[item]]="Посылка"),ТабПозиции[[#This Row],[deliverySumm]]+ТабПозиции[[#This Row],[deliveryPost]],SUM(M131:O131))</f>
        <v>728</v>
      </c>
      <c r="Q131" s="57">
        <v>728</v>
      </c>
      <c r="R131" s="62">
        <f>ТабПозиции[[#This Row],[totalSumm]]-ТабПозиции[[#This Row],[payment]]</f>
        <v>0</v>
      </c>
      <c r="S131" s="34" t="s">
        <v>558</v>
      </c>
      <c r="T131" s="56" t="s">
        <v>3061</v>
      </c>
      <c r="U131" s="56" t="s">
        <v>3061</v>
      </c>
      <c r="V131" s="56" t="s">
        <v>3061</v>
      </c>
      <c r="W131"/>
      <c r="X131"/>
    </row>
    <row r="132" spans="1:24" x14ac:dyDescent="0.25">
      <c r="A132" s="26">
        <v>42</v>
      </c>
      <c r="B132" s="1">
        <f>IFERROR(VLOOKUP(ТабПозиции[[#This Row],[orderNum]],ТабЗаказы[#Data],MATCH(B$7,ТабЗаказы[#Headers],0),0),"")</f>
        <v>45381</v>
      </c>
      <c r="C132" t="str">
        <f>MONTH(ТабПозиции[[#This Row],[date]])&amp;"/"&amp;YEAR(ТабПозиции[[#This Row],[date]])</f>
        <v>3/2024</v>
      </c>
      <c r="D132" s="1" t="str">
        <f>IFERROR(VLOOKUP(ТабПозиции[[#This Row],[orderNum]],ТабЗаказы[#Data],MATCH(D$7,ТабЗаказы[#Headers],0),0),"")</f>
        <v>Руденко Юля</v>
      </c>
      <c r="E132" s="32" t="s">
        <v>667</v>
      </c>
      <c r="F132" s="56" t="s">
        <v>3061</v>
      </c>
      <c r="G132" s="33"/>
      <c r="H132" s="34">
        <v>45383</v>
      </c>
      <c r="I132" s="26">
        <v>1</v>
      </c>
      <c r="K132">
        <v>0</v>
      </c>
      <c r="L132" s="26">
        <v>829</v>
      </c>
      <c r="M132">
        <f t="shared" si="1"/>
        <v>829</v>
      </c>
      <c r="O13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Row],[orderNum]],ТабПозиции[orderSumm])&gt;1500),ABS(M132*VLOOKUP(ТабПозиции[[#This Row],[orderNum]],ТабЗаказы[#Data],MATCH("Percent",ТабЗаказы[#Headers],0),0))/100,200/COUNTIF(ТабПозиции[orderNum],ТабПозиции[[#This Row],[orderNum]])),0),"")</f>
        <v>83</v>
      </c>
      <c r="P132">
        <f>IF(OR(ТабПозиции[[#This Row],[item]]="По штрихкоду",ТабПозиции[[#This Row],[item]]="Посылка"),ТабПозиции[[#This Row],[deliverySumm]]+ТабПозиции[[#This Row],[deliveryPost]],SUM(M132:O132))</f>
        <v>912</v>
      </c>
      <c r="Q132" s="57">
        <v>912</v>
      </c>
      <c r="R132" s="62">
        <f>ТабПозиции[[#This Row],[totalSumm]]-ТабПозиции[[#This Row],[payment]]</f>
        <v>0</v>
      </c>
      <c r="S132" s="34" t="s">
        <v>558</v>
      </c>
      <c r="T132" s="56" t="s">
        <v>3061</v>
      </c>
      <c r="U132" s="56" t="s">
        <v>3061</v>
      </c>
      <c r="V132" s="56" t="s">
        <v>3061</v>
      </c>
      <c r="W132"/>
      <c r="X132"/>
    </row>
    <row r="133" spans="1:24" x14ac:dyDescent="0.25">
      <c r="A133" s="26">
        <v>34</v>
      </c>
      <c r="B133" s="1">
        <f>IFERROR(VLOOKUP(ТабПозиции[[#This Row],[orderNum]],ТабЗаказы[#Data],MATCH(B$7,ТабЗаказы[#Headers],0),0),"")</f>
        <v>45382</v>
      </c>
      <c r="C133" t="str">
        <f>MONTH(ТабПозиции[[#This Row],[date]])&amp;"/"&amp;YEAR(ТабПозиции[[#This Row],[date]])</f>
        <v>3/2024</v>
      </c>
      <c r="D133" s="1" t="str">
        <f>IFERROR(VLOOKUP(ТабПозиции[[#This Row],[orderNum]],ТабЗаказы[#Data],MATCH(D$7,ТабЗаказы[#Headers],0),0),"")</f>
        <v>Марк Полинкин</v>
      </c>
      <c r="E133" s="32" t="s">
        <v>606</v>
      </c>
      <c r="F133" s="56" t="s">
        <v>3061</v>
      </c>
      <c r="H133" s="34">
        <v>45384</v>
      </c>
      <c r="I133" s="26">
        <v>1</v>
      </c>
      <c r="K133">
        <v>0</v>
      </c>
      <c r="L133" s="26">
        <v>3397</v>
      </c>
      <c r="M133">
        <f t="shared" si="1"/>
        <v>3397</v>
      </c>
      <c r="O13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Row],[orderNum]],ТабПозиции[orderSumm])&gt;1500),ABS(M133*VLOOKUP(ТабПозиции[[#This Row],[orderNum]],ТабЗаказы[#Data],MATCH("Percent",ТабЗаказы[#Headers],0),0))/100,200/COUNTIF(ТабПозиции[orderNum],ТабПозиции[[#This Row],[orderNum]])),0),"")</f>
        <v>510</v>
      </c>
      <c r="P133">
        <f>IF(OR(ТабПозиции[[#This Row],[item]]="По штрихкоду",ТабПозиции[[#This Row],[item]]="Посылка"),ТабПозиции[[#This Row],[deliverySumm]]+ТабПозиции[[#This Row],[deliveryPost]],SUM(M133:O133))</f>
        <v>3907</v>
      </c>
      <c r="Q133" s="57">
        <v>3907</v>
      </c>
      <c r="R133" s="62">
        <f>ТабПозиции[[#This Row],[totalSumm]]-ТабПозиции[[#This Row],[payment]]</f>
        <v>0</v>
      </c>
      <c r="S133" s="34" t="s">
        <v>558</v>
      </c>
      <c r="T133" s="56" t="s">
        <v>3061</v>
      </c>
      <c r="U133" s="56" t="s">
        <v>3061</v>
      </c>
      <c r="V133" s="56" t="s">
        <v>3061</v>
      </c>
      <c r="W133"/>
      <c r="X133"/>
    </row>
    <row r="134" spans="1:24" x14ac:dyDescent="0.25">
      <c r="A134" s="26">
        <v>24</v>
      </c>
      <c r="B134" s="1">
        <f>IFERROR(VLOOKUP(ТабПозиции[[#This Row],[orderNum]],ТабЗаказы[#Data],MATCH(B$7,ТабЗаказы[#Headers],0),0),"")</f>
        <v>45376</v>
      </c>
      <c r="C134" t="str">
        <f>MONTH(ТабПозиции[[#This Row],[date]])&amp;"/"&amp;YEAR(ТабПозиции[[#This Row],[date]])</f>
        <v>3/2024</v>
      </c>
      <c r="D134" s="1" t="str">
        <f>IFERROR(VLOOKUP(ТабПозиции[[#This Row],[orderNum]],ТабЗаказы[#Data],MATCH(D$7,ТабЗаказы[#Headers],0),0),"")</f>
        <v>Полинка</v>
      </c>
      <c r="E134" s="32" t="s">
        <v>668</v>
      </c>
      <c r="F134" s="56" t="s">
        <v>3061</v>
      </c>
      <c r="H134" s="34">
        <v>45385</v>
      </c>
      <c r="I134" s="26">
        <v>1</v>
      </c>
      <c r="K134">
        <v>0</v>
      </c>
      <c r="L134" s="26">
        <v>1106</v>
      </c>
      <c r="M134">
        <f t="shared" si="1"/>
        <v>1106</v>
      </c>
      <c r="O13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Row],[orderNum]],ТабПозиции[orderSumm])&gt;1500),ABS(M134*VLOOKUP(ТабПозиции[[#This Row],[orderNum]],ТабЗаказы[#Data],MATCH("Percent",ТабЗаказы[#Headers],0),0))/100,200/COUNTIF(ТабПозиции[orderNum],ТабПозиции[[#This Row],[orderNum]])),0),"")</f>
        <v>166</v>
      </c>
      <c r="P134">
        <f>IF(OR(ТабПозиции[[#This Row],[item]]="По штрихкоду",ТабПозиции[[#This Row],[item]]="Посылка"),ТабПозиции[[#This Row],[deliverySumm]]+ТабПозиции[[#This Row],[deliveryPost]],SUM(M134:O134))</f>
        <v>1272</v>
      </c>
      <c r="Q134" s="57">
        <v>1272</v>
      </c>
      <c r="R134" s="62">
        <f>ТабПозиции[[#This Row],[totalSumm]]-ТабПозиции[[#This Row],[payment]]</f>
        <v>0</v>
      </c>
      <c r="S134" s="34" t="s">
        <v>558</v>
      </c>
      <c r="T134" s="56" t="s">
        <v>3061</v>
      </c>
      <c r="U134" s="56" t="s">
        <v>3061</v>
      </c>
      <c r="V134" s="56" t="s">
        <v>3061</v>
      </c>
      <c r="W134"/>
      <c r="X134"/>
    </row>
    <row r="135" spans="1:24" x14ac:dyDescent="0.25">
      <c r="A135" s="26">
        <v>31</v>
      </c>
      <c r="B135" s="1">
        <f>IFERROR(VLOOKUP(ТабПозиции[[#This Row],[orderNum]],ТабЗаказы[#Data],MATCH(B$7,ТабЗаказы[#Headers],0),0),"")</f>
        <v>45378</v>
      </c>
      <c r="C135" t="str">
        <f>MONTH(ТабПозиции[[#This Row],[date]])&amp;"/"&amp;YEAR(ТабПозиции[[#This Row],[date]])</f>
        <v>3/2024</v>
      </c>
      <c r="D135" s="1" t="str">
        <f>IFERROR(VLOOKUP(ТабПозиции[[#This Row],[orderNum]],ТабЗаказы[#Data],MATCH(D$7,ТабЗаказы[#Headers],0),0),"")</f>
        <v>Вадим</v>
      </c>
      <c r="E135" s="26" t="s">
        <v>32</v>
      </c>
      <c r="F135" s="56" t="s">
        <v>3061</v>
      </c>
      <c r="H135" s="34">
        <v>45387</v>
      </c>
      <c r="I135" s="26">
        <v>1</v>
      </c>
      <c r="J135" s="26">
        <v>0</v>
      </c>
      <c r="K135">
        <v>0</v>
      </c>
      <c r="L135" s="26">
        <v>1333</v>
      </c>
      <c r="M135">
        <f t="shared" si="1"/>
        <v>1333</v>
      </c>
      <c r="O13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Row],[orderNum]],ТабПозиции[orderSumm])&gt;1500),ABS(M135*VLOOKUP(ТабПозиции[[#This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35">
        <f>IF(OR(ТабПозиции[[#This Row],[item]]="По штрихкоду",ТабПозиции[[#This Row],[item]]="Посылка"),ТабПозиции[[#This Row],[deliverySumm]]+ТабПозиции[[#This Row],[deliveryPost]],SUM(M135:O135))</f>
        <v>200</v>
      </c>
      <c r="Q135" s="57">
        <v>200</v>
      </c>
      <c r="R135" s="62">
        <f>ТабПозиции[[#This Row],[totalSumm]]-ТабПозиции[[#This Row],[payment]]</f>
        <v>0</v>
      </c>
      <c r="S135" s="34" t="s">
        <v>608</v>
      </c>
      <c r="T135" s="56" t="s">
        <v>3061</v>
      </c>
      <c r="U135" s="56" t="s">
        <v>3061</v>
      </c>
      <c r="V135" s="56" t="s">
        <v>3061</v>
      </c>
      <c r="W135"/>
      <c r="X135"/>
    </row>
    <row r="136" spans="1:24" x14ac:dyDescent="0.25">
      <c r="A136" s="26">
        <v>44</v>
      </c>
      <c r="B136" s="1">
        <f>IFERROR(VLOOKUP(ТабПозиции[[#This Row],[orderNum]],ТабЗаказы[#Data],MATCH(B$7,ТабЗаказы[#Headers],0),0),"")</f>
        <v>45387</v>
      </c>
      <c r="C136" t="str">
        <f>MONTH(ТабПозиции[[#This Row],[date]])&amp;"/"&amp;YEAR(ТабПозиции[[#This Row],[date]])</f>
        <v>4/2024</v>
      </c>
      <c r="D136" s="1" t="str">
        <f>IFERROR(VLOOKUP(ТабПозиции[[#This Row],[orderNum]],ТабЗаказы[#Data],MATCH(D$7,ТабЗаказы[#Headers],0),0),"")</f>
        <v>Александр 1</v>
      </c>
      <c r="E136" s="26" t="s">
        <v>32</v>
      </c>
      <c r="F136" s="56" t="s">
        <v>3061</v>
      </c>
      <c r="H136" s="34">
        <v>45387</v>
      </c>
      <c r="I136" s="26">
        <v>0</v>
      </c>
      <c r="J136" s="26">
        <v>0</v>
      </c>
      <c r="K136">
        <v>0</v>
      </c>
      <c r="L136" s="26">
        <v>0</v>
      </c>
      <c r="M136">
        <f t="shared" si="1"/>
        <v>0</v>
      </c>
      <c r="O13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Row],[orderNum]],ТабПозиции[orderSumm])&gt;1500),ABS(M136*VLOOKUP(ТабПозиции[[#This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36">
        <f>IF(OR(ТабПозиции[[#This Row],[item]]="По штрихкоду",ТабПозиции[[#This Row],[item]]="Посылка"),ТабПозиции[[#This Row],[deliverySumm]]+ТабПозиции[[#This Row],[deliveryPost]],SUM(M136:O136))</f>
        <v>200</v>
      </c>
      <c r="Q136" s="57">
        <v>200</v>
      </c>
      <c r="R136" s="62">
        <f>ТабПозиции[[#This Row],[totalSumm]]-ТабПозиции[[#This Row],[payment]]</f>
        <v>0</v>
      </c>
      <c r="S136" s="34" t="s">
        <v>541</v>
      </c>
      <c r="T136" s="56" t="s">
        <v>3061</v>
      </c>
      <c r="U136" s="56" t="s">
        <v>3061</v>
      </c>
      <c r="V136" s="56" t="s">
        <v>3061</v>
      </c>
      <c r="W136"/>
      <c r="X136"/>
    </row>
    <row r="137" spans="1:24" x14ac:dyDescent="0.25">
      <c r="A137" s="26">
        <v>45</v>
      </c>
      <c r="B137" s="1">
        <f>IFERROR(VLOOKUP(ТабПозиции[[#This Row],[orderNum]],ТабЗаказы[#Data],MATCH(B$7,ТабЗаказы[#Headers],0),0),"")</f>
        <v>45387</v>
      </c>
      <c r="C137" t="str">
        <f>MONTH(ТабПозиции[[#This Row],[date]])&amp;"/"&amp;YEAR(ТабПозиции[[#This Row],[date]])</f>
        <v>4/2024</v>
      </c>
      <c r="D137" s="1" t="str">
        <f>IFERROR(VLOOKUP(ТабПозиции[[#This Row],[orderNum]],ТабЗаказы[#Data],MATCH(D$7,ТабЗаказы[#Headers],0),0),"")</f>
        <v>Маричка</v>
      </c>
      <c r="E137" s="26" t="s">
        <v>32</v>
      </c>
      <c r="F137" s="56" t="s">
        <v>3061</v>
      </c>
      <c r="G137" s="28" t="s">
        <v>669</v>
      </c>
      <c r="H137" s="34">
        <v>45387</v>
      </c>
      <c r="I137" s="26">
        <v>1</v>
      </c>
      <c r="J137" s="26">
        <v>0</v>
      </c>
      <c r="K137">
        <v>0</v>
      </c>
      <c r="L137" s="26">
        <v>2117</v>
      </c>
      <c r="M137">
        <f t="shared" si="1"/>
        <v>2117</v>
      </c>
      <c r="O13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Row],[orderNum]],ТабПозиции[orderSumm])&gt;1500),ABS(M137*VLOOKUP(ТабПозиции[[#This Row],[orderNum]],ТабЗаказы[#Data],MATCH("Percent",ТабЗаказы[#Headers],0),0))/100,200/COUNTIF(ТабПозиции[orderNum],ТабПозиции[[#This Row],[orderNum]])),0),"")</f>
        <v>318</v>
      </c>
      <c r="P137">
        <f>IF(OR(ТабПозиции[[#This Row],[item]]="По штрихкоду",ТабПозиции[[#This Row],[item]]="Посылка"),ТабПозиции[[#This Row],[deliverySumm]]+ТабПозиции[[#This Row],[deliveryPost]],SUM(M137:O137))</f>
        <v>318</v>
      </c>
      <c r="Q137" s="57">
        <v>318</v>
      </c>
      <c r="R137" s="62">
        <f>ТабПозиции[[#This Row],[totalSumm]]-ТабПозиции[[#This Row],[payment]]</f>
        <v>0</v>
      </c>
      <c r="S137" s="34" t="s">
        <v>579</v>
      </c>
      <c r="T137" s="56" t="s">
        <v>3061</v>
      </c>
      <c r="U137" s="56" t="s">
        <v>3061</v>
      </c>
      <c r="V137" s="56" t="s">
        <v>3061</v>
      </c>
      <c r="W137"/>
      <c r="X137"/>
    </row>
    <row r="138" spans="1:24" x14ac:dyDescent="0.25">
      <c r="A138" s="26">
        <v>24</v>
      </c>
      <c r="B138" s="1">
        <f>IFERROR(VLOOKUP(ТабПозиции[[#This Row],[orderNum]],ТабЗаказы[#Data],MATCH(B$7,ТабЗаказы[#Headers],0),0),"")</f>
        <v>45376</v>
      </c>
      <c r="C138" t="str">
        <f>MONTH(ТабПозиции[[#This Row],[date]])&amp;"/"&amp;YEAR(ТабПозиции[[#This Row],[date]])</f>
        <v>3/2024</v>
      </c>
      <c r="D138" s="1" t="str">
        <f>IFERROR(VLOOKUP(ТабПозиции[[#This Row],[orderNum]],ТабЗаказы[#Data],MATCH(D$7,ТабЗаказы[#Headers],0),0),"")</f>
        <v>Полинка</v>
      </c>
      <c r="E138" s="26" t="s">
        <v>32</v>
      </c>
      <c r="F138" s="56" t="s">
        <v>3061</v>
      </c>
      <c r="G138" s="28" t="s">
        <v>670</v>
      </c>
      <c r="H138" s="34">
        <v>45387</v>
      </c>
      <c r="I138" s="26">
        <v>1</v>
      </c>
      <c r="J138" s="26">
        <v>0</v>
      </c>
      <c r="K138">
        <v>0</v>
      </c>
      <c r="L138" s="26">
        <v>645</v>
      </c>
      <c r="M138">
        <f t="shared" si="1"/>
        <v>645</v>
      </c>
      <c r="O13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Row],[orderNum]],ТабПозиции[orderSumm])&gt;1500),ABS(M138*VLOOKUP(ТабПозиции[[#This Row],[orderNum]],ТабЗаказы[#Data],MATCH("Percent",ТабЗаказы[#Headers],0),0))/100,200/COUNTIF(ТабПозиции[orderNum],ТабПозиции[[#This Row],[orderNum]])),0),"")</f>
        <v>97</v>
      </c>
      <c r="P138">
        <f>IF(OR(ТабПозиции[[#This Row],[item]]="По штрихкоду",ТабПозиции[[#This Row],[item]]="Посылка"),ТабПозиции[[#This Row],[deliverySumm]]+ТабПозиции[[#This Row],[deliveryPost]],SUM(M138:O138))</f>
        <v>97</v>
      </c>
      <c r="Q138" s="57">
        <v>97</v>
      </c>
      <c r="R138" s="62">
        <f>ТабПозиции[[#This Row],[totalSumm]]-ТабПозиции[[#This Row],[payment]]</f>
        <v>0</v>
      </c>
      <c r="S138" s="34" t="s">
        <v>579</v>
      </c>
      <c r="T138" s="56" t="s">
        <v>3061</v>
      </c>
      <c r="U138" s="56" t="s">
        <v>3061</v>
      </c>
      <c r="V138" s="56" t="s">
        <v>3061</v>
      </c>
      <c r="W138"/>
      <c r="X138"/>
    </row>
    <row r="139" spans="1:24" x14ac:dyDescent="0.25">
      <c r="A139" s="26">
        <v>46</v>
      </c>
      <c r="B139" s="1">
        <f>IFERROR(VLOOKUP(ТабПозиции[[#This Row],[orderNum]],ТабЗаказы[#Data],MATCH(B$7,ТабЗаказы[#Headers],0),0),"")</f>
        <v>45387</v>
      </c>
      <c r="C139" t="str">
        <f>MONTH(ТабПозиции[[#This Row],[date]])&amp;"/"&amp;YEAR(ТабПозиции[[#This Row],[date]])</f>
        <v>4/2024</v>
      </c>
      <c r="D139" s="1" t="str">
        <f>IFERROR(VLOOKUP(ТабПозиции[[#This Row],[orderNum]],ТабЗаказы[#Data],MATCH(D$7,ТабЗаказы[#Headers],0),0),"")</f>
        <v>Максим телевизор</v>
      </c>
      <c r="E139" s="26" t="s">
        <v>32</v>
      </c>
      <c r="F139" s="56" t="s">
        <v>3061</v>
      </c>
      <c r="H139" s="34">
        <v>45387</v>
      </c>
      <c r="I139" s="26">
        <v>1</v>
      </c>
      <c r="J139" s="26">
        <v>0</v>
      </c>
      <c r="K139">
        <v>0</v>
      </c>
      <c r="L139" s="26">
        <v>3000</v>
      </c>
      <c r="M139">
        <f t="shared" si="1"/>
        <v>3000</v>
      </c>
      <c r="O13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Row],[orderNum]],ТабПозиции[orderSumm])&gt;1500),ABS(M139*VLOOKUP(ТабПозиции[[#This Row],[orderNum]],ТабЗаказы[#Data],MATCH("Percent",ТабЗаказы[#Headers],0),0))/100,200/COUNTIF(ТабПозиции[orderNum],ТабПозиции[[#This Row],[orderNum]])),0),"")</f>
        <v>300</v>
      </c>
      <c r="P139">
        <f>IF(OR(ТабПозиции[[#This Row],[item]]="По штрихкоду",ТабПозиции[[#This Row],[item]]="Посылка"),ТабПозиции[[#This Row],[deliverySumm]]+ТабПозиции[[#This Row],[deliveryPost]],SUM(M139:O139))</f>
        <v>300</v>
      </c>
      <c r="Q139" s="57">
        <v>300</v>
      </c>
      <c r="R139" s="62">
        <f>ТабПозиции[[#This Row],[totalSumm]]-ТабПозиции[[#This Row],[payment]]</f>
        <v>0</v>
      </c>
      <c r="S139" s="34" t="s">
        <v>671</v>
      </c>
      <c r="T139" s="56" t="s">
        <v>3061</v>
      </c>
      <c r="U139" s="56" t="s">
        <v>3061</v>
      </c>
      <c r="V139" s="56" t="s">
        <v>3061</v>
      </c>
      <c r="W139"/>
      <c r="X139"/>
    </row>
    <row r="140" spans="1:24" x14ac:dyDescent="0.25">
      <c r="A140" s="26">
        <v>46</v>
      </c>
      <c r="B140" s="1">
        <f>IFERROR(VLOOKUP(ТабПозиции[[#This Row],[orderNum]],ТабЗаказы[#Data],MATCH(B$7,ТабЗаказы[#Headers],0),0),"")</f>
        <v>45387</v>
      </c>
      <c r="C140" t="str">
        <f>MONTH(ТабПозиции[[#This Row],[date]])&amp;"/"&amp;YEAR(ТабПозиции[[#This Row],[date]])</f>
        <v>4/2024</v>
      </c>
      <c r="D140" s="1" t="str">
        <f>IFERROR(VLOOKUP(ТабПозиции[[#This Row],[orderNum]],ТабЗаказы[#Data],MATCH(D$7,ТабЗаказы[#Headers],0),0),"")</f>
        <v>Максим телевизор</v>
      </c>
      <c r="E140" s="26" t="s">
        <v>32</v>
      </c>
      <c r="F140" s="56" t="s">
        <v>3061</v>
      </c>
      <c r="H140" s="34">
        <v>45387</v>
      </c>
      <c r="I140" s="26">
        <v>1</v>
      </c>
      <c r="J140" s="26">
        <v>0</v>
      </c>
      <c r="K140">
        <v>0</v>
      </c>
      <c r="L140" s="26">
        <v>8421</v>
      </c>
      <c r="M140">
        <f t="shared" ref="M140:M203" si="2">L140*I140</f>
        <v>8421</v>
      </c>
      <c r="O14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Row],[orderNum]],ТабПозиции[orderSumm])&gt;1500),ABS(M140*VLOOKUP(ТабПозиции[[#This Row],[orderNum]],ТабЗаказы[#Data],MATCH("Percent",ТабЗаказы[#Headers],0),0))/100,200/COUNTIF(ТабПозиции[orderNum],ТабПозиции[[#This Row],[orderNum]])),0),"")</f>
        <v>842</v>
      </c>
      <c r="P140">
        <f>IF(OR(ТабПозиции[[#This Row],[item]]="По штрихкоду",ТабПозиции[[#This Row],[item]]="Посылка"),ТабПозиции[[#This Row],[deliverySumm]]+ТабПозиции[[#This Row],[deliveryPost]],SUM(M140:O140))</f>
        <v>842</v>
      </c>
      <c r="Q140" s="57">
        <v>842</v>
      </c>
      <c r="R140" s="62">
        <f>ТабПозиции[[#This Row],[totalSumm]]-ТабПозиции[[#This Row],[payment]]</f>
        <v>0</v>
      </c>
      <c r="S140" s="34" t="s">
        <v>671</v>
      </c>
      <c r="T140" s="56" t="s">
        <v>3061</v>
      </c>
      <c r="U140" s="56" t="s">
        <v>3061</v>
      </c>
      <c r="V140" s="56" t="s">
        <v>3061</v>
      </c>
      <c r="W140"/>
      <c r="X140"/>
    </row>
    <row r="141" spans="1:24" x14ac:dyDescent="0.25">
      <c r="A141" s="26">
        <v>46</v>
      </c>
      <c r="B141" s="1">
        <f>IFERROR(VLOOKUP(ТабПозиции[[#This Row],[orderNum]],ТабЗаказы[#Data],MATCH(B$7,ТабЗаказы[#Headers],0),0),"")</f>
        <v>45387</v>
      </c>
      <c r="C141" t="str">
        <f>MONTH(ТабПозиции[[#This Row],[date]])&amp;"/"&amp;YEAR(ТабПозиции[[#This Row],[date]])</f>
        <v>4/2024</v>
      </c>
      <c r="D141" s="1" t="str">
        <f>IFERROR(VLOOKUP(ТабПозиции[[#This Row],[orderNum]],ТабЗаказы[#Data],MATCH(D$7,ТабЗаказы[#Headers],0),0),"")</f>
        <v>Максим телевизор</v>
      </c>
      <c r="E141" s="26" t="s">
        <v>32</v>
      </c>
      <c r="F141" s="56" t="s">
        <v>3061</v>
      </c>
      <c r="H141" s="34">
        <v>45387</v>
      </c>
      <c r="I141" s="26">
        <v>1</v>
      </c>
      <c r="J141" s="26">
        <v>0</v>
      </c>
      <c r="K141">
        <v>0</v>
      </c>
      <c r="L141" s="26">
        <v>7190</v>
      </c>
      <c r="M141">
        <f t="shared" si="2"/>
        <v>7190</v>
      </c>
      <c r="O14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Row],[orderNum]],ТабПозиции[orderSumm])&gt;1500),ABS(M141*VLOOKUP(ТабПозиции[[#This Row],[orderNum]],ТабЗаказы[#Data],MATCH("Percent",ТабЗаказы[#Headers],0),0))/100,200/COUNTIF(ТабПозиции[orderNum],ТабПозиции[[#This Row],[orderNum]])),0),"")</f>
        <v>719</v>
      </c>
      <c r="P141">
        <f>IF(OR(ТабПозиции[[#This Row],[item]]="По штрихкоду",ТабПозиции[[#This Row],[item]]="Посылка"),ТабПозиции[[#This Row],[deliverySumm]]+ТабПозиции[[#This Row],[deliveryPost]],SUM(M141:O141))</f>
        <v>719</v>
      </c>
      <c r="Q141" s="57">
        <v>719</v>
      </c>
      <c r="R141" s="62">
        <f>ТабПозиции[[#This Row],[totalSumm]]-ТабПозиции[[#This Row],[payment]]</f>
        <v>0</v>
      </c>
      <c r="S141" s="34" t="s">
        <v>671</v>
      </c>
      <c r="T141" s="56" t="s">
        <v>3061</v>
      </c>
      <c r="U141" s="56" t="s">
        <v>3061</v>
      </c>
      <c r="V141" s="56" t="s">
        <v>3061</v>
      </c>
      <c r="W141"/>
      <c r="X141"/>
    </row>
    <row r="142" spans="1:24" x14ac:dyDescent="0.25">
      <c r="A142" s="26">
        <v>46</v>
      </c>
      <c r="B142" s="1">
        <f>IFERROR(VLOOKUP(ТабПозиции[[#This Row],[orderNum]],ТабЗаказы[#Data],MATCH(B$7,ТабЗаказы[#Headers],0),0),"")</f>
        <v>45387</v>
      </c>
      <c r="C142" t="str">
        <f>MONTH(ТабПозиции[[#This Row],[date]])&amp;"/"&amp;YEAR(ТабПозиции[[#This Row],[date]])</f>
        <v>4/2024</v>
      </c>
      <c r="D142" s="1" t="str">
        <f>IFERROR(VLOOKUP(ТабПозиции[[#This Row],[orderNum]],ТабЗаказы[#Data],MATCH(D$7,ТабЗаказы[#Headers],0),0),"")</f>
        <v>Максим телевизор</v>
      </c>
      <c r="E142" s="26" t="s">
        <v>32</v>
      </c>
      <c r="F142" s="56" t="s">
        <v>3061</v>
      </c>
      <c r="H142" s="34">
        <v>45387</v>
      </c>
      <c r="I142" s="26">
        <v>1</v>
      </c>
      <c r="J142" s="26">
        <v>0</v>
      </c>
      <c r="K142">
        <v>0</v>
      </c>
      <c r="L142" s="26">
        <v>14990</v>
      </c>
      <c r="M142">
        <f t="shared" si="2"/>
        <v>14990</v>
      </c>
      <c r="O14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Row],[orderNum]],ТабПозиции[orderSumm])&gt;1500),ABS(M142*VLOOKUP(ТабПозиции[[#This Row],[orderNum]],ТабЗаказы[#Data],MATCH("Percent",ТабЗаказы[#Headers],0),0))/100,200/COUNTIF(ТабПозиции[orderNum],ТабПозиции[[#This Row],[orderNum]])),0),"")</f>
        <v>1499</v>
      </c>
      <c r="P142">
        <f>IF(OR(ТабПозиции[[#This Row],[item]]="По штрихкоду",ТабПозиции[[#This Row],[item]]="Посылка"),ТабПозиции[[#This Row],[deliverySumm]]+ТабПозиции[[#This Row],[deliveryPost]],SUM(M142:O142))</f>
        <v>1499</v>
      </c>
      <c r="Q142" s="57">
        <v>1499</v>
      </c>
      <c r="R142" s="62">
        <f>ТабПозиции[[#This Row],[totalSumm]]-ТабПозиции[[#This Row],[payment]]</f>
        <v>0</v>
      </c>
      <c r="S142" s="34" t="s">
        <v>627</v>
      </c>
      <c r="T142" s="56" t="s">
        <v>3061</v>
      </c>
      <c r="U142" s="56" t="s">
        <v>3061</v>
      </c>
      <c r="V142" s="56" t="s">
        <v>3061</v>
      </c>
      <c r="W142"/>
      <c r="X142"/>
    </row>
    <row r="143" spans="1:24" x14ac:dyDescent="0.25">
      <c r="A143" s="26">
        <v>47</v>
      </c>
      <c r="B143" s="1">
        <f>IFERROR(VLOOKUP(ТабПозиции[[#This Row],[orderNum]],ТабЗаказы[#Data],MATCH(B$7,ТабЗаказы[#Headers],0),0),"")</f>
        <v>45387</v>
      </c>
      <c r="C143" t="str">
        <f>MONTH(ТабПозиции[[#This Row],[date]])&amp;"/"&amp;YEAR(ТабПозиции[[#This Row],[date]])</f>
        <v>4/2024</v>
      </c>
      <c r="D143" s="1" t="str">
        <f>IFERROR(VLOOKUP(ТабПозиции[[#This Row],[orderNum]],ТабЗаказы[#Data],MATCH(D$7,ТабЗаказы[#Headers],0),0),"")</f>
        <v>Алена Бондаренко</v>
      </c>
      <c r="E143" s="26" t="s">
        <v>32</v>
      </c>
      <c r="F143" s="56" t="s">
        <v>3061</v>
      </c>
      <c r="H143" s="34">
        <v>45387</v>
      </c>
      <c r="I143" s="26">
        <v>1</v>
      </c>
      <c r="J143" s="26">
        <v>0</v>
      </c>
      <c r="K143">
        <v>0</v>
      </c>
      <c r="L143" s="26">
        <v>1856</v>
      </c>
      <c r="M143">
        <f t="shared" si="2"/>
        <v>1856</v>
      </c>
      <c r="O14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Row],[orderNum]],ТабПозиции[orderSumm])&gt;1500),ABS(M143*VLOOKUP(ТабПозиции[[#This Row],[orderNum]],ТабЗаказы[#Data],MATCH("Percent",ТабЗаказы[#Headers],0),0))/100,200/COUNTIF(ТабПозиции[orderNum],ТабПозиции[[#This Row],[orderNum]])),0),"")</f>
        <v>186</v>
      </c>
      <c r="P143">
        <f>IF(OR(ТабПозиции[[#This Row],[item]]="По штрихкоду",ТабПозиции[[#This Row],[item]]="Посылка"),ТабПозиции[[#This Row],[deliverySumm]]+ТабПозиции[[#This Row],[deliveryPost]],SUM(M143:O143))</f>
        <v>186</v>
      </c>
      <c r="Q143" s="57">
        <v>186</v>
      </c>
      <c r="R143" s="62">
        <f>ТабПозиции[[#This Row],[totalSumm]]-ТабПозиции[[#This Row],[payment]]</f>
        <v>0</v>
      </c>
      <c r="S143" s="34" t="s">
        <v>544</v>
      </c>
      <c r="T143" s="56" t="s">
        <v>3061</v>
      </c>
      <c r="U143" s="56" t="s">
        <v>3061</v>
      </c>
      <c r="V143" s="56" t="s">
        <v>3061</v>
      </c>
      <c r="W143"/>
      <c r="X143"/>
    </row>
    <row r="144" spans="1:24" x14ac:dyDescent="0.25">
      <c r="A144" s="26">
        <v>48</v>
      </c>
      <c r="B144" s="1">
        <f>IFERROR(VLOOKUP(ТабПозиции[[#This Row],[orderNum]],ТабЗаказы[#Data],MATCH(B$7,ТабЗаказы[#Headers],0),0),"")</f>
        <v>45387</v>
      </c>
      <c r="C144" t="str">
        <f>MONTH(ТабПозиции[[#This Row],[date]])&amp;"/"&amp;YEAR(ТабПозиции[[#This Row],[date]])</f>
        <v>4/2024</v>
      </c>
      <c r="D144" s="1" t="str">
        <f>IFERROR(VLOOKUP(ТабПозиции[[#This Row],[orderNum]],ТабЗаказы[#Data],MATCH(D$7,ТабЗаказы[#Headers],0),0),"")</f>
        <v>Геннадий Генерал</v>
      </c>
      <c r="E144" s="26" t="s">
        <v>32</v>
      </c>
      <c r="F144" s="56" t="s">
        <v>3061</v>
      </c>
      <c r="H144" s="34">
        <v>45387</v>
      </c>
      <c r="I144" s="26">
        <v>1</v>
      </c>
      <c r="J144" s="26">
        <v>0</v>
      </c>
      <c r="K144">
        <v>0</v>
      </c>
      <c r="L144" s="26">
        <v>35500</v>
      </c>
      <c r="M144">
        <f t="shared" si="2"/>
        <v>35500</v>
      </c>
      <c r="O14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Row],[orderNum]],ТабПозиции[orderSumm])&gt;1500),ABS(M144*VLOOKUP(ТабПозиции[[#This Row],[orderNum]],ТабЗаказы[#Data],MATCH("Percent",ТабЗаказы[#Headers],0),0))/100,200/COUNTIF(ТабПозиции[orderNum],ТабПозиции[[#This Row],[orderNum]])),0),"")</f>
        <v>3550</v>
      </c>
      <c r="P144">
        <f>IF(OR(ТабПозиции[[#This Row],[item]]="По штрихкоду",ТабПозиции[[#This Row],[item]]="Посылка"),ТабПозиции[[#This Row],[deliverySumm]]+ТабПозиции[[#This Row],[deliveryPost]],SUM(M144:O144))</f>
        <v>3550</v>
      </c>
      <c r="Q144" s="57">
        <v>3550</v>
      </c>
      <c r="R144" s="62">
        <f>ТабПозиции[[#This Row],[totalSumm]]-ТабПозиции[[#This Row],[payment]]</f>
        <v>0</v>
      </c>
      <c r="S144" s="34" t="s">
        <v>575</v>
      </c>
      <c r="T144" s="56" t="s">
        <v>3061</v>
      </c>
      <c r="U144" s="56" t="s">
        <v>3061</v>
      </c>
      <c r="V144" s="56" t="s">
        <v>3061</v>
      </c>
      <c r="W144"/>
      <c r="X144"/>
    </row>
    <row r="145" spans="1:24" x14ac:dyDescent="0.25">
      <c r="A145" s="26">
        <v>49</v>
      </c>
      <c r="B145" s="1">
        <f>IFERROR(VLOOKUP(ТабПозиции[[#This Row],[orderNum]],ТабЗаказы[#Data],MATCH(B$7,ТабЗаказы[#Headers],0),0),"")</f>
        <v>45388</v>
      </c>
      <c r="C145" t="str">
        <f>MONTH(ТабПозиции[[#This Row],[date]])&amp;"/"&amp;YEAR(ТабПозиции[[#This Row],[date]])</f>
        <v>4/2024</v>
      </c>
      <c r="D145" s="1" t="str">
        <f>IFERROR(VLOOKUP(ТабПозиции[[#This Row],[orderNum]],ТабЗаказы[#Data],MATCH(D$7,ТабЗаказы[#Headers],0),0),"")</f>
        <v>Лариса Кирова</v>
      </c>
      <c r="E145" s="32" t="s">
        <v>672</v>
      </c>
      <c r="F145" s="56" t="s">
        <v>3061</v>
      </c>
      <c r="H145" s="34">
        <v>45391</v>
      </c>
      <c r="I145" s="26">
        <v>6</v>
      </c>
      <c r="J145" s="26">
        <v>247</v>
      </c>
      <c r="K145">
        <v>1482</v>
      </c>
      <c r="L145" s="26">
        <v>255</v>
      </c>
      <c r="M145">
        <f t="shared" si="2"/>
        <v>1530</v>
      </c>
      <c r="O14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Row],[orderNum]],ТабПозиции[orderSumm])&gt;1500),ABS(M145*VLOOKUP(ТабПозиции[[#This Row],[orderNum]],ТабЗаказы[#Data],MATCH("Percent",ТабЗаказы[#Headers],0),0))/100,200/COUNTIF(ТабПозиции[orderNum],ТабПозиции[[#This Row],[orderNum]])),0),"")</f>
        <v>230</v>
      </c>
      <c r="P145">
        <f>IF(OR(ТабПозиции[[#This Row],[item]]="По штрихкоду",ТабПозиции[[#This Row],[item]]="Посылка"),ТабПозиции[[#This Row],[deliverySumm]]+ТабПозиции[[#This Row],[deliveryPost]],SUM(M145:O145))</f>
        <v>1760</v>
      </c>
      <c r="Q145" s="57">
        <v>1760</v>
      </c>
      <c r="R145" s="62">
        <f>ТабПозиции[[#This Row],[totalSumm]]-ТабПозиции[[#This Row],[payment]]</f>
        <v>0</v>
      </c>
      <c r="S145" s="34" t="s">
        <v>558</v>
      </c>
      <c r="T145" s="56" t="s">
        <v>3061</v>
      </c>
      <c r="U145" s="56" t="s">
        <v>3061</v>
      </c>
      <c r="V145" s="56" t="s">
        <v>3061</v>
      </c>
      <c r="W145"/>
      <c r="X145"/>
    </row>
    <row r="146" spans="1:24" x14ac:dyDescent="0.25">
      <c r="A146" s="26">
        <v>49</v>
      </c>
      <c r="B146" s="1">
        <f>IFERROR(VLOOKUP(ТабПозиции[[#This Row],[orderNum]],ТабЗаказы[#Data],MATCH(B$7,ТабЗаказы[#Headers],0),0),"")</f>
        <v>45388</v>
      </c>
      <c r="C146" t="str">
        <f>MONTH(ТабПозиции[[#This Row],[date]])&amp;"/"&amp;YEAR(ТабПозиции[[#This Row],[date]])</f>
        <v>4/2024</v>
      </c>
      <c r="D146" s="1" t="str">
        <f>IFERROR(VLOOKUP(ТабПозиции[[#This Row],[orderNum]],ТабЗаказы[#Data],MATCH(D$7,ТабЗаказы[#Headers],0),0),"")</f>
        <v>Лариса Кирова</v>
      </c>
      <c r="E146" s="32" t="s">
        <v>673</v>
      </c>
      <c r="F146" s="56" t="s">
        <v>3061</v>
      </c>
      <c r="H146" s="34">
        <v>45390</v>
      </c>
      <c r="I146" s="26">
        <v>1</v>
      </c>
      <c r="J146" s="26">
        <v>262</v>
      </c>
      <c r="K146">
        <v>262</v>
      </c>
      <c r="L146" s="26">
        <v>271</v>
      </c>
      <c r="M146">
        <f t="shared" si="2"/>
        <v>271</v>
      </c>
      <c r="O14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Row],[orderNum]],ТабПозиции[orderSumm])&gt;1500),ABS(M146*VLOOKUP(ТабПозиции[[#This Row],[orderNum]],ТабЗаказы[#Data],MATCH("Percent",ТабЗаказы[#Headers],0),0))/100,200/COUNTIF(ТабПозиции[orderNum],ТабПозиции[[#This Row],[orderNum]])),0),"")</f>
        <v>41</v>
      </c>
      <c r="P146">
        <f>IF(OR(ТабПозиции[[#This Row],[item]]="По штрихкоду",ТабПозиции[[#This Row],[item]]="Посылка"),ТабПозиции[[#This Row],[deliverySumm]]+ТабПозиции[[#This Row],[deliveryPost]],SUM(M146:O146))</f>
        <v>312</v>
      </c>
      <c r="Q146" s="57">
        <v>312</v>
      </c>
      <c r="R146" s="62">
        <f>ТабПозиции[[#This Row],[totalSumm]]-ТабПозиции[[#This Row],[payment]]</f>
        <v>0</v>
      </c>
      <c r="S146" s="34" t="s">
        <v>558</v>
      </c>
      <c r="T146" s="56" t="s">
        <v>3061</v>
      </c>
      <c r="U146" s="56" t="s">
        <v>3061</v>
      </c>
      <c r="V146" s="56" t="s">
        <v>3061</v>
      </c>
      <c r="W146"/>
      <c r="X146"/>
    </row>
    <row r="147" spans="1:24" x14ac:dyDescent="0.25">
      <c r="A147" s="26">
        <v>49</v>
      </c>
      <c r="B147" s="1">
        <f>IFERROR(VLOOKUP(ТабПозиции[[#This Row],[orderNum]],ТабЗаказы[#Data],MATCH(B$7,ТабЗаказы[#Headers],0),0),"")</f>
        <v>45388</v>
      </c>
      <c r="C147" t="str">
        <f>MONTH(ТабПозиции[[#This Row],[date]])&amp;"/"&amp;YEAR(ТабПозиции[[#This Row],[date]])</f>
        <v>4/2024</v>
      </c>
      <c r="D147" s="1" t="str">
        <f>IFERROR(VLOOKUP(ТабПозиции[[#This Row],[orderNum]],ТабЗаказы[#Data],MATCH(D$7,ТабЗаказы[#Headers],0),0),"")</f>
        <v>Лариса Кирова</v>
      </c>
      <c r="E147" s="32" t="s">
        <v>674</v>
      </c>
      <c r="F147" s="56" t="s">
        <v>3061</v>
      </c>
      <c r="H147" s="34">
        <v>45390</v>
      </c>
      <c r="I147" s="26">
        <v>1</v>
      </c>
      <c r="J147" s="26">
        <v>239</v>
      </c>
      <c r="K147">
        <v>239</v>
      </c>
      <c r="L147" s="26">
        <v>419</v>
      </c>
      <c r="M147">
        <f t="shared" si="2"/>
        <v>419</v>
      </c>
      <c r="O14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Row],[orderNum]],ТабПозиции[orderSumm])&gt;1500),ABS(M147*VLOOKUP(ТабПозиции[[#This Row],[orderNum]],ТабЗаказы[#Data],MATCH("Percent",ТабЗаказы[#Headers],0),0))/100,200/COUNTIF(ТабПозиции[orderNum],ТабПозиции[[#This Row],[orderNum]])),0),"")</f>
        <v>63</v>
      </c>
      <c r="P147">
        <f>IF(OR(ТабПозиции[[#This Row],[item]]="По штрихкоду",ТабПозиции[[#This Row],[item]]="Посылка"),ТабПозиции[[#This Row],[deliverySumm]]+ТабПозиции[[#This Row],[deliveryPost]],SUM(M147:O147))</f>
        <v>482</v>
      </c>
      <c r="Q147" s="57">
        <v>482</v>
      </c>
      <c r="R147" s="62">
        <f>ТабПозиции[[#This Row],[totalSumm]]-ТабПозиции[[#This Row],[payment]]</f>
        <v>0</v>
      </c>
      <c r="S147" s="34" t="s">
        <v>558</v>
      </c>
      <c r="T147" s="56" t="s">
        <v>3061</v>
      </c>
      <c r="U147" s="56" t="s">
        <v>3061</v>
      </c>
      <c r="V147" s="56" t="s">
        <v>3061</v>
      </c>
      <c r="W147"/>
      <c r="X147"/>
    </row>
    <row r="148" spans="1:24" x14ac:dyDescent="0.25">
      <c r="A148" s="26">
        <v>49</v>
      </c>
      <c r="B148" s="1">
        <f>IFERROR(VLOOKUP(ТабПозиции[[#This Row],[orderNum]],ТабЗаказы[#Data],MATCH(B$7,ТабЗаказы[#Headers],0),0),"")</f>
        <v>45388</v>
      </c>
      <c r="C148" t="str">
        <f>MONTH(ТабПозиции[[#This Row],[date]])&amp;"/"&amp;YEAR(ТабПозиции[[#This Row],[date]])</f>
        <v>4/2024</v>
      </c>
      <c r="D148" s="1" t="str">
        <f>IFERROR(VLOOKUP(ТабПозиции[[#This Row],[orderNum]],ТабЗаказы[#Data],MATCH(D$7,ТабЗаказы[#Headers],0),0),"")</f>
        <v>Лариса Кирова</v>
      </c>
      <c r="E148" s="32" t="s">
        <v>675</v>
      </c>
      <c r="F148" s="56" t="s">
        <v>3061</v>
      </c>
      <c r="H148" s="34">
        <v>45391</v>
      </c>
      <c r="I148" s="26">
        <v>1</v>
      </c>
      <c r="J148" s="26">
        <v>275</v>
      </c>
      <c r="K148">
        <v>275</v>
      </c>
      <c r="L148" s="26">
        <v>284</v>
      </c>
      <c r="M148">
        <f t="shared" si="2"/>
        <v>284</v>
      </c>
      <c r="O14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Row],[orderNum]],ТабПозиции[orderSumm])&gt;1500),ABS(M148*VLOOKUP(ТабПозиции[[#This Row],[orderNum]],ТабЗаказы[#Data],MATCH("Percent",ТабЗаказы[#Headers],0),0))/100,200/COUNTIF(ТабПозиции[orderNum],ТабПозиции[[#This Row],[orderNum]])),0),"")</f>
        <v>43</v>
      </c>
      <c r="P148">
        <f>IF(OR(ТабПозиции[[#This Row],[item]]="По штрихкоду",ТабПозиции[[#This Row],[item]]="Посылка"),ТабПозиции[[#This Row],[deliverySumm]]+ТабПозиции[[#This Row],[deliveryPost]],SUM(M148:O148))</f>
        <v>327</v>
      </c>
      <c r="Q148" s="57">
        <v>327</v>
      </c>
      <c r="R148" s="62">
        <f>ТабПозиции[[#This Row],[totalSumm]]-ТабПозиции[[#This Row],[payment]]</f>
        <v>0</v>
      </c>
      <c r="S148" s="34" t="s">
        <v>558</v>
      </c>
      <c r="T148" s="56" t="s">
        <v>3061</v>
      </c>
      <c r="U148" s="56" t="s">
        <v>3061</v>
      </c>
      <c r="V148" s="56" t="s">
        <v>3061</v>
      </c>
      <c r="W148"/>
      <c r="X148"/>
    </row>
    <row r="149" spans="1:24" x14ac:dyDescent="0.25">
      <c r="A149" s="26">
        <v>49</v>
      </c>
      <c r="B149" s="1">
        <f>IFERROR(VLOOKUP(ТабПозиции[[#This Row],[orderNum]],ТабЗаказы[#Data],MATCH(B$7,ТабЗаказы[#Headers],0),0),"")</f>
        <v>45388</v>
      </c>
      <c r="C149" t="str">
        <f>MONTH(ТабПозиции[[#This Row],[date]])&amp;"/"&amp;YEAR(ТабПозиции[[#This Row],[date]])</f>
        <v>4/2024</v>
      </c>
      <c r="D149" s="1" t="str">
        <f>IFERROR(VLOOKUP(ТабПозиции[[#This Row],[orderNum]],ТабЗаказы[#Data],MATCH(D$7,ТабЗаказы[#Headers],0),0),"")</f>
        <v>Лариса Кирова</v>
      </c>
      <c r="E149" s="32" t="s">
        <v>676</v>
      </c>
      <c r="F149" s="56" t="s">
        <v>3061</v>
      </c>
      <c r="H149" s="34">
        <v>45390</v>
      </c>
      <c r="I149" s="26">
        <v>1</v>
      </c>
      <c r="J149" s="26">
        <v>259</v>
      </c>
      <c r="K149">
        <v>259</v>
      </c>
      <c r="L149" s="26">
        <v>268</v>
      </c>
      <c r="M149">
        <f t="shared" si="2"/>
        <v>268</v>
      </c>
      <c r="O14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Row],[orderNum]],ТабПозиции[orderSumm])&gt;1500),ABS(M149*VLOOKUP(ТабПозиции[[#This Row],[orderNum]],ТабЗаказы[#Data],MATCH("Percent",ТабЗаказы[#Headers],0),0))/100,200/COUNTIF(ТабПозиции[orderNum],ТабПозиции[[#This Row],[orderNum]])),0),"")</f>
        <v>40</v>
      </c>
      <c r="P149">
        <f>IF(OR(ТабПозиции[[#This Row],[item]]="По штрихкоду",ТабПозиции[[#This Row],[item]]="Посылка"),ТабПозиции[[#This Row],[deliverySumm]]+ТабПозиции[[#This Row],[deliveryPost]],SUM(M149:O149))</f>
        <v>308</v>
      </c>
      <c r="Q149" s="57">
        <v>308</v>
      </c>
      <c r="R149" s="62">
        <f>ТабПозиции[[#This Row],[totalSumm]]-ТабПозиции[[#This Row],[payment]]</f>
        <v>0</v>
      </c>
      <c r="S149" s="34" t="s">
        <v>558</v>
      </c>
      <c r="T149" s="56" t="s">
        <v>3061</v>
      </c>
      <c r="U149" s="56" t="s">
        <v>3061</v>
      </c>
      <c r="V149" s="56" t="s">
        <v>3061</v>
      </c>
      <c r="W149"/>
      <c r="X149"/>
    </row>
    <row r="150" spans="1:24" x14ac:dyDescent="0.25">
      <c r="A150" s="26">
        <v>49</v>
      </c>
      <c r="B150" s="1">
        <f>IFERROR(VLOOKUP(ТабПозиции[[#This Row],[orderNum]],ТабЗаказы[#Data],MATCH(B$7,ТабЗаказы[#Headers],0),0),"")</f>
        <v>45388</v>
      </c>
      <c r="C150" t="str">
        <f>MONTH(ТабПозиции[[#This Row],[date]])&amp;"/"&amp;YEAR(ТабПозиции[[#This Row],[date]])</f>
        <v>4/2024</v>
      </c>
      <c r="D150" s="1" t="str">
        <f>IFERROR(VLOOKUP(ТабПозиции[[#This Row],[orderNum]],ТабЗаказы[#Data],MATCH(D$7,ТабЗаказы[#Headers],0),0),"")</f>
        <v>Лариса Кирова</v>
      </c>
      <c r="E150" s="32" t="s">
        <v>677</v>
      </c>
      <c r="F150" s="56" t="s">
        <v>3061</v>
      </c>
      <c r="H150" s="34">
        <v>45390</v>
      </c>
      <c r="I150" s="26">
        <v>1</v>
      </c>
      <c r="J150" s="26">
        <v>238</v>
      </c>
      <c r="K150">
        <v>238</v>
      </c>
      <c r="L150" s="26">
        <v>246</v>
      </c>
      <c r="M150">
        <f t="shared" si="2"/>
        <v>246</v>
      </c>
      <c r="O15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Row],[orderNum]],ТабПозиции[orderSumm])&gt;1500),ABS(M150*VLOOKUP(ТабПозиции[[#This Row],[orderNum]],ТабЗаказы[#Data],MATCH("Percent",ТабЗаказы[#Headers],0),0))/100,200/COUNTIF(ТабПозиции[orderNum],ТабПозиции[[#This Row],[orderNum]])),0),"")</f>
        <v>37</v>
      </c>
      <c r="P150">
        <f>IF(OR(ТабПозиции[[#This Row],[item]]="По штрихкоду",ТабПозиции[[#This Row],[item]]="Посылка"),ТабПозиции[[#This Row],[deliverySumm]]+ТабПозиции[[#This Row],[deliveryPost]],SUM(M150:O150))</f>
        <v>283</v>
      </c>
      <c r="Q150" s="57">
        <v>283</v>
      </c>
      <c r="R150" s="62">
        <f>ТабПозиции[[#This Row],[totalSumm]]-ТабПозиции[[#This Row],[payment]]</f>
        <v>0</v>
      </c>
      <c r="S150" s="34" t="s">
        <v>558</v>
      </c>
      <c r="T150" s="56" t="s">
        <v>3061</v>
      </c>
      <c r="U150" s="56" t="s">
        <v>3061</v>
      </c>
      <c r="V150" s="56" t="s">
        <v>3061</v>
      </c>
      <c r="W150"/>
      <c r="X150"/>
    </row>
    <row r="151" spans="1:24" x14ac:dyDescent="0.25">
      <c r="A151" s="26">
        <v>49</v>
      </c>
      <c r="B151" s="1">
        <f>IFERROR(VLOOKUP(ТабПозиции[[#This Row],[orderNum]],ТабЗаказы[#Data],MATCH(B$7,ТабЗаказы[#Headers],0),0),"")</f>
        <v>45388</v>
      </c>
      <c r="C151" t="str">
        <f>MONTH(ТабПозиции[[#This Row],[date]])&amp;"/"&amp;YEAR(ТабПозиции[[#This Row],[date]])</f>
        <v>4/2024</v>
      </c>
      <c r="D151" s="1" t="str">
        <f>IFERROR(VLOOKUP(ТабПозиции[[#This Row],[orderNum]],ТабЗаказы[#Data],MATCH(D$7,ТабЗаказы[#Headers],0),0),"")</f>
        <v>Лариса Кирова</v>
      </c>
      <c r="E151" s="32" t="s">
        <v>678</v>
      </c>
      <c r="F151" s="56" t="s">
        <v>3061</v>
      </c>
      <c r="H151" s="34">
        <v>45391</v>
      </c>
      <c r="I151" s="26">
        <v>1</v>
      </c>
      <c r="J151" s="26">
        <v>239</v>
      </c>
      <c r="K151">
        <v>239</v>
      </c>
      <c r="L151" s="26">
        <v>247</v>
      </c>
      <c r="M151">
        <f t="shared" si="2"/>
        <v>247</v>
      </c>
      <c r="O15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Row],[orderNum]],ТабПозиции[orderSumm])&gt;1500),ABS(M151*VLOOKUP(ТабПозиции[[#This Row],[orderNum]],ТабЗаказы[#Data],MATCH("Percent",ТабЗаказы[#Headers],0),0))/100,200/COUNTIF(ТабПозиции[orderNum],ТабПозиции[[#This Row],[orderNum]])),0),"")</f>
        <v>37</v>
      </c>
      <c r="P151">
        <f>IF(OR(ТабПозиции[[#This Row],[item]]="По штрихкоду",ТабПозиции[[#This Row],[item]]="Посылка"),ТабПозиции[[#This Row],[deliverySumm]]+ТабПозиции[[#This Row],[deliveryPost]],SUM(M151:O151))</f>
        <v>284</v>
      </c>
      <c r="Q151" s="57">
        <v>284</v>
      </c>
      <c r="R151" s="62">
        <f>ТабПозиции[[#This Row],[totalSumm]]-ТабПозиции[[#This Row],[payment]]</f>
        <v>0</v>
      </c>
      <c r="S151" s="34" t="s">
        <v>558</v>
      </c>
      <c r="T151" s="56" t="s">
        <v>3061</v>
      </c>
      <c r="U151" s="56" t="s">
        <v>3061</v>
      </c>
      <c r="V151" s="56" t="s">
        <v>3061</v>
      </c>
      <c r="W151"/>
      <c r="X151"/>
    </row>
    <row r="152" spans="1:24" x14ac:dyDescent="0.25">
      <c r="A152" s="26">
        <v>49</v>
      </c>
      <c r="B152" s="1">
        <f>IFERROR(VLOOKUP(ТабПозиции[[#This Row],[orderNum]],ТабЗаказы[#Data],MATCH(B$7,ТабЗаказы[#Headers],0),0),"")</f>
        <v>45388</v>
      </c>
      <c r="C152" t="str">
        <f>MONTH(ТабПозиции[[#This Row],[date]])&amp;"/"&amp;YEAR(ТабПозиции[[#This Row],[date]])</f>
        <v>4/2024</v>
      </c>
      <c r="D152" s="1" t="str">
        <f>IFERROR(VLOOKUP(ТабПозиции[[#This Row],[orderNum]],ТабЗаказы[#Data],MATCH(D$7,ТабЗаказы[#Headers],0),0),"")</f>
        <v>Лариса Кирова</v>
      </c>
      <c r="E152" s="32" t="s">
        <v>679</v>
      </c>
      <c r="F152" s="56" t="s">
        <v>3061</v>
      </c>
      <c r="H152" s="34">
        <v>45392</v>
      </c>
      <c r="I152" s="26">
        <v>1</v>
      </c>
      <c r="J152" s="26">
        <v>494</v>
      </c>
      <c r="K152">
        <v>494</v>
      </c>
      <c r="L152" s="26">
        <v>510</v>
      </c>
      <c r="M152">
        <f t="shared" si="2"/>
        <v>510</v>
      </c>
      <c r="O15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Row],[orderNum]],ТабПозиции[orderSumm])&gt;1500),ABS(M152*VLOOKUP(ТабПозиции[[#This Row],[orderNum]],ТабЗаказы[#Data],MATCH("Percent",ТабЗаказы[#Headers],0),0))/100,200/COUNTIF(ТабПозиции[orderNum],ТабПозиции[[#This Row],[orderNum]])),0),"")</f>
        <v>77</v>
      </c>
      <c r="P152">
        <f>IF(OR(ТабПозиции[[#This Row],[item]]="По штрихкоду",ТабПозиции[[#This Row],[item]]="Посылка"),ТабПозиции[[#This Row],[deliverySumm]]+ТабПозиции[[#This Row],[deliveryPost]],SUM(M152:O152))</f>
        <v>587</v>
      </c>
      <c r="Q152" s="57">
        <v>587</v>
      </c>
      <c r="R152" s="62">
        <f>ТабПозиции[[#This Row],[totalSumm]]-ТабПозиции[[#This Row],[payment]]</f>
        <v>0</v>
      </c>
      <c r="S152" s="34" t="s">
        <v>558</v>
      </c>
      <c r="T152" s="56" t="s">
        <v>3061</v>
      </c>
      <c r="U152" s="56" t="s">
        <v>3061</v>
      </c>
      <c r="V152" s="56" t="s">
        <v>3061</v>
      </c>
      <c r="W152"/>
      <c r="X152"/>
    </row>
    <row r="153" spans="1:24" x14ac:dyDescent="0.25">
      <c r="A153" s="26">
        <v>49</v>
      </c>
      <c r="B153" s="1">
        <f>IFERROR(VLOOKUP(ТабПозиции[[#This Row],[orderNum]],ТабЗаказы[#Data],MATCH(B$7,ТабЗаказы[#Headers],0),0),"")</f>
        <v>45388</v>
      </c>
      <c r="C153" t="str">
        <f>MONTH(ТабПозиции[[#This Row],[date]])&amp;"/"&amp;YEAR(ТабПозиции[[#This Row],[date]])</f>
        <v>4/2024</v>
      </c>
      <c r="D153" s="1" t="str">
        <f>IFERROR(VLOOKUP(ТабПозиции[[#This Row],[orderNum]],ТабЗаказы[#Data],MATCH(D$7,ТабЗаказы[#Headers],0),0),"")</f>
        <v>Лариса Кирова</v>
      </c>
      <c r="E153" s="32" t="s">
        <v>680</v>
      </c>
      <c r="F153" s="56" t="s">
        <v>3061</v>
      </c>
      <c r="H153" s="34">
        <v>45390</v>
      </c>
      <c r="I153" s="26">
        <v>1</v>
      </c>
      <c r="J153" s="26">
        <v>175</v>
      </c>
      <c r="K153">
        <v>175</v>
      </c>
      <c r="L153" s="26">
        <v>182</v>
      </c>
      <c r="M153">
        <f t="shared" si="2"/>
        <v>182</v>
      </c>
      <c r="O15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Row],[orderNum]],ТабПозиции[orderSumm])&gt;1500),ABS(M153*VLOOKUP(ТабПозиции[[#This Row],[orderNum]],ТабЗаказы[#Data],MATCH("Percent",ТабЗаказы[#Headers],0),0))/100,200/COUNTIF(ТабПозиции[orderNum],ТабПозиции[[#This Row],[orderNum]])),0),"")</f>
        <v>27</v>
      </c>
      <c r="P153">
        <f>IF(OR(ТабПозиции[[#This Row],[item]]="По штрихкоду",ТабПозиции[[#This Row],[item]]="Посылка"),ТабПозиции[[#This Row],[deliverySumm]]+ТабПозиции[[#This Row],[deliveryPost]],SUM(M153:O153))</f>
        <v>209</v>
      </c>
      <c r="Q153" s="57">
        <v>209</v>
      </c>
      <c r="R153" s="62">
        <f>ТабПозиции[[#This Row],[totalSumm]]-ТабПозиции[[#This Row],[payment]]</f>
        <v>0</v>
      </c>
      <c r="S153" s="34" t="s">
        <v>558</v>
      </c>
      <c r="T153" s="56" t="s">
        <v>3061</v>
      </c>
      <c r="U153" s="56" t="s">
        <v>3061</v>
      </c>
      <c r="V153" s="56" t="s">
        <v>3061</v>
      </c>
      <c r="W153"/>
      <c r="X153"/>
    </row>
    <row r="154" spans="1:24" x14ac:dyDescent="0.25">
      <c r="A154" s="26">
        <v>49</v>
      </c>
      <c r="B154" s="1">
        <f>IFERROR(VLOOKUP(ТабПозиции[[#This Row],[orderNum]],ТабЗаказы[#Data],MATCH(B$7,ТабЗаказы[#Headers],0),0),"")</f>
        <v>45388</v>
      </c>
      <c r="C154" t="str">
        <f>MONTH(ТабПозиции[[#This Row],[date]])&amp;"/"&amp;YEAR(ТабПозиции[[#This Row],[date]])</f>
        <v>4/2024</v>
      </c>
      <c r="D154" s="1" t="str">
        <f>IFERROR(VLOOKUP(ТабПозиции[[#This Row],[orderNum]],ТабЗаказы[#Data],MATCH(D$7,ТабЗаказы[#Headers],0),0),"")</f>
        <v>Лариса Кирова</v>
      </c>
      <c r="E154" s="32" t="s">
        <v>681</v>
      </c>
      <c r="F154" s="56" t="s">
        <v>3061</v>
      </c>
      <c r="H154" s="34">
        <v>45390</v>
      </c>
      <c r="I154" s="26">
        <v>1</v>
      </c>
      <c r="J154" s="26">
        <v>176</v>
      </c>
      <c r="K154">
        <v>176</v>
      </c>
      <c r="L154" s="26">
        <v>181</v>
      </c>
      <c r="M154">
        <f t="shared" si="2"/>
        <v>181</v>
      </c>
      <c r="O15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Row],[orderNum]],ТабПозиции[orderSumm])&gt;1500),ABS(M154*VLOOKUP(ТабПозиции[[#This Row],[orderNum]],ТабЗаказы[#Data],MATCH("Percent",ТабЗаказы[#Headers],0),0))/100,200/COUNTIF(ТабПозиции[orderNum],ТабПозиции[[#This Row],[orderNum]])),0),"")</f>
        <v>27</v>
      </c>
      <c r="P154">
        <f>IF(OR(ТабПозиции[[#This Row],[item]]="По штрихкоду",ТабПозиции[[#This Row],[item]]="Посылка"),ТабПозиции[[#This Row],[deliverySumm]]+ТабПозиции[[#This Row],[deliveryPost]],SUM(M154:O154))</f>
        <v>208</v>
      </c>
      <c r="Q154" s="57">
        <v>208</v>
      </c>
      <c r="R154" s="62">
        <f>ТабПозиции[[#This Row],[totalSumm]]-ТабПозиции[[#This Row],[payment]]</f>
        <v>0</v>
      </c>
      <c r="S154" s="34" t="s">
        <v>558</v>
      </c>
      <c r="T154" s="56" t="s">
        <v>3061</v>
      </c>
      <c r="U154" s="56" t="s">
        <v>3061</v>
      </c>
      <c r="V154" s="56" t="s">
        <v>3061</v>
      </c>
      <c r="W154"/>
      <c r="X154"/>
    </row>
    <row r="155" spans="1:24" x14ac:dyDescent="0.25">
      <c r="A155" s="26">
        <v>50</v>
      </c>
      <c r="B155" s="1">
        <f>IFERROR(VLOOKUP(ТабПозиции[[#This Row],[orderNum]],ТабЗаказы[#Data],MATCH(B$7,ТабЗаказы[#Headers],0),0),"")</f>
        <v>45388</v>
      </c>
      <c r="C155" t="str">
        <f>MONTH(ТабПозиции[[#This Row],[date]])&amp;"/"&amp;YEAR(ТабПозиции[[#This Row],[date]])</f>
        <v>4/2024</v>
      </c>
      <c r="D155" s="1" t="str">
        <f>IFERROR(VLOOKUP(ТабПозиции[[#This Row],[orderNum]],ТабЗаказы[#Data],MATCH(D$7,ТабЗаказы[#Headers],0),0),"")</f>
        <v>Митрофанов Евгений</v>
      </c>
      <c r="E155" s="32" t="s">
        <v>682</v>
      </c>
      <c r="F155" s="56" t="s">
        <v>3061</v>
      </c>
      <c r="H155" s="34">
        <v>45394</v>
      </c>
      <c r="I155" s="26">
        <v>1</v>
      </c>
      <c r="J155" s="26">
        <v>5074</v>
      </c>
      <c r="K155">
        <v>5074</v>
      </c>
      <c r="L155" s="26">
        <v>4255</v>
      </c>
      <c r="M155">
        <f t="shared" si="2"/>
        <v>4255</v>
      </c>
      <c r="N155" s="26">
        <v>819</v>
      </c>
      <c r="O15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Row],[orderNum]],ТабПозиции[orderSumm])&gt;1500),ABS(M155*VLOOKUP(ТабПозиции[[#This Row],[orderNum]],ТабЗаказы[#Data],MATCH("Percent",ТабЗаказы[#Headers],0),0))/100,200/COUNTIF(ТабПозиции[orderNum],ТабПозиции[[#This Row],[orderNum]])),0),"")</f>
        <v>638</v>
      </c>
      <c r="P155">
        <f>IF(OR(ТабПозиции[[#This Row],[item]]="По штрихкоду",ТабПозиции[[#This Row],[item]]="Посылка"),ТабПозиции[[#This Row],[deliverySumm]]+ТабПозиции[[#This Row],[deliveryPost]],SUM(M155:O155))</f>
        <v>5712</v>
      </c>
      <c r="Q155" s="57">
        <v>5712</v>
      </c>
      <c r="R155" s="62">
        <f>ТабПозиции[[#This Row],[totalSumm]]-ТабПозиции[[#This Row],[payment]]</f>
        <v>0</v>
      </c>
      <c r="S155" s="34" t="s">
        <v>610</v>
      </c>
      <c r="T155" s="56" t="s">
        <v>3061</v>
      </c>
      <c r="U155" s="56" t="s">
        <v>3061</v>
      </c>
      <c r="V155" s="56" t="s">
        <v>3061</v>
      </c>
      <c r="W155"/>
      <c r="X155"/>
    </row>
    <row r="156" spans="1:24" x14ac:dyDescent="0.25">
      <c r="A156" s="26">
        <v>51</v>
      </c>
      <c r="B156" s="1">
        <f>IFERROR(VLOOKUP(ТабПозиции[[#This Row],[orderNum]],ТабЗаказы[#Data],MATCH(B$7,ТабЗаказы[#Headers],0),0),"")</f>
        <v>45388</v>
      </c>
      <c r="C156" t="str">
        <f>MONTH(ТабПозиции[[#This Row],[date]])&amp;"/"&amp;YEAR(ТабПозиции[[#This Row],[date]])</f>
        <v>4/2024</v>
      </c>
      <c r="D156" s="1" t="str">
        <f>IFERROR(VLOOKUP(ТабПозиции[[#This Row],[orderNum]],ТабЗаказы[#Data],MATCH(D$7,ТабЗаказы[#Headers],0),0),"")</f>
        <v>Руденко Юля</v>
      </c>
      <c r="E156" s="32" t="s">
        <v>683</v>
      </c>
      <c r="F156" s="56" t="s">
        <v>3061</v>
      </c>
      <c r="H156" s="34">
        <v>45392</v>
      </c>
      <c r="I156" s="26">
        <v>1</v>
      </c>
      <c r="J156" s="26">
        <v>2481</v>
      </c>
      <c r="K156">
        <v>2481</v>
      </c>
      <c r="L156" s="26">
        <v>2558</v>
      </c>
      <c r="M156">
        <f t="shared" si="2"/>
        <v>2558</v>
      </c>
      <c r="O15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Row],[orderNum]],ТабПозиции[orderSumm])&gt;1500),ABS(M156*VLOOKUP(ТабПозиции[[#This Row],[orderNum]],ТабЗаказы[#Data],MATCH("Percent",ТабЗаказы[#Headers],0),0))/100,200/COUNTIF(ТабПозиции[orderNum],ТабПозиции[[#This Row],[orderNum]])),0),"")</f>
        <v>256</v>
      </c>
      <c r="P156">
        <f>IF(OR(ТабПозиции[[#This Row],[item]]="По штрихкоду",ТабПозиции[[#This Row],[item]]="Посылка"),ТабПозиции[[#This Row],[deliverySumm]]+ТабПозиции[[#This Row],[deliveryPost]],SUM(M156:O156))</f>
        <v>2814</v>
      </c>
      <c r="Q156" s="57">
        <v>2814</v>
      </c>
      <c r="R156" s="62">
        <f>ТабПозиции[[#This Row],[totalSumm]]-ТабПозиции[[#This Row],[payment]]</f>
        <v>0</v>
      </c>
      <c r="S156" s="34" t="s">
        <v>558</v>
      </c>
      <c r="T156" s="56" t="s">
        <v>3061</v>
      </c>
      <c r="U156" s="56" t="s">
        <v>3061</v>
      </c>
      <c r="V156" s="56" t="s">
        <v>3061</v>
      </c>
      <c r="W156"/>
      <c r="X156"/>
    </row>
    <row r="157" spans="1:24" x14ac:dyDescent="0.25">
      <c r="A157" s="26">
        <v>51</v>
      </c>
      <c r="B157" s="1">
        <f>IFERROR(VLOOKUP(ТабПозиции[[#This Row],[orderNum]],ТабЗаказы[#Data],MATCH(B$7,ТабЗаказы[#Headers],0),0),"")</f>
        <v>45388</v>
      </c>
      <c r="C157" t="str">
        <f>MONTH(ТабПозиции[[#This Row],[date]])&amp;"/"&amp;YEAR(ТабПозиции[[#This Row],[date]])</f>
        <v>4/2024</v>
      </c>
      <c r="D157" s="1" t="str">
        <f>IFERROR(VLOOKUP(ТабПозиции[[#This Row],[orderNum]],ТабЗаказы[#Data],MATCH(D$7,ТабЗаказы[#Headers],0),0),"")</f>
        <v>Руденко Юля</v>
      </c>
      <c r="E157" s="32" t="s">
        <v>684</v>
      </c>
      <c r="F157" s="56" t="s">
        <v>3061</v>
      </c>
      <c r="H157" s="34">
        <v>45392</v>
      </c>
      <c r="I157" s="26">
        <v>1</v>
      </c>
      <c r="J157" s="26">
        <v>1312</v>
      </c>
      <c r="K157">
        <v>1312</v>
      </c>
      <c r="L157" s="26">
        <v>1353</v>
      </c>
      <c r="M157">
        <f t="shared" si="2"/>
        <v>1353</v>
      </c>
      <c r="O15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Row],[orderNum]],ТабПозиции[orderSumm])&gt;1500),ABS(M157*VLOOKUP(ТабПозиции[[#This Row],[orderNum]],ТабЗаказы[#Data],MATCH("Percent",ТабЗаказы[#Headers],0),0))/100,200/COUNTIF(ТабПозиции[orderNum],ТабПозиции[[#This Row],[orderNum]])),0),"")</f>
        <v>135</v>
      </c>
      <c r="P157">
        <f>IF(OR(ТабПозиции[[#This Row],[item]]="По штрихкоду",ТабПозиции[[#This Row],[item]]="Посылка"),ТабПозиции[[#This Row],[deliverySumm]]+ТабПозиции[[#This Row],[deliveryPost]],SUM(M157:O157))</f>
        <v>1488</v>
      </c>
      <c r="Q157" s="57">
        <v>1488</v>
      </c>
      <c r="R157" s="62">
        <f>ТабПозиции[[#This Row],[totalSumm]]-ТабПозиции[[#This Row],[payment]]</f>
        <v>0</v>
      </c>
      <c r="S157" s="34" t="s">
        <v>558</v>
      </c>
      <c r="T157" s="56" t="s">
        <v>3061</v>
      </c>
      <c r="U157" s="56" t="s">
        <v>3061</v>
      </c>
      <c r="V157" s="56" t="s">
        <v>3061</v>
      </c>
      <c r="W157"/>
      <c r="X157"/>
    </row>
    <row r="158" spans="1:24" x14ac:dyDescent="0.25">
      <c r="A158" s="26">
        <v>52</v>
      </c>
      <c r="B158" s="1">
        <f>IFERROR(VLOOKUP(ТабПозиции[[#This Row],[orderNum]],ТабЗаказы[#Data],MATCH(B$7,ТабЗаказы[#Headers],0),0),"")</f>
        <v>45390</v>
      </c>
      <c r="C158" t="str">
        <f>MONTH(ТабПозиции[[#This Row],[date]])&amp;"/"&amp;YEAR(ТабПозиции[[#This Row],[date]])</f>
        <v>4/2024</v>
      </c>
      <c r="D158" s="1" t="str">
        <f>IFERROR(VLOOKUP(ТабПозиции[[#This Row],[orderNum]],ТабЗаказы[#Data],MATCH(D$7,ТабЗаказы[#Headers],0),0),"")</f>
        <v>Александр 3 Металлургов</v>
      </c>
      <c r="E158" s="35" t="s">
        <v>685</v>
      </c>
      <c r="F158" s="56" t="s">
        <v>3061</v>
      </c>
      <c r="H158" s="34">
        <v>45391</v>
      </c>
      <c r="I158" s="26">
        <v>1</v>
      </c>
      <c r="J158" s="26">
        <v>974</v>
      </c>
      <c r="K158">
        <v>974</v>
      </c>
      <c r="L158" s="26">
        <v>1057</v>
      </c>
      <c r="M158">
        <f t="shared" si="2"/>
        <v>1057</v>
      </c>
      <c r="O15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Row],[orderNum]],ТабПозиции[orderSumm])&gt;1500),ABS(M158*VLOOKUP(ТабПозиции[[#This Row],[orderNum]],ТабЗаказы[#Data],MATCH("Percent",ТабЗаказы[#Headers],0),0))/100,200/COUNTIF(ТабПозиции[orderNum],ТабПозиции[[#This Row],[orderNum]])),0),"")</f>
        <v>159</v>
      </c>
      <c r="P158">
        <f>IF(OR(ТабПозиции[[#This Row],[item]]="По штрихкоду",ТабПозиции[[#This Row],[item]]="Посылка"),ТабПозиции[[#This Row],[deliverySumm]]+ТабПозиции[[#This Row],[deliveryPost]],SUM(M158:O158))</f>
        <v>1216</v>
      </c>
      <c r="Q158" s="57">
        <v>1216</v>
      </c>
      <c r="R158" s="62">
        <f>ТабПозиции[[#This Row],[totalSumm]]-ТабПозиции[[#This Row],[payment]]</f>
        <v>0</v>
      </c>
      <c r="S158" s="34" t="s">
        <v>575</v>
      </c>
      <c r="T158" s="56" t="s">
        <v>3061</v>
      </c>
      <c r="U158" s="56" t="s">
        <v>3061</v>
      </c>
      <c r="V158" s="56" t="s">
        <v>3061</v>
      </c>
      <c r="W158"/>
      <c r="X158"/>
    </row>
    <row r="159" spans="1:24" x14ac:dyDescent="0.25">
      <c r="A159" s="26">
        <v>52</v>
      </c>
      <c r="B159" s="1">
        <f>IFERROR(VLOOKUP(ТабПозиции[[#This Row],[orderNum]],ТабЗаказы[#Data],MATCH(B$7,ТабЗаказы[#Headers],0),0),"")</f>
        <v>45390</v>
      </c>
      <c r="C159" t="str">
        <f>MONTH(ТабПозиции[[#This Row],[date]])&amp;"/"&amp;YEAR(ТабПозиции[[#This Row],[date]])</f>
        <v>4/2024</v>
      </c>
      <c r="D159" s="1" t="str">
        <f>IFERROR(VLOOKUP(ТабПозиции[[#This Row],[orderNum]],ТабЗаказы[#Data],MATCH(D$7,ТабЗаказы[#Headers],0),0),"")</f>
        <v>Александр 3 Металлургов</v>
      </c>
      <c r="E159" s="35" t="s">
        <v>686</v>
      </c>
      <c r="F159" s="56" t="s">
        <v>3061</v>
      </c>
      <c r="H159" s="34">
        <v>45396</v>
      </c>
      <c r="I159" s="26">
        <v>1</v>
      </c>
      <c r="J159" s="26">
        <v>831</v>
      </c>
      <c r="K159">
        <v>831</v>
      </c>
      <c r="L159" s="26">
        <v>906</v>
      </c>
      <c r="M159">
        <f t="shared" si="2"/>
        <v>906</v>
      </c>
      <c r="O15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Row],[orderNum]],ТабПозиции[orderSumm])&gt;1500),ABS(M159*VLOOKUP(ТабПозиции[[#This Row],[orderNum]],ТабЗаказы[#Data],MATCH("Percent",ТабЗаказы[#Headers],0),0))/100,200/COUNTIF(ТабПозиции[orderNum],ТабПозиции[[#This Row],[orderNum]])),0),"")</f>
        <v>136</v>
      </c>
      <c r="P159">
        <f>IF(OR(ТабПозиции[[#This Row],[item]]="По штрихкоду",ТабПозиции[[#This Row],[item]]="Посылка"),ТабПозиции[[#This Row],[deliverySumm]]+ТабПозиции[[#This Row],[deliveryPost]],SUM(M159:O159))</f>
        <v>1042</v>
      </c>
      <c r="Q159" s="57">
        <v>1042</v>
      </c>
      <c r="R159" s="62">
        <f>ТабПозиции[[#This Row],[totalSumm]]-ТабПозиции[[#This Row],[payment]]</f>
        <v>0</v>
      </c>
      <c r="S159" s="34" t="s">
        <v>575</v>
      </c>
      <c r="T159" s="56" t="s">
        <v>3061</v>
      </c>
      <c r="U159" s="56" t="s">
        <v>3061</v>
      </c>
      <c r="V159" s="56" t="s">
        <v>3061</v>
      </c>
      <c r="W159"/>
      <c r="X159"/>
    </row>
    <row r="160" spans="1:24" x14ac:dyDescent="0.25">
      <c r="A160" s="26">
        <v>53</v>
      </c>
      <c r="B160" s="1">
        <f>IFERROR(VLOOKUP(ТабПозиции[[#This Row],[orderNum]],ТабЗаказы[#Data],MATCH(B$7,ТабЗаказы[#Headers],0),0),"")</f>
        <v>45390</v>
      </c>
      <c r="C160" t="str">
        <f>MONTH(ТабПозиции[[#This Row],[date]])&amp;"/"&amp;YEAR(ТабПозиции[[#This Row],[date]])</f>
        <v>4/2024</v>
      </c>
      <c r="D160" s="1" t="str">
        <f>IFERROR(VLOOKUP(ТабПозиции[[#This Row],[orderNum]],ТабЗаказы[#Data],MATCH(D$7,ТабЗаказы[#Headers],0),0),"")</f>
        <v>Галина Агабекова(церковь)</v>
      </c>
      <c r="E160" s="32" t="s">
        <v>687</v>
      </c>
      <c r="F160" s="56" t="s">
        <v>3061</v>
      </c>
      <c r="H160" s="34">
        <v>45396</v>
      </c>
      <c r="I160" s="26">
        <v>2</v>
      </c>
      <c r="J160" s="26">
        <v>299</v>
      </c>
      <c r="K160">
        <v>598</v>
      </c>
      <c r="L160" s="26">
        <v>299</v>
      </c>
      <c r="M160">
        <f t="shared" si="2"/>
        <v>598</v>
      </c>
      <c r="N160" s="26">
        <v>119</v>
      </c>
      <c r="O16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Row],[orderNum]],ТабПозиции[orderSumm])&gt;1500),ABS(M160*VLOOKUP(ТабПозиции[[#This Row],[orderNum]],ТабЗаказы[#Data],MATCH("Percent",ТабЗаказы[#Headers],0),0))/100,200/COUNTIF(ТабПозиции[orderNum],ТабПозиции[[#This Row],[orderNum]])),0),"")</f>
        <v>90</v>
      </c>
      <c r="P160">
        <f>IF(OR(ТабПозиции[[#This Row],[item]]="По штрихкоду",ТабПозиции[[#This Row],[item]]="Посылка"),ТабПозиции[[#This Row],[deliverySumm]]+ТабПозиции[[#This Row],[deliveryPost]],SUM(M160:O160))</f>
        <v>807</v>
      </c>
      <c r="Q160" s="57">
        <v>807</v>
      </c>
      <c r="R160" s="62">
        <f>ТабПозиции[[#This Row],[totalSumm]]-ТабПозиции[[#This Row],[payment]]</f>
        <v>0</v>
      </c>
      <c r="S160" s="34" t="s">
        <v>610</v>
      </c>
      <c r="T160" s="56" t="s">
        <v>3061</v>
      </c>
      <c r="U160" s="56" t="s">
        <v>3061</v>
      </c>
      <c r="V160" s="56" t="s">
        <v>3061</v>
      </c>
      <c r="W160"/>
      <c r="X160"/>
    </row>
    <row r="161" spans="1:24" x14ac:dyDescent="0.25">
      <c r="A161" s="26">
        <v>53</v>
      </c>
      <c r="B161" s="1">
        <f>IFERROR(VLOOKUP(ТабПозиции[[#This Row],[orderNum]],ТабЗаказы[#Data],MATCH(B$7,ТабЗаказы[#Headers],0),0),"")</f>
        <v>45390</v>
      </c>
      <c r="C161" t="str">
        <f>MONTH(ТабПозиции[[#This Row],[date]])&amp;"/"&amp;YEAR(ТабПозиции[[#This Row],[date]])</f>
        <v>4/2024</v>
      </c>
      <c r="D161" s="1" t="str">
        <f>IFERROR(VLOOKUP(ТабПозиции[[#This Row],[orderNum]],ТабЗаказы[#Data],MATCH(D$7,ТабЗаказы[#Headers],0),0),"")</f>
        <v>Галина Агабекова(церковь)</v>
      </c>
      <c r="E161" s="26" t="s">
        <v>688</v>
      </c>
      <c r="F161" s="56" t="s">
        <v>3061</v>
      </c>
      <c r="H161" s="34"/>
      <c r="I161" s="26">
        <v>1</v>
      </c>
      <c r="J161" s="26">
        <v>4200</v>
      </c>
      <c r="K161">
        <v>4200</v>
      </c>
      <c r="L161" s="26">
        <v>4200</v>
      </c>
      <c r="M161">
        <f t="shared" si="2"/>
        <v>4200</v>
      </c>
      <c r="N161" s="26">
        <v>559</v>
      </c>
      <c r="O16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Row],[orderNum]],ТабПозиции[orderSumm])&gt;1500),ABS(M161*VLOOKUP(ТабПозиции[[#This Row],[orderNum]],ТабЗаказы[#Data],MATCH("Percent",ТабЗаказы[#Headers],0),0))/100,200/COUNTIF(ТабПозиции[orderNum],ТабПозиции[[#This Row],[orderNum]])),0),"")</f>
        <v>630</v>
      </c>
      <c r="P161">
        <f>IF(OR(ТабПозиции[[#This Row],[item]]="По штрихкоду",ТабПозиции[[#This Row],[item]]="Посылка"),ТабПозиции[[#This Row],[deliverySumm]]+ТабПозиции[[#This Row],[deliveryPost]],SUM(M161:O161))</f>
        <v>5389</v>
      </c>
      <c r="Q161" s="57">
        <v>5389</v>
      </c>
      <c r="R161" s="62">
        <f>ТабПозиции[[#This Row],[totalSumm]]-ТабПозиции[[#This Row],[payment]]</f>
        <v>0</v>
      </c>
      <c r="S161" s="34" t="s">
        <v>689</v>
      </c>
      <c r="T161" s="56" t="s">
        <v>3061</v>
      </c>
      <c r="U161" s="56" t="s">
        <v>3061</v>
      </c>
      <c r="V161" s="56" t="s">
        <v>3061</v>
      </c>
      <c r="W161"/>
      <c r="X161"/>
    </row>
    <row r="162" spans="1:24" x14ac:dyDescent="0.25">
      <c r="A162" s="26">
        <v>54</v>
      </c>
      <c r="B162" s="1">
        <f>IFERROR(VLOOKUP(ТабПозиции[[#This Row],[orderNum]],ТабЗаказы[#Data],MATCH(B$7,ТабЗаказы[#Headers],0),0),"")</f>
        <v>45391</v>
      </c>
      <c r="C162" t="str">
        <f>MONTH(ТабПозиции[[#This Row],[date]])&amp;"/"&amp;YEAR(ТабПозиции[[#This Row],[date]])</f>
        <v>4/2024</v>
      </c>
      <c r="D162" s="1" t="str">
        <f>IFERROR(VLOOKUP(ТабПозиции[[#This Row],[orderNum]],ТабЗаказы[#Data],MATCH(D$7,ТабЗаказы[#Headers],0),0),"")</f>
        <v>Лариса Кирова</v>
      </c>
      <c r="E162" s="26" t="s">
        <v>690</v>
      </c>
      <c r="F162" s="56" t="s">
        <v>3061</v>
      </c>
      <c r="H162" s="34">
        <v>45396</v>
      </c>
      <c r="I162" s="26">
        <v>1</v>
      </c>
      <c r="J162" s="26">
        <v>1249</v>
      </c>
      <c r="K162">
        <v>1249</v>
      </c>
      <c r="L162" s="26">
        <v>1332</v>
      </c>
      <c r="M162">
        <f t="shared" si="2"/>
        <v>1332</v>
      </c>
      <c r="O16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Row],[orderNum]],ТабПозиции[orderSumm])&gt;1500),ABS(M162*VLOOKUP(ТабПозиции[[#This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62">
        <f>IF(OR(ТабПозиции[[#This Row],[item]]="По штрихкоду",ТабПозиции[[#This Row],[item]]="Посылка"),ТабПозиции[[#This Row],[deliverySumm]]+ТабПозиции[[#This Row],[deliveryPost]],SUM(M162:O162))</f>
        <v>1532</v>
      </c>
      <c r="Q162" s="57">
        <v>1532</v>
      </c>
      <c r="R162" s="62">
        <f>ТабПозиции[[#This Row],[totalSumm]]-ТабПозиции[[#This Row],[payment]]</f>
        <v>0</v>
      </c>
      <c r="S162" s="34" t="s">
        <v>575</v>
      </c>
      <c r="T162" s="56" t="s">
        <v>3061</v>
      </c>
      <c r="U162" s="56" t="s">
        <v>3061</v>
      </c>
      <c r="V162" s="56" t="s">
        <v>3061</v>
      </c>
      <c r="W162"/>
      <c r="X162"/>
    </row>
    <row r="163" spans="1:24" x14ac:dyDescent="0.25">
      <c r="A163" s="26">
        <v>54</v>
      </c>
      <c r="B163" s="1">
        <f>IFERROR(VLOOKUP(ТабПозиции[[#This Row],[orderNum]],ТабЗаказы[#Data],MATCH(B$7,ТабЗаказы[#Headers],0),0),"")</f>
        <v>45391</v>
      </c>
      <c r="C163" t="str">
        <f>MONTH(ТабПозиции[[#This Row],[date]])&amp;"/"&amp;YEAR(ТабПозиции[[#This Row],[date]])</f>
        <v>4/2024</v>
      </c>
      <c r="D163" s="1" t="str">
        <f>IFERROR(VLOOKUP(ТабПозиции[[#This Row],[orderNum]],ТабЗаказы[#Data],MATCH(D$7,ТабЗаказы[#Headers],0),0),"")</f>
        <v>Лариса Кирова</v>
      </c>
      <c r="E163" s="32" t="s">
        <v>691</v>
      </c>
      <c r="F163" s="56" t="s">
        <v>3061</v>
      </c>
      <c r="H163" s="34">
        <v>45393</v>
      </c>
      <c r="I163" s="26">
        <v>1</v>
      </c>
      <c r="J163" s="26">
        <v>256</v>
      </c>
      <c r="K163">
        <v>256</v>
      </c>
      <c r="L163" s="26">
        <v>311</v>
      </c>
      <c r="M163">
        <f t="shared" si="2"/>
        <v>311</v>
      </c>
      <c r="O16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Row],[orderNum]],ТабПозиции[orderSumm])&gt;1500),ABS(M163*VLOOKUP(ТабПозиции[[#This Row],[orderNum]],ТабЗаказы[#Data],MATCH("Percent",ТабЗаказы[#Headers],0),0))/100,200/COUNTIF(ТабПозиции[orderNum],ТабПозиции[[#This Row],[orderNum]])),0),"")</f>
        <v>47</v>
      </c>
      <c r="P163">
        <f>IF(OR(ТабПозиции[[#This Row],[item]]="По штрихкоду",ТабПозиции[[#This Row],[item]]="Посылка"),ТабПозиции[[#This Row],[deliverySumm]]+ТабПозиции[[#This Row],[deliveryPost]],SUM(M163:O163))</f>
        <v>358</v>
      </c>
      <c r="Q163" s="57">
        <v>358</v>
      </c>
      <c r="R163" s="62">
        <f>ТабПозиции[[#This Row],[totalSumm]]-ТабПозиции[[#This Row],[payment]]</f>
        <v>0</v>
      </c>
      <c r="S163" s="34" t="s">
        <v>575</v>
      </c>
      <c r="T163" s="56" t="s">
        <v>3061</v>
      </c>
      <c r="U163" s="56" t="s">
        <v>3061</v>
      </c>
      <c r="V163" s="56" t="s">
        <v>3061</v>
      </c>
      <c r="W163"/>
      <c r="X163"/>
    </row>
    <row r="164" spans="1:24" x14ac:dyDescent="0.25">
      <c r="A164" s="26">
        <v>54</v>
      </c>
      <c r="B164" s="1">
        <f>IFERROR(VLOOKUP(ТабПозиции[[#This Row],[orderNum]],ТабЗаказы[#Data],MATCH(B$7,ТабЗаказы[#Headers],0),0),"")</f>
        <v>45391</v>
      </c>
      <c r="C164" t="str">
        <f>MONTH(ТабПозиции[[#This Row],[date]])&amp;"/"&amp;YEAR(ТабПозиции[[#This Row],[date]])</f>
        <v>4/2024</v>
      </c>
      <c r="D164" s="1" t="str">
        <f>IFERROR(VLOOKUP(ТабПозиции[[#This Row],[orderNum]],ТабЗаказы[#Data],MATCH(D$7,ТабЗаказы[#Headers],0),0),"")</f>
        <v>Лариса Кирова</v>
      </c>
      <c r="E164" s="32" t="s">
        <v>692</v>
      </c>
      <c r="F164" s="56" t="s">
        <v>3061</v>
      </c>
      <c r="H164" s="34">
        <v>45394</v>
      </c>
      <c r="I164" s="26">
        <v>1</v>
      </c>
      <c r="J164" s="26">
        <v>261</v>
      </c>
      <c r="K164">
        <v>261</v>
      </c>
      <c r="L164" s="26">
        <v>316</v>
      </c>
      <c r="M164">
        <f t="shared" si="2"/>
        <v>316</v>
      </c>
      <c r="O16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Row],[orderNum]],ТабПозиции[orderSumm])&gt;1500),ABS(M164*VLOOKUP(ТабПозиции[[#This Row],[orderNum]],ТабЗаказы[#Data],MATCH("Percent",ТабЗаказы[#Headers],0),0))/100,200/COUNTIF(ТабПозиции[orderNum],ТабПозиции[[#This Row],[orderNum]])),0),"")</f>
        <v>47</v>
      </c>
      <c r="P164">
        <f>IF(OR(ТабПозиции[[#This Row],[item]]="По штрихкоду",ТабПозиции[[#This Row],[item]]="Посылка"),ТабПозиции[[#This Row],[deliverySumm]]+ТабПозиции[[#This Row],[deliveryPost]],SUM(M164:O164))</f>
        <v>363</v>
      </c>
      <c r="Q164" s="57">
        <v>363</v>
      </c>
      <c r="R164" s="62">
        <f>ТабПозиции[[#This Row],[totalSumm]]-ТабПозиции[[#This Row],[payment]]</f>
        <v>0</v>
      </c>
      <c r="S164" s="34" t="s">
        <v>575</v>
      </c>
      <c r="T164" s="56" t="s">
        <v>3061</v>
      </c>
      <c r="U164" s="56" t="s">
        <v>3061</v>
      </c>
      <c r="V164" s="56" t="s">
        <v>3061</v>
      </c>
      <c r="W164"/>
      <c r="X164"/>
    </row>
    <row r="165" spans="1:24" x14ac:dyDescent="0.25">
      <c r="A165" s="26">
        <v>54</v>
      </c>
      <c r="B165" s="1">
        <f>IFERROR(VLOOKUP(ТабПозиции[[#This Row],[orderNum]],ТабЗаказы[#Data],MATCH(B$7,ТабЗаказы[#Headers],0),0),"")</f>
        <v>45391</v>
      </c>
      <c r="C165" t="str">
        <f>MONTH(ТабПозиции[[#This Row],[date]])&amp;"/"&amp;YEAR(ТабПозиции[[#This Row],[date]])</f>
        <v>4/2024</v>
      </c>
      <c r="D165" s="1" t="str">
        <f>IFERROR(VLOOKUP(ТабПозиции[[#This Row],[orderNum]],ТабЗаказы[#Data],MATCH(D$7,ТабЗаказы[#Headers],0),0),"")</f>
        <v>Лариса Кирова</v>
      </c>
      <c r="E165" s="32" t="s">
        <v>693</v>
      </c>
      <c r="F165" s="56" t="s">
        <v>3061</v>
      </c>
      <c r="H165" s="34">
        <v>45394</v>
      </c>
      <c r="I165" s="26">
        <v>1</v>
      </c>
      <c r="J165" s="26">
        <v>485</v>
      </c>
      <c r="K165">
        <v>485</v>
      </c>
      <c r="L165" s="26">
        <v>530</v>
      </c>
      <c r="M165">
        <f t="shared" si="2"/>
        <v>530</v>
      </c>
      <c r="O16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Row],[orderNum]],ТабПозиции[orderSumm])&gt;1500),ABS(M165*VLOOKUP(ТабПозиции[[#This Row],[orderNum]],ТабЗаказы[#Data],MATCH("Percent",ТабЗаказы[#Headers],0),0))/100,200/COUNTIF(ТабПозиции[orderNum],ТабПозиции[[#This Row],[orderNum]])),0),"")</f>
        <v>80</v>
      </c>
      <c r="P165">
        <f>IF(OR(ТабПозиции[[#This Row],[item]]="По штрихкоду",ТабПозиции[[#This Row],[item]]="Посылка"),ТабПозиции[[#This Row],[deliverySumm]]+ТабПозиции[[#This Row],[deliveryPost]],SUM(M165:O165))</f>
        <v>610</v>
      </c>
      <c r="Q165" s="57">
        <v>610</v>
      </c>
      <c r="R165" s="62">
        <f>ТабПозиции[[#This Row],[totalSumm]]-ТабПозиции[[#This Row],[payment]]</f>
        <v>0</v>
      </c>
      <c r="S165" s="34" t="s">
        <v>575</v>
      </c>
      <c r="T165" s="56" t="s">
        <v>3061</v>
      </c>
      <c r="U165" s="56" t="s">
        <v>3061</v>
      </c>
      <c r="V165" s="56" t="s">
        <v>3061</v>
      </c>
      <c r="W165"/>
      <c r="X165"/>
    </row>
    <row r="166" spans="1:24" x14ac:dyDescent="0.25">
      <c r="A166" s="26">
        <v>54</v>
      </c>
      <c r="B166" s="1">
        <f>IFERROR(VLOOKUP(ТабПозиции[[#This Row],[orderNum]],ТабЗаказы[#Data],MATCH(B$7,ТабЗаказы[#Headers],0),0),"")</f>
        <v>45391</v>
      </c>
      <c r="C166" t="str">
        <f>MONTH(ТабПозиции[[#This Row],[date]])&amp;"/"&amp;YEAR(ТабПозиции[[#This Row],[date]])</f>
        <v>4/2024</v>
      </c>
      <c r="D166" s="1" t="str">
        <f>IFERROR(VLOOKUP(ТабПозиции[[#This Row],[orderNum]],ТабЗаказы[#Data],MATCH(D$7,ТабЗаказы[#Headers],0),0),"")</f>
        <v>Лариса Кирова</v>
      </c>
      <c r="E166" s="32" t="s">
        <v>694</v>
      </c>
      <c r="F166" s="56" t="s">
        <v>3061</v>
      </c>
      <c r="H166" s="34">
        <v>45393</v>
      </c>
      <c r="I166" s="26">
        <v>1</v>
      </c>
      <c r="J166" s="26">
        <v>293</v>
      </c>
      <c r="K166">
        <v>293</v>
      </c>
      <c r="L166" s="26">
        <v>299</v>
      </c>
      <c r="M166">
        <f t="shared" si="2"/>
        <v>299</v>
      </c>
      <c r="O16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Row],[orderNum]],ТабПозиции[orderSumm])&gt;1500),ABS(M166*VLOOKUP(ТабПозиции[[#This Row],[orderNum]],ТабЗаказы[#Data],MATCH("Percent",ТабЗаказы[#Headers],0),0))/100,200/COUNTIF(ТабПозиции[orderNum],ТабПозиции[[#This Row],[orderNum]])),0),"")</f>
        <v>45</v>
      </c>
      <c r="P166">
        <f>IF(OR(ТабПозиции[[#This Row],[item]]="По штрихкоду",ТабПозиции[[#This Row],[item]]="Посылка"),ТабПозиции[[#This Row],[deliverySumm]]+ТабПозиции[[#This Row],[deliveryPost]],SUM(M166:O166))</f>
        <v>344</v>
      </c>
      <c r="Q166" s="57">
        <v>344</v>
      </c>
      <c r="R166" s="62">
        <f>ТабПозиции[[#This Row],[totalSumm]]-ТабПозиции[[#This Row],[payment]]</f>
        <v>0</v>
      </c>
      <c r="S166" s="34" t="s">
        <v>575</v>
      </c>
      <c r="T166" s="56" t="s">
        <v>3061</v>
      </c>
      <c r="U166" s="56" t="s">
        <v>3061</v>
      </c>
      <c r="V166" s="56" t="s">
        <v>3061</v>
      </c>
      <c r="W166"/>
      <c r="X166"/>
    </row>
    <row r="167" spans="1:24" x14ac:dyDescent="0.25">
      <c r="A167" s="26">
        <v>54</v>
      </c>
      <c r="B167" s="1">
        <f>IFERROR(VLOOKUP(ТабПозиции[[#This Row],[orderNum]],ТабЗаказы[#Data],MATCH(B$7,ТабЗаказы[#Headers],0),0),"")</f>
        <v>45391</v>
      </c>
      <c r="C167" t="str">
        <f>MONTH(ТабПозиции[[#This Row],[date]])&amp;"/"&amp;YEAR(ТабПозиции[[#This Row],[date]])</f>
        <v>4/2024</v>
      </c>
      <c r="D167" s="1" t="str">
        <f>IFERROR(VLOOKUP(ТабПозиции[[#This Row],[orderNum]],ТабЗаказы[#Data],MATCH(D$7,ТабЗаказы[#Headers],0),0),"")</f>
        <v>Лариса Кирова</v>
      </c>
      <c r="E167" s="32" t="s">
        <v>695</v>
      </c>
      <c r="F167" s="56" t="s">
        <v>3061</v>
      </c>
      <c r="H167" s="34">
        <v>45397</v>
      </c>
      <c r="I167" s="26">
        <v>1</v>
      </c>
      <c r="J167" s="26">
        <v>949</v>
      </c>
      <c r="K167">
        <v>949</v>
      </c>
      <c r="L167" s="26">
        <v>1031</v>
      </c>
      <c r="M167">
        <f t="shared" si="2"/>
        <v>1031</v>
      </c>
      <c r="O16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Row],[orderNum]],ТабПозиции[orderSumm])&gt;1500),ABS(M167*VLOOKUP(ТабПозиции[[#This Row],[orderNum]],ТабЗаказы[#Data],MATCH("Percent",ТабЗаказы[#Headers],0),0))/100,200/COUNTIF(ТабПозиции[orderNum],ТабПозиции[[#This Row],[orderNum]])),0),"")</f>
        <v>155</v>
      </c>
      <c r="P167">
        <f>IF(OR(ТабПозиции[[#This Row],[item]]="По штрихкоду",ТабПозиции[[#This Row],[item]]="Посылка"),ТабПозиции[[#This Row],[deliverySumm]]+ТабПозиции[[#This Row],[deliveryPost]],SUM(M167:O167))</f>
        <v>1186</v>
      </c>
      <c r="Q167" s="57">
        <v>1186</v>
      </c>
      <c r="R167" s="62">
        <f>ТабПозиции[[#This Row],[totalSumm]]-ТабПозиции[[#This Row],[payment]]</f>
        <v>0</v>
      </c>
      <c r="S167" s="34" t="s">
        <v>575</v>
      </c>
      <c r="T167" s="56" t="s">
        <v>3061</v>
      </c>
      <c r="U167" s="56" t="s">
        <v>3061</v>
      </c>
      <c r="V167" s="56" t="s">
        <v>3061</v>
      </c>
      <c r="W167"/>
      <c r="X167"/>
    </row>
    <row r="168" spans="1:24" x14ac:dyDescent="0.25">
      <c r="A168" s="26">
        <v>54</v>
      </c>
      <c r="B168" s="1">
        <f>IFERROR(VLOOKUP(ТабПозиции[[#This Row],[orderNum]],ТабЗаказы[#Data],MATCH(B$7,ТабЗаказы[#Headers],0),0),"")</f>
        <v>45391</v>
      </c>
      <c r="C168" t="str">
        <f>MONTH(ТабПозиции[[#This Row],[date]])&amp;"/"&amp;YEAR(ТабПозиции[[#This Row],[date]])</f>
        <v>4/2024</v>
      </c>
      <c r="D168" s="1" t="str">
        <f>IFERROR(VLOOKUP(ТабПозиции[[#This Row],[orderNum]],ТабЗаказы[#Data],MATCH(D$7,ТабЗаказы[#Headers],0),0),"")</f>
        <v>Лариса Кирова</v>
      </c>
      <c r="E168" s="32" t="s">
        <v>696</v>
      </c>
      <c r="F168" s="56" t="s">
        <v>3061</v>
      </c>
      <c r="H168" s="34">
        <v>45393</v>
      </c>
      <c r="I168" s="26">
        <v>1</v>
      </c>
      <c r="J168" s="26">
        <v>250</v>
      </c>
      <c r="K168">
        <v>250</v>
      </c>
      <c r="L168" s="26">
        <v>255</v>
      </c>
      <c r="M168">
        <f t="shared" si="2"/>
        <v>255</v>
      </c>
      <c r="O16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Row],[orderNum]],ТабПозиции[orderSumm])&gt;1500),ABS(M168*VLOOKUP(ТабПозиции[[#This Row],[orderNum]],ТабЗаказы[#Data],MATCH("Percent",ТабЗаказы[#Headers],0),0))/100,200/COUNTIF(ТабПозиции[orderNum],ТабПозиции[[#This Row],[orderNum]])),0),"")</f>
        <v>38</v>
      </c>
      <c r="P168">
        <f>IF(OR(ТабПозиции[[#This Row],[item]]="По штрихкоду",ТабПозиции[[#This Row],[item]]="Посылка"),ТабПозиции[[#This Row],[deliverySumm]]+ТабПозиции[[#This Row],[deliveryPost]],SUM(M168:O168))</f>
        <v>293</v>
      </c>
      <c r="Q168" s="57">
        <v>293</v>
      </c>
      <c r="R168" s="62">
        <f>ТабПозиции[[#This Row],[totalSumm]]-ТабПозиции[[#This Row],[payment]]</f>
        <v>0</v>
      </c>
      <c r="S168" s="34" t="s">
        <v>575</v>
      </c>
      <c r="T168" s="56" t="s">
        <v>3061</v>
      </c>
      <c r="U168" s="56" t="s">
        <v>3061</v>
      </c>
      <c r="V168" s="56" t="s">
        <v>3061</v>
      </c>
      <c r="W168"/>
      <c r="X168"/>
    </row>
    <row r="169" spans="1:24" x14ac:dyDescent="0.25">
      <c r="A169" s="26">
        <v>54</v>
      </c>
      <c r="B169" s="1">
        <f>IFERROR(VLOOKUP(ТабПозиции[[#This Row],[orderNum]],ТабЗаказы[#Data],MATCH(B$7,ТабЗаказы[#Headers],0),0),"")</f>
        <v>45391</v>
      </c>
      <c r="C169" t="str">
        <f>MONTH(ТабПозиции[[#This Row],[date]])&amp;"/"&amp;YEAR(ТабПозиции[[#This Row],[date]])</f>
        <v>4/2024</v>
      </c>
      <c r="D169" s="1" t="str">
        <f>IFERROR(VLOOKUP(ТабПозиции[[#This Row],[orderNum]],ТабЗаказы[#Data],MATCH(D$7,ТабЗаказы[#Headers],0),0),"")</f>
        <v>Лариса Кирова</v>
      </c>
      <c r="E169" s="32" t="s">
        <v>697</v>
      </c>
      <c r="F169" s="56" t="s">
        <v>3061</v>
      </c>
      <c r="H169" s="34">
        <v>45393</v>
      </c>
      <c r="I169" s="26">
        <v>1</v>
      </c>
      <c r="J169" s="26">
        <v>293</v>
      </c>
      <c r="K169">
        <v>293</v>
      </c>
      <c r="L169" s="26">
        <v>299</v>
      </c>
      <c r="M169">
        <f t="shared" si="2"/>
        <v>299</v>
      </c>
      <c r="O16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Row],[orderNum]],ТабПозиции[orderSumm])&gt;1500),ABS(M169*VLOOKUP(ТабПозиции[[#This Row],[orderNum]],ТабЗаказы[#Data],MATCH("Percent",ТабЗаказы[#Headers],0),0))/100,200/COUNTIF(ТабПозиции[orderNum],ТабПозиции[[#This Row],[orderNum]])),0),"")</f>
        <v>45</v>
      </c>
      <c r="P169">
        <f>IF(OR(ТабПозиции[[#This Row],[item]]="По штрихкоду",ТабПозиции[[#This Row],[item]]="Посылка"),ТабПозиции[[#This Row],[deliverySumm]]+ТабПозиции[[#This Row],[deliveryPost]],SUM(M169:O169))</f>
        <v>344</v>
      </c>
      <c r="Q169" s="57">
        <v>344</v>
      </c>
      <c r="R169" s="62">
        <f>ТабПозиции[[#This Row],[totalSumm]]-ТабПозиции[[#This Row],[payment]]</f>
        <v>0</v>
      </c>
      <c r="S169" s="34" t="s">
        <v>575</v>
      </c>
      <c r="T169" s="56" t="s">
        <v>3061</v>
      </c>
      <c r="U169" s="56" t="s">
        <v>3061</v>
      </c>
      <c r="V169" s="56" t="s">
        <v>3061</v>
      </c>
      <c r="W169"/>
      <c r="X169"/>
    </row>
    <row r="170" spans="1:24" x14ac:dyDescent="0.25">
      <c r="A170" s="26">
        <v>54</v>
      </c>
      <c r="B170" s="1">
        <f>IFERROR(VLOOKUP(ТабПозиции[[#This Row],[orderNum]],ТабЗаказы[#Data],MATCH(B$7,ТабЗаказы[#Headers],0),0),"")</f>
        <v>45391</v>
      </c>
      <c r="C170" t="str">
        <f>MONTH(ТабПозиции[[#This Row],[date]])&amp;"/"&amp;YEAR(ТабПозиции[[#This Row],[date]])</f>
        <v>4/2024</v>
      </c>
      <c r="D170" s="1" t="str">
        <f>IFERROR(VLOOKUP(ТабПозиции[[#This Row],[orderNum]],ТабЗаказы[#Data],MATCH(D$7,ТабЗаказы[#Headers],0),0),"")</f>
        <v>Лариса Кирова</v>
      </c>
      <c r="E170" s="32" t="s">
        <v>698</v>
      </c>
      <c r="F170" s="56" t="s">
        <v>3061</v>
      </c>
      <c r="H170" s="34">
        <v>45393</v>
      </c>
      <c r="I170" s="26">
        <v>1</v>
      </c>
      <c r="J170" s="26">
        <v>220</v>
      </c>
      <c r="K170">
        <v>220</v>
      </c>
      <c r="L170" s="26">
        <v>224</v>
      </c>
      <c r="M170">
        <f t="shared" si="2"/>
        <v>224</v>
      </c>
      <c r="O17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Row],[orderNum]],ТабПозиции[orderSumm])&gt;1500),ABS(M170*VLOOKUP(ТабПозиции[[#This Row],[orderNum]],ТабЗаказы[#Data],MATCH("Percent",ТабЗаказы[#Headers],0),0))/100,200/COUNTIF(ТабПозиции[orderNum],ТабПозиции[[#This Row],[orderNum]])),0),"")</f>
        <v>34</v>
      </c>
      <c r="P170">
        <f>IF(OR(ТабПозиции[[#This Row],[item]]="По штрихкоду",ТабПозиции[[#This Row],[item]]="Посылка"),ТабПозиции[[#This Row],[deliverySumm]]+ТабПозиции[[#This Row],[deliveryPost]],SUM(M170:O170))</f>
        <v>258</v>
      </c>
      <c r="Q170" s="57">
        <v>258</v>
      </c>
      <c r="R170" s="62">
        <f>ТабПозиции[[#This Row],[totalSumm]]-ТабПозиции[[#This Row],[payment]]</f>
        <v>0</v>
      </c>
      <c r="S170" s="34" t="s">
        <v>575</v>
      </c>
      <c r="T170" s="56" t="s">
        <v>3061</v>
      </c>
      <c r="U170" s="56" t="s">
        <v>3061</v>
      </c>
      <c r="V170" s="56" t="s">
        <v>3061</v>
      </c>
      <c r="W170"/>
      <c r="X170"/>
    </row>
    <row r="171" spans="1:24" x14ac:dyDescent="0.25">
      <c r="A171" s="26">
        <v>54</v>
      </c>
      <c r="B171" s="1">
        <f>IFERROR(VLOOKUP(ТабПозиции[[#This Row],[orderNum]],ТабЗаказы[#Data],MATCH(B$7,ТабЗаказы[#Headers],0),0),"")</f>
        <v>45391</v>
      </c>
      <c r="C171" t="str">
        <f>MONTH(ТабПозиции[[#This Row],[date]])&amp;"/"&amp;YEAR(ТабПозиции[[#This Row],[date]])</f>
        <v>4/2024</v>
      </c>
      <c r="D171" s="1" t="str">
        <f>IFERROR(VLOOKUP(ТабПозиции[[#This Row],[orderNum]],ТабЗаказы[#Data],MATCH(D$7,ТабЗаказы[#Headers],0),0),"")</f>
        <v>Лариса Кирова</v>
      </c>
      <c r="E171" s="32" t="s">
        <v>699</v>
      </c>
      <c r="F171" s="56" t="s">
        <v>3061</v>
      </c>
      <c r="H171" s="34">
        <v>45394</v>
      </c>
      <c r="I171" s="26">
        <v>1</v>
      </c>
      <c r="J171" s="26">
        <v>184</v>
      </c>
      <c r="K171">
        <v>184</v>
      </c>
      <c r="L171" s="26">
        <v>188</v>
      </c>
      <c r="M171">
        <f t="shared" si="2"/>
        <v>188</v>
      </c>
      <c r="O17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Row],[orderNum]],ТабПозиции[orderSumm])&gt;1500),ABS(M171*VLOOKUP(ТабПозиции[[#This Row],[orderNum]],ТабЗаказы[#Data],MATCH("Percent",ТабЗаказы[#Headers],0),0))/100,200/COUNTIF(ТабПозиции[orderNum],ТабПозиции[[#This Row],[orderNum]])),0),"")</f>
        <v>28</v>
      </c>
      <c r="P171">
        <f>IF(OR(ТабПозиции[[#This Row],[item]]="По штрихкоду",ТабПозиции[[#This Row],[item]]="Посылка"),ТабПозиции[[#This Row],[deliverySumm]]+ТабПозиции[[#This Row],[deliveryPost]],SUM(M171:O171))</f>
        <v>216</v>
      </c>
      <c r="Q171" s="57">
        <v>216</v>
      </c>
      <c r="R171" s="62">
        <f>ТабПозиции[[#This Row],[totalSumm]]-ТабПозиции[[#This Row],[payment]]</f>
        <v>0</v>
      </c>
      <c r="S171" s="34" t="s">
        <v>575</v>
      </c>
      <c r="T171" s="56" t="s">
        <v>3061</v>
      </c>
      <c r="U171" s="56" t="s">
        <v>3061</v>
      </c>
      <c r="V171" s="56" t="s">
        <v>3061</v>
      </c>
      <c r="W171"/>
      <c r="X171"/>
    </row>
    <row r="172" spans="1:24" x14ac:dyDescent="0.25">
      <c r="A172" s="26">
        <v>54</v>
      </c>
      <c r="B172" s="1">
        <f>IFERROR(VLOOKUP(ТабПозиции[[#This Row],[orderNum]],ТабЗаказы[#Data],MATCH(B$7,ТабЗаказы[#Headers],0),0),"")</f>
        <v>45391</v>
      </c>
      <c r="C172" t="str">
        <f>MONTH(ТабПозиции[[#This Row],[date]])&amp;"/"&amp;YEAR(ТабПозиции[[#This Row],[date]])</f>
        <v>4/2024</v>
      </c>
      <c r="D172" s="1" t="str">
        <f>IFERROR(VLOOKUP(ТабПозиции[[#This Row],[orderNum]],ТабЗаказы[#Data],MATCH(D$7,ТабЗаказы[#Headers],0),0),"")</f>
        <v>Лариса Кирова</v>
      </c>
      <c r="E172" s="32" t="s">
        <v>700</v>
      </c>
      <c r="F172" s="56" t="s">
        <v>3061</v>
      </c>
      <c r="H172" s="34">
        <v>45394</v>
      </c>
      <c r="I172" s="26">
        <v>1</v>
      </c>
      <c r="J172" s="26">
        <v>770</v>
      </c>
      <c r="K172">
        <v>770</v>
      </c>
      <c r="L172" s="26">
        <v>794</v>
      </c>
      <c r="M172">
        <f t="shared" si="2"/>
        <v>794</v>
      </c>
      <c r="O17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Row],[orderNum]],ТабПозиции[orderSumm])&gt;1500),ABS(M172*VLOOKUP(ТабПозиции[[#This Row],[orderNum]],ТабЗаказы[#Data],MATCH("Percent",ТабЗаказы[#Headers],0),0))/100,200/COUNTIF(ТабПозиции[orderNum],ТабПозиции[[#This Row],[orderNum]])),0),"")</f>
        <v>119</v>
      </c>
      <c r="P172">
        <f>IF(OR(ТабПозиции[[#This Row],[item]]="По штрихкоду",ТабПозиции[[#This Row],[item]]="Посылка"),ТабПозиции[[#This Row],[deliverySumm]]+ТабПозиции[[#This Row],[deliveryPost]],SUM(M172:O172))</f>
        <v>913</v>
      </c>
      <c r="Q172" s="57">
        <v>913</v>
      </c>
      <c r="R172" s="62">
        <f>ТабПозиции[[#This Row],[totalSumm]]-ТабПозиции[[#This Row],[payment]]</f>
        <v>0</v>
      </c>
      <c r="S172" s="34" t="s">
        <v>701</v>
      </c>
      <c r="T172" s="56" t="s">
        <v>3061</v>
      </c>
      <c r="U172" s="56" t="s">
        <v>3061</v>
      </c>
      <c r="V172" s="56" t="s">
        <v>3061</v>
      </c>
      <c r="W172"/>
      <c r="X172"/>
    </row>
    <row r="173" spans="1:24" x14ac:dyDescent="0.25">
      <c r="A173" s="26">
        <v>55</v>
      </c>
      <c r="B173" s="1">
        <f>IFERROR(VLOOKUP(ТабПозиции[[#This Row],[orderNum]],ТабЗаказы[#Data],MATCH(B$7,ТабЗаказы[#Headers],0),0),"")</f>
        <v>45391</v>
      </c>
      <c r="C173" t="str">
        <f>MONTH(ТабПозиции[[#This Row],[date]])&amp;"/"&amp;YEAR(ТабПозиции[[#This Row],[date]])</f>
        <v>4/2024</v>
      </c>
      <c r="D173" s="1" t="str">
        <f>IFERROR(VLOOKUP(ТабПозиции[[#This Row],[orderNum]],ТабЗаказы[#Data],MATCH(D$7,ТабЗаказы[#Headers],0),0),"")</f>
        <v>Антон Максимовка</v>
      </c>
      <c r="E173" s="26" t="s">
        <v>32</v>
      </c>
      <c r="F173" s="56" t="s">
        <v>3061</v>
      </c>
      <c r="H173" s="34">
        <v>45391</v>
      </c>
      <c r="I173" s="26">
        <v>1</v>
      </c>
      <c r="J173" s="26">
        <v>0</v>
      </c>
      <c r="K173">
        <v>0</v>
      </c>
      <c r="L173" s="26">
        <v>2700</v>
      </c>
      <c r="M173">
        <f t="shared" si="2"/>
        <v>2700</v>
      </c>
      <c r="O17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Row],[orderNum]],ТабПозиции[orderSumm])&gt;1500),ABS(M173*VLOOKUP(ТабПозиции[[#This Row],[orderNum]],ТабЗаказы[#Data],MATCH("Percent",ТабЗаказы[#Headers],0),0))/100,200/COUNTIF(ТабПозиции[orderNum],ТабПозиции[[#This Row],[orderNum]])),0),"")</f>
        <v>405</v>
      </c>
      <c r="P173">
        <f>IF(OR(ТабПозиции[[#This Row],[item]]="По штрихкоду",ТабПозиции[[#This Row],[item]]="Посылка"),ТабПозиции[[#This Row],[deliverySumm]]+ТабПозиции[[#This Row],[deliveryPost]],SUM(M173:O173))</f>
        <v>405</v>
      </c>
      <c r="Q173" s="57">
        <v>405</v>
      </c>
      <c r="R173" s="62">
        <f>ТабПозиции[[#This Row],[totalSumm]]-ТабПозиции[[#This Row],[payment]]</f>
        <v>0</v>
      </c>
      <c r="S173" s="34" t="s">
        <v>575</v>
      </c>
      <c r="T173" s="56" t="s">
        <v>3061</v>
      </c>
      <c r="U173" s="56" t="s">
        <v>3061</v>
      </c>
      <c r="V173" s="56" t="s">
        <v>3061</v>
      </c>
      <c r="W173"/>
      <c r="X173"/>
    </row>
    <row r="174" spans="1:24" x14ac:dyDescent="0.25">
      <c r="A174" s="26">
        <v>56</v>
      </c>
      <c r="B174" s="1">
        <f>IFERROR(VLOOKUP(ТабПозиции[[#This Row],[orderNum]],ТабЗаказы[#Data],MATCH(B$7,ТабЗаказы[#Headers],0),0),"")</f>
        <v>45392</v>
      </c>
      <c r="C174" t="str">
        <f>MONTH(ТабПозиции[[#This Row],[date]])&amp;"/"&amp;YEAR(ТабПозиции[[#This Row],[date]])</f>
        <v>4/2024</v>
      </c>
      <c r="D174" s="1" t="str">
        <f>IFERROR(VLOOKUP(ТабПозиции[[#This Row],[orderNum]],ТабЗаказы[#Data],MATCH(D$7,ТабЗаказы[#Headers],0),0),"")</f>
        <v>Галина Агабекова(церковь)</v>
      </c>
      <c r="E174" s="32" t="s">
        <v>649</v>
      </c>
      <c r="F174" s="56" t="s">
        <v>3061</v>
      </c>
      <c r="H174" s="34">
        <v>45400</v>
      </c>
      <c r="I174" s="26">
        <v>1</v>
      </c>
      <c r="J174" s="26">
        <v>1213</v>
      </c>
      <c r="K174">
        <v>1213</v>
      </c>
      <c r="L174" s="26">
        <v>1340</v>
      </c>
      <c r="M174">
        <f t="shared" si="2"/>
        <v>1340</v>
      </c>
      <c r="O17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Row],[orderNum]],ТабПозиции[orderSumm])&gt;1500),ABS(M174*VLOOKUP(ТабПозиции[[#This Row],[orderNum]],ТабЗаказы[#Data],MATCH("Percent",ТабЗаказы[#Headers],0),0))/100,200/COUNTIF(ТабПозиции[orderNum],ТабПозиции[[#This Row],[orderNum]])),0),"")</f>
        <v>201</v>
      </c>
      <c r="P174">
        <f>IF(OR(ТабПозиции[[#This Row],[item]]="По штрихкоду",ТабПозиции[[#This Row],[item]]="Посылка"),ТабПозиции[[#This Row],[deliverySumm]]+ТабПозиции[[#This Row],[deliveryPost]],SUM(M174:O174))</f>
        <v>1541</v>
      </c>
      <c r="Q174" s="57">
        <v>1541</v>
      </c>
      <c r="R174" s="62">
        <f>ТабПозиции[[#This Row],[totalSumm]]-ТабПозиции[[#This Row],[payment]]</f>
        <v>0</v>
      </c>
      <c r="S174" s="34" t="s">
        <v>575</v>
      </c>
      <c r="T174" s="56" t="s">
        <v>3061</v>
      </c>
      <c r="U174" s="56" t="s">
        <v>3061</v>
      </c>
      <c r="V174" s="56" t="s">
        <v>3061</v>
      </c>
      <c r="W174"/>
      <c r="X174"/>
    </row>
    <row r="175" spans="1:24" x14ac:dyDescent="0.25">
      <c r="A175" s="26">
        <v>56</v>
      </c>
      <c r="B175" s="1">
        <f>IFERROR(VLOOKUP(ТабПозиции[[#This Row],[orderNum]],ТабЗаказы[#Data],MATCH(B$7,ТабЗаказы[#Headers],0),0),"")</f>
        <v>45392</v>
      </c>
      <c r="C175" t="str">
        <f>MONTH(ТабПозиции[[#This Row],[date]])&amp;"/"&amp;YEAR(ТабПозиции[[#This Row],[date]])</f>
        <v>4/2024</v>
      </c>
      <c r="D175" s="1" t="str">
        <f>IFERROR(VLOOKUP(ТабПозиции[[#This Row],[orderNum]],ТабЗаказы[#Data],MATCH(D$7,ТабЗаказы[#Headers],0),0),"")</f>
        <v>Галина Агабекова(церковь)</v>
      </c>
      <c r="E175" s="32" t="s">
        <v>702</v>
      </c>
      <c r="F175" s="56" t="s">
        <v>3061</v>
      </c>
      <c r="H175" s="34">
        <v>45400</v>
      </c>
      <c r="I175" s="26">
        <v>1</v>
      </c>
      <c r="J175" s="26">
        <v>758</v>
      </c>
      <c r="K175">
        <v>758</v>
      </c>
      <c r="L175" s="26">
        <v>758</v>
      </c>
      <c r="M175">
        <f t="shared" si="2"/>
        <v>758</v>
      </c>
      <c r="O17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Row],[orderNum]],ТабПозиции[orderSumm])&gt;1500),ABS(M175*VLOOKUP(ТабПозиции[[#This Row],[orderNum]],ТабЗаказы[#Data],MATCH("Percent",ТабЗаказы[#Headers],0),0))/100,200/COUNTIF(ТабПозиции[orderNum],ТабПозиции[[#This Row],[orderNum]])),0),"")</f>
        <v>114</v>
      </c>
      <c r="P175">
        <f>IF(OR(ТабПозиции[[#This Row],[item]]="По штрихкоду",ТабПозиции[[#This Row],[item]]="Посылка"),ТабПозиции[[#This Row],[deliverySumm]]+ТабПозиции[[#This Row],[deliveryPost]],SUM(M175:O175))</f>
        <v>872</v>
      </c>
      <c r="Q175" s="57">
        <v>872</v>
      </c>
      <c r="R175" s="62">
        <f>ТабПозиции[[#This Row],[totalSumm]]-ТабПозиции[[#This Row],[payment]]</f>
        <v>0</v>
      </c>
      <c r="S175" s="34" t="s">
        <v>575</v>
      </c>
      <c r="T175" s="56" t="s">
        <v>3061</v>
      </c>
      <c r="U175" s="56" t="s">
        <v>3061</v>
      </c>
      <c r="V175" s="56" t="s">
        <v>3061</v>
      </c>
      <c r="W175"/>
      <c r="X175"/>
    </row>
    <row r="176" spans="1:24" x14ac:dyDescent="0.25">
      <c r="A176" s="26">
        <v>56</v>
      </c>
      <c r="B176" s="1">
        <f>IFERROR(VLOOKUP(ТабПозиции[[#This Row],[orderNum]],ТабЗаказы[#Data],MATCH(B$7,ТабЗаказы[#Headers],0),0),"")</f>
        <v>45392</v>
      </c>
      <c r="C176" t="str">
        <f>MONTH(ТабПозиции[[#This Row],[date]])&amp;"/"&amp;YEAR(ТабПозиции[[#This Row],[date]])</f>
        <v>4/2024</v>
      </c>
      <c r="D176" s="1" t="str">
        <f>IFERROR(VLOOKUP(ТабПозиции[[#This Row],[orderNum]],ТабЗаказы[#Data],MATCH(D$7,ТабЗаказы[#Headers],0),0),"")</f>
        <v>Галина Агабекова(церковь)</v>
      </c>
      <c r="E176" s="32" t="s">
        <v>703</v>
      </c>
      <c r="F176" s="56" t="s">
        <v>3061</v>
      </c>
      <c r="H176" s="34">
        <v>45398</v>
      </c>
      <c r="I176" s="26">
        <v>1</v>
      </c>
      <c r="J176" s="26">
        <v>288</v>
      </c>
      <c r="K176">
        <v>288</v>
      </c>
      <c r="L176" s="26">
        <v>294</v>
      </c>
      <c r="M176">
        <f t="shared" si="2"/>
        <v>294</v>
      </c>
      <c r="O17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Row],[orderNum]],ТабПозиции[orderSumm])&gt;1500),ABS(M176*VLOOKUP(ТабПозиции[[#This Row],[orderNum]],ТабЗаказы[#Data],MATCH("Percent",ТабЗаказы[#Headers],0),0))/100,200/COUNTIF(ТабПозиции[orderNum],ТабПозиции[[#This Row],[orderNum]])),0),"")</f>
        <v>44</v>
      </c>
      <c r="P176">
        <f>IF(OR(ТабПозиции[[#This Row],[item]]="По штрихкоду",ТабПозиции[[#This Row],[item]]="Посылка"),ТабПозиции[[#This Row],[deliverySumm]]+ТабПозиции[[#This Row],[deliveryPost]],SUM(M176:O176))</f>
        <v>338</v>
      </c>
      <c r="Q176" s="57">
        <v>338</v>
      </c>
      <c r="R176" s="62">
        <f>ТабПозиции[[#This Row],[totalSumm]]-ТабПозиции[[#This Row],[payment]]</f>
        <v>0</v>
      </c>
      <c r="S176" s="34" t="s">
        <v>575</v>
      </c>
      <c r="T176" s="56" t="s">
        <v>3061</v>
      </c>
      <c r="U176" s="56" t="s">
        <v>3061</v>
      </c>
      <c r="V176" s="56" t="s">
        <v>3061</v>
      </c>
      <c r="W176"/>
      <c r="X176"/>
    </row>
    <row r="177" spans="1:24" x14ac:dyDescent="0.25">
      <c r="A177" s="26">
        <v>56</v>
      </c>
      <c r="B177" s="1">
        <f>IFERROR(VLOOKUP(ТабПозиции[[#This Row],[orderNum]],ТабЗаказы[#Data],MATCH(B$7,ТабЗаказы[#Headers],0),0),"")</f>
        <v>45392</v>
      </c>
      <c r="C177" t="str">
        <f>MONTH(ТабПозиции[[#This Row],[date]])&amp;"/"&amp;YEAR(ТабПозиции[[#This Row],[date]])</f>
        <v>4/2024</v>
      </c>
      <c r="D177" s="1" t="str">
        <f>IFERROR(VLOOKUP(ТабПозиции[[#This Row],[orderNum]],ТабЗаказы[#Data],MATCH(D$7,ТабЗаказы[#Headers],0),0),"")</f>
        <v>Галина Агабекова(церковь)</v>
      </c>
      <c r="E177" s="32" t="s">
        <v>704</v>
      </c>
      <c r="F177" s="56" t="s">
        <v>3061</v>
      </c>
      <c r="H177" s="34">
        <v>45401</v>
      </c>
      <c r="I177" s="26">
        <v>1</v>
      </c>
      <c r="J177" s="26">
        <v>612</v>
      </c>
      <c r="K177">
        <v>612</v>
      </c>
      <c r="L177" s="26">
        <v>612</v>
      </c>
      <c r="M177">
        <f t="shared" si="2"/>
        <v>612</v>
      </c>
      <c r="O17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Row],[orderNum]],ТабПозиции[orderSumm])&gt;1500),ABS(M177*VLOOKUP(ТабПозиции[[#This Row],[orderNum]],ТабЗаказы[#Data],MATCH("Percent",ТабЗаказы[#Headers],0),0))/100,200/COUNTIF(ТабПозиции[orderNum],ТабПозиции[[#This Row],[orderNum]])),0),"")</f>
        <v>92</v>
      </c>
      <c r="P177">
        <f>IF(OR(ТабПозиции[[#This Row],[item]]="По штрихкоду",ТабПозиции[[#This Row],[item]]="Посылка"),ТабПозиции[[#This Row],[deliverySumm]]+ТабПозиции[[#This Row],[deliveryPost]],SUM(M177:O177))</f>
        <v>704</v>
      </c>
      <c r="Q177" s="57">
        <v>704</v>
      </c>
      <c r="R177" s="62">
        <f>ТабПозиции[[#This Row],[totalSumm]]-ТабПозиции[[#This Row],[payment]]</f>
        <v>0</v>
      </c>
      <c r="S177" s="34" t="s">
        <v>575</v>
      </c>
      <c r="T177" s="56" t="s">
        <v>3061</v>
      </c>
      <c r="U177" s="56" t="s">
        <v>3061</v>
      </c>
      <c r="V177" s="56" t="s">
        <v>3061</v>
      </c>
      <c r="W177"/>
      <c r="X177"/>
    </row>
    <row r="178" spans="1:24" x14ac:dyDescent="0.25">
      <c r="A178" s="26">
        <v>56</v>
      </c>
      <c r="B178" s="1">
        <f>IFERROR(VLOOKUP(ТабПозиции[[#This Row],[orderNum]],ТабЗаказы[#Data],MATCH(B$7,ТабЗаказы[#Headers],0),0),"")</f>
        <v>45392</v>
      </c>
      <c r="C178" t="str">
        <f>MONTH(ТабПозиции[[#This Row],[date]])&amp;"/"&amp;YEAR(ТабПозиции[[#This Row],[date]])</f>
        <v>4/2024</v>
      </c>
      <c r="D178" s="1" t="str">
        <f>IFERROR(VLOOKUP(ТабПозиции[[#This Row],[orderNum]],ТабЗаказы[#Data],MATCH(D$7,ТабЗаказы[#Headers],0),0),"")</f>
        <v>Галина Агабекова(церковь)</v>
      </c>
      <c r="E178" s="32" t="s">
        <v>705</v>
      </c>
      <c r="F178" s="56" t="s">
        <v>3061</v>
      </c>
      <c r="H178" s="34">
        <v>45396</v>
      </c>
      <c r="I178" s="26">
        <v>1</v>
      </c>
      <c r="J178" s="26">
        <v>2888</v>
      </c>
      <c r="K178">
        <v>2888</v>
      </c>
      <c r="L178" s="26">
        <v>3145</v>
      </c>
      <c r="M178">
        <f t="shared" si="2"/>
        <v>3145</v>
      </c>
      <c r="O17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Row],[orderNum]],ТабПозиции[orderSumm])&gt;1500),ABS(M178*VLOOKUP(ТабПозиции[[#This Row],[orderNum]],ТабЗаказы[#Data],MATCH("Percent",ТабЗаказы[#Headers],0),0))/100,200/COUNTIF(ТабПозиции[orderNum],ТабПозиции[[#This Row],[orderNum]])),0),"")</f>
        <v>472</v>
      </c>
      <c r="P178">
        <f>IF(OR(ТабПозиции[[#This Row],[item]]="По штрихкоду",ТабПозиции[[#This Row],[item]]="Посылка"),ТабПозиции[[#This Row],[deliverySumm]]+ТабПозиции[[#This Row],[deliveryPost]],SUM(M178:O178))</f>
        <v>3617</v>
      </c>
      <c r="Q178" s="57">
        <v>3617</v>
      </c>
      <c r="R178" s="62">
        <f>ТабПозиции[[#This Row],[totalSumm]]-ТабПозиции[[#This Row],[payment]]</f>
        <v>0</v>
      </c>
      <c r="S178" s="34" t="s">
        <v>575</v>
      </c>
      <c r="T178" s="56" t="s">
        <v>3061</v>
      </c>
      <c r="U178" s="56" t="s">
        <v>3061</v>
      </c>
      <c r="V178" s="56" t="s">
        <v>3061</v>
      </c>
      <c r="W178" s="7"/>
      <c r="X178"/>
    </row>
    <row r="179" spans="1:24" x14ac:dyDescent="0.25">
      <c r="A179" s="26">
        <v>56</v>
      </c>
      <c r="B179" s="1">
        <f>IFERROR(VLOOKUP(ТабПозиции[[#This Row],[orderNum]],ТабЗаказы[#Data],MATCH(B$7,ТабЗаказы[#Headers],0),0),"")</f>
        <v>45392</v>
      </c>
      <c r="C179" t="str">
        <f>MONTH(ТабПозиции[[#This Row],[date]])&amp;"/"&amp;YEAR(ТабПозиции[[#This Row],[date]])</f>
        <v>4/2024</v>
      </c>
      <c r="D179" s="1" t="str">
        <f>IFERROR(VLOOKUP(ТабПозиции[[#This Row],[orderNum]],ТабЗаказы[#Data],MATCH(D$7,ТабЗаказы[#Headers],0),0),"")</f>
        <v>Галина Агабекова(церковь)</v>
      </c>
      <c r="E179" s="32" t="s">
        <v>706</v>
      </c>
      <c r="F179" s="56" t="s">
        <v>3061</v>
      </c>
      <c r="H179" s="34"/>
      <c r="I179" s="26">
        <v>1</v>
      </c>
      <c r="J179" s="26">
        <v>52</v>
      </c>
      <c r="K179">
        <v>52</v>
      </c>
      <c r="L179" s="26">
        <v>52</v>
      </c>
      <c r="M179">
        <f t="shared" si="2"/>
        <v>52</v>
      </c>
      <c r="N179" s="26">
        <v>237.08</v>
      </c>
      <c r="O17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Row],[orderNum]],ТабПозиции[orderSumm])&gt;1500),ABS(M179*VLOOKUP(ТабПозиции[[#This Row],[orderNum]],ТабЗаказы[#Data],MATCH("Percent",ТабЗаказы[#Headers],0),0))/100,200/COUNTIF(ТабПозиции[orderNum],ТабПозиции[[#This Row],[orderNum]])),0),"")</f>
        <v>8</v>
      </c>
      <c r="P179">
        <f>IF(OR(ТабПозиции[[#This Row],[item]]="По штрихкоду",ТабПозиции[[#This Row],[item]]="Посылка"),ТабПозиции[[#This Row],[deliverySumm]]+ТабПозиции[[#This Row],[deliveryPost]],SUM(M179:O179))</f>
        <v>297.08000000000004</v>
      </c>
      <c r="Q179" s="57">
        <v>297.08000000000004</v>
      </c>
      <c r="R179" s="62">
        <f>ТабПозиции[[#This Row],[totalSumm]]-ТабПозиции[[#This Row],[payment]]</f>
        <v>0</v>
      </c>
      <c r="S179" s="34" t="s">
        <v>579</v>
      </c>
      <c r="T179" s="56" t="s">
        <v>3061</v>
      </c>
      <c r="U179" s="56" t="s">
        <v>3061</v>
      </c>
      <c r="V179" s="56" t="s">
        <v>3061</v>
      </c>
      <c r="W179" s="7"/>
      <c r="X179"/>
    </row>
    <row r="180" spans="1:24" x14ac:dyDescent="0.25">
      <c r="A180" s="26">
        <v>56</v>
      </c>
      <c r="B180" s="1">
        <f>IFERROR(VLOOKUP(ТабПозиции[[#This Row],[orderNum]],ТабЗаказы[#Data],MATCH(B$7,ТабЗаказы[#Headers],0),0),"")</f>
        <v>45392</v>
      </c>
      <c r="C180" t="str">
        <f>MONTH(ТабПозиции[[#This Row],[date]])&amp;"/"&amp;YEAR(ТабПозиции[[#This Row],[date]])</f>
        <v>4/2024</v>
      </c>
      <c r="D180" s="1" t="str">
        <f>IFERROR(VLOOKUP(ТабПозиции[[#This Row],[orderNum]],ТабЗаказы[#Data],MATCH(D$7,ТабЗаказы[#Headers],0),0),"")</f>
        <v>Галина Агабекова(церковь)</v>
      </c>
      <c r="E180" s="32" t="s">
        <v>707</v>
      </c>
      <c r="F180" s="56" t="s">
        <v>3061</v>
      </c>
      <c r="H180" s="34"/>
      <c r="I180" s="26">
        <v>1</v>
      </c>
      <c r="J180" s="26">
        <v>52</v>
      </c>
      <c r="K180">
        <v>52</v>
      </c>
      <c r="L180" s="26">
        <v>52</v>
      </c>
      <c r="M180">
        <f t="shared" si="2"/>
        <v>52</v>
      </c>
      <c r="N180" s="26">
        <v>237.08</v>
      </c>
      <c r="O18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Row],[orderNum]],ТабПозиции[orderSumm])&gt;1500),ABS(M180*VLOOKUP(ТабПозиции[[#This Row],[orderNum]],ТабЗаказы[#Data],MATCH("Percent",ТабЗаказы[#Headers],0),0))/100,200/COUNTIF(ТабПозиции[orderNum],ТабПозиции[[#This Row],[orderNum]])),0),"")</f>
        <v>8</v>
      </c>
      <c r="P180">
        <f>IF(OR(ТабПозиции[[#This Row],[item]]="По штрихкоду",ТабПозиции[[#This Row],[item]]="Посылка"),ТабПозиции[[#This Row],[deliverySumm]]+ТабПозиции[[#This Row],[deliveryPost]],SUM(M180:O180))</f>
        <v>297.08000000000004</v>
      </c>
      <c r="Q180" s="57">
        <v>297.08000000000004</v>
      </c>
      <c r="R180" s="62">
        <f>ТабПозиции[[#This Row],[totalSumm]]-ТабПозиции[[#This Row],[payment]]</f>
        <v>0</v>
      </c>
      <c r="S180" s="34" t="s">
        <v>579</v>
      </c>
      <c r="T180" s="56" t="s">
        <v>3061</v>
      </c>
      <c r="U180" s="56" t="s">
        <v>3061</v>
      </c>
      <c r="V180" s="56" t="s">
        <v>3061</v>
      </c>
      <c r="W180" s="7"/>
      <c r="X180"/>
    </row>
    <row r="181" spans="1:24" x14ac:dyDescent="0.25">
      <c r="A181" s="26">
        <v>57</v>
      </c>
      <c r="B181" s="1">
        <f>IFERROR(VLOOKUP(ТабПозиции[[#This Row],[orderNum]],ТабЗаказы[#Data],MATCH(B$7,ТабЗаказы[#Headers],0),0),"")</f>
        <v>45392</v>
      </c>
      <c r="C181" t="str">
        <f>MONTH(ТабПозиции[[#This Row],[date]])&amp;"/"&amp;YEAR(ТабПозиции[[#This Row],[date]])</f>
        <v>4/2024</v>
      </c>
      <c r="D181" s="1" t="str">
        <f>IFERROR(VLOOKUP(ТабПозиции[[#This Row],[orderNum]],ТабЗаказы[#Data],MATCH(D$7,ТабЗаказы[#Headers],0),0),"")</f>
        <v>Митрофанов Евгений</v>
      </c>
      <c r="E181" s="32" t="s">
        <v>708</v>
      </c>
      <c r="F181" s="56" t="s">
        <v>3061</v>
      </c>
      <c r="H181" s="34">
        <v>45394</v>
      </c>
      <c r="I181" s="26">
        <v>1</v>
      </c>
      <c r="J181" s="26">
        <v>4948</v>
      </c>
      <c r="K181">
        <v>4948</v>
      </c>
      <c r="L181" s="26">
        <v>5332</v>
      </c>
      <c r="M181">
        <f t="shared" si="2"/>
        <v>5332</v>
      </c>
      <c r="O18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Row],[orderNum]],ТабПозиции[orderSumm])&gt;1500),ABS(M181*VLOOKUP(ТабПозиции[[#This Row],[orderNum]],ТабЗаказы[#Data],MATCH("Percent",ТабЗаказы[#Headers],0),0))/100,200/COUNTIF(ТабПозиции[orderNum],ТабПозиции[[#This Row],[orderNum]])),0),"")</f>
        <v>800</v>
      </c>
      <c r="P181">
        <f>IF(OR(ТабПозиции[[#This Row],[item]]="По штрихкоду",ТабПозиции[[#This Row],[item]]="Посылка"),ТабПозиции[[#This Row],[deliverySumm]]+ТабПозиции[[#This Row],[deliveryPost]],SUM(M181:O181))</f>
        <v>6132</v>
      </c>
      <c r="Q181" s="57">
        <v>6132</v>
      </c>
      <c r="R181" s="62">
        <f>ТабПозиции[[#This Row],[totalSumm]]-ТабПозиции[[#This Row],[payment]]</f>
        <v>0</v>
      </c>
      <c r="S181" s="34" t="s">
        <v>575</v>
      </c>
      <c r="T181" s="56" t="s">
        <v>3061</v>
      </c>
      <c r="U181" s="56" t="s">
        <v>3061</v>
      </c>
      <c r="V181" s="56" t="s">
        <v>3061</v>
      </c>
      <c r="W181" s="7"/>
      <c r="X181"/>
    </row>
    <row r="182" spans="1:24" x14ac:dyDescent="0.25">
      <c r="A182" s="26">
        <v>57</v>
      </c>
      <c r="B182" s="1">
        <f>IFERROR(VLOOKUP(ТабПозиции[[#This Row],[orderNum]],ТабЗаказы[#Data],MATCH(B$7,ТабЗаказы[#Headers],0),0),"")</f>
        <v>45392</v>
      </c>
      <c r="C182" t="str">
        <f>MONTH(ТабПозиции[[#This Row],[date]])&amp;"/"&amp;YEAR(ТабПозиции[[#This Row],[date]])</f>
        <v>4/2024</v>
      </c>
      <c r="D182" s="1" t="str">
        <f>IFERROR(VLOOKUP(ТабПозиции[[#This Row],[orderNum]],ТабЗаказы[#Data],MATCH(D$7,ТабЗаказы[#Headers],0),0),"")</f>
        <v>Митрофанов Евгений</v>
      </c>
      <c r="E182" s="32" t="s">
        <v>709</v>
      </c>
      <c r="F182" s="56" t="s">
        <v>3061</v>
      </c>
      <c r="H182" s="34">
        <v>45394</v>
      </c>
      <c r="I182" s="26">
        <v>1</v>
      </c>
      <c r="J182" s="26">
        <v>1002</v>
      </c>
      <c r="K182">
        <v>1002</v>
      </c>
      <c r="L182" s="26">
        <v>1091</v>
      </c>
      <c r="M182">
        <f t="shared" si="2"/>
        <v>1091</v>
      </c>
      <c r="O18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Row],[orderNum]],ТабПозиции[orderSumm])&gt;1500),ABS(M182*VLOOKUP(ТабПозиции[[#This Row],[orderNum]],ТабЗаказы[#Data],MATCH("Percent",ТабЗаказы[#Headers],0),0))/100,200/COUNTIF(ТабПозиции[orderNum],ТабПозиции[[#This Row],[orderNum]])),0),"")</f>
        <v>164</v>
      </c>
      <c r="P182">
        <f>IF(OR(ТабПозиции[[#This Row],[item]]="По штрихкоду",ТабПозиции[[#This Row],[item]]="Посылка"),ТабПозиции[[#This Row],[deliverySumm]]+ТабПозиции[[#This Row],[deliveryPost]],SUM(M182:O182))</f>
        <v>1255</v>
      </c>
      <c r="Q182" s="57">
        <f>1255</f>
        <v>1255</v>
      </c>
      <c r="R182" s="62">
        <f>ТабПозиции[[#This Row],[totalSumm]]-ТабПозиции[[#This Row],[payment]]</f>
        <v>0</v>
      </c>
      <c r="S182" s="34" t="s">
        <v>575</v>
      </c>
      <c r="T182" s="56" t="s">
        <v>3061</v>
      </c>
      <c r="U182" s="56" t="s">
        <v>3061</v>
      </c>
      <c r="V182" s="56" t="s">
        <v>3061</v>
      </c>
      <c r="W182" s="7"/>
      <c r="X182"/>
    </row>
    <row r="183" spans="1:24" x14ac:dyDescent="0.25">
      <c r="A183" s="26">
        <v>58</v>
      </c>
      <c r="B183" s="1">
        <f>IFERROR(VLOOKUP(ТабПозиции[[#This Row],[orderNum]],ТабЗаказы[#Data],MATCH(B$7,ТабЗаказы[#Headers],0),0),"")</f>
        <v>45393</v>
      </c>
      <c r="C183" t="str">
        <f>MONTH(ТабПозиции[[#This Row],[date]])&amp;"/"&amp;YEAR(ТабПозиции[[#This Row],[date]])</f>
        <v>4/2024</v>
      </c>
      <c r="D183" s="1" t="str">
        <f>IFERROR(VLOOKUP(ТабПозиции[[#This Row],[orderNum]],ТабЗаказы[#Data],MATCH(D$7,ТабЗаказы[#Headers],0),0),"")</f>
        <v>Лариса Кирова</v>
      </c>
      <c r="E183" s="35" t="s">
        <v>710</v>
      </c>
      <c r="F183" s="56" t="s">
        <v>3061</v>
      </c>
      <c r="H183" s="34">
        <v>11.04</v>
      </c>
      <c r="I183" s="26">
        <v>1</v>
      </c>
      <c r="J183" s="26">
        <v>13590</v>
      </c>
      <c r="K183">
        <v>13590</v>
      </c>
      <c r="L183" s="26">
        <v>13590</v>
      </c>
      <c r="M183">
        <f t="shared" si="2"/>
        <v>13590</v>
      </c>
      <c r="O18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Row],[orderNum]],ТабПозиции[orderSumm])&gt;1500),ABS(M183*VLOOKUP(ТабПозиции[[#This Row],[orderNum]],ТабЗаказы[#Data],MATCH("Percent",ТабЗаказы[#Headers],0),0))/100,200/COUNTIF(ТабПозиции[orderNum],ТабПозиции[[#This Row],[orderNum]])),0),"")</f>
        <v>1359</v>
      </c>
      <c r="P183">
        <f>IF(OR(ТабПозиции[[#This Row],[item]]="По штрихкоду",ТабПозиции[[#This Row],[item]]="Посылка"),ТабПозиции[[#This Row],[deliverySumm]]+ТабПозиции[[#This Row],[deliveryPost]],SUM(M183:O183))</f>
        <v>14949</v>
      </c>
      <c r="Q183" s="57">
        <v>14949</v>
      </c>
      <c r="R183" s="62">
        <f>ТабПозиции[[#This Row],[totalSumm]]-ТабПозиции[[#This Row],[payment]]</f>
        <v>0</v>
      </c>
      <c r="S183" s="34" t="s">
        <v>689</v>
      </c>
      <c r="T183" s="56" t="s">
        <v>3061</v>
      </c>
      <c r="U183" s="56" t="s">
        <v>3061</v>
      </c>
      <c r="V183" s="56" t="s">
        <v>3061</v>
      </c>
      <c r="W183" s="7"/>
      <c r="X183"/>
    </row>
    <row r="184" spans="1:24" x14ac:dyDescent="0.25">
      <c r="A184" s="26">
        <v>59</v>
      </c>
      <c r="B184" s="1">
        <f>IFERROR(VLOOKUP(ТабПозиции[[#This Row],[orderNum]],ТабЗаказы[#Data],MATCH(B$7,ТабЗаказы[#Headers],0),0),"")</f>
        <v>45394</v>
      </c>
      <c r="C184" t="str">
        <f>MONTH(ТабПозиции[[#This Row],[date]])&amp;"/"&amp;YEAR(ТабПозиции[[#This Row],[date]])</f>
        <v>4/2024</v>
      </c>
      <c r="D184" s="1" t="str">
        <f>IFERROR(VLOOKUP(ТабПозиции[[#This Row],[orderNum]],ТабЗаказы[#Data],MATCH(D$7,ТабЗаказы[#Headers],0),0),"")</f>
        <v>Лариса Кирова</v>
      </c>
      <c r="E184" s="35" t="s">
        <v>711</v>
      </c>
      <c r="F184" s="56" t="s">
        <v>3061</v>
      </c>
      <c r="H184" s="34">
        <v>45398</v>
      </c>
      <c r="I184" s="26">
        <v>1</v>
      </c>
      <c r="J184" s="26">
        <v>437</v>
      </c>
      <c r="K184">
        <v>437</v>
      </c>
      <c r="L184" s="26">
        <v>474</v>
      </c>
      <c r="M184">
        <f t="shared" si="2"/>
        <v>474</v>
      </c>
      <c r="O18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Row],[orderNum]],ТабПозиции[orderSumm])&gt;1500),ABS(M184*VLOOKUP(ТабПозиции[[#This Row],[orderNum]],ТабЗаказы[#Data],MATCH("Percent",ТабЗаказы[#Headers],0),0))/100,200/COUNTIF(ТабПозиции[orderNum],ТабПозиции[[#This Row],[orderNum]])),0),"")</f>
        <v>47</v>
      </c>
      <c r="P184">
        <f>IF(OR(ТабПозиции[[#This Row],[item]]="По штрихкоду",ТабПозиции[[#This Row],[item]]="Посылка"),ТабПозиции[[#This Row],[deliverySumm]]+ТабПозиции[[#This Row],[deliveryPost]],SUM(M184:O184))</f>
        <v>521</v>
      </c>
      <c r="Q184" s="57">
        <f>524-3</f>
        <v>521</v>
      </c>
      <c r="R184" s="62">
        <f>ТабПозиции[[#This Row],[totalSumm]]-ТабПозиции[[#This Row],[payment]]</f>
        <v>0</v>
      </c>
      <c r="S184" s="34" t="s">
        <v>575</v>
      </c>
      <c r="T184" s="56" t="s">
        <v>3061</v>
      </c>
      <c r="U184" s="56" t="s">
        <v>3061</v>
      </c>
      <c r="V184" s="56" t="s">
        <v>3061</v>
      </c>
      <c r="W184" s="7"/>
      <c r="X184"/>
    </row>
    <row r="185" spans="1:24" x14ac:dyDescent="0.25">
      <c r="A185" s="26">
        <v>59</v>
      </c>
      <c r="B185" s="1">
        <f>IFERROR(VLOOKUP(ТабПозиции[[#This Row],[orderNum]],ТабЗаказы[#Data],MATCH(B$7,ТабЗаказы[#Headers],0),0),"")</f>
        <v>45394</v>
      </c>
      <c r="C185" t="str">
        <f>MONTH(ТабПозиции[[#This Row],[date]])&amp;"/"&amp;YEAR(ТабПозиции[[#This Row],[date]])</f>
        <v>4/2024</v>
      </c>
      <c r="D185" s="1" t="str">
        <f>IFERROR(VLOOKUP(ТабПозиции[[#This Row],[orderNum]],ТабЗаказы[#Data],MATCH(D$7,ТабЗаказы[#Headers],0),0),"")</f>
        <v>Лариса Кирова</v>
      </c>
      <c r="E185" s="32" t="s">
        <v>712</v>
      </c>
      <c r="F185" s="56" t="s">
        <v>3061</v>
      </c>
      <c r="H185" s="34">
        <v>45397</v>
      </c>
      <c r="I185" s="26">
        <v>5</v>
      </c>
      <c r="J185" s="26">
        <v>393</v>
      </c>
      <c r="K185">
        <v>1965</v>
      </c>
      <c r="L185" s="26">
        <v>426</v>
      </c>
      <c r="M185">
        <f t="shared" si="2"/>
        <v>2130</v>
      </c>
      <c r="O18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Row],[orderNum]],ТабПозиции[orderSumm])&gt;1500),ABS(M185*VLOOKUP(ТабПозиции[[#This Row],[orderNum]],ТабЗаказы[#Data],MATCH("Percent",ТабЗаказы[#Headers],0),0))/100,200/COUNTIF(ТабПозиции[orderNum],ТабПозиции[[#This Row],[orderNum]])),0),"")</f>
        <v>213</v>
      </c>
      <c r="P185">
        <f>IF(OR(ТабПозиции[[#This Row],[item]]="По штрихкоду",ТабПозиции[[#This Row],[item]]="Посылка"),ТабПозиции[[#This Row],[deliverySumm]]+ТабПозиции[[#This Row],[deliveryPost]],SUM(M185:O185))</f>
        <v>2343</v>
      </c>
      <c r="Q185" s="57">
        <f>2519-176</f>
        <v>2343</v>
      </c>
      <c r="R185" s="62">
        <f>ТабПозиции[[#This Row],[totalSumm]]-ТабПозиции[[#This Row],[payment]]</f>
        <v>0</v>
      </c>
      <c r="S185" s="34" t="s">
        <v>575</v>
      </c>
      <c r="T185" s="56" t="s">
        <v>3061</v>
      </c>
      <c r="U185" s="56" t="s">
        <v>3061</v>
      </c>
      <c r="V185" s="56" t="s">
        <v>3061</v>
      </c>
      <c r="W185" s="7"/>
      <c r="X185"/>
    </row>
    <row r="186" spans="1:24" x14ac:dyDescent="0.25">
      <c r="A186" s="26">
        <v>59</v>
      </c>
      <c r="B186" s="1">
        <f>IFERROR(VLOOKUP(ТабПозиции[[#This Row],[orderNum]],ТабЗаказы[#Data],MATCH(B$7,ТабЗаказы[#Headers],0),0),"")</f>
        <v>45394</v>
      </c>
      <c r="C186" t="str">
        <f>MONTH(ТабПозиции[[#This Row],[date]])&amp;"/"&amp;YEAR(ТабПозиции[[#This Row],[date]])</f>
        <v>4/2024</v>
      </c>
      <c r="D186" s="1" t="str">
        <f>IFERROR(VLOOKUP(ТабПозиции[[#This Row],[orderNum]],ТабЗаказы[#Data],MATCH(D$7,ТабЗаказы[#Headers],0),0),"")</f>
        <v>Лариса Кирова</v>
      </c>
      <c r="E186" s="32" t="s">
        <v>713</v>
      </c>
      <c r="F186" s="56" t="s">
        <v>3061</v>
      </c>
      <c r="H186" s="34">
        <v>45397</v>
      </c>
      <c r="I186" s="26">
        <v>1</v>
      </c>
      <c r="J186" s="26">
        <v>316</v>
      </c>
      <c r="K186">
        <v>316</v>
      </c>
      <c r="L186" s="26">
        <v>322</v>
      </c>
      <c r="M186">
        <f t="shared" si="2"/>
        <v>322</v>
      </c>
      <c r="O18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Row],[orderNum]],ТабПозиции[orderSumm])&gt;1500),ABS(M186*VLOOKUP(ТабПозиции[[#This Row],[orderNum]],ТабЗаказы[#Data],MATCH("Percent",ТабЗаказы[#Headers],0),0))/100,200/COUNTIF(ТабПозиции[orderNum],ТабПозиции[[#This Row],[orderNum]])),0),"")</f>
        <v>32</v>
      </c>
      <c r="P186">
        <f>IF(OR(ТабПозиции[[#This Row],[item]]="По штрихкоду",ТабПозиции[[#This Row],[item]]="Посылка"),ТабПозиции[[#This Row],[deliverySumm]]+ТабПозиции[[#This Row],[deliveryPost]],SUM(M186:O186))</f>
        <v>354</v>
      </c>
      <c r="Q186" s="57">
        <v>354</v>
      </c>
      <c r="R186" s="62">
        <f>ТабПозиции[[#This Row],[totalSumm]]-ТабПозиции[[#This Row],[payment]]</f>
        <v>0</v>
      </c>
      <c r="S186" s="34" t="s">
        <v>575</v>
      </c>
      <c r="T186" s="56" t="s">
        <v>3061</v>
      </c>
      <c r="U186" s="56" t="s">
        <v>3061</v>
      </c>
      <c r="V186" s="56" t="s">
        <v>3061</v>
      </c>
      <c r="W186" s="7"/>
      <c r="X186"/>
    </row>
    <row r="187" spans="1:24" x14ac:dyDescent="0.25">
      <c r="A187" s="26">
        <v>59</v>
      </c>
      <c r="B187" s="1">
        <f>IFERROR(VLOOKUP(ТабПозиции[[#This Row],[orderNum]],ТабЗаказы[#Data],MATCH(B$7,ТабЗаказы[#Headers],0),0),"")</f>
        <v>45394</v>
      </c>
      <c r="C187" t="str">
        <f>MONTH(ТабПозиции[[#This Row],[date]])&amp;"/"&amp;YEAR(ТабПозиции[[#This Row],[date]])</f>
        <v>4/2024</v>
      </c>
      <c r="D187" s="1" t="str">
        <f>IFERROR(VLOOKUP(ТабПозиции[[#This Row],[orderNum]],ТабЗаказы[#Data],MATCH(D$7,ТабЗаказы[#Headers],0),0),"")</f>
        <v>Лариса Кирова</v>
      </c>
      <c r="E187" s="32" t="s">
        <v>714</v>
      </c>
      <c r="F187" s="56" t="s">
        <v>3061</v>
      </c>
      <c r="H187" s="34">
        <v>45396</v>
      </c>
      <c r="I187" s="26">
        <v>1</v>
      </c>
      <c r="J187" s="26">
        <v>1106</v>
      </c>
      <c r="K187">
        <v>1106</v>
      </c>
      <c r="L187" s="26">
        <v>1141</v>
      </c>
      <c r="M187">
        <f t="shared" si="2"/>
        <v>1141</v>
      </c>
      <c r="O18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Row],[orderNum]],ТабПозиции[orderSumm])&gt;1500),ABS(M187*VLOOKUP(ТабПозиции[[#This Row],[orderNum]],ТабЗаказы[#Data],MATCH("Percent",ТабЗаказы[#Headers],0),0))/100,200/COUNTIF(ТабПозиции[orderNum],ТабПозиции[[#This Row],[orderNum]])),0),"")</f>
        <v>114</v>
      </c>
      <c r="P187">
        <f>IF(OR(ТабПозиции[[#This Row],[item]]="По штрихкоду",ТабПозиции[[#This Row],[item]]="Посылка"),ТабПозиции[[#This Row],[deliverySumm]]+ТабПозиции[[#This Row],[deliveryPost]],SUM(M187:O187))</f>
        <v>1255</v>
      </c>
      <c r="Q187" s="57">
        <v>1255</v>
      </c>
      <c r="R187" s="62">
        <f>ТабПозиции[[#This Row],[totalSumm]]-ТабПозиции[[#This Row],[payment]]</f>
        <v>0</v>
      </c>
      <c r="S187" s="34" t="s">
        <v>558</v>
      </c>
      <c r="T187" s="56" t="s">
        <v>3061</v>
      </c>
      <c r="U187" s="56" t="s">
        <v>3061</v>
      </c>
      <c r="V187" s="56" t="s">
        <v>3061</v>
      </c>
      <c r="W187" s="7"/>
      <c r="X187"/>
    </row>
    <row r="188" spans="1:24" x14ac:dyDescent="0.25">
      <c r="A188" s="26">
        <v>59</v>
      </c>
      <c r="B188" s="1">
        <f>IFERROR(VLOOKUP(ТабПозиции[[#This Row],[orderNum]],ТабЗаказы[#Data],MATCH(B$7,ТабЗаказы[#Headers],0),0),"")</f>
        <v>45394</v>
      </c>
      <c r="C188" t="str">
        <f>MONTH(ТабПозиции[[#This Row],[date]])&amp;"/"&amp;YEAR(ТабПозиции[[#This Row],[date]])</f>
        <v>4/2024</v>
      </c>
      <c r="D188" s="1" t="str">
        <f>IFERROR(VLOOKUP(ТабПозиции[[#This Row],[orderNum]],ТабЗаказы[#Data],MATCH(D$7,ТабЗаказы[#Headers],0),0),"")</f>
        <v>Лариса Кирова</v>
      </c>
      <c r="E188" s="32" t="s">
        <v>715</v>
      </c>
      <c r="F188" s="56" t="s">
        <v>3061</v>
      </c>
      <c r="H188" s="34">
        <v>45396</v>
      </c>
      <c r="I188" s="26">
        <v>1</v>
      </c>
      <c r="J188" s="26">
        <v>186</v>
      </c>
      <c r="K188">
        <v>186</v>
      </c>
      <c r="L188" s="26">
        <v>192</v>
      </c>
      <c r="M188">
        <f t="shared" si="2"/>
        <v>192</v>
      </c>
      <c r="O18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Row],[orderNum]],ТабПозиции[orderSumm])&gt;1500),ABS(M188*VLOOKUP(ТабПозиции[[#This Row],[orderNum]],ТабЗаказы[#Data],MATCH("Percent",ТабЗаказы[#Headers],0),0))/100,200/COUNTIF(ТабПозиции[orderNum],ТабПозиции[[#This Row],[orderNum]])),0),"")</f>
        <v>19</v>
      </c>
      <c r="P188">
        <f>IF(OR(ТабПозиции[[#This Row],[item]]="По штрихкоду",ТабПозиции[[#This Row],[item]]="Посылка"),ТабПозиции[[#This Row],[deliverySumm]]+ТабПозиции[[#This Row],[deliveryPost]],SUM(M188:O188))</f>
        <v>211</v>
      </c>
      <c r="Q188" s="57">
        <v>211</v>
      </c>
      <c r="R188" s="62">
        <f>ТабПозиции[[#This Row],[totalSumm]]-ТабПозиции[[#This Row],[payment]]</f>
        <v>0</v>
      </c>
      <c r="S188" s="34" t="s">
        <v>558</v>
      </c>
      <c r="T188" s="56" t="s">
        <v>3061</v>
      </c>
      <c r="U188" s="56" t="s">
        <v>3061</v>
      </c>
      <c r="V188" s="56" t="s">
        <v>3061</v>
      </c>
      <c r="W188" s="7"/>
      <c r="X188"/>
    </row>
    <row r="189" spans="1:24" x14ac:dyDescent="0.25">
      <c r="A189" s="26">
        <v>59</v>
      </c>
      <c r="B189" s="1">
        <f>IFERROR(VLOOKUP(ТабПозиции[[#This Row],[orderNum]],ТабЗаказы[#Data],MATCH(B$7,ТабЗаказы[#Headers],0),0),"")</f>
        <v>45394</v>
      </c>
      <c r="C189" t="str">
        <f>MONTH(ТабПозиции[[#This Row],[date]])&amp;"/"&amp;YEAR(ТабПозиции[[#This Row],[date]])</f>
        <v>4/2024</v>
      </c>
      <c r="D189" s="1" t="str">
        <f>IFERROR(VLOOKUP(ТабПозиции[[#This Row],[orderNum]],ТабЗаказы[#Data],MATCH(D$7,ТабЗаказы[#Headers],0),0),"")</f>
        <v>Лариса Кирова</v>
      </c>
      <c r="E189" s="32" t="s">
        <v>716</v>
      </c>
      <c r="F189" s="56" t="s">
        <v>3061</v>
      </c>
      <c r="H189" s="34">
        <v>45396</v>
      </c>
      <c r="I189" s="26">
        <v>1</v>
      </c>
      <c r="J189" s="26">
        <v>532</v>
      </c>
      <c r="K189">
        <v>532</v>
      </c>
      <c r="L189" s="26">
        <v>549</v>
      </c>
      <c r="M189">
        <f t="shared" si="2"/>
        <v>549</v>
      </c>
      <c r="O18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Row],[orderNum]],ТабПозиции[orderSumm])&gt;1500),ABS(M189*VLOOKUP(ТабПозиции[[#This Row],[orderNum]],ТабЗаказы[#Data],MATCH("Percent",ТабЗаказы[#Headers],0),0))/100,200/COUNTIF(ТабПозиции[orderNum],ТабПозиции[[#This Row],[orderNum]])),0),"")</f>
        <v>55</v>
      </c>
      <c r="P189">
        <f>IF(OR(ТабПозиции[[#This Row],[item]]="По штрихкоду",ТабПозиции[[#This Row],[item]]="Посылка"),ТабПозиции[[#This Row],[deliverySumm]]+ТабПозиции[[#This Row],[deliveryPost]],SUM(M189:O189))</f>
        <v>604</v>
      </c>
      <c r="Q189" s="57">
        <v>604</v>
      </c>
      <c r="R189" s="62">
        <f>ТабПозиции[[#This Row],[totalSumm]]-ТабПозиции[[#This Row],[payment]]</f>
        <v>0</v>
      </c>
      <c r="S189" s="34" t="s">
        <v>558</v>
      </c>
      <c r="T189" s="56" t="s">
        <v>3061</v>
      </c>
      <c r="U189" s="56" t="s">
        <v>3061</v>
      </c>
      <c r="V189" s="56" t="s">
        <v>3061</v>
      </c>
      <c r="W189" s="7"/>
      <c r="X189"/>
    </row>
    <row r="190" spans="1:24" x14ac:dyDescent="0.25">
      <c r="A190" s="26">
        <v>59</v>
      </c>
      <c r="B190" s="1">
        <f>IFERROR(VLOOKUP(ТабПозиции[[#This Row],[orderNum]],ТабЗаказы[#Data],MATCH(B$7,ТабЗаказы[#Headers],0),0),"")</f>
        <v>45394</v>
      </c>
      <c r="C190" t="str">
        <f>MONTH(ТабПозиции[[#This Row],[date]])&amp;"/"&amp;YEAR(ТабПозиции[[#This Row],[date]])</f>
        <v>4/2024</v>
      </c>
      <c r="D190" s="1" t="str">
        <f>IFERROR(VLOOKUP(ТабПозиции[[#This Row],[orderNum]],ТабЗаказы[#Data],MATCH(D$7,ТабЗаказы[#Headers],0),0),"")</f>
        <v>Лариса Кирова</v>
      </c>
      <c r="E190" s="32" t="s">
        <v>717</v>
      </c>
      <c r="F190" s="56" t="s">
        <v>3061</v>
      </c>
      <c r="H190" s="34">
        <v>45396</v>
      </c>
      <c r="I190" s="26">
        <v>3</v>
      </c>
      <c r="J190" s="26">
        <v>238</v>
      </c>
      <c r="K190">
        <v>714</v>
      </c>
      <c r="L190" s="26">
        <v>246</v>
      </c>
      <c r="M190">
        <f t="shared" si="2"/>
        <v>738</v>
      </c>
      <c r="O19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Row],[orderNum]],ТабПозиции[orderSumm])&gt;1500),ABS(M190*VLOOKUP(ТабПозиции[[#This Row],[orderNum]],ТабЗаказы[#Data],MATCH("Percent",ТабЗаказы[#Headers],0),0))/100,200/COUNTIF(ТабПозиции[orderNum],ТабПозиции[[#This Row],[orderNum]])),0),"")</f>
        <v>74</v>
      </c>
      <c r="P190">
        <f>IF(OR(ТабПозиции[[#This Row],[item]]="По штрихкоду",ТабПозиции[[#This Row],[item]]="Посылка"),ТабПозиции[[#This Row],[deliverySumm]]+ТабПозиции[[#This Row],[deliveryPost]],SUM(M190:O190))</f>
        <v>812</v>
      </c>
      <c r="Q190" s="57">
        <f>967-155</f>
        <v>812</v>
      </c>
      <c r="R190" s="62">
        <f>ТабПозиции[[#This Row],[totalSumm]]-ТабПозиции[[#This Row],[payment]]</f>
        <v>0</v>
      </c>
      <c r="S190" s="34" t="s">
        <v>558</v>
      </c>
      <c r="T190" s="56" t="s">
        <v>3061</v>
      </c>
      <c r="U190" s="56" t="s">
        <v>3061</v>
      </c>
      <c r="V190" s="56" t="s">
        <v>3061</v>
      </c>
      <c r="W190" s="7"/>
      <c r="X190"/>
    </row>
    <row r="191" spans="1:24" x14ac:dyDescent="0.25">
      <c r="A191" s="26">
        <v>59</v>
      </c>
      <c r="B191" s="1">
        <f>IFERROR(VLOOKUP(ТабПозиции[[#This Row],[orderNum]],ТабЗаказы[#Data],MATCH(B$7,ТабЗаказы[#Headers],0),0),"")</f>
        <v>45394</v>
      </c>
      <c r="C191" t="str">
        <f>MONTH(ТабПозиции[[#This Row],[date]])&amp;"/"&amp;YEAR(ТабПозиции[[#This Row],[date]])</f>
        <v>4/2024</v>
      </c>
      <c r="D191" s="1" t="str">
        <f>IFERROR(VLOOKUP(ТабПозиции[[#This Row],[orderNum]],ТабЗаказы[#Data],MATCH(D$7,ТабЗаказы[#Headers],0),0),"")</f>
        <v>Лариса Кирова</v>
      </c>
      <c r="E191" s="32" t="s">
        <v>718</v>
      </c>
      <c r="F191" s="56" t="s">
        <v>3061</v>
      </c>
      <c r="H191" s="34">
        <v>45396</v>
      </c>
      <c r="I191" s="26">
        <v>1</v>
      </c>
      <c r="J191" s="26">
        <v>357</v>
      </c>
      <c r="K191">
        <v>357</v>
      </c>
      <c r="L191" s="26">
        <v>369</v>
      </c>
      <c r="M191">
        <f t="shared" si="2"/>
        <v>369</v>
      </c>
      <c r="O19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Row],[orderNum]],ТабПозиции[orderSumm])&gt;1500),ABS(M191*VLOOKUP(ТабПозиции[[#This Row],[orderNum]],ТабЗаказы[#Data],MATCH("Percent",ТабЗаказы[#Headers],0),0))/100,200/COUNTIF(ТабПозиции[orderNum],ТабПозиции[[#This Row],[orderNum]])),0),"")</f>
        <v>37</v>
      </c>
      <c r="P191">
        <f>IF(OR(ТабПозиции[[#This Row],[item]]="По штрихкоду",ТабПозиции[[#This Row],[item]]="Посылка"),ТабПозиции[[#This Row],[deliverySumm]]+ТабПозиции[[#This Row],[deliveryPost]],SUM(M191:O191))</f>
        <v>406</v>
      </c>
      <c r="Q191" s="57">
        <v>406</v>
      </c>
      <c r="R191" s="62">
        <f>ТабПозиции[[#This Row],[totalSumm]]-ТабПозиции[[#This Row],[payment]]</f>
        <v>0</v>
      </c>
      <c r="S191" s="34" t="s">
        <v>558</v>
      </c>
      <c r="T191" s="56" t="s">
        <v>3061</v>
      </c>
      <c r="U191" s="56" t="s">
        <v>3061</v>
      </c>
      <c r="V191" s="56" t="s">
        <v>3061</v>
      </c>
      <c r="W191" s="7"/>
      <c r="X191"/>
    </row>
    <row r="192" spans="1:24" x14ac:dyDescent="0.25">
      <c r="A192" s="26">
        <v>59</v>
      </c>
      <c r="B192" s="1">
        <f>IFERROR(VLOOKUP(ТабПозиции[[#This Row],[orderNum]],ТабЗаказы[#Data],MATCH(B$7,ТабЗаказы[#Headers],0),0),"")</f>
        <v>45394</v>
      </c>
      <c r="C192" t="str">
        <f>MONTH(ТабПозиции[[#This Row],[date]])&amp;"/"&amp;YEAR(ТабПозиции[[#This Row],[date]])</f>
        <v>4/2024</v>
      </c>
      <c r="D192" s="1" t="str">
        <f>IFERROR(VLOOKUP(ТабПозиции[[#This Row],[orderNum]],ТабЗаказы[#Data],MATCH(D$7,ТабЗаказы[#Headers],0),0),"")</f>
        <v>Лариса Кирова</v>
      </c>
      <c r="E192" s="32" t="s">
        <v>719</v>
      </c>
      <c r="F192" s="56" t="s">
        <v>3061</v>
      </c>
      <c r="H192" s="34">
        <v>45396</v>
      </c>
      <c r="I192" s="26">
        <v>1</v>
      </c>
      <c r="J192" s="26">
        <v>517</v>
      </c>
      <c r="K192">
        <v>517</v>
      </c>
      <c r="L192" s="26">
        <v>534</v>
      </c>
      <c r="M192">
        <f t="shared" si="2"/>
        <v>534</v>
      </c>
      <c r="O19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Row],[orderNum]],ТабПозиции[orderSumm])&gt;1500),ABS(M192*VLOOKUP(ТабПозиции[[#This Row],[orderNum]],ТабЗаказы[#Data],MATCH("Percent",ТабЗаказы[#Headers],0),0))/100,200/COUNTIF(ТабПозиции[orderNum],ТабПозиции[[#This Row],[orderNum]])),0),"")</f>
        <v>53</v>
      </c>
      <c r="P192">
        <f>IF(OR(ТабПозиции[[#This Row],[item]]="По штрихкоду",ТабПозиции[[#This Row],[item]]="Посылка"),ТабПозиции[[#This Row],[deliverySumm]]+ТабПозиции[[#This Row],[deliveryPost]],SUM(M192:O192))</f>
        <v>587</v>
      </c>
      <c r="Q192" s="57">
        <v>587</v>
      </c>
      <c r="R192" s="62">
        <f>ТабПозиции[[#This Row],[totalSumm]]-ТабПозиции[[#This Row],[payment]]</f>
        <v>0</v>
      </c>
      <c r="S192" s="34" t="s">
        <v>558</v>
      </c>
      <c r="T192" s="56" t="s">
        <v>3061</v>
      </c>
      <c r="U192" s="56" t="s">
        <v>3061</v>
      </c>
      <c r="V192" s="56" t="s">
        <v>3061</v>
      </c>
      <c r="W192" s="7"/>
      <c r="X192"/>
    </row>
    <row r="193" spans="1:24" x14ac:dyDescent="0.25">
      <c r="A193" s="26">
        <v>59</v>
      </c>
      <c r="B193" s="1">
        <f>IFERROR(VLOOKUP(ТабПозиции[[#This Row],[orderNum]],ТабЗаказы[#Data],MATCH(B$7,ТабЗаказы[#Headers],0),0),"")</f>
        <v>45394</v>
      </c>
      <c r="C193" t="str">
        <f>MONTH(ТабПозиции[[#This Row],[date]])&amp;"/"&amp;YEAR(ТабПозиции[[#This Row],[date]])</f>
        <v>4/2024</v>
      </c>
      <c r="D193" s="1" t="str">
        <f>IFERROR(VLOOKUP(ТабПозиции[[#This Row],[orderNum]],ТабЗаказы[#Data],MATCH(D$7,ТабЗаказы[#Headers],0),0),"")</f>
        <v>Лариса Кирова</v>
      </c>
      <c r="E193" s="32" t="s">
        <v>720</v>
      </c>
      <c r="F193" s="56" t="s">
        <v>3061</v>
      </c>
      <c r="H193" s="34">
        <v>45396</v>
      </c>
      <c r="I193" s="26">
        <v>1</v>
      </c>
      <c r="J193" s="26">
        <v>1110</v>
      </c>
      <c r="K193">
        <v>1110</v>
      </c>
      <c r="L193" s="26">
        <v>1145</v>
      </c>
      <c r="M193">
        <f t="shared" si="2"/>
        <v>1145</v>
      </c>
      <c r="O19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Row],[orderNum]],ТабПозиции[orderSumm])&gt;1500),ABS(M193*VLOOKUP(ТабПозиции[[#This Row],[orderNum]],ТабЗаказы[#Data],MATCH("Percent",ТабЗаказы[#Headers],0),0))/100,200/COUNTIF(ТабПозиции[orderNum],ТабПозиции[[#This Row],[orderNum]])),0),"")</f>
        <v>115</v>
      </c>
      <c r="P193">
        <f>IF(OR(ТабПозиции[[#This Row],[item]]="По штрихкоду",ТабПозиции[[#This Row],[item]]="Посылка"),ТабПозиции[[#This Row],[deliverySumm]]+ТабПозиции[[#This Row],[deliveryPost]],SUM(M193:O193))</f>
        <v>1260</v>
      </c>
      <c r="Q193" s="57">
        <v>1260</v>
      </c>
      <c r="R193" s="62">
        <f>ТабПозиции[[#This Row],[totalSumm]]-ТабПозиции[[#This Row],[payment]]</f>
        <v>0</v>
      </c>
      <c r="S193" s="34" t="s">
        <v>558</v>
      </c>
      <c r="T193" s="56" t="s">
        <v>3061</v>
      </c>
      <c r="U193" s="56" t="s">
        <v>3061</v>
      </c>
      <c r="V193" s="56" t="s">
        <v>3061</v>
      </c>
      <c r="W193" s="7"/>
      <c r="X193"/>
    </row>
    <row r="194" spans="1:24" x14ac:dyDescent="0.25">
      <c r="A194" s="26">
        <v>59</v>
      </c>
      <c r="B194" s="1">
        <f>IFERROR(VLOOKUP(ТабПозиции[[#This Row],[orderNum]],ТабЗаказы[#Data],MATCH(B$7,ТабЗаказы[#Headers],0),0),"")</f>
        <v>45394</v>
      </c>
      <c r="C194" t="str">
        <f>MONTH(ТабПозиции[[#This Row],[date]])&amp;"/"&amp;YEAR(ТабПозиции[[#This Row],[date]])</f>
        <v>4/2024</v>
      </c>
      <c r="D194" s="1" t="str">
        <f>IFERROR(VLOOKUP(ТабПозиции[[#This Row],[orderNum]],ТабЗаказы[#Data],MATCH(D$7,ТабЗаказы[#Headers],0),0),"")</f>
        <v>Лариса Кирова</v>
      </c>
      <c r="E194" s="32" t="s">
        <v>721</v>
      </c>
      <c r="F194" s="56" t="s">
        <v>3061</v>
      </c>
      <c r="H194" s="34">
        <v>45399</v>
      </c>
      <c r="I194" s="26">
        <v>2</v>
      </c>
      <c r="J194" s="26">
        <v>852</v>
      </c>
      <c r="K194">
        <v>1704</v>
      </c>
      <c r="L194" s="26">
        <v>922</v>
      </c>
      <c r="M194">
        <f t="shared" si="2"/>
        <v>1844</v>
      </c>
      <c r="O19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Row],[orderNum]],ТабПозиции[orderSumm])&gt;1500),ABS(M194*VLOOKUP(ТабПозиции[[#This Row],[orderNum]],ТабЗаказы[#Data],MATCH("Percent",ТабЗаказы[#Headers],0),0))/100,200/COUNTIF(ТабПозиции[orderNum],ТабПозиции[[#This Row],[orderNum]])),0),"")</f>
        <v>184</v>
      </c>
      <c r="P194">
        <f>IF(OR(ТабПозиции[[#This Row],[item]]="По штрихкоду",ТабПозиции[[#This Row],[item]]="Посылка"),ТабПозиции[[#This Row],[deliverySumm]]+ТабПозиции[[#This Row],[deliveryPost]],SUM(M194:O194))</f>
        <v>2028</v>
      </c>
      <c r="Q194" s="57">
        <f>2009+19</f>
        <v>2028</v>
      </c>
      <c r="R194" s="62">
        <f>ТабПозиции[[#This Row],[totalSumm]]-ТабПозиции[[#This Row],[payment]]</f>
        <v>0</v>
      </c>
      <c r="S194" s="34" t="s">
        <v>575</v>
      </c>
      <c r="T194" s="56" t="s">
        <v>3061</v>
      </c>
      <c r="U194" s="56" t="s">
        <v>3061</v>
      </c>
      <c r="V194" s="56" t="s">
        <v>3061</v>
      </c>
      <c r="W194" s="7"/>
      <c r="X194"/>
    </row>
    <row r="195" spans="1:24" x14ac:dyDescent="0.25">
      <c r="A195" s="26">
        <v>59</v>
      </c>
      <c r="B195" s="1">
        <f>IFERROR(VLOOKUP(ТабПозиции[[#This Row],[orderNum]],ТабЗаказы[#Data],MATCH(B$7,ТабЗаказы[#Headers],0),0),"")</f>
        <v>45394</v>
      </c>
      <c r="C195" t="str">
        <f>MONTH(ТабПозиции[[#This Row],[date]])&amp;"/"&amp;YEAR(ТабПозиции[[#This Row],[date]])</f>
        <v>4/2024</v>
      </c>
      <c r="D195" s="1" t="str">
        <f>IFERROR(VLOOKUP(ТабПозиции[[#This Row],[orderNum]],ТабЗаказы[#Data],MATCH(D$7,ТабЗаказы[#Headers],0),0),"")</f>
        <v>Лариса Кирова</v>
      </c>
      <c r="E195" s="32" t="s">
        <v>722</v>
      </c>
      <c r="F195" s="56" t="s">
        <v>3061</v>
      </c>
      <c r="H195" s="34">
        <v>45395</v>
      </c>
      <c r="I195" s="26">
        <v>1</v>
      </c>
      <c r="J195" s="26">
        <v>764</v>
      </c>
      <c r="K195">
        <v>764</v>
      </c>
      <c r="L195" s="26">
        <v>827</v>
      </c>
      <c r="M195">
        <f t="shared" si="2"/>
        <v>827</v>
      </c>
      <c r="O19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Row],[orderNum]],ТабПозиции[orderSumm])&gt;1500),ABS(M195*VLOOKUP(ТабПозиции[[#This Row],[orderNum]],ТабЗаказы[#Data],MATCH("Percent",ТабЗаказы[#Headers],0),0))/100,200/COUNTIF(ТабПозиции[orderNum],ТабПозиции[[#This Row],[orderNum]])),0),"")</f>
        <v>83</v>
      </c>
      <c r="P195">
        <f>IF(OR(ТабПозиции[[#This Row],[item]]="По штрихкоду",ТабПозиции[[#This Row],[item]]="Посылка"),ТабПозиции[[#This Row],[deliverySumm]]+ТабПозиции[[#This Row],[deliveryPost]],SUM(M195:O195))</f>
        <v>910</v>
      </c>
      <c r="Q195" s="57">
        <f>902+8</f>
        <v>910</v>
      </c>
      <c r="R195" s="62">
        <f>ТабПозиции[[#This Row],[totalSumm]]-ТабПозиции[[#This Row],[payment]]</f>
        <v>0</v>
      </c>
      <c r="S195" s="34" t="s">
        <v>575</v>
      </c>
      <c r="T195" s="56" t="s">
        <v>3061</v>
      </c>
      <c r="U195" s="56" t="s">
        <v>3061</v>
      </c>
      <c r="V195" s="56" t="s">
        <v>3061</v>
      </c>
      <c r="W195" s="7"/>
      <c r="X195"/>
    </row>
    <row r="196" spans="1:24" x14ac:dyDescent="0.25">
      <c r="A196" s="26">
        <v>59</v>
      </c>
      <c r="B196" s="1">
        <f>IFERROR(VLOOKUP(ТабПозиции[[#This Row],[orderNum]],ТабЗаказы[#Data],MATCH(B$7,ТабЗаказы[#Headers],0),0),"")</f>
        <v>45394</v>
      </c>
      <c r="C196" t="str">
        <f>MONTH(ТабПозиции[[#This Row],[date]])&amp;"/"&amp;YEAR(ТабПозиции[[#This Row],[date]])</f>
        <v>4/2024</v>
      </c>
      <c r="D196" s="1" t="str">
        <f>IFERROR(VLOOKUP(ТабПозиции[[#This Row],[orderNum]],ТабЗаказы[#Data],MATCH(D$7,ТабЗаказы[#Headers],0),0),"")</f>
        <v>Лариса Кирова</v>
      </c>
      <c r="E196" s="32" t="s">
        <v>723</v>
      </c>
      <c r="F196" s="56" t="s">
        <v>3061</v>
      </c>
      <c r="H196" s="34">
        <v>45397</v>
      </c>
      <c r="I196" s="26">
        <v>1</v>
      </c>
      <c r="J196" s="26">
        <v>503</v>
      </c>
      <c r="K196">
        <v>503</v>
      </c>
      <c r="L196" s="26">
        <v>513</v>
      </c>
      <c r="M196">
        <f t="shared" si="2"/>
        <v>513</v>
      </c>
      <c r="O19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Row],[orderNum]],ТабПозиции[orderSumm])&gt;1500),ABS(M196*VLOOKUP(ТабПозиции[[#This Row],[orderNum]],ТабЗаказы[#Data],MATCH("Percent",ТабЗаказы[#Headers],0),0))/100,200/COUNTIF(ТабПозиции[orderNum],ТабПозиции[[#This Row],[orderNum]])),0),"")</f>
        <v>51</v>
      </c>
      <c r="P196">
        <f>IF(OR(ТабПозиции[[#This Row],[item]]="По штрихкоду",ТабПозиции[[#This Row],[item]]="Посылка"),ТабПозиции[[#This Row],[deliverySumm]]+ТабПозиции[[#This Row],[deliveryPost]],SUM(M196:O196))</f>
        <v>564</v>
      </c>
      <c r="Q196" s="57">
        <v>564</v>
      </c>
      <c r="R196" s="62">
        <f>ТабПозиции[[#This Row],[totalSumm]]-ТабПозиции[[#This Row],[payment]]</f>
        <v>0</v>
      </c>
      <c r="S196" s="34" t="s">
        <v>575</v>
      </c>
      <c r="T196" s="56" t="s">
        <v>3061</v>
      </c>
      <c r="U196" s="56" t="s">
        <v>3061</v>
      </c>
      <c r="V196" s="56" t="s">
        <v>3061</v>
      </c>
      <c r="W196" s="7"/>
      <c r="X196"/>
    </row>
    <row r="197" spans="1:24" x14ac:dyDescent="0.25">
      <c r="A197" s="26">
        <v>59</v>
      </c>
      <c r="B197" s="1">
        <f>IFERROR(VLOOKUP(ТабПозиции[[#This Row],[orderNum]],ТабЗаказы[#Data],MATCH(B$7,ТабЗаказы[#Headers],0),0),"")</f>
        <v>45394</v>
      </c>
      <c r="C197" t="str">
        <f>MONTH(ТабПозиции[[#This Row],[date]])&amp;"/"&amp;YEAR(ТабПозиции[[#This Row],[date]])</f>
        <v>4/2024</v>
      </c>
      <c r="D197" s="1" t="str">
        <f>IFERROR(VLOOKUP(ТабПозиции[[#This Row],[orderNum]],ТабЗаказы[#Data],MATCH(D$7,ТабЗаказы[#Headers],0),0),"")</f>
        <v>Лариса Кирова</v>
      </c>
      <c r="E197" s="32" t="s">
        <v>724</v>
      </c>
      <c r="F197" s="56" t="s">
        <v>3061</v>
      </c>
      <c r="H197" s="34">
        <v>45399</v>
      </c>
      <c r="I197" s="26">
        <v>1</v>
      </c>
      <c r="J197" s="26">
        <v>565</v>
      </c>
      <c r="K197">
        <v>565</v>
      </c>
      <c r="L197" s="26">
        <v>616</v>
      </c>
      <c r="M197">
        <f t="shared" si="2"/>
        <v>616</v>
      </c>
      <c r="O19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Row],[orderNum]],ТабПозиции[orderSumm])&gt;1500),ABS(M197*VLOOKUP(ТабПозиции[[#This Row],[orderNum]],ТабЗаказы[#Data],MATCH("Percent",ТабЗаказы[#Headers],0),0))/100,200/COUNTIF(ТабПозиции[orderNum],ТабПозиции[[#This Row],[orderNum]])),0),"")</f>
        <v>62</v>
      </c>
      <c r="P197">
        <f>IF(OR(ТабПозиции[[#This Row],[item]]="По штрихкоду",ТабПозиции[[#This Row],[item]]="Посылка"),ТабПозиции[[#This Row],[deliverySumm]]+ТабПозиции[[#This Row],[deliveryPost]],SUM(M197:O197))</f>
        <v>678</v>
      </c>
      <c r="Q197" s="57">
        <v>678</v>
      </c>
      <c r="R197" s="62">
        <f>ТабПозиции[[#This Row],[totalSumm]]-ТабПозиции[[#This Row],[payment]]</f>
        <v>0</v>
      </c>
      <c r="S197" s="34" t="s">
        <v>575</v>
      </c>
      <c r="T197" s="56" t="s">
        <v>3061</v>
      </c>
      <c r="U197" s="56" t="s">
        <v>3061</v>
      </c>
      <c r="V197" s="56" t="s">
        <v>3061</v>
      </c>
      <c r="W197" s="7"/>
      <c r="X197"/>
    </row>
    <row r="198" spans="1:24" x14ac:dyDescent="0.25">
      <c r="A198" s="26">
        <v>60</v>
      </c>
      <c r="B198" s="1">
        <f>IFERROR(VLOOKUP(ТабПозиции[[#This Row],[orderNum]],ТабЗаказы[#Data],MATCH(B$7,ТабЗаказы[#Headers],0),0),"")</f>
        <v>45395</v>
      </c>
      <c r="C198" t="str">
        <f>MONTH(ТабПозиции[[#This Row],[date]])&amp;"/"&amp;YEAR(ТабПозиции[[#This Row],[date]])</f>
        <v>4/2024</v>
      </c>
      <c r="D198" s="1" t="str">
        <f>IFERROR(VLOOKUP(ТабПозиции[[#This Row],[orderNum]],ТабЗаказы[#Data],MATCH(D$7,ТабЗаказы[#Headers],0),0),"")</f>
        <v>Константин Маркет</v>
      </c>
      <c r="E198" s="26" t="s">
        <v>725</v>
      </c>
      <c r="F198" s="56" t="s">
        <v>3061</v>
      </c>
      <c r="H198" s="34">
        <v>45403</v>
      </c>
      <c r="I198" s="26">
        <v>1</v>
      </c>
      <c r="J198" s="26">
        <v>771</v>
      </c>
      <c r="K198">
        <v>771</v>
      </c>
      <c r="L198" s="26">
        <v>812</v>
      </c>
      <c r="M198">
        <f t="shared" si="2"/>
        <v>812</v>
      </c>
      <c r="O19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Row],[orderNum]],ТабПозиции[orderSumm])&gt;1500),ABS(M198*VLOOKUP(ТабПозиции[[#This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98">
        <f>IF(OR(ТабПозиции[[#This Row],[item]]="По штрихкоду",ТабПозиции[[#This Row],[item]]="Посылка"),ТабПозиции[[#This Row],[deliverySumm]]+ТабПозиции[[#This Row],[deliveryPost]],SUM(M198:O198))</f>
        <v>1012</v>
      </c>
      <c r="Q198" s="57">
        <v>1012</v>
      </c>
      <c r="R198" s="62">
        <f>ТабПозиции[[#This Row],[totalSumm]]-ТабПозиции[[#This Row],[payment]]</f>
        <v>0</v>
      </c>
      <c r="S198" s="34" t="s">
        <v>689</v>
      </c>
      <c r="T198" s="56" t="s">
        <v>3061</v>
      </c>
      <c r="U198" s="56" t="s">
        <v>3061</v>
      </c>
      <c r="V198" s="56" t="s">
        <v>3061</v>
      </c>
      <c r="W198" s="7"/>
      <c r="X198"/>
    </row>
    <row r="199" spans="1:24" x14ac:dyDescent="0.25">
      <c r="A199" s="26">
        <v>62</v>
      </c>
      <c r="B199" s="1">
        <f>IFERROR(VLOOKUP(ТабПозиции[[#This Row],[orderNum]],ТабЗаказы[#Data],MATCH(B$7,ТабЗаказы[#Headers],0),0),"")</f>
        <v>45394</v>
      </c>
      <c r="C199" t="str">
        <f>MONTH(ТабПозиции[[#This Row],[date]])&amp;"/"&amp;YEAR(ТабПозиции[[#This Row],[date]])</f>
        <v>4/2024</v>
      </c>
      <c r="D199" s="1" t="str">
        <f>IFERROR(VLOOKUP(ТабПозиции[[#This Row],[orderNum]],ТабЗаказы[#Data],MATCH(D$7,ТабЗаказы[#Headers],0),0),"")</f>
        <v>Константин Пионерское</v>
      </c>
      <c r="E199" s="26" t="s">
        <v>32</v>
      </c>
      <c r="F199" s="56" t="s">
        <v>3061</v>
      </c>
      <c r="H199" s="34">
        <v>45394</v>
      </c>
      <c r="I199" s="26">
        <v>1</v>
      </c>
      <c r="J199" s="26">
        <v>0</v>
      </c>
      <c r="K199">
        <v>0</v>
      </c>
      <c r="L199" s="26">
        <v>3000</v>
      </c>
      <c r="M199">
        <f t="shared" si="2"/>
        <v>3000</v>
      </c>
      <c r="O19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Row],[orderNum]],ТабПозиции[orderSumm])&gt;1500),ABS(M199*VLOOKUP(ТабПозиции[[#This Row],[orderNum]],ТабЗаказы[#Data],MATCH("Percent",ТабЗаказы[#Headers],0),0))/100,200/COUNTIF(ТабПозиции[orderNum],ТабПозиции[[#This Row],[orderNum]])),0),"")</f>
        <v>450</v>
      </c>
      <c r="P199">
        <f>IF(OR(ТабПозиции[[#This Row],[item]]="По штрихкоду",ТабПозиции[[#This Row],[item]]="Посылка"),ТабПозиции[[#This Row],[deliverySumm]]+ТабПозиции[[#This Row],[deliveryPost]],SUM(M199:O199))</f>
        <v>450</v>
      </c>
      <c r="Q199" s="57">
        <v>450</v>
      </c>
      <c r="R199" s="62">
        <f>ТабПозиции[[#This Row],[totalSumm]]-ТабПозиции[[#This Row],[payment]]</f>
        <v>0</v>
      </c>
      <c r="S199" s="34" t="s">
        <v>575</v>
      </c>
      <c r="T199" s="56" t="s">
        <v>3061</v>
      </c>
      <c r="U199" s="56" t="s">
        <v>3061</v>
      </c>
      <c r="V199" s="56" t="s">
        <v>3061</v>
      </c>
      <c r="W199" s="7"/>
      <c r="X199"/>
    </row>
    <row r="200" spans="1:24" x14ac:dyDescent="0.25">
      <c r="A200" s="26">
        <v>63</v>
      </c>
      <c r="B200" s="1">
        <f>IFERROR(VLOOKUP(ТабПозиции[[#This Row],[orderNum]],ТабЗаказы[#Data],MATCH(B$7,ТабЗаказы[#Headers],0),0),"")</f>
        <v>45397</v>
      </c>
      <c r="C200" t="str">
        <f>MONTH(ТабПозиции[[#This Row],[date]])&amp;"/"&amp;YEAR(ТабПозиции[[#This Row],[date]])</f>
        <v>4/2024</v>
      </c>
      <c r="D200" s="1" t="str">
        <f>IFERROR(VLOOKUP(ТабПозиции[[#This Row],[orderNum]],ТабЗаказы[#Data],MATCH(D$7,ТабЗаказы[#Headers],0),0),"")</f>
        <v>Лариса Кирова</v>
      </c>
      <c r="E200" s="32" t="s">
        <v>726</v>
      </c>
      <c r="F200" s="56" t="s">
        <v>3061</v>
      </c>
      <c r="H200" s="34">
        <v>45399</v>
      </c>
      <c r="I200" s="26">
        <v>1</v>
      </c>
      <c r="J200" s="26">
        <v>313</v>
      </c>
      <c r="K200">
        <v>313</v>
      </c>
      <c r="L200" s="26">
        <v>319</v>
      </c>
      <c r="M200">
        <f t="shared" si="2"/>
        <v>319</v>
      </c>
      <c r="O20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Row],[orderNum]],ТабПозиции[orderSumm])&gt;1500),ABS(M200*VLOOKUP(ТабПозиции[[#This Row],[orderNum]],ТабЗаказы[#Data],MATCH("Percent",ТабЗаказы[#Headers],0),0))/100,200/COUNTIF(ТабПозиции[orderNum],ТабПозиции[[#This Row],[orderNum]])),0),"")</f>
        <v>67</v>
      </c>
      <c r="P200">
        <f>IF(OR(ТабПозиции[[#This Row],[item]]="По штрихкоду",ТабПозиции[[#This Row],[item]]="Посылка"),ТабПозиции[[#This Row],[deliverySumm]]+ТабПозиции[[#This Row],[deliveryPost]],SUM(M200:O200))</f>
        <v>386</v>
      </c>
      <c r="Q200" s="57">
        <v>386</v>
      </c>
      <c r="R200" s="62">
        <f>ТабПозиции[[#This Row],[totalSumm]]-ТабПозиции[[#This Row],[payment]]</f>
        <v>0</v>
      </c>
      <c r="S200" s="34" t="s">
        <v>575</v>
      </c>
      <c r="T200" s="56" t="s">
        <v>3061</v>
      </c>
      <c r="U200" s="56" t="s">
        <v>3061</v>
      </c>
      <c r="V200" s="56" t="s">
        <v>3061</v>
      </c>
      <c r="W200" s="7"/>
      <c r="X200"/>
    </row>
    <row r="201" spans="1:24" x14ac:dyDescent="0.25">
      <c r="A201" s="26">
        <v>63</v>
      </c>
      <c r="B201" s="1">
        <f>IFERROR(VLOOKUP(ТабПозиции[[#This Row],[orderNum]],ТабЗаказы[#Data],MATCH(B$7,ТабЗаказы[#Headers],0),0),"")</f>
        <v>45397</v>
      </c>
      <c r="C201" t="str">
        <f>MONTH(ТабПозиции[[#This Row],[date]])&amp;"/"&amp;YEAR(ТабПозиции[[#This Row],[date]])</f>
        <v>4/2024</v>
      </c>
      <c r="D201" s="1" t="str">
        <f>IFERROR(VLOOKUP(ТабПозиции[[#This Row],[orderNum]],ТабЗаказы[#Data],MATCH(D$7,ТабЗаказы[#Headers],0),0),"")</f>
        <v>Лариса Кирова</v>
      </c>
      <c r="E201" s="32" t="s">
        <v>727</v>
      </c>
      <c r="F201" s="56" t="s">
        <v>3061</v>
      </c>
      <c r="H201" s="34">
        <v>45399</v>
      </c>
      <c r="I201" s="26">
        <v>1</v>
      </c>
      <c r="J201" s="26">
        <v>118</v>
      </c>
      <c r="K201">
        <v>118</v>
      </c>
      <c r="L201" s="26">
        <v>120</v>
      </c>
      <c r="M201">
        <f t="shared" si="2"/>
        <v>120</v>
      </c>
      <c r="O20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Row],[orderNum]],ТабПозиции[orderSumm])&gt;1500),ABS(M201*VLOOKUP(ТабПозиции[[#This Row],[orderNum]],ТабЗаказы[#Data],MATCH("Percent",ТабЗаказы[#Headers],0),0))/100,200/COUNTIF(ТабПозиции[orderNum],ТабПозиции[[#This Row],[orderNum]])),0),"")</f>
        <v>67</v>
      </c>
      <c r="P201">
        <f>IF(OR(ТабПозиции[[#This Row],[item]]="По штрихкоду",ТабПозиции[[#This Row],[item]]="Посылка"),ТабПозиции[[#This Row],[deliverySumm]]+ТабПозиции[[#This Row],[deliveryPost]],SUM(M201:O201))</f>
        <v>187</v>
      </c>
      <c r="Q201" s="57">
        <v>187</v>
      </c>
      <c r="R201" s="62">
        <f>ТабПозиции[[#This Row],[totalSumm]]-ТабПозиции[[#This Row],[payment]]</f>
        <v>0</v>
      </c>
      <c r="S201" s="34" t="s">
        <v>575</v>
      </c>
      <c r="T201" s="56" t="s">
        <v>3061</v>
      </c>
      <c r="U201" s="56" t="s">
        <v>3061</v>
      </c>
      <c r="V201" s="56" t="s">
        <v>3061</v>
      </c>
      <c r="W201" s="7"/>
      <c r="X201"/>
    </row>
    <row r="202" spans="1:24" x14ac:dyDescent="0.25">
      <c r="A202" s="26">
        <v>63</v>
      </c>
      <c r="B202" s="1">
        <f>IFERROR(VLOOKUP(ТабПозиции[[#This Row],[orderNum]],ТабЗаказы[#Data],MATCH(B$7,ТабЗаказы[#Headers],0),0),"")</f>
        <v>45397</v>
      </c>
      <c r="C202" t="str">
        <f>MONTH(ТабПозиции[[#This Row],[date]])&amp;"/"&amp;YEAR(ТабПозиции[[#This Row],[date]])</f>
        <v>4/2024</v>
      </c>
      <c r="D202" s="1" t="str">
        <f>IFERROR(VLOOKUP(ТабПозиции[[#This Row],[orderNum]],ТабЗаказы[#Data],MATCH(D$7,ТабЗаказы[#Headers],0),0),"")</f>
        <v>Лариса Кирова</v>
      </c>
      <c r="E202" s="26" t="s">
        <v>728</v>
      </c>
      <c r="F202" s="56" t="s">
        <v>3061</v>
      </c>
      <c r="H202" s="34">
        <v>45400</v>
      </c>
      <c r="I202" s="26">
        <v>1</v>
      </c>
      <c r="J202" s="26">
        <v>160</v>
      </c>
      <c r="K202">
        <v>160</v>
      </c>
      <c r="L202" s="26">
        <v>163</v>
      </c>
      <c r="M202">
        <f t="shared" si="2"/>
        <v>163</v>
      </c>
      <c r="O20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Row],[orderNum]],ТабПозиции[orderSumm])&gt;1500),ABS(M202*VLOOKUP(ТабПозиции[[#This Row],[orderNum]],ТабЗаказы[#Data],MATCH("Percent",ТабЗаказы[#Headers],0),0))/100,200/COUNTIF(ТабПозиции[orderNum],ТабПозиции[[#This Row],[orderNum]])),0),"")</f>
        <v>67</v>
      </c>
      <c r="P202">
        <f>IF(OR(ТабПозиции[[#This Row],[item]]="По штрихкоду",ТабПозиции[[#This Row],[item]]="Посылка"),ТабПозиции[[#This Row],[deliverySumm]]+ТабПозиции[[#This Row],[deliveryPost]],SUM(M202:O202))</f>
        <v>230</v>
      </c>
      <c r="Q202" s="57">
        <v>230</v>
      </c>
      <c r="R202" s="62">
        <f>ТабПозиции[[#This Row],[totalSumm]]-ТабПозиции[[#This Row],[payment]]</f>
        <v>0</v>
      </c>
      <c r="S202" s="34" t="s">
        <v>575</v>
      </c>
      <c r="T202" s="56" t="s">
        <v>3061</v>
      </c>
      <c r="U202" s="56" t="s">
        <v>3061</v>
      </c>
      <c r="V202" s="56" t="s">
        <v>3061</v>
      </c>
      <c r="W202" s="7"/>
      <c r="X202"/>
    </row>
    <row r="203" spans="1:24" x14ac:dyDescent="0.25">
      <c r="A203" s="26">
        <v>64</v>
      </c>
      <c r="B203" s="1">
        <f>IFERROR(VLOOKUP(ТабПозиции[[#This Row],[orderNum]],ТабЗаказы[#Data],MATCH(B$7,ТабЗаказы[#Headers],0),0),"")</f>
        <v>45398</v>
      </c>
      <c r="C203" t="str">
        <f>MONTH(ТабПозиции[[#This Row],[date]])&amp;"/"&amp;YEAR(ТабПозиции[[#This Row],[date]])</f>
        <v>4/2024</v>
      </c>
      <c r="D203" s="1" t="str">
        <f>IFERROR(VLOOKUP(ТабПозиции[[#This Row],[orderNum]],ТабЗаказы[#Data],MATCH(D$7,ТабЗаказы[#Headers],0),0),"")</f>
        <v>Галина Шевченко 248</v>
      </c>
      <c r="E203" s="32" t="s">
        <v>729</v>
      </c>
      <c r="F203" s="56" t="s">
        <v>3061</v>
      </c>
      <c r="H203" s="34">
        <v>45401</v>
      </c>
      <c r="I203" s="26">
        <v>1</v>
      </c>
      <c r="J203" s="26">
        <v>422</v>
      </c>
      <c r="K203">
        <v>422</v>
      </c>
      <c r="L203" s="26">
        <v>436</v>
      </c>
      <c r="M203">
        <f t="shared" si="2"/>
        <v>436</v>
      </c>
      <c r="O20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Row],[orderNum]],ТабПозиции[orderSumm])&gt;1500),ABS(M203*VLOOKUP(ТабПозиции[[#This Row],[orderNum]],ТабЗаказы[#Data],MATCH("Percent",ТабЗаказы[#Headers],0),0))/100,200/COUNTIF(ТабПозиции[orderNum],ТабПозиции[[#This Row],[orderNum]])),0),"")</f>
        <v>65</v>
      </c>
      <c r="P203">
        <f>IF(OR(ТабПозиции[[#This Row],[item]]="По штрихкоду",ТабПозиции[[#This Row],[item]]="Посылка"),ТабПозиции[[#This Row],[deliverySumm]]+ТабПозиции[[#This Row],[deliveryPost]],SUM(M203:O203))</f>
        <v>501</v>
      </c>
      <c r="Q203" s="57">
        <v>501</v>
      </c>
      <c r="R203" s="62">
        <f>ТабПозиции[[#This Row],[totalSumm]]-ТабПозиции[[#This Row],[payment]]</f>
        <v>0</v>
      </c>
      <c r="S203" s="34" t="s">
        <v>558</v>
      </c>
      <c r="T203" s="56" t="s">
        <v>3061</v>
      </c>
      <c r="U203" s="56" t="s">
        <v>3061</v>
      </c>
      <c r="V203" s="56" t="s">
        <v>3061</v>
      </c>
      <c r="W203" s="7"/>
      <c r="X203"/>
    </row>
    <row r="204" spans="1:24" x14ac:dyDescent="0.25">
      <c r="A204" s="26">
        <v>64</v>
      </c>
      <c r="B204" s="1">
        <f>IFERROR(VLOOKUP(ТабПозиции[[#This Row],[orderNum]],ТабЗаказы[#Data],MATCH(B$7,ТабЗаказы[#Headers],0),0),"")</f>
        <v>45398</v>
      </c>
      <c r="C204" t="str">
        <f>MONTH(ТабПозиции[[#This Row],[date]])&amp;"/"&amp;YEAR(ТабПозиции[[#This Row],[date]])</f>
        <v>4/2024</v>
      </c>
      <c r="D204" s="1" t="str">
        <f>IFERROR(VLOOKUP(ТабПозиции[[#This Row],[orderNum]],ТабЗаказы[#Data],MATCH(D$7,ТабЗаказы[#Headers],0),0),"")</f>
        <v>Галина Шевченко 248</v>
      </c>
      <c r="E204" s="32" t="s">
        <v>730</v>
      </c>
      <c r="F204" s="56" t="s">
        <v>3061</v>
      </c>
      <c r="H204" s="34">
        <v>45401</v>
      </c>
      <c r="I204" s="26">
        <v>1</v>
      </c>
      <c r="J204" s="26">
        <v>260</v>
      </c>
      <c r="K204">
        <v>260</v>
      </c>
      <c r="L204" s="26">
        <v>269</v>
      </c>
      <c r="M204">
        <f t="shared" ref="M204:M267" si="3">L204*I204</f>
        <v>269</v>
      </c>
      <c r="O20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Row],[orderNum]],ТабПозиции[orderSumm])&gt;1500),ABS(M204*VLOOKUP(ТабПозиции[[#This Row],[orderNum]],ТабЗаказы[#Data],MATCH("Percent",ТабЗаказы[#Headers],0),0))/100,200/COUNTIF(ТабПозиции[orderNum],ТабПозиции[[#This Row],[orderNum]])),0),"")</f>
        <v>40</v>
      </c>
      <c r="P204">
        <f>IF(OR(ТабПозиции[[#This Row],[item]]="По штрихкоду",ТабПозиции[[#This Row],[item]]="Посылка"),ТабПозиции[[#This Row],[deliverySumm]]+ТабПозиции[[#This Row],[deliveryPost]],SUM(M204:O204))</f>
        <v>309</v>
      </c>
      <c r="Q204" s="57">
        <v>309</v>
      </c>
      <c r="R204" s="62">
        <f>ТабПозиции[[#This Row],[totalSumm]]-ТабПозиции[[#This Row],[payment]]</f>
        <v>0</v>
      </c>
      <c r="S204" s="34" t="s">
        <v>558</v>
      </c>
      <c r="T204" s="56" t="s">
        <v>3061</v>
      </c>
      <c r="U204" s="56" t="s">
        <v>3061</v>
      </c>
      <c r="V204" s="56" t="s">
        <v>3061</v>
      </c>
      <c r="W204" s="7"/>
      <c r="X204"/>
    </row>
    <row r="205" spans="1:24" x14ac:dyDescent="0.25">
      <c r="A205" s="26">
        <v>64</v>
      </c>
      <c r="B205" s="1">
        <f>IFERROR(VLOOKUP(ТабПозиции[[#This Row],[orderNum]],ТабЗаказы[#Data],MATCH(B$7,ТабЗаказы[#Headers],0),0),"")</f>
        <v>45398</v>
      </c>
      <c r="C205" t="str">
        <f>MONTH(ТабПозиции[[#This Row],[date]])&amp;"/"&amp;YEAR(ТабПозиции[[#This Row],[date]])</f>
        <v>4/2024</v>
      </c>
      <c r="D205" s="1" t="str">
        <f>IFERROR(VLOOKUP(ТабПозиции[[#This Row],[orderNum]],ТабЗаказы[#Data],MATCH(D$7,ТабЗаказы[#Headers],0),0),"")</f>
        <v>Галина Шевченко 248</v>
      </c>
      <c r="E205" s="32" t="s">
        <v>731</v>
      </c>
      <c r="F205" s="56" t="s">
        <v>3061</v>
      </c>
      <c r="H205" s="34">
        <v>45401</v>
      </c>
      <c r="I205" s="26">
        <v>1</v>
      </c>
      <c r="J205" s="26">
        <v>241</v>
      </c>
      <c r="K205">
        <v>241</v>
      </c>
      <c r="L205" s="26">
        <v>249</v>
      </c>
      <c r="M205">
        <f t="shared" si="3"/>
        <v>249</v>
      </c>
      <c r="O20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Row],[orderNum]],ТабПозиции[orderSumm])&gt;1500),ABS(M205*VLOOKUP(ТабПозиции[[#This Row],[orderNum]],ТабЗаказы[#Data],MATCH("Percent",ТабЗаказы[#Headers],0),0))/100,200/COUNTIF(ТабПозиции[orderNum],ТабПозиции[[#This Row],[orderNum]])),0),"")</f>
        <v>37</v>
      </c>
      <c r="P205">
        <f>IF(OR(ТабПозиции[[#This Row],[item]]="По штрихкоду",ТабПозиции[[#This Row],[item]]="Посылка"),ТабПозиции[[#This Row],[deliverySumm]]+ТабПозиции[[#This Row],[deliveryPost]],SUM(M205:O205))</f>
        <v>286</v>
      </c>
      <c r="Q205" s="57">
        <v>286</v>
      </c>
      <c r="R205" s="62">
        <f>ТабПозиции[[#This Row],[totalSumm]]-ТабПозиции[[#This Row],[payment]]</f>
        <v>0</v>
      </c>
      <c r="S205" s="34" t="s">
        <v>558</v>
      </c>
      <c r="T205" s="56" t="s">
        <v>3061</v>
      </c>
      <c r="U205" s="56" t="s">
        <v>3061</v>
      </c>
      <c r="V205" s="56" t="s">
        <v>3061</v>
      </c>
      <c r="W205" s="7"/>
      <c r="X205"/>
    </row>
    <row r="206" spans="1:24" x14ac:dyDescent="0.25">
      <c r="A206" s="26">
        <v>64</v>
      </c>
      <c r="B206" s="1">
        <f>IFERROR(VLOOKUP(ТабПозиции[[#This Row],[orderNum]],ТабЗаказы[#Data],MATCH(B$7,ТабЗаказы[#Headers],0),0),"")</f>
        <v>45398</v>
      </c>
      <c r="C206" t="str">
        <f>MONTH(ТабПозиции[[#This Row],[date]])&amp;"/"&amp;YEAR(ТабПозиции[[#This Row],[date]])</f>
        <v>4/2024</v>
      </c>
      <c r="D206" s="1" t="str">
        <f>IFERROR(VLOOKUP(ТабПозиции[[#This Row],[orderNum]],ТабЗаказы[#Data],MATCH(D$7,ТабЗаказы[#Headers],0),0),"")</f>
        <v>Галина Шевченко 248</v>
      </c>
      <c r="E206" s="32" t="s">
        <v>732</v>
      </c>
      <c r="F206" s="56" t="s">
        <v>3061</v>
      </c>
      <c r="H206" s="34">
        <v>45400</v>
      </c>
      <c r="I206" s="26">
        <v>1</v>
      </c>
      <c r="J206" s="26">
        <v>1306</v>
      </c>
      <c r="K206">
        <v>1306</v>
      </c>
      <c r="L206" s="26">
        <v>1347</v>
      </c>
      <c r="M206">
        <f t="shared" si="3"/>
        <v>1347</v>
      </c>
      <c r="O20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Row],[orderNum]],ТабПозиции[orderSumm])&gt;1500),ABS(M206*VLOOKUP(ТабПозиции[[#This Row],[orderNum]],ТабЗаказы[#Data],MATCH("Percent",ТабЗаказы[#Headers],0),0))/100,200/COUNTIF(ТабПозиции[orderNum],ТабПозиции[[#This Row],[orderNum]])),0),"")</f>
        <v>202</v>
      </c>
      <c r="P206">
        <f>IF(OR(ТабПозиции[[#This Row],[item]]="По штрихкоду",ТабПозиции[[#This Row],[item]]="Посылка"),ТабПозиции[[#This Row],[deliverySumm]]+ТабПозиции[[#This Row],[deliveryPost]],SUM(M206:O206))</f>
        <v>1549</v>
      </c>
      <c r="Q206" s="57">
        <v>1549</v>
      </c>
      <c r="R206" s="62">
        <f>ТабПозиции[[#This Row],[totalSumm]]-ТабПозиции[[#This Row],[payment]]</f>
        <v>0</v>
      </c>
      <c r="S206" s="34" t="s">
        <v>558</v>
      </c>
      <c r="T206" s="56" t="s">
        <v>3061</v>
      </c>
      <c r="U206" s="56" t="s">
        <v>3061</v>
      </c>
      <c r="V206" s="56" t="s">
        <v>3061</v>
      </c>
      <c r="W206" s="7"/>
      <c r="X206"/>
    </row>
    <row r="207" spans="1:24" x14ac:dyDescent="0.25">
      <c r="A207" s="26">
        <v>64</v>
      </c>
      <c r="B207" s="1">
        <f>IFERROR(VLOOKUP(ТабПозиции[[#This Row],[orderNum]],ТабЗаказы[#Data],MATCH(B$7,ТабЗаказы[#Headers],0),0),"")</f>
        <v>45398</v>
      </c>
      <c r="C207" t="str">
        <f>MONTH(ТабПозиции[[#This Row],[date]])&amp;"/"&amp;YEAR(ТабПозиции[[#This Row],[date]])</f>
        <v>4/2024</v>
      </c>
      <c r="D207" s="1" t="str">
        <f>IFERROR(VLOOKUP(ТабПозиции[[#This Row],[orderNum]],ТабЗаказы[#Data],MATCH(D$7,ТабЗаказы[#Headers],0),0),"")</f>
        <v>Галина Шевченко 248</v>
      </c>
      <c r="E207" s="32" t="s">
        <v>733</v>
      </c>
      <c r="F207" s="56" t="s">
        <v>3061</v>
      </c>
      <c r="H207" s="34">
        <v>45400</v>
      </c>
      <c r="I207" s="26">
        <v>1</v>
      </c>
      <c r="J207" s="26">
        <v>1551</v>
      </c>
      <c r="K207">
        <v>1551</v>
      </c>
      <c r="L207" s="26">
        <v>1599</v>
      </c>
      <c r="M207">
        <f t="shared" si="3"/>
        <v>1599</v>
      </c>
      <c r="O20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Row],[orderNum]],ТабПозиции[orderSumm])&gt;1500),ABS(M207*VLOOKUP(ТабПозиции[[#This Row],[orderNum]],ТабЗаказы[#Data],MATCH("Percent",ТабЗаказы[#Headers],0),0))/100,200/COUNTIF(ТабПозиции[orderNum],ТабПозиции[[#This Row],[orderNum]])),0),"")</f>
        <v>240</v>
      </c>
      <c r="P207">
        <f>IF(OR(ТабПозиции[[#This Row],[item]]="По штрихкоду",ТабПозиции[[#This Row],[item]]="Посылка"),ТабПозиции[[#This Row],[deliverySumm]]+ТабПозиции[[#This Row],[deliveryPost]],SUM(M207:O207))</f>
        <v>1839</v>
      </c>
      <c r="Q207" s="57">
        <v>1839</v>
      </c>
      <c r="R207" s="62">
        <f>ТабПозиции[[#This Row],[totalSumm]]-ТабПозиции[[#This Row],[payment]]</f>
        <v>0</v>
      </c>
      <c r="S207" s="34" t="s">
        <v>558</v>
      </c>
      <c r="T207" s="56" t="s">
        <v>3061</v>
      </c>
      <c r="U207" s="56" t="s">
        <v>3061</v>
      </c>
      <c r="V207" s="56" t="s">
        <v>3061</v>
      </c>
      <c r="W207" s="7"/>
      <c r="X207"/>
    </row>
    <row r="208" spans="1:24" x14ac:dyDescent="0.25">
      <c r="A208" s="26">
        <v>61</v>
      </c>
      <c r="B208" s="1">
        <f>IFERROR(VLOOKUP(ТабПозиции[[#This Row],[orderNum]],ТабЗаказы[#Data],MATCH(B$7,ТабЗаказы[#Headers],0),0),"")</f>
        <v>45400</v>
      </c>
      <c r="C208" t="str">
        <f>MONTH(ТабПозиции[[#This Row],[date]])&amp;"/"&amp;YEAR(ТабПозиции[[#This Row],[date]])</f>
        <v>4/2024</v>
      </c>
      <c r="D208" s="1" t="str">
        <f>IFERROR(VLOOKUP(ТабПозиции[[#This Row],[orderNum]],ТабЗаказы[#Data],MATCH(D$7,ТабЗаказы[#Headers],0),0),"")</f>
        <v>Карина Кравченко 17</v>
      </c>
      <c r="E208" s="32" t="s">
        <v>574</v>
      </c>
      <c r="F208" s="56" t="s">
        <v>3061</v>
      </c>
      <c r="H208" s="34">
        <v>45403</v>
      </c>
      <c r="I208" s="26">
        <v>1</v>
      </c>
      <c r="J208" s="26">
        <v>295</v>
      </c>
      <c r="K208">
        <v>295</v>
      </c>
      <c r="L208" s="26">
        <v>305</v>
      </c>
      <c r="M208">
        <f t="shared" si="3"/>
        <v>305</v>
      </c>
      <c r="O20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Row],[orderNum]],ТабПозиции[orderSumm])&gt;1500),ABS(M208*VLOOKUP(ТабПозиции[[#This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208">
        <f>IF(OR(ТабПозиции[[#This Row],[item]]="По штрихкоду",ТабПозиции[[#This Row],[item]]="Посылка"),ТабПозиции[[#This Row],[deliverySumm]]+ТабПозиции[[#This Row],[deliveryPost]],SUM(M208:O208))</f>
        <v>505</v>
      </c>
      <c r="Q208" s="57">
        <v>505</v>
      </c>
      <c r="R208" s="62">
        <f>ТабПозиции[[#This Row],[totalSumm]]-ТабПозиции[[#This Row],[payment]]</f>
        <v>0</v>
      </c>
      <c r="S208" s="34" t="s">
        <v>558</v>
      </c>
      <c r="T208" s="56" t="s">
        <v>3061</v>
      </c>
      <c r="U208" s="56" t="s">
        <v>3061</v>
      </c>
      <c r="V208" s="56" t="s">
        <v>3061</v>
      </c>
      <c r="W208" s="7"/>
      <c r="X208"/>
    </row>
    <row r="209" spans="1:24" x14ac:dyDescent="0.25">
      <c r="A209" s="26">
        <v>65</v>
      </c>
      <c r="B209" s="1">
        <f>IFERROR(VLOOKUP(ТабПозиции[[#This Row],[orderNum]],ТабЗаказы[#Data],MATCH(B$7,ТабЗаказы[#Headers],0),0),"")</f>
        <v>45400</v>
      </c>
      <c r="C209" t="str">
        <f>MONTH(ТабПозиции[[#This Row],[date]])&amp;"/"&amp;YEAR(ТабПозиции[[#This Row],[date]])</f>
        <v>4/2024</v>
      </c>
      <c r="D209" s="1" t="str">
        <f>IFERROR(VLOOKUP(ТабПозиции[[#This Row],[orderNum]],ТабЗаказы[#Data],MATCH(D$7,ТабЗаказы[#Headers],0),0),"")</f>
        <v>Митрофанов Евгений</v>
      </c>
      <c r="E209" s="32" t="s">
        <v>708</v>
      </c>
      <c r="F209" s="56" t="s">
        <v>3061</v>
      </c>
      <c r="H209" s="34">
        <v>45405</v>
      </c>
      <c r="I209" s="26">
        <v>1</v>
      </c>
      <c r="J209" s="26">
        <v>1300</v>
      </c>
      <c r="K209">
        <v>1300</v>
      </c>
      <c r="L209" s="26">
        <v>1412</v>
      </c>
      <c r="M209">
        <f t="shared" si="3"/>
        <v>1412</v>
      </c>
      <c r="O20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Row],[orderNum]],ТабПозиции[orderSumm])&gt;1500),ABS(M209*VLOOKUP(ТабПозиции[[#This Row],[orderNum]],ТабЗаказы[#Data],MATCH("Percent",ТабЗаказы[#Headers],0),0))/100,200/COUNTIF(ТабПозиции[orderNum],ТабПозиции[[#This Row],[orderNum]])),0),"")</f>
        <v>212</v>
      </c>
      <c r="P209">
        <f>IF(OR(ТабПозиции[[#This Row],[item]]="По штрихкоду",ТабПозиции[[#This Row],[item]]="Посылка"),ТабПозиции[[#This Row],[deliverySumm]]+ТабПозиции[[#This Row],[deliveryPost]],SUM(M209:O209))</f>
        <v>1624</v>
      </c>
      <c r="Q209" s="57">
        <v>1624</v>
      </c>
      <c r="R209" s="62">
        <f>ТабПозиции[[#This Row],[totalSumm]]-ТабПозиции[[#This Row],[payment]]</f>
        <v>0</v>
      </c>
      <c r="S209" s="34" t="s">
        <v>575</v>
      </c>
      <c r="T209" s="56" t="s">
        <v>3061</v>
      </c>
      <c r="U209" s="56" t="s">
        <v>3061</v>
      </c>
      <c r="V209" s="56" t="s">
        <v>3061</v>
      </c>
      <c r="W209" s="7"/>
      <c r="X209"/>
    </row>
    <row r="210" spans="1:24" x14ac:dyDescent="0.25">
      <c r="A210" s="26">
        <v>65</v>
      </c>
      <c r="B210" s="1">
        <f>IFERROR(VLOOKUP(ТабПозиции[[#This Row],[orderNum]],ТабЗаказы[#Data],MATCH(B$7,ТабЗаказы[#Headers],0),0),"")</f>
        <v>45400</v>
      </c>
      <c r="C210" t="str">
        <f>MONTH(ТабПозиции[[#This Row],[date]])&amp;"/"&amp;YEAR(ТабПозиции[[#This Row],[date]])</f>
        <v>4/2024</v>
      </c>
      <c r="D210" s="1" t="str">
        <f>IFERROR(VLOOKUP(ТабПозиции[[#This Row],[orderNum]],ТабЗаказы[#Data],MATCH(D$7,ТабЗаказы[#Headers],0),0),"")</f>
        <v>Митрофанов Евгений</v>
      </c>
      <c r="E210" s="32" t="s">
        <v>734</v>
      </c>
      <c r="F210" s="56" t="s">
        <v>3061</v>
      </c>
      <c r="H210" s="34">
        <v>45402</v>
      </c>
      <c r="I210" s="26">
        <v>1</v>
      </c>
      <c r="J210" s="26">
        <v>435</v>
      </c>
      <c r="K210">
        <v>435</v>
      </c>
      <c r="L210" s="26">
        <v>473</v>
      </c>
      <c r="M210">
        <f t="shared" si="3"/>
        <v>473</v>
      </c>
      <c r="O21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Row],[orderNum]],ТабПозиции[orderSumm])&gt;1500),ABS(M210*VLOOKUP(ТабПозиции[[#This Row],[orderNum]],ТабЗаказы[#Data],MATCH("Percent",ТабЗаказы[#Headers],0),0))/100,200/COUNTIF(ТабПозиции[orderNum],ТабПозиции[[#This Row],[orderNum]])),0),"")</f>
        <v>71</v>
      </c>
      <c r="P210">
        <f>IF(OR(ТабПозиции[[#This Row],[item]]="По штрихкоду",ТабПозиции[[#This Row],[item]]="Посылка"),ТабПозиции[[#This Row],[deliverySumm]]+ТабПозиции[[#This Row],[deliveryPost]],SUM(M210:O210))</f>
        <v>544</v>
      </c>
      <c r="Q210" s="57">
        <v>544</v>
      </c>
      <c r="R210" s="62">
        <f>ТабПозиции[[#This Row],[totalSumm]]-ТабПозиции[[#This Row],[payment]]</f>
        <v>0</v>
      </c>
      <c r="S210" s="34" t="s">
        <v>575</v>
      </c>
      <c r="T210" s="56" t="s">
        <v>3061</v>
      </c>
      <c r="U210" s="56" t="s">
        <v>3061</v>
      </c>
      <c r="V210" s="56" t="s">
        <v>3061</v>
      </c>
      <c r="W210" s="7"/>
      <c r="X210"/>
    </row>
    <row r="211" spans="1:24" x14ac:dyDescent="0.25">
      <c r="A211" s="26">
        <v>65</v>
      </c>
      <c r="B211" s="1">
        <f>IFERROR(VLOOKUP(ТабПозиции[[#This Row],[orderNum]],ТабЗаказы[#Data],MATCH(B$7,ТабЗаказы[#Headers],0),0),"")</f>
        <v>45400</v>
      </c>
      <c r="C211" t="str">
        <f>MONTH(ТабПозиции[[#This Row],[date]])&amp;"/"&amp;YEAR(ТабПозиции[[#This Row],[date]])</f>
        <v>4/2024</v>
      </c>
      <c r="D211" s="1" t="str">
        <f>IFERROR(VLOOKUP(ТабПозиции[[#This Row],[orderNum]],ТабЗаказы[#Data],MATCH(D$7,ТабЗаказы[#Headers],0),0),"")</f>
        <v>Митрофанов Евгений</v>
      </c>
      <c r="E211" s="32" t="s">
        <v>735</v>
      </c>
      <c r="F211" s="56" t="s">
        <v>3061</v>
      </c>
      <c r="H211" s="34">
        <v>45406</v>
      </c>
      <c r="I211" s="26">
        <v>1</v>
      </c>
      <c r="J211" s="26">
        <v>424</v>
      </c>
      <c r="K211">
        <v>424</v>
      </c>
      <c r="L211" s="26">
        <v>459</v>
      </c>
      <c r="M211">
        <f t="shared" si="3"/>
        <v>459</v>
      </c>
      <c r="O21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Row],[orderNum]],ТабПозиции[orderSumm])&gt;1500),ABS(M211*VLOOKUP(ТабПозиции[[#This Row],[orderNum]],ТабЗаказы[#Data],MATCH("Percent",ТабЗаказы[#Headers],0),0))/100,200/COUNTIF(ТабПозиции[orderNum],ТабПозиции[[#This Row],[orderNum]])),0),"")</f>
        <v>69</v>
      </c>
      <c r="P211">
        <f>IF(OR(ТабПозиции[[#This Row],[item]]="По штрихкоду",ТабПозиции[[#This Row],[item]]="Посылка"),ТабПозиции[[#This Row],[deliverySumm]]+ТабПозиции[[#This Row],[deliveryPost]],SUM(M211:O211))</f>
        <v>528</v>
      </c>
      <c r="Q211" s="57">
        <v>528</v>
      </c>
      <c r="R211" s="62">
        <f>ТабПозиции[[#This Row],[totalSumm]]-ТабПозиции[[#This Row],[payment]]</f>
        <v>0</v>
      </c>
      <c r="S211" s="34" t="s">
        <v>575</v>
      </c>
      <c r="T211" s="56" t="s">
        <v>3061</v>
      </c>
      <c r="U211" s="56" t="s">
        <v>3061</v>
      </c>
      <c r="V211" s="56" t="s">
        <v>3061</v>
      </c>
      <c r="W211" s="7"/>
      <c r="X211"/>
    </row>
    <row r="212" spans="1:24" x14ac:dyDescent="0.25">
      <c r="A212" s="26">
        <v>65</v>
      </c>
      <c r="B212" s="1">
        <f>IFERROR(VLOOKUP(ТабПозиции[[#This Row],[orderNum]],ТабЗаказы[#Data],MATCH(B$7,ТабЗаказы[#Headers],0),0),"")</f>
        <v>45400</v>
      </c>
      <c r="C212" t="str">
        <f>MONTH(ТабПозиции[[#This Row],[date]])&amp;"/"&amp;YEAR(ТабПозиции[[#This Row],[date]])</f>
        <v>4/2024</v>
      </c>
      <c r="D212" s="1" t="str">
        <f>IFERROR(VLOOKUP(ТабПозиции[[#This Row],[orderNum]],ТабЗаказы[#Data],MATCH(D$7,ТабЗаказы[#Headers],0),0),"")</f>
        <v>Митрофанов Евгений</v>
      </c>
      <c r="E212" s="32" t="s">
        <v>736</v>
      </c>
      <c r="F212" s="56" t="s">
        <v>3061</v>
      </c>
      <c r="H212" s="34">
        <v>45406</v>
      </c>
      <c r="I212" s="26">
        <v>1</v>
      </c>
      <c r="J212" s="26">
        <v>2897</v>
      </c>
      <c r="K212">
        <v>2897</v>
      </c>
      <c r="L212" s="26">
        <v>3137</v>
      </c>
      <c r="M212">
        <f t="shared" si="3"/>
        <v>3137</v>
      </c>
      <c r="O21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Row],[orderNum]],ТабПозиции[orderSumm])&gt;1500),ABS(M212*VLOOKUP(ТабПозиции[[#This Row],[orderNum]],ТабЗаказы[#Data],MATCH("Percent",ТабЗаказы[#Headers],0),0))/100,200/COUNTIF(ТабПозиции[orderNum],ТабПозиции[[#This Row],[orderNum]])),0),"")</f>
        <v>471</v>
      </c>
      <c r="P212">
        <f>IF(OR(ТабПозиции[[#This Row],[item]]="По штрихкоду",ТабПозиции[[#This Row],[item]]="Посылка"),ТабПозиции[[#This Row],[deliverySumm]]+ТабПозиции[[#This Row],[deliveryPost]],SUM(M212:O212))</f>
        <v>3608</v>
      </c>
      <c r="Q212" s="57">
        <v>3608</v>
      </c>
      <c r="R212" s="62">
        <f>ТабПозиции[[#This Row],[totalSumm]]-ТабПозиции[[#This Row],[payment]]</f>
        <v>0</v>
      </c>
      <c r="S212" s="34" t="s">
        <v>575</v>
      </c>
      <c r="T212" s="56" t="s">
        <v>3061</v>
      </c>
      <c r="U212" s="56" t="s">
        <v>3061</v>
      </c>
      <c r="V212" s="56" t="s">
        <v>3061</v>
      </c>
      <c r="W212" s="7"/>
      <c r="X212"/>
    </row>
    <row r="213" spans="1:24" x14ac:dyDescent="0.25">
      <c r="A213" s="26">
        <v>66</v>
      </c>
      <c r="B213" s="1">
        <f>IFERROR(VLOOKUP(ТабПозиции[[#This Row],[orderNum]],ТабЗаказы[#Data],MATCH(B$7,ТабЗаказы[#Headers],0),0),"")</f>
        <v>45400</v>
      </c>
      <c r="C213" t="str">
        <f>MONTH(ТабПозиции[[#This Row],[date]])&amp;"/"&amp;YEAR(ТабПозиции[[#This Row],[date]])</f>
        <v>4/2024</v>
      </c>
      <c r="D213" s="1" t="str">
        <f>IFERROR(VLOOKUP(ТабПозиции[[#This Row],[orderNum]],ТабЗаказы[#Data],MATCH(D$7,ТабЗаказы[#Headers],0),0),"")</f>
        <v>Галина Агабекова(церковь)</v>
      </c>
      <c r="E213" s="32" t="s">
        <v>737</v>
      </c>
      <c r="F213" s="56" t="s">
        <v>3061</v>
      </c>
      <c r="H213" s="34">
        <v>45405</v>
      </c>
      <c r="I213" s="26">
        <v>1</v>
      </c>
      <c r="J213" s="26">
        <v>2335</v>
      </c>
      <c r="K213">
        <v>2335</v>
      </c>
      <c r="L213" s="26">
        <v>2533</v>
      </c>
      <c r="M213">
        <f t="shared" si="3"/>
        <v>2533</v>
      </c>
      <c r="O21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Row],[orderNum]],ТабПозиции[orderSumm])&gt;1500),ABS(M213*VLOOKUP(ТабПозиции[[#This Row],[orderNum]],ТабЗаказы[#Data],MATCH("Percent",ТабЗаказы[#Headers],0),0))/100,200/COUNTIF(ТабПозиции[orderNum],ТабПозиции[[#This Row],[orderNum]])),0),"")</f>
        <v>380</v>
      </c>
      <c r="P213">
        <f>IF(OR(ТабПозиции[[#This Row],[item]]="По штрихкоду",ТабПозиции[[#This Row],[item]]="Посылка"),ТабПозиции[[#This Row],[deliverySumm]]+ТабПозиции[[#This Row],[deliveryPost]],SUM(M213:O213))</f>
        <v>2913</v>
      </c>
      <c r="Q213" s="57">
        <v>2913</v>
      </c>
      <c r="R213" s="62">
        <f>ТабПозиции[[#This Row],[totalSumm]]-ТабПозиции[[#This Row],[payment]]</f>
        <v>0</v>
      </c>
      <c r="S213" s="34" t="s">
        <v>575</v>
      </c>
      <c r="T213" s="56" t="s">
        <v>3061</v>
      </c>
      <c r="U213" s="56" t="s">
        <v>3061</v>
      </c>
      <c r="V213" s="56" t="s">
        <v>3061</v>
      </c>
      <c r="W213" s="7"/>
      <c r="X213"/>
    </row>
    <row r="214" spans="1:24" x14ac:dyDescent="0.25">
      <c r="A214" s="26">
        <v>66</v>
      </c>
      <c r="B214" s="1">
        <f>IFERROR(VLOOKUP(ТабПозиции[[#This Row],[orderNum]],ТабЗаказы[#Data],MATCH(B$7,ТабЗаказы[#Headers],0),0),"")</f>
        <v>45400</v>
      </c>
      <c r="C214" t="str">
        <f>MONTH(ТабПозиции[[#This Row],[date]])&amp;"/"&amp;YEAR(ТабПозиции[[#This Row],[date]])</f>
        <v>4/2024</v>
      </c>
      <c r="D214" s="1" t="str">
        <f>IFERROR(VLOOKUP(ТабПозиции[[#This Row],[orderNum]],ТабЗаказы[#Data],MATCH(D$7,ТабЗаказы[#Headers],0),0),"")</f>
        <v>Галина Агабекова(церковь)</v>
      </c>
      <c r="E214" s="32" t="s">
        <v>738</v>
      </c>
      <c r="F214" s="56" t="s">
        <v>3061</v>
      </c>
      <c r="H214" s="34">
        <v>45402</v>
      </c>
      <c r="I214" s="26">
        <v>1</v>
      </c>
      <c r="J214" s="26">
        <v>1420</v>
      </c>
      <c r="K214">
        <v>1420</v>
      </c>
      <c r="L214" s="26">
        <v>1464</v>
      </c>
      <c r="M214">
        <f t="shared" si="3"/>
        <v>1464</v>
      </c>
      <c r="O21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Row],[orderNum]],ТабПозиции[orderSumm])&gt;1500),ABS(M214*VLOOKUP(ТабПозиции[[#This Row],[orderNum]],ТабЗаказы[#Data],MATCH("Percent",ТабЗаказы[#Headers],0),0))/100,200/COUNTIF(ТабПозиции[orderNum],ТабПозиции[[#This Row],[orderNum]])),0),"")</f>
        <v>220</v>
      </c>
      <c r="P214">
        <f>IF(OR(ТабПозиции[[#This Row],[item]]="По штрихкоду",ТабПозиции[[#This Row],[item]]="Посылка"),ТабПозиции[[#This Row],[deliverySumm]]+ТабПозиции[[#This Row],[deliveryPost]],SUM(M214:O214))</f>
        <v>1684</v>
      </c>
      <c r="Q214" s="57">
        <v>1684</v>
      </c>
      <c r="R214" s="62">
        <f>ТабПозиции[[#This Row],[totalSumm]]-ТабПозиции[[#This Row],[payment]]</f>
        <v>0</v>
      </c>
      <c r="S214" s="34" t="s">
        <v>558</v>
      </c>
      <c r="T214" s="56" t="s">
        <v>3061</v>
      </c>
      <c r="U214" s="56" t="s">
        <v>3061</v>
      </c>
      <c r="V214" s="56" t="s">
        <v>3061</v>
      </c>
      <c r="W214" s="7"/>
      <c r="X214"/>
    </row>
    <row r="215" spans="1:24" x14ac:dyDescent="0.25">
      <c r="A215" s="26">
        <v>66</v>
      </c>
      <c r="B215" s="1">
        <f>IFERROR(VLOOKUP(ТабПозиции[[#This Row],[orderNum]],ТабЗаказы[#Data],MATCH(B$7,ТабЗаказы[#Headers],0),0),"")</f>
        <v>45400</v>
      </c>
      <c r="C215" t="str">
        <f>MONTH(ТабПозиции[[#This Row],[date]])&amp;"/"&amp;YEAR(ТабПозиции[[#This Row],[date]])</f>
        <v>4/2024</v>
      </c>
      <c r="D215" s="1" t="str">
        <f>IFERROR(VLOOKUP(ТабПозиции[[#This Row],[orderNum]],ТабЗаказы[#Data],MATCH(D$7,ТабЗаказы[#Headers],0),0),"")</f>
        <v>Галина Агабекова(церковь)</v>
      </c>
      <c r="E215" s="32" t="s">
        <v>739</v>
      </c>
      <c r="F215" s="56" t="s">
        <v>3061</v>
      </c>
      <c r="H215" s="34">
        <v>45405</v>
      </c>
      <c r="I215" s="26">
        <v>2</v>
      </c>
      <c r="J215" s="26">
        <v>517</v>
      </c>
      <c r="K215">
        <v>1034</v>
      </c>
      <c r="L215" s="26">
        <v>561</v>
      </c>
      <c r="M215">
        <f t="shared" si="3"/>
        <v>1122</v>
      </c>
      <c r="O21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Row],[orderNum]],ТабПозиции[orderSumm])&gt;1500),ABS(M215*VLOOKUP(ТабПозиции[[#This Row],[orderNum]],ТабЗаказы[#Data],MATCH("Percent",ТабЗаказы[#Headers],0),0))/100,200/COUNTIF(ТабПозиции[orderNum],ТабПозиции[[#This Row],[orderNum]])),0),"")</f>
        <v>168</v>
      </c>
      <c r="P215">
        <f>IF(OR(ТабПозиции[[#This Row],[item]]="По штрихкоду",ТабПозиции[[#This Row],[item]]="Посылка"),ТабПозиции[[#This Row],[deliverySumm]]+ТабПозиции[[#This Row],[deliveryPost]],SUM(M215:O215))</f>
        <v>1290</v>
      </c>
      <c r="Q215" s="57">
        <v>1290</v>
      </c>
      <c r="R215" s="62">
        <f>ТабПозиции[[#This Row],[totalSumm]]-ТабПозиции[[#This Row],[payment]]</f>
        <v>0</v>
      </c>
      <c r="S215" s="34" t="s">
        <v>575</v>
      </c>
      <c r="T215" s="56" t="s">
        <v>3061</v>
      </c>
      <c r="U215" s="56" t="s">
        <v>3061</v>
      </c>
      <c r="V215" s="56" t="s">
        <v>3061</v>
      </c>
      <c r="W215" s="7"/>
      <c r="X215"/>
    </row>
    <row r="216" spans="1:24" x14ac:dyDescent="0.25">
      <c r="A216" s="26">
        <v>67</v>
      </c>
      <c r="B216" s="1">
        <f>IFERROR(VLOOKUP(ТабПозиции[[#This Row],[orderNum]],ТабЗаказы[#Data],MATCH(B$7,ТабЗаказы[#Headers],0),0),"")</f>
        <v>45401</v>
      </c>
      <c r="C216" t="str">
        <f>MONTH(ТабПозиции[[#This Row],[date]])&amp;"/"&amp;YEAR(ТабПозиции[[#This Row],[date]])</f>
        <v>4/2024</v>
      </c>
      <c r="D216" s="1" t="str">
        <f>IFERROR(VLOOKUP(ТабПозиции[[#This Row],[orderNum]],ТабЗаказы[#Data],MATCH(D$7,ТабЗаказы[#Headers],0),0),"")</f>
        <v>Макс Куприна</v>
      </c>
      <c r="E216" s="32" t="s">
        <v>740</v>
      </c>
      <c r="F216" s="56" t="s">
        <v>3061</v>
      </c>
      <c r="H216" s="34">
        <v>45403</v>
      </c>
      <c r="I216" s="26">
        <v>1</v>
      </c>
      <c r="J216" s="26">
        <v>375</v>
      </c>
      <c r="K216">
        <v>375</v>
      </c>
      <c r="L216" s="26">
        <v>387</v>
      </c>
      <c r="M216">
        <f t="shared" si="3"/>
        <v>387</v>
      </c>
      <c r="O21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Row],[orderNum]],ТабПозиции[orderSumm])&gt;1500),ABS(M216*VLOOKUP(ТабПозиции[[#This Row],[orderNum]],ТабЗаказы[#Data],MATCH("Percent",ТабЗаказы[#Headers],0),0))/100,200/COUNTIF(ТабПозиции[orderNum],ТабПозиции[[#This Row],[orderNum]])),0),"")</f>
        <v>100</v>
      </c>
      <c r="P216">
        <f>IF(OR(ТабПозиции[[#This Row],[item]]="По штрихкоду",ТабПозиции[[#This Row],[item]]="Посылка"),ТабПозиции[[#This Row],[deliverySumm]]+ТабПозиции[[#This Row],[deliveryPost]],SUM(M216:O216))</f>
        <v>487</v>
      </c>
      <c r="Q216" s="57">
        <v>487</v>
      </c>
      <c r="R216" s="62">
        <f>ТабПозиции[[#This Row],[totalSumm]]-ТабПозиции[[#This Row],[payment]]</f>
        <v>0</v>
      </c>
      <c r="S216" s="34" t="s">
        <v>558</v>
      </c>
      <c r="T216" s="56" t="s">
        <v>3061</v>
      </c>
      <c r="U216" s="56" t="s">
        <v>3061</v>
      </c>
      <c r="V216" s="56" t="s">
        <v>3061</v>
      </c>
      <c r="W216" s="7"/>
      <c r="X216"/>
    </row>
    <row r="217" spans="1:24" x14ac:dyDescent="0.25">
      <c r="A217" s="26">
        <v>67</v>
      </c>
      <c r="B217" s="1">
        <f>IFERROR(VLOOKUP(ТабПозиции[[#This Row],[orderNum]],ТабЗаказы[#Data],MATCH(B$7,ТабЗаказы[#Headers],0),0),"")</f>
        <v>45401</v>
      </c>
      <c r="C217" t="str">
        <f>MONTH(ТабПозиции[[#This Row],[date]])&amp;"/"&amp;YEAR(ТабПозиции[[#This Row],[date]])</f>
        <v>4/2024</v>
      </c>
      <c r="D217" s="1" t="str">
        <f>IFERROR(VLOOKUP(ТабПозиции[[#This Row],[orderNum]],ТабЗаказы[#Data],MATCH(D$7,ТабЗаказы[#Headers],0),0),"")</f>
        <v>Макс Куприна</v>
      </c>
      <c r="E217" s="32" t="s">
        <v>741</v>
      </c>
      <c r="F217" s="56" t="s">
        <v>3061</v>
      </c>
      <c r="H217" s="34">
        <v>45404</v>
      </c>
      <c r="I217" s="26">
        <v>1</v>
      </c>
      <c r="J217" s="26">
        <v>375</v>
      </c>
      <c r="K217">
        <v>375</v>
      </c>
      <c r="L217" s="26">
        <v>387</v>
      </c>
      <c r="M217">
        <f t="shared" si="3"/>
        <v>387</v>
      </c>
      <c r="O21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Row],[orderNum]],ТабПозиции[orderSumm])&gt;1500),ABS(M217*VLOOKUP(ТабПозиции[[#This Row],[orderNum]],ТабЗаказы[#Data],MATCH("Percent",ТабЗаказы[#Headers],0),0))/100,200/COUNTIF(ТабПозиции[orderNum],ТабПозиции[[#This Row],[orderNum]])),0),"")</f>
        <v>100</v>
      </c>
      <c r="P217">
        <f>IF(OR(ТабПозиции[[#This Row],[item]]="По штрихкоду",ТабПозиции[[#This Row],[item]]="Посылка"),ТабПозиции[[#This Row],[deliverySumm]]+ТабПозиции[[#This Row],[deliveryPost]],SUM(M217:O217))</f>
        <v>487</v>
      </c>
      <c r="Q217" s="57">
        <v>487</v>
      </c>
      <c r="R217" s="62">
        <f>ТабПозиции[[#This Row],[totalSumm]]-ТабПозиции[[#This Row],[payment]]</f>
        <v>0</v>
      </c>
      <c r="S217" s="34" t="s">
        <v>558</v>
      </c>
      <c r="T217" s="56" t="s">
        <v>3061</v>
      </c>
      <c r="U217" s="56" t="s">
        <v>3061</v>
      </c>
      <c r="V217" s="56" t="s">
        <v>3061</v>
      </c>
      <c r="W217" s="7"/>
      <c r="X217"/>
    </row>
    <row r="218" spans="1:24" x14ac:dyDescent="0.25">
      <c r="A218" s="26">
        <v>68</v>
      </c>
      <c r="B218" s="1">
        <f>IFERROR(VLOOKUP(ТабПозиции[[#This Row],[orderNum]],ТабЗаказы[#Data],MATCH(B$7,ТабЗаказы[#Headers],0),0),"")</f>
        <v>45401</v>
      </c>
      <c r="C218" t="str">
        <f>MONTH(ТабПозиции[[#This Row],[date]])&amp;"/"&amp;YEAR(ТабПозиции[[#This Row],[date]])</f>
        <v>4/2024</v>
      </c>
      <c r="D218" s="1" t="str">
        <f>IFERROR(VLOOKUP(ТабПозиции[[#This Row],[orderNum]],ТабЗаказы[#Data],MATCH(D$7,ТабЗаказы[#Headers],0),0),"")</f>
        <v>Полинка</v>
      </c>
      <c r="E218" s="32" t="s">
        <v>742</v>
      </c>
      <c r="F218" s="56" t="s">
        <v>3061</v>
      </c>
      <c r="H218" s="34">
        <v>45404</v>
      </c>
      <c r="I218" s="26">
        <v>1</v>
      </c>
      <c r="J218" s="26">
        <v>226</v>
      </c>
      <c r="K218">
        <v>226</v>
      </c>
      <c r="L218" s="26">
        <v>234</v>
      </c>
      <c r="M218">
        <f t="shared" si="3"/>
        <v>234</v>
      </c>
      <c r="O21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Row],[orderNum]],ТабПозиции[orderSumm])&gt;1500),ABS(M218*VLOOKUP(ТабПозиции[[#This Row],[orderNum]],ТабЗаказы[#Data],MATCH("Percent",ТабЗаказы[#Headers],0),0))/100,200/COUNTIF(ТабПозиции[orderNum],ТабПозиции[[#This Row],[orderNum]])),0),"")</f>
        <v>35</v>
      </c>
      <c r="P218">
        <f>IF(OR(ТабПозиции[[#This Row],[item]]="По штрихкоду",ТабПозиции[[#This Row],[item]]="Посылка"),ТабПозиции[[#This Row],[deliverySumm]]+ТабПозиции[[#This Row],[deliveryPost]],SUM(M218:O218))</f>
        <v>269</v>
      </c>
      <c r="Q218" s="57">
        <v>269</v>
      </c>
      <c r="R218" s="62">
        <f>ТабПозиции[[#This Row],[totalSumm]]-ТабПозиции[[#This Row],[payment]]</f>
        <v>0</v>
      </c>
      <c r="S218" s="34" t="s">
        <v>558</v>
      </c>
      <c r="T218" s="56" t="s">
        <v>3061</v>
      </c>
      <c r="U218" s="56" t="s">
        <v>3061</v>
      </c>
      <c r="V218" s="56" t="s">
        <v>3061</v>
      </c>
      <c r="W218" s="7"/>
      <c r="X218"/>
    </row>
    <row r="219" spans="1:24" x14ac:dyDescent="0.25">
      <c r="A219" s="26">
        <v>68</v>
      </c>
      <c r="B219" s="1">
        <f>IFERROR(VLOOKUP(ТабПозиции[[#This Row],[orderNum]],ТабЗаказы[#Data],MATCH(B$7,ТабЗаказы[#Headers],0),0),"")</f>
        <v>45401</v>
      </c>
      <c r="C219" t="str">
        <f>MONTH(ТабПозиции[[#This Row],[date]])&amp;"/"&amp;YEAR(ТабПозиции[[#This Row],[date]])</f>
        <v>4/2024</v>
      </c>
      <c r="D219" s="1" t="str">
        <f>IFERROR(VLOOKUP(ТабПозиции[[#This Row],[orderNum]],ТабЗаказы[#Data],MATCH(D$7,ТабЗаказы[#Headers],0),0),"")</f>
        <v>Полинка</v>
      </c>
      <c r="E219" s="32" t="s">
        <v>743</v>
      </c>
      <c r="F219" s="56" t="s">
        <v>3061</v>
      </c>
      <c r="H219" s="34">
        <v>45403</v>
      </c>
      <c r="I219" s="26">
        <v>1</v>
      </c>
      <c r="J219" s="26">
        <v>285</v>
      </c>
      <c r="K219">
        <v>285</v>
      </c>
      <c r="L219" s="26">
        <v>294</v>
      </c>
      <c r="M219">
        <f t="shared" si="3"/>
        <v>294</v>
      </c>
      <c r="O21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Row],[orderNum]],ТабПозиции[orderSumm])&gt;1500),ABS(M219*VLOOKUP(ТабПозиции[[#This Row],[orderNum]],ТабЗаказы[#Data],MATCH("Percent",ТабЗаказы[#Headers],0),0))/100,200/COUNTIF(ТабПозиции[orderNum],ТабПозиции[[#This Row],[orderNum]])),0),"")</f>
        <v>44</v>
      </c>
      <c r="P219">
        <f>IF(OR(ТабПозиции[[#This Row],[item]]="По штрихкоду",ТабПозиции[[#This Row],[item]]="Посылка"),ТабПозиции[[#This Row],[deliverySumm]]+ТабПозиции[[#This Row],[deliveryPost]],SUM(M219:O219))</f>
        <v>338</v>
      </c>
      <c r="Q219" s="57">
        <v>338</v>
      </c>
      <c r="R219" s="62">
        <f>ТабПозиции[[#This Row],[totalSumm]]-ТабПозиции[[#This Row],[payment]]</f>
        <v>0</v>
      </c>
      <c r="S219" s="34" t="s">
        <v>558</v>
      </c>
      <c r="T219" s="56" t="s">
        <v>3061</v>
      </c>
      <c r="U219" s="56" t="s">
        <v>3061</v>
      </c>
      <c r="V219" s="56" t="s">
        <v>3061</v>
      </c>
      <c r="W219" s="7"/>
      <c r="X219"/>
    </row>
    <row r="220" spans="1:24" x14ac:dyDescent="0.25">
      <c r="A220" s="26">
        <v>68</v>
      </c>
      <c r="B220" s="1">
        <f>IFERROR(VLOOKUP(ТабПозиции[[#This Row],[orderNum]],ТабЗаказы[#Data],MATCH(B$7,ТабЗаказы[#Headers],0),0),"")</f>
        <v>45401</v>
      </c>
      <c r="C220" t="str">
        <f>MONTH(ТабПозиции[[#This Row],[date]])&amp;"/"&amp;YEAR(ТабПозиции[[#This Row],[date]])</f>
        <v>4/2024</v>
      </c>
      <c r="D220" s="1" t="str">
        <f>IFERROR(VLOOKUP(ТабПозиции[[#This Row],[orderNum]],ТабЗаказы[#Data],MATCH(D$7,ТабЗаказы[#Headers],0),0),"")</f>
        <v>Полинка</v>
      </c>
      <c r="E220" s="32" t="s">
        <v>744</v>
      </c>
      <c r="F220" s="56" t="s">
        <v>3061</v>
      </c>
      <c r="H220" s="34">
        <v>45403</v>
      </c>
      <c r="I220" s="26">
        <v>1</v>
      </c>
      <c r="J220" s="26">
        <v>285</v>
      </c>
      <c r="K220">
        <v>285</v>
      </c>
      <c r="L220" s="26">
        <v>294</v>
      </c>
      <c r="M220">
        <f t="shared" si="3"/>
        <v>294</v>
      </c>
      <c r="O22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Row],[orderNum]],ТабПозиции[orderSumm])&gt;1500),ABS(M220*VLOOKUP(ТабПозиции[[#This Row],[orderNum]],ТабЗаказы[#Data],MATCH("Percent",ТабЗаказы[#Headers],0),0))/100,200/COUNTIF(ТабПозиции[orderNum],ТабПозиции[[#This Row],[orderNum]])),0),"")</f>
        <v>44</v>
      </c>
      <c r="P220">
        <f>IF(OR(ТабПозиции[[#This Row],[item]]="По штрихкоду",ТабПозиции[[#This Row],[item]]="Посылка"),ТабПозиции[[#This Row],[deliverySumm]]+ТабПозиции[[#This Row],[deliveryPost]],SUM(M220:O220))</f>
        <v>338</v>
      </c>
      <c r="Q220" s="57">
        <v>338</v>
      </c>
      <c r="R220" s="62">
        <f>ТабПозиции[[#This Row],[totalSumm]]-ТабПозиции[[#This Row],[payment]]</f>
        <v>0</v>
      </c>
      <c r="S220" s="34" t="s">
        <v>558</v>
      </c>
      <c r="T220" s="56" t="s">
        <v>3061</v>
      </c>
      <c r="U220" s="56" t="s">
        <v>3061</v>
      </c>
      <c r="V220" s="56" t="s">
        <v>3061</v>
      </c>
      <c r="W220" s="7"/>
      <c r="X220"/>
    </row>
    <row r="221" spans="1:24" x14ac:dyDescent="0.25">
      <c r="A221" s="26">
        <v>68</v>
      </c>
      <c r="B221" s="1">
        <f>IFERROR(VLOOKUP(ТабПозиции[[#This Row],[orderNum]],ТабЗаказы[#Data],MATCH(B$7,ТабЗаказы[#Headers],0),0),"")</f>
        <v>45401</v>
      </c>
      <c r="C221" t="str">
        <f>MONTH(ТабПозиции[[#This Row],[date]])&amp;"/"&amp;YEAR(ТабПозиции[[#This Row],[date]])</f>
        <v>4/2024</v>
      </c>
      <c r="D221" s="1" t="str">
        <f>IFERROR(VLOOKUP(ТабПозиции[[#This Row],[orderNum]],ТабЗаказы[#Data],MATCH(D$7,ТабЗаказы[#Headers],0),0),"")</f>
        <v>Полинка</v>
      </c>
      <c r="E221" s="32" t="s">
        <v>730</v>
      </c>
      <c r="F221" s="56" t="s">
        <v>3061</v>
      </c>
      <c r="H221" s="34">
        <v>45404</v>
      </c>
      <c r="I221" s="26">
        <v>1</v>
      </c>
      <c r="J221" s="26">
        <v>228</v>
      </c>
      <c r="K221">
        <v>228</v>
      </c>
      <c r="L221" s="26">
        <v>236</v>
      </c>
      <c r="M221">
        <f t="shared" si="3"/>
        <v>236</v>
      </c>
      <c r="O22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Row],[orderNum]],ТабПозиции[orderSumm])&gt;1500),ABS(M221*VLOOKUP(ТабПозиции[[#This Row],[orderNum]],ТабЗаказы[#Data],MATCH("Percent",ТабЗаказы[#Headers],0),0))/100,200/COUNTIF(ТабПозиции[orderNum],ТабПозиции[[#This Row],[orderNum]])),0),"")</f>
        <v>35</v>
      </c>
      <c r="P221">
        <f>IF(OR(ТабПозиции[[#This Row],[item]]="По штрихкоду",ТабПозиции[[#This Row],[item]]="Посылка"),ТабПозиции[[#This Row],[deliverySumm]]+ТабПозиции[[#This Row],[deliveryPost]],SUM(M221:O221))</f>
        <v>271</v>
      </c>
      <c r="Q221" s="57">
        <v>271</v>
      </c>
      <c r="R221" s="62">
        <f>ТабПозиции[[#This Row],[totalSumm]]-ТабПозиции[[#This Row],[payment]]</f>
        <v>0</v>
      </c>
      <c r="S221" s="34" t="s">
        <v>558</v>
      </c>
      <c r="T221" s="56" t="s">
        <v>3061</v>
      </c>
      <c r="U221" s="56" t="s">
        <v>3061</v>
      </c>
      <c r="V221" s="56" t="s">
        <v>3061</v>
      </c>
      <c r="W221" s="7"/>
      <c r="X221"/>
    </row>
    <row r="222" spans="1:24" x14ac:dyDescent="0.25">
      <c r="A222" s="26">
        <v>68</v>
      </c>
      <c r="B222" s="1">
        <f>IFERROR(VLOOKUP(ТабПозиции[[#This Row],[orderNum]],ТабЗаказы[#Data],MATCH(B$7,ТабЗаказы[#Headers],0),0),"")</f>
        <v>45401</v>
      </c>
      <c r="C222" t="str">
        <f>MONTH(ТабПозиции[[#This Row],[date]])&amp;"/"&amp;YEAR(ТабПозиции[[#This Row],[date]])</f>
        <v>4/2024</v>
      </c>
      <c r="D222" s="1" t="str">
        <f>IFERROR(VLOOKUP(ТабПозиции[[#This Row],[orderNum]],ТабЗаказы[#Data],MATCH(D$7,ТабЗаказы[#Headers],0),0),"")</f>
        <v>Полинка</v>
      </c>
      <c r="E222" s="32" t="s">
        <v>745</v>
      </c>
      <c r="F222" s="56" t="s">
        <v>3061</v>
      </c>
      <c r="H222" s="34">
        <v>45404</v>
      </c>
      <c r="I222" s="26">
        <v>1</v>
      </c>
      <c r="J222" s="26">
        <v>345</v>
      </c>
      <c r="K222">
        <v>345</v>
      </c>
      <c r="L222" s="26">
        <v>356</v>
      </c>
      <c r="M222">
        <f t="shared" si="3"/>
        <v>356</v>
      </c>
      <c r="O22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Row],[orderNum]],ТабПозиции[orderSumm])&gt;1500),ABS(M222*VLOOKUP(ТабПозиции[[#This Row],[orderNum]],ТабЗаказы[#Data],MATCH("Percent",ТабЗаказы[#Headers],0),0))/100,200/COUNTIF(ТабПозиции[orderNum],ТабПозиции[[#This Row],[orderNum]])),0),"")</f>
        <v>53</v>
      </c>
      <c r="P222">
        <f>IF(OR(ТабПозиции[[#This Row],[item]]="По штрихкоду",ТабПозиции[[#This Row],[item]]="Посылка"),ТабПозиции[[#This Row],[deliverySumm]]+ТабПозиции[[#This Row],[deliveryPost]],SUM(M222:O222))</f>
        <v>409</v>
      </c>
      <c r="Q222" s="57">
        <v>409</v>
      </c>
      <c r="R222" s="62">
        <f>ТабПозиции[[#This Row],[totalSumm]]-ТабПозиции[[#This Row],[payment]]</f>
        <v>0</v>
      </c>
      <c r="S222" s="34" t="s">
        <v>558</v>
      </c>
      <c r="T222" s="56" t="s">
        <v>3061</v>
      </c>
      <c r="U222" s="56" t="s">
        <v>3061</v>
      </c>
      <c r="V222" s="56" t="s">
        <v>3061</v>
      </c>
      <c r="W222" s="7"/>
      <c r="X222"/>
    </row>
    <row r="223" spans="1:24" x14ac:dyDescent="0.25">
      <c r="A223" s="26">
        <v>68</v>
      </c>
      <c r="B223" s="1">
        <f>IFERROR(VLOOKUP(ТабПозиции[[#This Row],[orderNum]],ТабЗаказы[#Data],MATCH(B$7,ТабЗаказы[#Headers],0),0),"")</f>
        <v>45401</v>
      </c>
      <c r="C223" t="str">
        <f>MONTH(ТабПозиции[[#This Row],[date]])&amp;"/"&amp;YEAR(ТабПозиции[[#This Row],[date]])</f>
        <v>4/2024</v>
      </c>
      <c r="D223" s="1" t="str">
        <f>IFERROR(VLOOKUP(ТабПозиции[[#This Row],[orderNum]],ТабЗаказы[#Data],MATCH(D$7,ТабЗаказы[#Headers],0),0),"")</f>
        <v>Полинка</v>
      </c>
      <c r="E223" s="32" t="s">
        <v>746</v>
      </c>
      <c r="F223" s="56" t="s">
        <v>3061</v>
      </c>
      <c r="H223" s="34">
        <v>45404</v>
      </c>
      <c r="I223" s="26">
        <v>1</v>
      </c>
      <c r="J223" s="26">
        <v>264</v>
      </c>
      <c r="K223">
        <v>264</v>
      </c>
      <c r="L223" s="26">
        <v>273</v>
      </c>
      <c r="M223">
        <f t="shared" si="3"/>
        <v>273</v>
      </c>
      <c r="O22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Row],[orderNum]],ТабПозиции[orderSumm])&gt;1500),ABS(M223*VLOOKUP(ТабПозиции[[#This Row],[orderNum]],ТабЗаказы[#Data],MATCH("Percent",ТабЗаказы[#Headers],0),0))/100,200/COUNTIF(ТабПозиции[orderNum],ТабПозиции[[#This Row],[orderNum]])),0),"")</f>
        <v>41</v>
      </c>
      <c r="P223">
        <f>IF(OR(ТабПозиции[[#This Row],[item]]="По штрихкоду",ТабПозиции[[#This Row],[item]]="Посылка"),ТабПозиции[[#This Row],[deliverySumm]]+ТабПозиции[[#This Row],[deliveryPost]],SUM(M223:O223))</f>
        <v>314</v>
      </c>
      <c r="Q223" s="57">
        <v>314</v>
      </c>
      <c r="R223" s="62">
        <f>ТабПозиции[[#This Row],[totalSumm]]-ТабПозиции[[#This Row],[payment]]</f>
        <v>0</v>
      </c>
      <c r="S223" s="34" t="s">
        <v>558</v>
      </c>
      <c r="T223" s="56" t="s">
        <v>3061</v>
      </c>
      <c r="U223" s="56" t="s">
        <v>3061</v>
      </c>
      <c r="V223" s="56" t="s">
        <v>3061</v>
      </c>
      <c r="W223" s="7"/>
      <c r="X223"/>
    </row>
    <row r="224" spans="1:24" x14ac:dyDescent="0.25">
      <c r="A224" s="26">
        <v>69</v>
      </c>
      <c r="B224" s="1">
        <f>IFERROR(VLOOKUP(ТабПозиции[[#This Row],[orderNum]],ТабЗаказы[#Data],MATCH(B$7,ТабЗаказы[#Headers],0),0),"")</f>
        <v>45402</v>
      </c>
      <c r="C224" t="str">
        <f>MONTH(ТабПозиции[[#This Row],[date]])&amp;"/"&amp;YEAR(ТабПозиции[[#This Row],[date]])</f>
        <v>4/2024</v>
      </c>
      <c r="D224" s="1" t="str">
        <f>IFERROR(VLOOKUP(ТабПозиции[[#This Row],[orderNum]],ТабЗаказы[#Data],MATCH(D$7,ТабЗаказы[#Headers],0),0),"")</f>
        <v>Лариса Кирова</v>
      </c>
      <c r="E224" s="32" t="s">
        <v>677</v>
      </c>
      <c r="F224" s="56" t="s">
        <v>3061</v>
      </c>
      <c r="H224" s="34">
        <v>45404</v>
      </c>
      <c r="I224" s="26">
        <v>1</v>
      </c>
      <c r="J224" s="26">
        <v>248</v>
      </c>
      <c r="K224">
        <v>248</v>
      </c>
      <c r="L224" s="26">
        <v>256</v>
      </c>
      <c r="M224">
        <f t="shared" si="3"/>
        <v>256</v>
      </c>
      <c r="O22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Row],[orderNum]],ТабПозиции[orderSumm])&gt;1500),ABS(M224*VLOOKUP(ТабПозиции[[#This Row],[orderNum]],ТабЗаказы[#Data],MATCH("Percent",ТабЗаказы[#Headers],0),0))/100,200/COUNTIF(ТабПозиции[orderNum],ТабПозиции[[#This Row],[orderNum]])),0),"")</f>
        <v>38</v>
      </c>
      <c r="P224">
        <f>IF(OR(ТабПозиции[[#This Row],[item]]="По штрихкоду",ТабПозиции[[#This Row],[item]]="Посылка"),ТабПозиции[[#This Row],[deliverySumm]]+ТабПозиции[[#This Row],[deliveryPost]],SUM(M224:O224))</f>
        <v>294</v>
      </c>
      <c r="Q224" s="57">
        <v>294</v>
      </c>
      <c r="R224" s="62">
        <f>ТабПозиции[[#This Row],[totalSumm]]-ТабПозиции[[#This Row],[payment]]</f>
        <v>0</v>
      </c>
      <c r="S224" s="34" t="s">
        <v>558</v>
      </c>
      <c r="T224" s="56" t="s">
        <v>3061</v>
      </c>
      <c r="U224" s="56" t="s">
        <v>3061</v>
      </c>
      <c r="V224" s="56" t="s">
        <v>3061</v>
      </c>
      <c r="W224" s="7"/>
      <c r="X224"/>
    </row>
    <row r="225" spans="1:24" x14ac:dyDescent="0.25">
      <c r="A225" s="26">
        <v>69</v>
      </c>
      <c r="B225" s="1">
        <f>IFERROR(VLOOKUP(ТабПозиции[[#This Row],[orderNum]],ТабЗаказы[#Data],MATCH(B$7,ТабЗаказы[#Headers],0),0),"")</f>
        <v>45402</v>
      </c>
      <c r="C225" t="str">
        <f>MONTH(ТабПозиции[[#This Row],[date]])&amp;"/"&amp;YEAR(ТабПозиции[[#This Row],[date]])</f>
        <v>4/2024</v>
      </c>
      <c r="D225" s="1" t="str">
        <f>IFERROR(VLOOKUP(ТабПозиции[[#This Row],[orderNum]],ТабЗаказы[#Data],MATCH(D$7,ТабЗаказы[#Headers],0),0),"")</f>
        <v>Лариса Кирова</v>
      </c>
      <c r="E225" s="32" t="s">
        <v>747</v>
      </c>
      <c r="F225" s="56" t="s">
        <v>3061</v>
      </c>
      <c r="H225" s="34">
        <v>45404</v>
      </c>
      <c r="I225" s="26">
        <v>1</v>
      </c>
      <c r="J225" s="26">
        <v>273</v>
      </c>
      <c r="K225">
        <v>273</v>
      </c>
      <c r="L225" s="26">
        <v>282</v>
      </c>
      <c r="M225">
        <f t="shared" si="3"/>
        <v>282</v>
      </c>
      <c r="O22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Row],[orderNum]],ТабПозиции[orderSumm])&gt;1500),ABS(M225*VLOOKUP(ТабПозиции[[#This Row],[orderNum]],ТабЗаказы[#Data],MATCH("Percent",ТабЗаказы[#Headers],0),0))/100,200/COUNTIF(ТабПозиции[orderNum],ТабПозиции[[#This Row],[orderNum]])),0),"")</f>
        <v>42</v>
      </c>
      <c r="P225">
        <f>IF(OR(ТабПозиции[[#This Row],[item]]="По штрихкоду",ТабПозиции[[#This Row],[item]]="Посылка"),ТабПозиции[[#This Row],[deliverySumm]]+ТабПозиции[[#This Row],[deliveryPost]],SUM(M225:O225))</f>
        <v>324</v>
      </c>
      <c r="Q225" s="57">
        <v>324</v>
      </c>
      <c r="R225" s="62">
        <f>ТабПозиции[[#This Row],[totalSumm]]-ТабПозиции[[#This Row],[payment]]</f>
        <v>0</v>
      </c>
      <c r="S225" s="34" t="s">
        <v>558</v>
      </c>
      <c r="T225" s="56" t="s">
        <v>3061</v>
      </c>
      <c r="U225" s="56" t="s">
        <v>3061</v>
      </c>
      <c r="V225" s="56" t="s">
        <v>3061</v>
      </c>
      <c r="W225" s="7"/>
      <c r="X225"/>
    </row>
    <row r="226" spans="1:24" x14ac:dyDescent="0.25">
      <c r="A226" s="26">
        <v>69</v>
      </c>
      <c r="B226" s="1">
        <f>IFERROR(VLOOKUP(ТабПозиции[[#This Row],[orderNum]],ТабЗаказы[#Data],MATCH(B$7,ТабЗаказы[#Headers],0),0),"")</f>
        <v>45402</v>
      </c>
      <c r="C226" t="str">
        <f>MONTH(ТабПозиции[[#This Row],[date]])&amp;"/"&amp;YEAR(ТабПозиции[[#This Row],[date]])</f>
        <v>4/2024</v>
      </c>
      <c r="D226" s="1" t="str">
        <f>IFERROR(VLOOKUP(ТабПозиции[[#This Row],[orderNum]],ТабЗаказы[#Data],MATCH(D$7,ТабЗаказы[#Headers],0),0),"")</f>
        <v>Лариса Кирова</v>
      </c>
      <c r="E226" s="32" t="s">
        <v>748</v>
      </c>
      <c r="F226" s="56" t="s">
        <v>3061</v>
      </c>
      <c r="H226" s="34">
        <v>45404</v>
      </c>
      <c r="I226" s="26">
        <v>1</v>
      </c>
      <c r="J226" s="26">
        <v>107</v>
      </c>
      <c r="K226">
        <v>107</v>
      </c>
      <c r="L226" s="26">
        <v>111</v>
      </c>
      <c r="M226">
        <f t="shared" si="3"/>
        <v>111</v>
      </c>
      <c r="O22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Row],[orderNum]],ТабПозиции[orderSumm])&gt;1500),ABS(M226*VLOOKUP(ТабПозиции[[#This Row],[orderNum]],ТабЗаказы[#Data],MATCH("Percent",ТабЗаказы[#Headers],0),0))/100,200/COUNTIF(ТабПозиции[orderNum],ТабПозиции[[#This Row],[orderNum]])),0),"")</f>
        <v>17</v>
      </c>
      <c r="P226">
        <f>IF(OR(ТабПозиции[[#This Row],[item]]="По штрихкоду",ТабПозиции[[#This Row],[item]]="Посылка"),ТабПозиции[[#This Row],[deliverySumm]]+ТабПозиции[[#This Row],[deliveryPost]],SUM(M226:O226))</f>
        <v>128</v>
      </c>
      <c r="Q226" s="57">
        <v>128</v>
      </c>
      <c r="R226" s="62">
        <f>ТабПозиции[[#This Row],[totalSumm]]-ТабПозиции[[#This Row],[payment]]</f>
        <v>0</v>
      </c>
      <c r="S226" s="34" t="s">
        <v>558</v>
      </c>
      <c r="T226" s="56" t="s">
        <v>3061</v>
      </c>
      <c r="U226" s="56" t="s">
        <v>3061</v>
      </c>
      <c r="V226" s="56" t="s">
        <v>3061</v>
      </c>
      <c r="W226" s="7"/>
      <c r="X226"/>
    </row>
    <row r="227" spans="1:24" x14ac:dyDescent="0.25">
      <c r="A227" s="26">
        <v>69</v>
      </c>
      <c r="B227" s="1">
        <f>IFERROR(VLOOKUP(ТабПозиции[[#This Row],[orderNum]],ТабЗаказы[#Data],MATCH(B$7,ТабЗаказы[#Headers],0),0),"")</f>
        <v>45402</v>
      </c>
      <c r="C227" t="str">
        <f>MONTH(ТабПозиции[[#This Row],[date]])&amp;"/"&amp;YEAR(ТабПозиции[[#This Row],[date]])</f>
        <v>4/2024</v>
      </c>
      <c r="D227" s="1" t="str">
        <f>IFERROR(VLOOKUP(ТабПозиции[[#This Row],[orderNum]],ТабЗаказы[#Data],MATCH(D$7,ТабЗаказы[#Headers],0),0),"")</f>
        <v>Лариса Кирова</v>
      </c>
      <c r="E227" s="32" t="s">
        <v>749</v>
      </c>
      <c r="F227" s="56" t="s">
        <v>3061</v>
      </c>
      <c r="H227" s="34">
        <v>45406</v>
      </c>
      <c r="I227" s="26">
        <v>1</v>
      </c>
      <c r="J227" s="26">
        <v>3410</v>
      </c>
      <c r="K227">
        <v>3410</v>
      </c>
      <c r="L227" s="26">
        <v>3678</v>
      </c>
      <c r="M227">
        <f t="shared" si="3"/>
        <v>3678</v>
      </c>
      <c r="O22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Row],[orderNum]],ТабПозиции[orderSumm])&gt;1500),ABS(M227*VLOOKUP(ТабПозиции[[#This Row],[orderNum]],ТабЗаказы[#Data],MATCH("Percent",ТабЗаказы[#Headers],0),0))/100,200/COUNTIF(ТабПозиции[orderNum],ТабПозиции[[#This Row],[orderNum]])),0),"")</f>
        <v>552</v>
      </c>
      <c r="P227">
        <f>IF(OR(ТабПозиции[[#This Row],[item]]="По штрихкоду",ТабПозиции[[#This Row],[item]]="Посылка"),ТабПозиции[[#This Row],[deliverySumm]]+ТабПозиции[[#This Row],[deliveryPost]],SUM(M227:O227))</f>
        <v>4230</v>
      </c>
      <c r="Q227" s="57">
        <v>4230</v>
      </c>
      <c r="R227" s="62">
        <f>ТабПозиции[[#This Row],[totalSumm]]-ТабПозиции[[#This Row],[payment]]</f>
        <v>0</v>
      </c>
      <c r="S227" s="34" t="s">
        <v>575</v>
      </c>
      <c r="T227" s="56" t="s">
        <v>3061</v>
      </c>
      <c r="U227" s="56" t="s">
        <v>3061</v>
      </c>
      <c r="V227" s="56" t="s">
        <v>3061</v>
      </c>
      <c r="W227" s="7"/>
      <c r="X227"/>
    </row>
    <row r="228" spans="1:24" x14ac:dyDescent="0.25">
      <c r="A228" s="26">
        <v>69</v>
      </c>
      <c r="B228" s="1">
        <f>IFERROR(VLOOKUP(ТабПозиции[[#This Row],[orderNum]],ТабЗаказы[#Data],MATCH(B$7,ТабЗаказы[#Headers],0),0),"")</f>
        <v>45402</v>
      </c>
      <c r="C228" t="str">
        <f>MONTH(ТабПозиции[[#This Row],[date]])&amp;"/"&amp;YEAR(ТабПозиции[[#This Row],[date]])</f>
        <v>4/2024</v>
      </c>
      <c r="D228" s="1" t="str">
        <f>IFERROR(VLOOKUP(ТабПозиции[[#This Row],[orderNum]],ТабЗаказы[#Data],MATCH(D$7,ТабЗаказы[#Headers],0),0),"")</f>
        <v>Лариса Кирова</v>
      </c>
      <c r="E228" s="32" t="s">
        <v>750</v>
      </c>
      <c r="F228" s="56" t="s">
        <v>3061</v>
      </c>
      <c r="H228" s="34">
        <v>45407</v>
      </c>
      <c r="I228" s="26">
        <v>1</v>
      </c>
      <c r="J228" s="26">
        <v>347</v>
      </c>
      <c r="K228">
        <v>347</v>
      </c>
      <c r="L228" s="26">
        <v>354</v>
      </c>
      <c r="M228">
        <f t="shared" si="3"/>
        <v>354</v>
      </c>
      <c r="O22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Row],[orderNum]],ТабПозиции[orderSumm])&gt;1500),ABS(M228*VLOOKUP(ТабПозиции[[#This Row],[orderNum]],ТабЗаказы[#Data],MATCH("Percent",ТабЗаказы[#Headers],0),0))/100,200/COUNTIF(ТабПозиции[orderNum],ТабПозиции[[#This Row],[orderNum]])),0),"")</f>
        <v>53</v>
      </c>
      <c r="P228">
        <f>IF(OR(ТабПозиции[[#This Row],[item]]="По штрихкоду",ТабПозиции[[#This Row],[item]]="Посылка"),ТабПозиции[[#This Row],[deliverySumm]]+ТабПозиции[[#This Row],[deliveryPost]],SUM(M228:O228))</f>
        <v>407</v>
      </c>
      <c r="Q228" s="57">
        <v>407</v>
      </c>
      <c r="R228" s="62">
        <f>ТабПозиции[[#This Row],[totalSumm]]-ТабПозиции[[#This Row],[payment]]</f>
        <v>0</v>
      </c>
      <c r="S228" s="34" t="s">
        <v>575</v>
      </c>
      <c r="T228" s="56" t="s">
        <v>3061</v>
      </c>
      <c r="U228" s="56" t="s">
        <v>3061</v>
      </c>
      <c r="V228" s="56" t="s">
        <v>3061</v>
      </c>
      <c r="W228" s="7"/>
      <c r="X228"/>
    </row>
    <row r="229" spans="1:24" x14ac:dyDescent="0.25">
      <c r="A229" s="26">
        <v>69</v>
      </c>
      <c r="B229" s="1">
        <f>IFERROR(VLOOKUP(ТабПозиции[[#This Row],[orderNum]],ТабЗаказы[#Data],MATCH(B$7,ТабЗаказы[#Headers],0),0),"")</f>
        <v>45402</v>
      </c>
      <c r="C229" t="str">
        <f>MONTH(ТабПозиции[[#This Row],[date]])&amp;"/"&amp;YEAR(ТабПозиции[[#This Row],[date]])</f>
        <v>4/2024</v>
      </c>
      <c r="D229" s="1" t="str">
        <f>IFERROR(VLOOKUP(ТабПозиции[[#This Row],[orderNum]],ТабЗаказы[#Data],MATCH(D$7,ТабЗаказы[#Headers],0),0),"")</f>
        <v>Лариса Кирова</v>
      </c>
      <c r="E229" s="32" t="s">
        <v>751</v>
      </c>
      <c r="F229" s="56" t="s">
        <v>3061</v>
      </c>
      <c r="H229" s="34">
        <v>45403</v>
      </c>
      <c r="I229" s="26">
        <v>1</v>
      </c>
      <c r="J229" s="26">
        <v>575</v>
      </c>
      <c r="K229">
        <v>575</v>
      </c>
      <c r="L229" s="26">
        <v>627</v>
      </c>
      <c r="M229">
        <f t="shared" si="3"/>
        <v>627</v>
      </c>
      <c r="O22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Row],[orderNum]],ТабПозиции[orderSumm])&gt;1500),ABS(M229*VLOOKUP(ТабПозиции[[#This Row],[orderNum]],ТабЗаказы[#Data],MATCH("Percent",ТабЗаказы[#Headers],0),0))/100,200/COUNTIF(ТабПозиции[orderNum],ТабПозиции[[#This Row],[orderNum]])),0),"")</f>
        <v>94</v>
      </c>
      <c r="P229">
        <f>IF(OR(ТабПозиции[[#This Row],[item]]="По штрихкоду",ТабПозиции[[#This Row],[item]]="Посылка"),ТабПозиции[[#This Row],[deliverySumm]]+ТабПозиции[[#This Row],[deliveryPost]],SUM(M229:O229))</f>
        <v>721</v>
      </c>
      <c r="Q229" s="57">
        <v>721</v>
      </c>
      <c r="R229" s="62">
        <f>ТабПозиции[[#This Row],[totalSumm]]-ТабПозиции[[#This Row],[payment]]</f>
        <v>0</v>
      </c>
      <c r="S229" s="34" t="s">
        <v>575</v>
      </c>
      <c r="T229" s="56" t="s">
        <v>3061</v>
      </c>
      <c r="U229" s="56" t="s">
        <v>3061</v>
      </c>
      <c r="V229" s="56" t="s">
        <v>3061</v>
      </c>
      <c r="W229" s="7"/>
      <c r="X229"/>
    </row>
    <row r="230" spans="1:24" x14ac:dyDescent="0.25">
      <c r="A230" s="26">
        <v>69</v>
      </c>
      <c r="B230" s="1">
        <f>IFERROR(VLOOKUP(ТабПозиции[[#This Row],[orderNum]],ТабЗаказы[#Data],MATCH(B$7,ТабЗаказы[#Headers],0),0),"")</f>
        <v>45402</v>
      </c>
      <c r="C230" t="str">
        <f>MONTH(ТабПозиции[[#This Row],[date]])&amp;"/"&amp;YEAR(ТабПозиции[[#This Row],[date]])</f>
        <v>4/2024</v>
      </c>
      <c r="D230" s="1" t="str">
        <f>IFERROR(VLOOKUP(ТабПозиции[[#This Row],[orderNum]],ТабЗаказы[#Data],MATCH(D$7,ТабЗаказы[#Headers],0),0),"")</f>
        <v>Лариса Кирова</v>
      </c>
      <c r="E230" s="32" t="s">
        <v>752</v>
      </c>
      <c r="F230" s="56" t="s">
        <v>3061</v>
      </c>
      <c r="H230" s="34">
        <v>45403</v>
      </c>
      <c r="I230" s="26">
        <v>1</v>
      </c>
      <c r="J230" s="26">
        <v>664</v>
      </c>
      <c r="K230">
        <v>664</v>
      </c>
      <c r="L230" s="26">
        <v>723</v>
      </c>
      <c r="M230">
        <f t="shared" si="3"/>
        <v>723</v>
      </c>
      <c r="O23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Row],[orderNum]],ТабПозиции[orderSumm])&gt;1500),ABS(M230*VLOOKUP(ТабПозиции[[#This Row],[orderNum]],ТабЗаказы[#Data],MATCH("Percent",ТабЗаказы[#Headers],0),0))/100,200/COUNTIF(ТабПозиции[orderNum],ТабПозиции[[#This Row],[orderNum]])),0),"")</f>
        <v>108</v>
      </c>
      <c r="P230">
        <f>IF(OR(ТабПозиции[[#This Row],[item]]="По штрихкоду",ТабПозиции[[#This Row],[item]]="Посылка"),ТабПозиции[[#This Row],[deliverySumm]]+ТабПозиции[[#This Row],[deliveryPost]],SUM(M230:O230))</f>
        <v>831</v>
      </c>
      <c r="Q230" s="57">
        <v>831</v>
      </c>
      <c r="R230" s="62">
        <f>ТабПозиции[[#This Row],[totalSumm]]-ТабПозиции[[#This Row],[payment]]</f>
        <v>0</v>
      </c>
      <c r="S230" s="34" t="s">
        <v>575</v>
      </c>
      <c r="T230" s="56" t="s">
        <v>3061</v>
      </c>
      <c r="U230" s="56" t="s">
        <v>3061</v>
      </c>
      <c r="V230" s="56" t="s">
        <v>3061</v>
      </c>
      <c r="W230" s="7"/>
      <c r="X230"/>
    </row>
    <row r="231" spans="1:24" x14ac:dyDescent="0.25">
      <c r="A231" s="26">
        <v>69</v>
      </c>
      <c r="B231" s="1">
        <f>IFERROR(VLOOKUP(ТабПозиции[[#This Row],[orderNum]],ТабЗаказы[#Data],MATCH(B$7,ТабЗаказы[#Headers],0),0),"")</f>
        <v>45402</v>
      </c>
      <c r="C231" t="str">
        <f>MONTH(ТабПозиции[[#This Row],[date]])&amp;"/"&amp;YEAR(ТабПозиции[[#This Row],[date]])</f>
        <v>4/2024</v>
      </c>
      <c r="D231" s="1" t="str">
        <f>IFERROR(VLOOKUP(ТабПозиции[[#This Row],[orderNum]],ТабЗаказы[#Data],MATCH(D$7,ТабЗаказы[#Headers],0),0),"")</f>
        <v>Лариса Кирова</v>
      </c>
      <c r="E231" s="32" t="s">
        <v>753</v>
      </c>
      <c r="F231" s="56" t="s">
        <v>3061</v>
      </c>
      <c r="H231" s="34">
        <v>45403</v>
      </c>
      <c r="I231" s="26">
        <v>1</v>
      </c>
      <c r="J231" s="26">
        <v>262</v>
      </c>
      <c r="K231">
        <v>262</v>
      </c>
      <c r="L231" s="26">
        <v>267</v>
      </c>
      <c r="M231">
        <f t="shared" si="3"/>
        <v>267</v>
      </c>
      <c r="O23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Row],[orderNum]],ТабПозиции[orderSumm])&gt;1500),ABS(M231*VLOOKUP(ТабПозиции[[#This Row],[orderNum]],ТабЗаказы[#Data],MATCH("Percent",ТабЗаказы[#Headers],0),0))/100,200/COUNTIF(ТабПозиции[orderNum],ТабПозиции[[#This Row],[orderNum]])),0),"")</f>
        <v>40</v>
      </c>
      <c r="P231">
        <f>IF(OR(ТабПозиции[[#This Row],[item]]="По штрихкоду",ТабПозиции[[#This Row],[item]]="Посылка"),ТабПозиции[[#This Row],[deliverySumm]]+ТабПозиции[[#This Row],[deliveryPost]],SUM(M231:O231))</f>
        <v>307</v>
      </c>
      <c r="Q231" s="57">
        <v>307</v>
      </c>
      <c r="R231" s="62">
        <f>ТабПозиции[[#This Row],[totalSumm]]-ТабПозиции[[#This Row],[payment]]</f>
        <v>0</v>
      </c>
      <c r="S231" s="34" t="s">
        <v>575</v>
      </c>
      <c r="T231" s="56" t="s">
        <v>3061</v>
      </c>
      <c r="U231" s="56" t="s">
        <v>3061</v>
      </c>
      <c r="V231" s="56" t="s">
        <v>3061</v>
      </c>
      <c r="W231" s="7"/>
      <c r="X231"/>
    </row>
    <row r="232" spans="1:24" x14ac:dyDescent="0.25">
      <c r="A232" s="26">
        <v>69</v>
      </c>
      <c r="B232" s="1">
        <f>IFERROR(VLOOKUP(ТабПозиции[[#This Row],[orderNum]],ТабЗаказы[#Data],MATCH(B$7,ТабЗаказы[#Headers],0),0),"")</f>
        <v>45402</v>
      </c>
      <c r="C232" t="str">
        <f>MONTH(ТабПозиции[[#This Row],[date]])&amp;"/"&amp;YEAR(ТабПозиции[[#This Row],[date]])</f>
        <v>4/2024</v>
      </c>
      <c r="D232" s="1" t="str">
        <f>IFERROR(VLOOKUP(ТабПозиции[[#This Row],[orderNum]],ТабЗаказы[#Data],MATCH(D$7,ТабЗаказы[#Headers],0),0),"")</f>
        <v>Лариса Кирова</v>
      </c>
      <c r="E232" s="32" t="s">
        <v>754</v>
      </c>
      <c r="F232" s="56" t="s">
        <v>3061</v>
      </c>
      <c r="H232" s="34">
        <v>45403</v>
      </c>
      <c r="J232" s="26">
        <v>372</v>
      </c>
      <c r="K232">
        <v>0</v>
      </c>
      <c r="L232" s="26">
        <v>380</v>
      </c>
      <c r="M232">
        <f t="shared" si="3"/>
        <v>0</v>
      </c>
      <c r="O23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Row],[orderNum]],ТабПозиции[orderSumm])&gt;1500),ABS(M232*VLOOKUP(ТабПозиции[[#This Row],[orderNum]],ТабЗаказы[#Data],MATCH("Percent",ТабЗаказы[#Headers],0),0))/100,200/COUNTIF(ТабПозиции[orderNum],ТабПозиции[[#This Row],[orderNum]])),0),"")</f>
        <v>0</v>
      </c>
      <c r="P232">
        <f>IF(OR(ТабПозиции[[#This Row],[item]]="По штрихкоду",ТабПозиции[[#This Row],[item]]="Посылка"),ТабПозиции[[#This Row],[deliverySumm]]+ТабПозиции[[#This Row],[deliveryPost]],SUM(M232:O232))</f>
        <v>0</v>
      </c>
      <c r="Q232" s="57">
        <v>0</v>
      </c>
      <c r="R232" s="62">
        <f>ТабПозиции[[#This Row],[totalSumm]]-ТабПозиции[[#This Row],[payment]]</f>
        <v>0</v>
      </c>
      <c r="S232" s="34" t="s">
        <v>575</v>
      </c>
      <c r="T232" s="56" t="s">
        <v>3061</v>
      </c>
      <c r="U232" s="56" t="s">
        <v>3061</v>
      </c>
      <c r="V232" s="56" t="s">
        <v>3061</v>
      </c>
      <c r="W232" s="7"/>
      <c r="X232"/>
    </row>
    <row r="233" spans="1:24" x14ac:dyDescent="0.25">
      <c r="A233" s="26">
        <v>69</v>
      </c>
      <c r="B233" s="1">
        <f>IFERROR(VLOOKUP(ТабПозиции[[#This Row],[orderNum]],ТабЗаказы[#Data],MATCH(B$7,ТабЗаказы[#Headers],0),0),"")</f>
        <v>45402</v>
      </c>
      <c r="C233" t="str">
        <f>MONTH(ТабПозиции[[#This Row],[date]])&amp;"/"&amp;YEAR(ТабПозиции[[#This Row],[date]])</f>
        <v>4/2024</v>
      </c>
      <c r="D233" s="1" t="str">
        <f>IFERROR(VLOOKUP(ТабПозиции[[#This Row],[orderNum]],ТабЗаказы[#Data],MATCH(D$7,ТабЗаказы[#Headers],0),0),"")</f>
        <v>Лариса Кирова</v>
      </c>
      <c r="E233" s="32" t="s">
        <v>755</v>
      </c>
      <c r="F233" s="56" t="s">
        <v>3061</v>
      </c>
      <c r="H233" s="34">
        <v>45403</v>
      </c>
      <c r="I233" s="26">
        <v>1</v>
      </c>
      <c r="J233" s="26">
        <v>406</v>
      </c>
      <c r="K233">
        <v>406</v>
      </c>
      <c r="L233" s="26">
        <v>427</v>
      </c>
      <c r="M233">
        <f t="shared" si="3"/>
        <v>427</v>
      </c>
      <c r="O23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Row],[orderNum]],ТабПозиции[orderSumm])&gt;1500),ABS(M233*VLOOKUP(ТабПозиции[[#This Row],[orderNum]],ТабЗаказы[#Data],MATCH("Percent",ТабЗаказы[#Headers],0),0))/100,200/COUNTIF(ТабПозиции[orderNum],ТабПозиции[[#This Row],[orderNum]])),0),"")</f>
        <v>64</v>
      </c>
      <c r="P233">
        <f>IF(OR(ТабПозиции[[#This Row],[item]]="По штрихкоду",ТабПозиции[[#This Row],[item]]="Посылка"),ТабПозиции[[#This Row],[deliverySumm]]+ТабПозиции[[#This Row],[deliveryPost]],SUM(M233:O233))</f>
        <v>491</v>
      </c>
      <c r="Q233" s="57">
        <v>491</v>
      </c>
      <c r="R233" s="62">
        <f>ТабПозиции[[#This Row],[totalSumm]]-ТабПозиции[[#This Row],[payment]]</f>
        <v>0</v>
      </c>
      <c r="S233" s="34" t="s">
        <v>575</v>
      </c>
      <c r="T233" s="56" t="s">
        <v>3061</v>
      </c>
      <c r="U233" s="56" t="s">
        <v>3061</v>
      </c>
      <c r="V233" s="56" t="s">
        <v>3061</v>
      </c>
      <c r="W233" s="7"/>
      <c r="X233"/>
    </row>
    <row r="234" spans="1:24" x14ac:dyDescent="0.25">
      <c r="A234" s="26">
        <v>69</v>
      </c>
      <c r="B234" s="1">
        <f>IFERROR(VLOOKUP(ТабПозиции[[#This Row],[orderNum]],ТабЗаказы[#Data],MATCH(B$7,ТабЗаказы[#Headers],0),0),"")</f>
        <v>45402</v>
      </c>
      <c r="C234" t="str">
        <f>MONTH(ТабПозиции[[#This Row],[date]])&amp;"/"&amp;YEAR(ТабПозиции[[#This Row],[date]])</f>
        <v>4/2024</v>
      </c>
      <c r="D234" s="1" t="str">
        <f>IFERROR(VLOOKUP(ТабПозиции[[#This Row],[orderNum]],ТабЗаказы[#Data],MATCH(D$7,ТабЗаказы[#Headers],0),0),"")</f>
        <v>Лариса Кирова</v>
      </c>
      <c r="E234" s="32" t="s">
        <v>756</v>
      </c>
      <c r="F234" s="56" t="s">
        <v>3061</v>
      </c>
      <c r="H234" s="34">
        <v>45403</v>
      </c>
      <c r="I234" s="26">
        <v>1</v>
      </c>
      <c r="J234" s="26">
        <v>1201</v>
      </c>
      <c r="K234">
        <v>1201</v>
      </c>
      <c r="L234" s="26">
        <v>1238</v>
      </c>
      <c r="M234">
        <f t="shared" si="3"/>
        <v>1238</v>
      </c>
      <c r="O23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Row],[orderNum]],ТабПозиции[orderSumm])&gt;1500),ABS(M234*VLOOKUP(ТабПозиции[[#This Row],[orderNum]],ТабЗаказы[#Data],MATCH("Percent",ТабЗаказы[#Headers],0),0))/100,200/COUNTIF(ТабПозиции[orderNum],ТабПозиции[[#This Row],[orderNum]])),0),"")</f>
        <v>186</v>
      </c>
      <c r="P234">
        <f>IF(OR(ТабПозиции[[#This Row],[item]]="По штрихкоду",ТабПозиции[[#This Row],[item]]="Посылка"),ТабПозиции[[#This Row],[deliverySumm]]+ТабПозиции[[#This Row],[deliveryPost]],SUM(M234:O234))</f>
        <v>1424</v>
      </c>
      <c r="Q234" s="57">
        <v>1424</v>
      </c>
      <c r="R234" s="62">
        <f>ТабПозиции[[#This Row],[totalSumm]]-ТабПозиции[[#This Row],[payment]]</f>
        <v>0</v>
      </c>
      <c r="S234" s="34" t="s">
        <v>575</v>
      </c>
      <c r="T234" s="56" t="s">
        <v>3061</v>
      </c>
      <c r="U234" s="56" t="s">
        <v>3061</v>
      </c>
      <c r="V234" s="56" t="s">
        <v>3061</v>
      </c>
      <c r="W234" s="7"/>
      <c r="X234"/>
    </row>
    <row r="235" spans="1:24" x14ac:dyDescent="0.25">
      <c r="A235" s="26">
        <v>69</v>
      </c>
      <c r="B235" s="1">
        <f>IFERROR(VLOOKUP(ТабПозиции[[#This Row],[orderNum]],ТабЗаказы[#Data],MATCH(B$7,ТабЗаказы[#Headers],0),0),"")</f>
        <v>45402</v>
      </c>
      <c r="C235" t="str">
        <f>MONTH(ТабПозиции[[#This Row],[date]])&amp;"/"&amp;YEAR(ТабПозиции[[#This Row],[date]])</f>
        <v>4/2024</v>
      </c>
      <c r="D235" s="1" t="str">
        <f>IFERROR(VLOOKUP(ТабПозиции[[#This Row],[orderNum]],ТабЗаказы[#Data],MATCH(D$7,ТабЗаказы[#Headers],0),0),"")</f>
        <v>Лариса Кирова</v>
      </c>
      <c r="E235" s="32" t="s">
        <v>757</v>
      </c>
      <c r="F235" s="56" t="s">
        <v>3061</v>
      </c>
      <c r="H235" s="34">
        <v>45405</v>
      </c>
      <c r="I235" s="26">
        <v>5</v>
      </c>
      <c r="J235" s="26">
        <v>155</v>
      </c>
      <c r="K235">
        <v>775</v>
      </c>
      <c r="L235" s="26">
        <v>158</v>
      </c>
      <c r="M235">
        <f t="shared" si="3"/>
        <v>790</v>
      </c>
      <c r="O23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Row],[orderNum]],ТабПозиции[orderSumm])&gt;1500),ABS(M235*VLOOKUP(ТабПозиции[[#This Row],[orderNum]],ТабЗаказы[#Data],MATCH("Percent",ТабЗаказы[#Headers],0),0))/100,200/COUNTIF(ТабПозиции[orderNum],ТабПозиции[[#This Row],[orderNum]])),0),"")</f>
        <v>119</v>
      </c>
      <c r="P235">
        <f>IF(OR(ТабПозиции[[#This Row],[item]]="По штрихкоду",ТабПозиции[[#This Row],[item]]="Посылка"),ТабПозиции[[#This Row],[deliverySumm]]+ТабПозиции[[#This Row],[deliveryPost]],SUM(M235:O235))</f>
        <v>909</v>
      </c>
      <c r="Q235" s="57">
        <v>909</v>
      </c>
      <c r="R235" s="62">
        <f>ТабПозиции[[#This Row],[totalSumm]]-ТабПозиции[[#This Row],[payment]]</f>
        <v>0</v>
      </c>
      <c r="S235" s="34" t="s">
        <v>575</v>
      </c>
      <c r="T235" s="56" t="s">
        <v>3061</v>
      </c>
      <c r="U235" s="56" t="s">
        <v>3061</v>
      </c>
      <c r="V235" s="56" t="s">
        <v>3061</v>
      </c>
      <c r="W235" s="7"/>
      <c r="X235"/>
    </row>
    <row r="236" spans="1:24" x14ac:dyDescent="0.25">
      <c r="A236" s="26">
        <v>71</v>
      </c>
      <c r="B236" s="1">
        <f>IFERROR(VLOOKUP(ТабПозиции[[#This Row],[orderNum]],ТабЗаказы[#Data],MATCH(B$7,ТабЗаказы[#Headers],0),0),"")</f>
        <v>45405</v>
      </c>
      <c r="C236" t="str">
        <f>MONTH(ТабПозиции[[#This Row],[date]])&amp;"/"&amp;YEAR(ТабПозиции[[#This Row],[date]])</f>
        <v>4/2024</v>
      </c>
      <c r="D236" s="1" t="str">
        <f>IFERROR(VLOOKUP(ТабПозиции[[#This Row],[orderNum]],ТабЗаказы[#Data],MATCH(D$7,ТабЗаказы[#Headers],0),0),"")</f>
        <v>Максим рюкзак</v>
      </c>
      <c r="E236" s="32" t="s">
        <v>758</v>
      </c>
      <c r="F236" s="56" t="s">
        <v>3061</v>
      </c>
      <c r="H236" s="34">
        <v>45406</v>
      </c>
      <c r="I236" s="26">
        <v>1</v>
      </c>
      <c r="J236" s="26">
        <v>468</v>
      </c>
      <c r="K236">
        <v>468</v>
      </c>
      <c r="L236" s="26">
        <v>483</v>
      </c>
      <c r="M236">
        <f t="shared" si="3"/>
        <v>483</v>
      </c>
      <c r="O23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Row],[orderNum]],ТабПозиции[orderSumm])&gt;1500),ABS(M236*VLOOKUP(ТабПозиции[[#This Row],[orderNum]],ТабЗаказы[#Data],MATCH("Percent",ТабЗаказы[#Headers],0),0))/100,200/COUNTIF(ТабПозиции[orderNum],ТабПозиции[[#This Row],[orderNum]])),0),"")</f>
        <v>67</v>
      </c>
      <c r="P236">
        <f>IF(OR(ТабПозиции[[#This Row],[item]]="По штрихкоду",ТабПозиции[[#This Row],[item]]="Посылка"),ТабПозиции[[#This Row],[deliverySumm]]+ТабПозиции[[#This Row],[deliveryPost]],SUM(M236:O236))</f>
        <v>550</v>
      </c>
      <c r="Q236" s="57">
        <v>550</v>
      </c>
      <c r="R236" s="62">
        <f>ТабПозиции[[#This Row],[totalSumm]]-ТабПозиции[[#This Row],[payment]]</f>
        <v>0</v>
      </c>
      <c r="S236" s="34" t="s">
        <v>575</v>
      </c>
      <c r="T236" s="56" t="s">
        <v>3061</v>
      </c>
      <c r="U236" s="56" t="s">
        <v>3061</v>
      </c>
      <c r="V236" s="56" t="s">
        <v>3061</v>
      </c>
      <c r="W236" s="7"/>
      <c r="X236"/>
    </row>
    <row r="237" spans="1:24" x14ac:dyDescent="0.25">
      <c r="A237" s="26">
        <v>71</v>
      </c>
      <c r="B237" s="1">
        <f>IFERROR(VLOOKUP(ТабПозиции[[#This Row],[orderNum]],ТабЗаказы[#Data],MATCH(B$7,ТабЗаказы[#Headers],0),0),"")</f>
        <v>45405</v>
      </c>
      <c r="C237" t="str">
        <f>MONTH(ТабПозиции[[#This Row],[date]])&amp;"/"&amp;YEAR(ТабПозиции[[#This Row],[date]])</f>
        <v>4/2024</v>
      </c>
      <c r="D237" s="1" t="str">
        <f>IFERROR(VLOOKUP(ТабПозиции[[#This Row],[orderNum]],ТабЗаказы[#Data],MATCH(D$7,ТабЗаказы[#Headers],0),0),"")</f>
        <v>Максим рюкзак</v>
      </c>
      <c r="E237" s="32" t="s">
        <v>759</v>
      </c>
      <c r="F237" s="56" t="s">
        <v>3061</v>
      </c>
      <c r="H237" s="34">
        <v>45406</v>
      </c>
      <c r="I237" s="26">
        <v>1</v>
      </c>
      <c r="J237" s="26">
        <v>290</v>
      </c>
      <c r="K237">
        <v>290</v>
      </c>
      <c r="L237" s="26">
        <v>299</v>
      </c>
      <c r="M237">
        <f t="shared" si="3"/>
        <v>299</v>
      </c>
      <c r="O23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Row],[orderNum]],ТабПозиции[orderSumm])&gt;1500),ABS(M237*VLOOKUP(ТабПозиции[[#This Row],[orderNum]],ТабЗаказы[#Data],MATCH("Percent",ТабЗаказы[#Headers],0),0))/100,200/COUNTIF(ТабПозиции[orderNum],ТабПозиции[[#This Row],[orderNum]])),0),"")</f>
        <v>67</v>
      </c>
      <c r="P237">
        <f>IF(OR(ТабПозиции[[#This Row],[item]]="По штрихкоду",ТабПозиции[[#This Row],[item]]="Посылка"),ТабПозиции[[#This Row],[deliverySumm]]+ТабПозиции[[#This Row],[deliveryPost]],SUM(M237:O237))</f>
        <v>366</v>
      </c>
      <c r="Q237" s="57">
        <v>366</v>
      </c>
      <c r="R237" s="62">
        <f>ТабПозиции[[#This Row],[totalSumm]]-ТабПозиции[[#This Row],[payment]]</f>
        <v>0</v>
      </c>
      <c r="S237" s="34" t="s">
        <v>575</v>
      </c>
      <c r="T237" s="56" t="s">
        <v>3061</v>
      </c>
      <c r="U237" s="56" t="s">
        <v>3061</v>
      </c>
      <c r="V237" s="56" t="s">
        <v>3061</v>
      </c>
      <c r="W237" s="7"/>
      <c r="X237"/>
    </row>
    <row r="238" spans="1:24" x14ac:dyDescent="0.25">
      <c r="A238" s="26">
        <v>71</v>
      </c>
      <c r="B238" s="1">
        <f>IFERROR(VLOOKUP(ТабПозиции[[#This Row],[orderNum]],ТабЗаказы[#Data],MATCH(B$7,ТабЗаказы[#Headers],0),0),"")</f>
        <v>45405</v>
      </c>
      <c r="C238" t="str">
        <f>MONTH(ТабПозиции[[#This Row],[date]])&amp;"/"&amp;YEAR(ТабПозиции[[#This Row],[date]])</f>
        <v>4/2024</v>
      </c>
      <c r="D238" s="1" t="str">
        <f>IFERROR(VLOOKUP(ТабПозиции[[#This Row],[orderNum]],ТабЗаказы[#Data],MATCH(D$7,ТабЗаказы[#Headers],0),0),"")</f>
        <v>Максим рюкзак</v>
      </c>
      <c r="E238" s="32" t="s">
        <v>760</v>
      </c>
      <c r="F238" s="56" t="s">
        <v>3061</v>
      </c>
      <c r="H238" s="34">
        <v>45413</v>
      </c>
      <c r="I238" s="26">
        <v>1</v>
      </c>
      <c r="J238" s="26">
        <v>508</v>
      </c>
      <c r="K238">
        <v>508</v>
      </c>
      <c r="L238" s="26">
        <v>545</v>
      </c>
      <c r="M238">
        <f t="shared" si="3"/>
        <v>545</v>
      </c>
      <c r="O238" s="2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Row],[orderNum]],ТабПозиции[orderSumm])&gt;1500),ABS(M238*VLOOKUP(ТабПозиции[[#This Row],[orderNum]],ТабЗаказы[#Data],MATCH("Percent",ТабЗаказы[#Headers],0),0))/100,200/COUNTIF(ТабПозиции[orderNum],ТабПозиции[[#This Row],[orderNum]])),0),"")</f>
        <v>67</v>
      </c>
      <c r="P238">
        <f>IF(OR(ТабПозиции[[#This Row],[item]]="По штрихкоду",ТабПозиции[[#This Row],[item]]="Посылка"),ТабПозиции[[#This Row],[deliverySumm]]+ТабПозиции[[#This Row],[deliveryPost]],SUM(M238:O238))</f>
        <v>612</v>
      </c>
      <c r="Q238" s="57">
        <v>612</v>
      </c>
      <c r="R238" s="62">
        <f>ТабПозиции[[#This Row],[totalSumm]]-ТабПозиции[[#This Row],[payment]]</f>
        <v>0</v>
      </c>
      <c r="S238" s="34" t="s">
        <v>575</v>
      </c>
      <c r="T238" s="56" t="s">
        <v>3061</v>
      </c>
      <c r="U238" s="56" t="s">
        <v>3061</v>
      </c>
      <c r="V238" s="56" t="s">
        <v>3061</v>
      </c>
      <c r="W238" s="7"/>
      <c r="X238"/>
    </row>
    <row r="239" spans="1:24" x14ac:dyDescent="0.25">
      <c r="A239" s="26">
        <v>72</v>
      </c>
      <c r="B239" s="1">
        <f>IFERROR(VLOOKUP(ТабПозиции[[#This Row],[orderNum]],ТабЗаказы[#Data],MATCH(B$7,ТабЗаказы[#Headers],0),0),"")</f>
        <v>45407</v>
      </c>
      <c r="C239" t="str">
        <f>MONTH(ТабПозиции[[#This Row],[date]])&amp;"/"&amp;YEAR(ТабПозиции[[#This Row],[date]])</f>
        <v>4/2024</v>
      </c>
      <c r="D239" s="1" t="str">
        <f>IFERROR(VLOOKUP(ТабПозиции[[#This Row],[orderNum]],ТабЗаказы[#Data],MATCH(D$7,ТабЗаказы[#Headers],0),0),"")</f>
        <v>Наталья 12</v>
      </c>
      <c r="E239" s="32" t="s">
        <v>761</v>
      </c>
      <c r="F239" s="56" t="s">
        <v>3061</v>
      </c>
      <c r="H239" s="34">
        <v>45408</v>
      </c>
      <c r="I239" s="26">
        <v>1</v>
      </c>
      <c r="J239" s="26">
        <v>1457</v>
      </c>
      <c r="K239">
        <v>1457</v>
      </c>
      <c r="L239" s="26">
        <v>1553</v>
      </c>
      <c r="M239">
        <f t="shared" si="3"/>
        <v>1553</v>
      </c>
      <c r="O23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Row],[orderNum]],ТабПозиции[orderSumm])&gt;1500),ABS(M239*VLOOKUP(ТабПозиции[[#This Row],[orderNum]],ТабЗаказы[#Data],MATCH("Percent",ТабЗаказы[#Headers],0),0))/100,200/COUNTIF(ТабПозиции[orderNum],ТабПозиции[[#This Row],[orderNum]])),0),"")</f>
        <v>233</v>
      </c>
      <c r="P239">
        <f>IF(OR(ТабПозиции[[#This Row],[item]]="По штрихкоду",ТабПозиции[[#This Row],[item]]="Посылка"),ТабПозиции[[#This Row],[deliverySumm]]+ТабПозиции[[#This Row],[deliveryPost]],SUM(M239:O239))</f>
        <v>1786</v>
      </c>
      <c r="Q239" s="57">
        <v>1786</v>
      </c>
      <c r="R239" s="62">
        <f>ТабПозиции[[#This Row],[totalSumm]]-ТабПозиции[[#This Row],[payment]]</f>
        <v>0</v>
      </c>
      <c r="S239" s="34" t="s">
        <v>575</v>
      </c>
      <c r="T239" s="56" t="s">
        <v>3061</v>
      </c>
      <c r="U239" s="56" t="s">
        <v>3061</v>
      </c>
      <c r="V239" s="56" t="s">
        <v>3061</v>
      </c>
      <c r="W239" s="7"/>
      <c r="X239"/>
    </row>
    <row r="240" spans="1:24" x14ac:dyDescent="0.25">
      <c r="A240" s="26">
        <v>72</v>
      </c>
      <c r="B240" s="1">
        <f>IFERROR(VLOOKUP(ТабПозиции[[#This Row],[orderNum]],ТабЗаказы[#Data],MATCH(B$7,ТабЗаказы[#Headers],0),0),"")</f>
        <v>45407</v>
      </c>
      <c r="C240" t="str">
        <f>MONTH(ТабПозиции[[#This Row],[date]])&amp;"/"&amp;YEAR(ТабПозиции[[#This Row],[date]])</f>
        <v>4/2024</v>
      </c>
      <c r="D240" s="1" t="str">
        <f>IFERROR(VLOOKUP(ТабПозиции[[#This Row],[orderNum]],ТабЗаказы[#Data],MATCH(D$7,ТабЗаказы[#Headers],0),0),"")</f>
        <v>Наталья 12</v>
      </c>
      <c r="E240" s="32" t="s">
        <v>628</v>
      </c>
      <c r="F240" s="56" t="s">
        <v>3061</v>
      </c>
      <c r="H240" s="34">
        <v>45410</v>
      </c>
      <c r="I240" s="26">
        <v>1</v>
      </c>
      <c r="J240" s="26">
        <v>1349</v>
      </c>
      <c r="K240">
        <v>1349</v>
      </c>
      <c r="L240" s="26">
        <v>1399</v>
      </c>
      <c r="M240">
        <f t="shared" si="3"/>
        <v>1399</v>
      </c>
      <c r="O24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Row],[orderNum]],ТабПозиции[orderSumm])&gt;1500),ABS(M240*VLOOKUP(ТабПозиции[[#This Row],[orderNum]],ТабЗаказы[#Data],MATCH("Percent",ТабЗаказы[#Headers],0),0))/100,200/COUNTIF(ТабПозиции[orderNum],ТабПозиции[[#This Row],[orderNum]])),0),"")</f>
        <v>210</v>
      </c>
      <c r="P240">
        <f>IF(OR(ТабПозиции[[#This Row],[item]]="По штрихкоду",ТабПозиции[[#This Row],[item]]="Посылка"),ТабПозиции[[#This Row],[deliverySumm]]+ТабПозиции[[#This Row],[deliveryPost]],SUM(M240:O240))</f>
        <v>1609</v>
      </c>
      <c r="Q240" s="57">
        <v>1609</v>
      </c>
      <c r="R240" s="62">
        <f>ТабПозиции[[#This Row],[totalSumm]]-ТабПозиции[[#This Row],[payment]]</f>
        <v>0</v>
      </c>
      <c r="S240" s="34" t="s">
        <v>575</v>
      </c>
      <c r="T240" s="56" t="s">
        <v>3061</v>
      </c>
      <c r="U240" s="56" t="s">
        <v>3061</v>
      </c>
      <c r="V240" s="56" t="s">
        <v>3061</v>
      </c>
      <c r="W240" s="7"/>
      <c r="X240"/>
    </row>
    <row r="241" spans="1:24" x14ac:dyDescent="0.25">
      <c r="A241" s="26">
        <v>73</v>
      </c>
      <c r="B241" s="1">
        <f>IFERROR(VLOOKUP(ТабПозиции[[#This Row],[orderNum]],ТабЗаказы[#Data],MATCH(B$7,ТабЗаказы[#Headers],0),0),"")</f>
        <v>45408</v>
      </c>
      <c r="C241" t="str">
        <f>MONTH(ТабПозиции[[#This Row],[date]])&amp;"/"&amp;YEAR(ТабПозиции[[#This Row],[date]])</f>
        <v>4/2024</v>
      </c>
      <c r="D241" s="1" t="str">
        <f>IFERROR(VLOOKUP(ТабПозиции[[#This Row],[orderNum]],ТабЗаказы[#Data],MATCH(D$7,ТабЗаказы[#Headers],0),0),"")</f>
        <v>Геннадий Генерал</v>
      </c>
      <c r="E241" s="26" t="s">
        <v>32</v>
      </c>
      <c r="F241" s="56" t="s">
        <v>3061</v>
      </c>
      <c r="H241" s="34">
        <v>45408</v>
      </c>
      <c r="I241" s="26">
        <v>1</v>
      </c>
      <c r="J241" s="26">
        <v>0</v>
      </c>
      <c r="K241">
        <v>0</v>
      </c>
      <c r="L241" s="26">
        <v>10471</v>
      </c>
      <c r="M241">
        <f t="shared" si="3"/>
        <v>10471</v>
      </c>
      <c r="O24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Row],[orderNum]],ТабПозиции[orderSumm])&gt;1500),ABS(M241*VLOOKUP(ТабПозиции[[#This Row],[orderNum]],ТабЗаказы[#Data],MATCH("Percent",ТабЗаказы[#Headers],0),0))/100,200/COUNTIF(ТабПозиции[orderNum],ТабПозиции[[#This Row],[orderNum]])),0),"")</f>
        <v>1047</v>
      </c>
      <c r="P241">
        <f>IF(OR(ТабПозиции[[#This Row],[item]]="По штрихкоду",ТабПозиции[[#This Row],[item]]="Посылка"),ТабПозиции[[#This Row],[deliverySumm]]+ТабПозиции[[#This Row],[deliveryPost]],SUM(M241:O241))</f>
        <v>1047</v>
      </c>
      <c r="Q241" s="57">
        <v>1047</v>
      </c>
      <c r="R241" s="62">
        <f>ТабПозиции[[#This Row],[totalSumm]]-ТабПозиции[[#This Row],[payment]]</f>
        <v>0</v>
      </c>
      <c r="S241" s="34" t="s">
        <v>575</v>
      </c>
      <c r="T241" s="56" t="s">
        <v>3061</v>
      </c>
      <c r="U241" s="56" t="s">
        <v>3061</v>
      </c>
      <c r="V241" s="56" t="s">
        <v>3061</v>
      </c>
      <c r="W241" s="7"/>
      <c r="X241"/>
    </row>
    <row r="242" spans="1:24" x14ac:dyDescent="0.25">
      <c r="A242" s="26">
        <v>74</v>
      </c>
      <c r="B242" s="1">
        <f>IFERROR(VLOOKUP(ТабПозиции[[#This Row],[orderNum]],ТабЗаказы[#Data],MATCH(B$7,ТабЗаказы[#Headers],0),0),"")</f>
        <v>45408</v>
      </c>
      <c r="C242" t="str">
        <f>MONTH(ТабПозиции[[#This Row],[date]])&amp;"/"&amp;YEAR(ТабПозиции[[#This Row],[date]])</f>
        <v>4/2024</v>
      </c>
      <c r="D242" s="1" t="str">
        <f>IFERROR(VLOOKUP(ТабПозиции[[#This Row],[orderNum]],ТабЗаказы[#Data],MATCH(D$7,ТабЗаказы[#Headers],0),0),"")</f>
        <v>Константин Пионерское</v>
      </c>
      <c r="E242" s="26" t="s">
        <v>32</v>
      </c>
      <c r="F242" s="56" t="s">
        <v>3061</v>
      </c>
      <c r="H242" s="34">
        <v>45408</v>
      </c>
      <c r="I242" s="26">
        <v>1</v>
      </c>
      <c r="J242" s="26">
        <v>0</v>
      </c>
      <c r="K242">
        <v>0</v>
      </c>
      <c r="L242" s="26">
        <v>4329</v>
      </c>
      <c r="M242">
        <f t="shared" si="3"/>
        <v>4329</v>
      </c>
      <c r="O24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Row],[orderNum]],ТабПозиции[orderSumm])&gt;1500),ABS(M242*VLOOKUP(ТабПозиции[[#This Row],[orderNum]],ТабЗаказы[#Data],MATCH("Percent",ТабЗаказы[#Headers],0),0))/100,200/COUNTIF(ТабПозиции[orderNum],ТабПозиции[[#This Row],[orderNum]])),0),"")</f>
        <v>649</v>
      </c>
      <c r="P242">
        <f>IF(OR(ТабПозиции[[#This Row],[item]]="По штрихкоду",ТабПозиции[[#This Row],[item]]="Посылка"),ТабПозиции[[#This Row],[deliverySumm]]+ТабПозиции[[#This Row],[deliveryPost]],SUM(M242:O242))</f>
        <v>649</v>
      </c>
      <c r="Q242" s="57">
        <v>649</v>
      </c>
      <c r="R242" s="62">
        <f>ТабПозиции[[#This Row],[totalSumm]]-ТабПозиции[[#This Row],[payment]]</f>
        <v>0</v>
      </c>
      <c r="S242" s="34" t="s">
        <v>575</v>
      </c>
      <c r="T242" s="56" t="s">
        <v>3061</v>
      </c>
      <c r="U242" s="56" t="s">
        <v>3061</v>
      </c>
      <c r="V242" s="56" t="s">
        <v>3061</v>
      </c>
      <c r="W242" s="7"/>
      <c r="X242"/>
    </row>
    <row r="243" spans="1:24" x14ac:dyDescent="0.25">
      <c r="A243" s="26">
        <v>75</v>
      </c>
      <c r="B243" s="1">
        <f>IFERROR(VLOOKUP(ТабПозиции[[#This Row],[orderNum]],ТабЗаказы[#Data],MATCH(B$7,ТабЗаказы[#Headers],0),0),"")</f>
        <v>45405</v>
      </c>
      <c r="C243" t="str">
        <f>MONTH(ТабПозиции[[#This Row],[date]])&amp;"/"&amp;YEAR(ТабПозиции[[#This Row],[date]])</f>
        <v>4/2024</v>
      </c>
      <c r="D243" s="1" t="str">
        <f>IFERROR(VLOOKUP(ТабПозиции[[#This Row],[orderNum]],ТабЗаказы[#Data],MATCH(D$7,ТабЗаказы[#Headers],0),0),"")</f>
        <v>Галина Шевченко 248</v>
      </c>
      <c r="E243" s="26" t="s">
        <v>762</v>
      </c>
      <c r="F243" s="56" t="s">
        <v>3061</v>
      </c>
      <c r="H243" s="34">
        <v>45405</v>
      </c>
      <c r="I243" s="26">
        <v>1</v>
      </c>
      <c r="J243" s="26">
        <v>554</v>
      </c>
      <c r="K243">
        <v>554</v>
      </c>
      <c r="L243" s="26">
        <v>554</v>
      </c>
      <c r="M243">
        <f t="shared" si="3"/>
        <v>554</v>
      </c>
      <c r="O24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Row],[orderNum]],ТабПозиции[orderSumm])&gt;1500),ABS(M243*VLOOKUP(ТабПозиции[[#This Row],[orderNum]],ТабЗаказы[#Data],MATCH("Percent",ТабЗаказы[#Headers],0),0))/100,200/COUNTIF(ТабПозиции[orderNum],ТабПозиции[[#This Row],[orderNum]])),0),"")</f>
        <v>83</v>
      </c>
      <c r="P243">
        <f>IF(OR(ТабПозиции[[#This Row],[item]]="По штрихкоду",ТабПозиции[[#This Row],[item]]="Посылка"),ТабПозиции[[#This Row],[deliverySumm]]+ТабПозиции[[#This Row],[deliveryPost]],SUM(M243:O243))</f>
        <v>637</v>
      </c>
      <c r="Q243" s="57">
        <v>637</v>
      </c>
      <c r="R243" s="62">
        <f>ТабПозиции[[#This Row],[totalSumm]]-ТабПозиции[[#This Row],[payment]]</f>
        <v>0</v>
      </c>
      <c r="S243" s="34" t="s">
        <v>558</v>
      </c>
      <c r="T243" s="56" t="s">
        <v>3061</v>
      </c>
      <c r="U243" s="56" t="s">
        <v>3061</v>
      </c>
      <c r="V243" s="56" t="s">
        <v>3061</v>
      </c>
      <c r="W243" s="7"/>
      <c r="X243"/>
    </row>
    <row r="244" spans="1:24" x14ac:dyDescent="0.25">
      <c r="A244" s="26">
        <v>75</v>
      </c>
      <c r="B244" s="1">
        <f>IFERROR(VLOOKUP(ТабПозиции[[#This Row],[orderNum]],ТабЗаказы[#Data],MATCH(B$7,ТабЗаказы[#Headers],0),0),"")</f>
        <v>45405</v>
      </c>
      <c r="C244" t="str">
        <f>MONTH(ТабПозиции[[#This Row],[date]])&amp;"/"&amp;YEAR(ТабПозиции[[#This Row],[date]])</f>
        <v>4/2024</v>
      </c>
      <c r="D244" s="1" t="str">
        <f>IFERROR(VLOOKUP(ТабПозиции[[#This Row],[orderNum]],ТабЗаказы[#Data],MATCH(D$7,ТабЗаказы[#Headers],0),0),"")</f>
        <v>Галина Шевченко 248</v>
      </c>
      <c r="E244" s="26" t="s">
        <v>763</v>
      </c>
      <c r="F244" s="56" t="s">
        <v>3061</v>
      </c>
      <c r="H244" s="34">
        <v>45405</v>
      </c>
      <c r="I244" s="26">
        <v>1</v>
      </c>
      <c r="J244" s="26">
        <v>402</v>
      </c>
      <c r="K244">
        <v>402</v>
      </c>
      <c r="L244" s="26">
        <v>402</v>
      </c>
      <c r="M244">
        <f t="shared" si="3"/>
        <v>402</v>
      </c>
      <c r="O24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Row],[orderNum]],ТабПозиции[orderSumm])&gt;1500),ABS(M244*VLOOKUP(ТабПозиции[[#This Row],[orderNum]],ТабЗаказы[#Data],MATCH("Percent",ТабЗаказы[#Headers],0),0))/100,200/COUNTIF(ТабПозиции[orderNum],ТабПозиции[[#This Row],[orderNum]])),0),"")</f>
        <v>60</v>
      </c>
      <c r="P244">
        <f>IF(OR(ТабПозиции[[#This Row],[item]]="По штрихкоду",ТабПозиции[[#This Row],[item]]="Посылка"),ТабПозиции[[#This Row],[deliverySumm]]+ТабПозиции[[#This Row],[deliveryPost]],SUM(M244:O244))</f>
        <v>462</v>
      </c>
      <c r="Q244" s="57">
        <v>462</v>
      </c>
      <c r="R244" s="62">
        <f>ТабПозиции[[#This Row],[totalSumm]]-ТабПозиции[[#This Row],[payment]]</f>
        <v>0</v>
      </c>
      <c r="S244" s="34" t="s">
        <v>558</v>
      </c>
      <c r="T244" s="56" t="s">
        <v>3061</v>
      </c>
      <c r="U244" s="56" t="s">
        <v>3061</v>
      </c>
      <c r="V244" s="56" t="s">
        <v>3061</v>
      </c>
      <c r="W244" s="7"/>
      <c r="X244"/>
    </row>
    <row r="245" spans="1:24" x14ac:dyDescent="0.25">
      <c r="A245" s="26">
        <v>75</v>
      </c>
      <c r="B245" s="1">
        <f>IFERROR(VLOOKUP(ТабПозиции[[#This Row],[orderNum]],ТабЗаказы[#Data],MATCH(B$7,ТабЗаказы[#Headers],0),0),"")</f>
        <v>45405</v>
      </c>
      <c r="C245" t="str">
        <f>MONTH(ТабПозиции[[#This Row],[date]])&amp;"/"&amp;YEAR(ТабПозиции[[#This Row],[date]])</f>
        <v>4/2024</v>
      </c>
      <c r="D245" s="1" t="str">
        <f>IFERROR(VLOOKUP(ТабПозиции[[#This Row],[orderNum]],ТабЗаказы[#Data],MATCH(D$7,ТабЗаказы[#Headers],0),0),"")</f>
        <v>Галина Шевченко 248</v>
      </c>
      <c r="E245" s="26" t="s">
        <v>764</v>
      </c>
      <c r="F245" s="56" t="s">
        <v>3061</v>
      </c>
      <c r="H245" s="34">
        <v>45405</v>
      </c>
      <c r="I245" s="26">
        <v>1</v>
      </c>
      <c r="J245" s="26">
        <v>549</v>
      </c>
      <c r="K245">
        <v>549</v>
      </c>
      <c r="L245" s="26">
        <v>549</v>
      </c>
      <c r="M245">
        <f t="shared" si="3"/>
        <v>549</v>
      </c>
      <c r="O24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Row],[orderNum]],ТабПозиции[orderSumm])&gt;1500),ABS(M245*VLOOKUP(ТабПозиции[[#This Row],[orderNum]],ТабЗаказы[#Data],MATCH("Percent",ТабЗаказы[#Headers],0),0))/100,200/COUNTIF(ТабПозиции[orderNum],ТабПозиции[[#This Row],[orderNum]])),0),"")</f>
        <v>82</v>
      </c>
      <c r="P245">
        <f>IF(OR(ТабПозиции[[#This Row],[item]]="По штрихкоду",ТабПозиции[[#This Row],[item]]="Посылка"),ТабПозиции[[#This Row],[deliverySumm]]+ТабПозиции[[#This Row],[deliveryPost]],SUM(M245:O245))</f>
        <v>631</v>
      </c>
      <c r="Q245" s="57">
        <v>631</v>
      </c>
      <c r="R245" s="62">
        <f>ТабПозиции[[#This Row],[totalSumm]]-ТабПозиции[[#This Row],[payment]]</f>
        <v>0</v>
      </c>
      <c r="S245" s="34" t="s">
        <v>558</v>
      </c>
      <c r="T245" s="56" t="s">
        <v>3061</v>
      </c>
      <c r="U245" s="56" t="s">
        <v>3061</v>
      </c>
      <c r="V245" s="56" t="s">
        <v>3061</v>
      </c>
      <c r="W245" s="7"/>
      <c r="X245"/>
    </row>
    <row r="246" spans="1:24" x14ac:dyDescent="0.25">
      <c r="A246" s="26">
        <v>75</v>
      </c>
      <c r="B246" s="1">
        <f>IFERROR(VLOOKUP(ТабПозиции[[#This Row],[orderNum]],ТабЗаказы[#Data],MATCH(B$7,ТабЗаказы[#Headers],0),0),"")</f>
        <v>45405</v>
      </c>
      <c r="C246" t="str">
        <f>MONTH(ТабПозиции[[#This Row],[date]])&amp;"/"&amp;YEAR(ТабПозиции[[#This Row],[date]])</f>
        <v>4/2024</v>
      </c>
      <c r="D246" s="1" t="str">
        <f>IFERROR(VLOOKUP(ТабПозиции[[#This Row],[orderNum]],ТабЗаказы[#Data],MATCH(D$7,ТабЗаказы[#Headers],0),0),"")</f>
        <v>Галина Шевченко 248</v>
      </c>
      <c r="E246" s="26" t="s">
        <v>765</v>
      </c>
      <c r="F246" s="56" t="s">
        <v>3061</v>
      </c>
      <c r="H246" s="34">
        <v>45405</v>
      </c>
      <c r="I246" s="26">
        <v>1</v>
      </c>
      <c r="J246" s="26">
        <v>139</v>
      </c>
      <c r="K246">
        <v>139</v>
      </c>
      <c r="L246" s="26">
        <v>139</v>
      </c>
      <c r="M246">
        <f t="shared" si="3"/>
        <v>139</v>
      </c>
      <c r="O24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Row],[orderNum]],ТабПозиции[orderSumm])&gt;1500),ABS(M246*VLOOKUP(ТабПозиции[[#This Row],[orderNum]],ТабЗаказы[#Data],MATCH("Percent",ТабЗаказы[#Headers],0),0))/100,200/COUNTIF(ТабПозиции[orderNum],ТабПозиции[[#This Row],[orderNum]])),0),"")</f>
        <v>21</v>
      </c>
      <c r="P246">
        <f>IF(OR(ТабПозиции[[#This Row],[item]]="По штрихкоду",ТабПозиции[[#This Row],[item]]="Посылка"),ТабПозиции[[#This Row],[deliverySumm]]+ТабПозиции[[#This Row],[deliveryPost]],SUM(M246:O246))</f>
        <v>160</v>
      </c>
      <c r="Q246" s="57">
        <v>160</v>
      </c>
      <c r="R246" s="62">
        <f>ТабПозиции[[#This Row],[totalSumm]]-ТабПозиции[[#This Row],[payment]]</f>
        <v>0</v>
      </c>
      <c r="S246" s="34" t="s">
        <v>558</v>
      </c>
      <c r="T246" s="56" t="s">
        <v>3061</v>
      </c>
      <c r="U246" s="56" t="s">
        <v>3061</v>
      </c>
      <c r="V246" s="56" t="s">
        <v>3061</v>
      </c>
      <c r="W246" s="7"/>
      <c r="X246"/>
    </row>
    <row r="247" spans="1:24" x14ac:dyDescent="0.25">
      <c r="A247" s="26">
        <v>75</v>
      </c>
      <c r="B247" s="1">
        <f>IFERROR(VLOOKUP(ТабПозиции[[#This Row],[orderNum]],ТабЗаказы[#Data],MATCH(B$7,ТабЗаказы[#Headers],0),0),"")</f>
        <v>45405</v>
      </c>
      <c r="C247" t="str">
        <f>MONTH(ТабПозиции[[#This Row],[date]])&amp;"/"&amp;YEAR(ТабПозиции[[#This Row],[date]])</f>
        <v>4/2024</v>
      </c>
      <c r="D247" s="1" t="str">
        <f>IFERROR(VLOOKUP(ТабПозиции[[#This Row],[orderNum]],ТабЗаказы[#Data],MATCH(D$7,ТабЗаказы[#Headers],0),0),"")</f>
        <v>Галина Шевченко 248</v>
      </c>
      <c r="E247" s="26" t="s">
        <v>766</v>
      </c>
      <c r="F247" s="56" t="s">
        <v>3061</v>
      </c>
      <c r="H247" s="34">
        <v>45405</v>
      </c>
      <c r="I247" s="26">
        <v>1</v>
      </c>
      <c r="J247" s="26">
        <v>163</v>
      </c>
      <c r="K247">
        <v>163</v>
      </c>
      <c r="L247" s="26">
        <v>163</v>
      </c>
      <c r="M247">
        <f t="shared" si="3"/>
        <v>163</v>
      </c>
      <c r="O24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Row],[orderNum]],ТабПозиции[orderSumm])&gt;1500),ABS(M247*VLOOKUP(ТабПозиции[[#This Row],[orderNum]],ТабЗаказы[#Data],MATCH("Percent",ТабЗаказы[#Headers],0),0))/100,200/COUNTIF(ТабПозиции[orderNum],ТабПозиции[[#This Row],[orderNum]])),0),"")</f>
        <v>24</v>
      </c>
      <c r="P247">
        <f>IF(OR(ТабПозиции[[#This Row],[item]]="По штрихкоду",ТабПозиции[[#This Row],[item]]="Посылка"),ТабПозиции[[#This Row],[deliverySumm]]+ТабПозиции[[#This Row],[deliveryPost]],SUM(M247:O247))</f>
        <v>187</v>
      </c>
      <c r="Q247" s="57">
        <v>187</v>
      </c>
      <c r="R247" s="62">
        <f>ТабПозиции[[#This Row],[totalSumm]]-ТабПозиции[[#This Row],[payment]]</f>
        <v>0</v>
      </c>
      <c r="S247" s="34" t="s">
        <v>558</v>
      </c>
      <c r="T247" s="56" t="s">
        <v>3061</v>
      </c>
      <c r="U247" s="56" t="s">
        <v>3061</v>
      </c>
      <c r="V247" s="56" t="s">
        <v>3061</v>
      </c>
      <c r="W247" s="7"/>
      <c r="X247"/>
    </row>
    <row r="248" spans="1:24" x14ac:dyDescent="0.25">
      <c r="A248" s="26">
        <v>75</v>
      </c>
      <c r="B248" s="1">
        <f>IFERROR(VLOOKUP(ТабПозиции[[#This Row],[orderNum]],ТабЗаказы[#Data],MATCH(B$7,ТабЗаказы[#Headers],0),0),"")</f>
        <v>45405</v>
      </c>
      <c r="C248" t="str">
        <f>MONTH(ТабПозиции[[#This Row],[date]])&amp;"/"&amp;YEAR(ТабПозиции[[#This Row],[date]])</f>
        <v>4/2024</v>
      </c>
      <c r="D248" s="1" t="str">
        <f>IFERROR(VLOOKUP(ТабПозиции[[#This Row],[orderNum]],ТабЗаказы[#Data],MATCH(D$7,ТабЗаказы[#Headers],0),0),"")</f>
        <v>Галина Шевченко 248</v>
      </c>
      <c r="E248" s="26" t="s">
        <v>732</v>
      </c>
      <c r="F248" s="56" t="s">
        <v>3061</v>
      </c>
      <c r="H248" s="34">
        <v>45405</v>
      </c>
      <c r="I248" s="26">
        <v>1</v>
      </c>
      <c r="J248" s="26">
        <v>1330</v>
      </c>
      <c r="K248">
        <v>1330</v>
      </c>
      <c r="L248" s="26">
        <v>1330</v>
      </c>
      <c r="M248">
        <f t="shared" si="3"/>
        <v>1330</v>
      </c>
      <c r="O24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Row],[orderNum]],ТабПозиции[orderSumm])&gt;1500),ABS(M248*VLOOKUP(ТабПозиции[[#This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248">
        <f>IF(OR(ТабПозиции[[#This Row],[item]]="По штрихкоду",ТабПозиции[[#This Row],[item]]="Посылка"),ТабПозиции[[#This Row],[deliverySumm]]+ТабПозиции[[#This Row],[deliveryPost]],SUM(M248:O248))</f>
        <v>1530</v>
      </c>
      <c r="Q248" s="57">
        <v>1530</v>
      </c>
      <c r="R248" s="62">
        <f>ТабПозиции[[#This Row],[totalSumm]]-ТабПозиции[[#This Row],[payment]]</f>
        <v>0</v>
      </c>
      <c r="S248" s="34" t="s">
        <v>558</v>
      </c>
      <c r="T248" s="56" t="s">
        <v>3061</v>
      </c>
      <c r="U248" s="56" t="s">
        <v>3061</v>
      </c>
      <c r="V248" s="56" t="s">
        <v>3061</v>
      </c>
      <c r="W248" s="7"/>
      <c r="X248"/>
    </row>
    <row r="249" spans="1:24" x14ac:dyDescent="0.25">
      <c r="A249" s="26">
        <v>75</v>
      </c>
      <c r="B249" s="1">
        <f>IFERROR(VLOOKUP(ТабПозиции[[#This Row],[orderNum]],ТабЗаказы[#Data],MATCH(B$7,ТабЗаказы[#Headers],0),0),"")</f>
        <v>45405</v>
      </c>
      <c r="C249" t="str">
        <f>MONTH(ТабПозиции[[#This Row],[date]])&amp;"/"&amp;YEAR(ТабПозиции[[#This Row],[date]])</f>
        <v>4/2024</v>
      </c>
      <c r="D249" s="1" t="str">
        <f>IFERROR(VLOOKUP(ТабПозиции[[#This Row],[orderNum]],ТабЗаказы[#Data],MATCH(D$7,ТабЗаказы[#Headers],0),0),"")</f>
        <v>Галина Шевченко 248</v>
      </c>
      <c r="E249" s="26" t="s">
        <v>767</v>
      </c>
      <c r="F249" s="56" t="s">
        <v>3061</v>
      </c>
      <c r="H249" s="34">
        <v>45405</v>
      </c>
      <c r="I249" s="26">
        <v>1</v>
      </c>
      <c r="J249" s="26">
        <v>232</v>
      </c>
      <c r="K249">
        <v>232</v>
      </c>
      <c r="L249" s="26">
        <v>232</v>
      </c>
      <c r="M249">
        <f t="shared" si="3"/>
        <v>232</v>
      </c>
      <c r="O24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Row],[orderNum]],ТабПозиции[orderSumm])&gt;1500),ABS(M249*VLOOKUP(ТабПозиции[[#This Row],[orderNum]],ТабЗаказы[#Data],MATCH("Percent",ТабЗаказы[#Headers],0),0))/100,200/COUNTIF(ТабПозиции[orderNum],ТабПозиции[[#This Row],[orderNum]])),0),"")</f>
        <v>35</v>
      </c>
      <c r="P249">
        <f>IF(OR(ТабПозиции[[#This Row],[item]]="По штрихкоду",ТабПозиции[[#This Row],[item]]="Посылка"),ТабПозиции[[#This Row],[deliverySumm]]+ТабПозиции[[#This Row],[deliveryPost]],SUM(M249:O249))</f>
        <v>267</v>
      </c>
      <c r="Q249" s="57">
        <v>267</v>
      </c>
      <c r="R249" s="62">
        <f>ТабПозиции[[#This Row],[totalSumm]]-ТабПозиции[[#This Row],[payment]]</f>
        <v>0</v>
      </c>
      <c r="S249" s="34" t="s">
        <v>558</v>
      </c>
      <c r="T249" s="56" t="s">
        <v>3061</v>
      </c>
      <c r="U249" s="56" t="s">
        <v>3061</v>
      </c>
      <c r="V249" s="56" t="s">
        <v>3061</v>
      </c>
      <c r="W249" s="7"/>
      <c r="X249"/>
    </row>
    <row r="250" spans="1:24" x14ac:dyDescent="0.25">
      <c r="A250" s="26">
        <v>75</v>
      </c>
      <c r="B250" s="1">
        <f>IFERROR(VLOOKUP(ТабПозиции[[#This Row],[orderNum]],ТабЗаказы[#Data],MATCH(B$7,ТабЗаказы[#Headers],0),0),"")</f>
        <v>45405</v>
      </c>
      <c r="C250" t="str">
        <f>MONTH(ТабПозиции[[#This Row],[date]])&amp;"/"&amp;YEAR(ТабПозиции[[#This Row],[date]])</f>
        <v>4/2024</v>
      </c>
      <c r="D250" s="1" t="str">
        <f>IFERROR(VLOOKUP(ТабПозиции[[#This Row],[orderNum]],ТабЗаказы[#Data],MATCH(D$7,ТабЗаказы[#Headers],0),0),"")</f>
        <v>Галина Шевченко 248</v>
      </c>
      <c r="E250" s="26" t="s">
        <v>768</v>
      </c>
      <c r="F250" s="56" t="s">
        <v>3061</v>
      </c>
      <c r="H250" s="34">
        <v>45405</v>
      </c>
      <c r="I250" s="26">
        <v>1</v>
      </c>
      <c r="J250" s="26">
        <v>235</v>
      </c>
      <c r="K250">
        <v>235</v>
      </c>
      <c r="L250" s="26">
        <v>235</v>
      </c>
      <c r="M250">
        <f t="shared" si="3"/>
        <v>235</v>
      </c>
      <c r="O25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Row],[orderNum]],ТабПозиции[orderSumm])&gt;1500),ABS(M250*VLOOKUP(ТабПозиции[[#This Row],[orderNum]],ТабЗаказы[#Data],MATCH("Percent",ТабЗаказы[#Headers],0),0))/100,200/COUNTIF(ТабПозиции[orderNum],ТабПозиции[[#This Row],[orderNum]])),0),"")</f>
        <v>35</v>
      </c>
      <c r="P250">
        <f>IF(OR(ТабПозиции[[#This Row],[item]]="По штрихкоду",ТабПозиции[[#This Row],[item]]="Посылка"),ТабПозиции[[#This Row],[deliverySumm]]+ТабПозиции[[#This Row],[deliveryPost]],SUM(M250:O250))</f>
        <v>270</v>
      </c>
      <c r="Q250" s="57">
        <v>270</v>
      </c>
      <c r="R250" s="62">
        <f>ТабПозиции[[#This Row],[totalSumm]]-ТабПозиции[[#This Row],[payment]]</f>
        <v>0</v>
      </c>
      <c r="S250" s="34" t="s">
        <v>558</v>
      </c>
      <c r="T250" s="56" t="s">
        <v>3061</v>
      </c>
      <c r="U250" s="56" t="s">
        <v>3061</v>
      </c>
      <c r="V250" s="56" t="s">
        <v>3061</v>
      </c>
      <c r="W250" s="7"/>
      <c r="X250"/>
    </row>
    <row r="251" spans="1:24" x14ac:dyDescent="0.25">
      <c r="A251" s="26">
        <v>75</v>
      </c>
      <c r="B251" s="1">
        <f>IFERROR(VLOOKUP(ТабПозиции[[#This Row],[orderNum]],ТабЗаказы[#Data],MATCH(B$7,ТабЗаказы[#Headers],0),0),"")</f>
        <v>45405</v>
      </c>
      <c r="C251" t="str">
        <f>MONTH(ТабПозиции[[#This Row],[date]])&amp;"/"&amp;YEAR(ТабПозиции[[#This Row],[date]])</f>
        <v>4/2024</v>
      </c>
      <c r="D251" s="1" t="str">
        <f>IFERROR(VLOOKUP(ТабПозиции[[#This Row],[orderNum]],ТабЗаказы[#Data],MATCH(D$7,ТабЗаказы[#Headers],0),0),"")</f>
        <v>Галина Шевченко 248</v>
      </c>
      <c r="E251" s="26" t="s">
        <v>769</v>
      </c>
      <c r="F251" s="56" t="s">
        <v>3061</v>
      </c>
      <c r="H251" s="34">
        <v>45405</v>
      </c>
      <c r="I251" s="26">
        <v>1</v>
      </c>
      <c r="J251" s="26">
        <v>189</v>
      </c>
      <c r="K251">
        <v>189</v>
      </c>
      <c r="L251" s="26">
        <v>189</v>
      </c>
      <c r="M251">
        <f t="shared" si="3"/>
        <v>189</v>
      </c>
      <c r="O25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Row],[orderNum]],ТабПозиции[orderSumm])&gt;1500),ABS(M251*VLOOKUP(ТабПозиции[[#This Row],[orderNum]],ТабЗаказы[#Data],MATCH("Percent",ТабЗаказы[#Headers],0),0))/100,200/COUNTIF(ТабПозиции[orderNum],ТабПозиции[[#This Row],[orderNum]])),0),"")</f>
        <v>28</v>
      </c>
      <c r="P251">
        <f>IF(OR(ТабПозиции[[#This Row],[item]]="По штрихкоду",ТабПозиции[[#This Row],[item]]="Посылка"),ТабПозиции[[#This Row],[deliverySumm]]+ТабПозиции[[#This Row],[deliveryPost]],SUM(M251:O251))</f>
        <v>217</v>
      </c>
      <c r="Q251" s="57">
        <v>217</v>
      </c>
      <c r="R251" s="62">
        <f>ТабПозиции[[#This Row],[totalSumm]]-ТабПозиции[[#This Row],[payment]]</f>
        <v>0</v>
      </c>
      <c r="S251" s="34" t="s">
        <v>558</v>
      </c>
      <c r="T251" s="56" t="s">
        <v>3061</v>
      </c>
      <c r="U251" s="56" t="s">
        <v>3061</v>
      </c>
      <c r="V251" s="56" t="s">
        <v>3061</v>
      </c>
      <c r="W251" s="7"/>
      <c r="X251"/>
    </row>
    <row r="252" spans="1:24" x14ac:dyDescent="0.25">
      <c r="A252" s="26">
        <v>75</v>
      </c>
      <c r="B252" s="1">
        <f>IFERROR(VLOOKUP(ТабПозиции[[#This Row],[orderNum]],ТабЗаказы[#Data],MATCH(B$7,ТабЗаказы[#Headers],0),0),"")</f>
        <v>45405</v>
      </c>
      <c r="C252" t="str">
        <f>MONTH(ТабПозиции[[#This Row],[date]])&amp;"/"&amp;YEAR(ТабПозиции[[#This Row],[date]])</f>
        <v>4/2024</v>
      </c>
      <c r="D252" s="1" t="str">
        <f>IFERROR(VLOOKUP(ТабПозиции[[#This Row],[orderNum]],ТабЗаказы[#Data],MATCH(D$7,ТабЗаказы[#Headers],0),0),"")</f>
        <v>Галина Шевченко 248</v>
      </c>
      <c r="E252" s="26" t="s">
        <v>770</v>
      </c>
      <c r="F252" s="56" t="s">
        <v>3061</v>
      </c>
      <c r="H252" s="34">
        <v>45405</v>
      </c>
      <c r="I252" s="26">
        <v>1</v>
      </c>
      <c r="J252" s="26">
        <v>126</v>
      </c>
      <c r="K252">
        <v>126</v>
      </c>
      <c r="L252" s="26">
        <v>126</v>
      </c>
      <c r="M252">
        <f t="shared" si="3"/>
        <v>126</v>
      </c>
      <c r="O25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Row],[orderNum]],ТабПозиции[orderSumm])&gt;1500),ABS(M252*VLOOKUP(ТабПозиции[[#This Row],[orderNum]],ТабЗаказы[#Data],MATCH("Percent",ТабЗаказы[#Headers],0),0))/100,200/COUNTIF(ТабПозиции[orderNum],ТабПозиции[[#This Row],[orderNum]])),0),"")</f>
        <v>19</v>
      </c>
      <c r="P252">
        <f>IF(OR(ТабПозиции[[#This Row],[item]]="По штрихкоду",ТабПозиции[[#This Row],[item]]="Посылка"),ТабПозиции[[#This Row],[deliverySumm]]+ТабПозиции[[#This Row],[deliveryPost]],SUM(M252:O252))</f>
        <v>145</v>
      </c>
      <c r="Q252" s="57">
        <v>145</v>
      </c>
      <c r="R252" s="62">
        <f>ТабПозиции[[#This Row],[totalSumm]]-ТабПозиции[[#This Row],[payment]]</f>
        <v>0</v>
      </c>
      <c r="S252" s="34" t="s">
        <v>558</v>
      </c>
      <c r="T252" s="56" t="s">
        <v>3061</v>
      </c>
      <c r="U252" s="56" t="s">
        <v>3061</v>
      </c>
      <c r="V252" s="56" t="s">
        <v>3061</v>
      </c>
      <c r="W252" s="7"/>
      <c r="X252"/>
    </row>
    <row r="253" spans="1:24" x14ac:dyDescent="0.25">
      <c r="A253" s="26">
        <v>75</v>
      </c>
      <c r="B253" s="1">
        <f>IFERROR(VLOOKUP(ТабПозиции[[#This Row],[orderNum]],ТабЗаказы[#Data],MATCH(B$7,ТабЗаказы[#Headers],0),0),"")</f>
        <v>45405</v>
      </c>
      <c r="C253" t="str">
        <f>MONTH(ТабПозиции[[#This Row],[date]])&amp;"/"&amp;YEAR(ТабПозиции[[#This Row],[date]])</f>
        <v>4/2024</v>
      </c>
      <c r="D253" s="1" t="str">
        <f>IFERROR(VLOOKUP(ТабПозиции[[#This Row],[orderNum]],ТабЗаказы[#Data],MATCH(D$7,ТабЗаказы[#Headers],0),0),"")</f>
        <v>Галина Шевченко 248</v>
      </c>
      <c r="E253" s="26" t="s">
        <v>771</v>
      </c>
      <c r="F253" s="56" t="s">
        <v>3061</v>
      </c>
      <c r="H253" s="34">
        <v>45407</v>
      </c>
      <c r="I253" s="26">
        <v>1</v>
      </c>
      <c r="J253" s="26">
        <v>388</v>
      </c>
      <c r="K253">
        <v>388</v>
      </c>
      <c r="L253" s="26">
        <v>388</v>
      </c>
      <c r="M253">
        <f t="shared" si="3"/>
        <v>388</v>
      </c>
      <c r="O25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Row],[orderNum]],ТабПозиции[orderSumm])&gt;1500),ABS(M253*VLOOKUP(ТабПозиции[[#This Row],[orderNum]],ТабЗаказы[#Data],MATCH("Percent",ТабЗаказы[#Headers],0),0))/100,200/COUNTIF(ТабПозиции[orderNum],ТабПозиции[[#This Row],[orderNum]])),0),"")</f>
        <v>58</v>
      </c>
      <c r="P253">
        <f>IF(OR(ТабПозиции[[#This Row],[item]]="По штрихкоду",ТабПозиции[[#This Row],[item]]="Посылка"),ТабПозиции[[#This Row],[deliverySumm]]+ТабПозиции[[#This Row],[deliveryPost]],SUM(M253:O253))</f>
        <v>446</v>
      </c>
      <c r="Q253" s="57">
        <v>446</v>
      </c>
      <c r="R253" s="62">
        <f>ТабПозиции[[#This Row],[totalSumm]]-ТабПозиции[[#This Row],[payment]]</f>
        <v>0</v>
      </c>
      <c r="S253" s="34" t="s">
        <v>558</v>
      </c>
      <c r="T253" s="56" t="s">
        <v>3061</v>
      </c>
      <c r="U253" s="56" t="s">
        <v>3061</v>
      </c>
      <c r="V253" s="56" t="s">
        <v>3061</v>
      </c>
      <c r="W253" s="7"/>
      <c r="X253"/>
    </row>
    <row r="254" spans="1:24" x14ac:dyDescent="0.25">
      <c r="A254" s="26">
        <v>78</v>
      </c>
      <c r="B254" s="1">
        <f>IFERROR(VLOOKUP(ТабПозиции[[#This Row],[orderNum]],ТабЗаказы[#Data],MATCH(B$7,ТабЗаказы[#Headers],0),0),"")</f>
        <v>45409</v>
      </c>
      <c r="C254" t="str">
        <f>MONTH(ТабПозиции[[#This Row],[date]])&amp;"/"&amp;YEAR(ТабПозиции[[#This Row],[date]])</f>
        <v>4/2024</v>
      </c>
      <c r="D254" s="1" t="str">
        <f>IFERROR(VLOOKUP(ТабПозиции[[#This Row],[orderNum]],ТабЗаказы[#Data],MATCH(D$7,ТабЗаказы[#Headers],0),0),"")</f>
        <v>Елена Ларисына</v>
      </c>
      <c r="E254" s="32" t="s">
        <v>772</v>
      </c>
      <c r="F254" s="56" t="s">
        <v>3061</v>
      </c>
      <c r="H254" s="34">
        <v>45411</v>
      </c>
      <c r="I254" s="26">
        <v>1</v>
      </c>
      <c r="J254" s="26">
        <v>243</v>
      </c>
      <c r="K254">
        <v>243</v>
      </c>
      <c r="L254" s="26">
        <v>248</v>
      </c>
      <c r="M254">
        <f t="shared" si="3"/>
        <v>248</v>
      </c>
      <c r="O25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Row],[orderNum]],ТабПозиции[orderSumm])&gt;1500),ABS(M254*VLOOKUP(ТабПозиции[[#This Row],[orderNum]],ТабЗаказы[#Data],MATCH("Percent",ТабЗаказы[#Headers],0),0))/100,200/COUNTIF(ТабПозиции[orderNum],ТабПозиции[[#This Row],[orderNum]])),0),"")</f>
        <v>37</v>
      </c>
      <c r="P254">
        <f>IF(OR(ТабПозиции[[#This Row],[item]]="По штрихкоду",ТабПозиции[[#This Row],[item]]="Посылка"),ТабПозиции[[#This Row],[deliverySumm]]+ТабПозиции[[#This Row],[deliveryPost]],SUM(M254:O254))</f>
        <v>285</v>
      </c>
      <c r="Q254" s="57">
        <v>285</v>
      </c>
      <c r="R254" s="62">
        <f>ТабПозиции[[#This Row],[totalSumm]]-ТабПозиции[[#This Row],[payment]]</f>
        <v>0</v>
      </c>
      <c r="S254" s="34" t="s">
        <v>575</v>
      </c>
      <c r="T254" s="56" t="s">
        <v>3061</v>
      </c>
      <c r="U254" s="56" t="s">
        <v>3061</v>
      </c>
      <c r="V254" s="56" t="s">
        <v>3061</v>
      </c>
      <c r="W254" s="7"/>
      <c r="X254"/>
    </row>
    <row r="255" spans="1:24" x14ac:dyDescent="0.25">
      <c r="A255" s="26">
        <v>78</v>
      </c>
      <c r="B255" s="1">
        <f>IFERROR(VLOOKUP(ТабПозиции[[#This Row],[orderNum]],ТабЗаказы[#Data],MATCH(B$7,ТабЗаказы[#Headers],0),0),"")</f>
        <v>45409</v>
      </c>
      <c r="C255" t="str">
        <f>MONTH(ТабПозиции[[#This Row],[date]])&amp;"/"&amp;YEAR(ТабПозиции[[#This Row],[date]])</f>
        <v>4/2024</v>
      </c>
      <c r="D255" s="1" t="str">
        <f>IFERROR(VLOOKUP(ТабПозиции[[#This Row],[orderNum]],ТабЗаказы[#Data],MATCH(D$7,ТабЗаказы[#Headers],0),0),"")</f>
        <v>Елена Ларисына</v>
      </c>
      <c r="E255" s="32" t="s">
        <v>773</v>
      </c>
      <c r="F255" s="56" t="s">
        <v>3061</v>
      </c>
      <c r="H255" s="34">
        <v>45411</v>
      </c>
      <c r="I255" s="26">
        <v>1</v>
      </c>
      <c r="J255" s="26">
        <v>307</v>
      </c>
      <c r="K255">
        <v>307</v>
      </c>
      <c r="L255" s="26">
        <v>313</v>
      </c>
      <c r="M255">
        <f t="shared" si="3"/>
        <v>313</v>
      </c>
      <c r="O25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Row],[orderNum]],ТабПозиции[orderSumm])&gt;1500),ABS(M255*VLOOKUP(ТабПозиции[[#This Row],[orderNum]],ТабЗаказы[#Data],MATCH("Percent",ТабЗаказы[#Headers],0),0))/100,200/COUNTIF(ТабПозиции[orderNum],ТабПозиции[[#This Row],[orderNum]])),0),"")</f>
        <v>47</v>
      </c>
      <c r="P255">
        <f>IF(OR(ТабПозиции[[#This Row],[item]]="По штрихкоду",ТабПозиции[[#This Row],[item]]="Посылка"),ТабПозиции[[#This Row],[deliverySumm]]+ТабПозиции[[#This Row],[deliveryPost]],SUM(M255:O255))</f>
        <v>360</v>
      </c>
      <c r="Q255" s="57">
        <v>360</v>
      </c>
      <c r="R255" s="62">
        <f>ТабПозиции[[#This Row],[totalSumm]]-ТабПозиции[[#This Row],[payment]]</f>
        <v>0</v>
      </c>
      <c r="S255" s="34" t="s">
        <v>575</v>
      </c>
      <c r="T255" s="56" t="s">
        <v>3061</v>
      </c>
      <c r="U255" s="56" t="s">
        <v>3061</v>
      </c>
      <c r="V255" s="56" t="s">
        <v>3061</v>
      </c>
      <c r="W255" s="7"/>
      <c r="X255"/>
    </row>
    <row r="256" spans="1:24" x14ac:dyDescent="0.25">
      <c r="A256" s="26">
        <v>78</v>
      </c>
      <c r="B256" s="1">
        <f>IFERROR(VLOOKUP(ТабПозиции[[#This Row],[orderNum]],ТабЗаказы[#Data],MATCH(B$7,ТабЗаказы[#Headers],0),0),"")</f>
        <v>45409</v>
      </c>
      <c r="C256" t="str">
        <f>MONTH(ТабПозиции[[#This Row],[date]])&amp;"/"&amp;YEAR(ТабПозиции[[#This Row],[date]])</f>
        <v>4/2024</v>
      </c>
      <c r="D256" s="1" t="str">
        <f>IFERROR(VLOOKUP(ТабПозиции[[#This Row],[orderNum]],ТабЗаказы[#Data],MATCH(D$7,ТабЗаказы[#Headers],0),0),"")</f>
        <v>Елена Ларисына</v>
      </c>
      <c r="E256" s="32" t="s">
        <v>574</v>
      </c>
      <c r="F256" s="56" t="s">
        <v>3061</v>
      </c>
      <c r="H256" s="34">
        <v>45410</v>
      </c>
      <c r="I256" s="26">
        <v>1</v>
      </c>
      <c r="J256" s="26">
        <v>507</v>
      </c>
      <c r="K256">
        <v>507</v>
      </c>
      <c r="L256" s="26">
        <v>549</v>
      </c>
      <c r="M256">
        <f t="shared" si="3"/>
        <v>549</v>
      </c>
      <c r="O25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Row],[orderNum]],ТабПозиции[orderSumm])&gt;1500),ABS(M256*VLOOKUP(ТабПозиции[[#This Row],[orderNum]],ТабЗаказы[#Data],MATCH("Percent",ТабЗаказы[#Headers],0),0))/100,200/COUNTIF(ТабПозиции[orderNum],ТабПозиции[[#This Row],[orderNum]])),0),"")</f>
        <v>82</v>
      </c>
      <c r="P256">
        <f>IF(OR(ТабПозиции[[#This Row],[item]]="По штрихкоду",ТабПозиции[[#This Row],[item]]="Посылка"),ТабПозиции[[#This Row],[deliverySumm]]+ТабПозиции[[#This Row],[deliveryPost]],SUM(M256:O256))</f>
        <v>631</v>
      </c>
      <c r="Q256" s="57">
        <v>631</v>
      </c>
      <c r="R256" s="62">
        <f>ТабПозиции[[#This Row],[totalSumm]]-ТабПозиции[[#This Row],[payment]]</f>
        <v>0</v>
      </c>
      <c r="S256" s="34" t="s">
        <v>575</v>
      </c>
      <c r="T256" s="56" t="s">
        <v>3061</v>
      </c>
      <c r="U256" s="56" t="s">
        <v>3061</v>
      </c>
      <c r="V256" s="56" t="s">
        <v>3061</v>
      </c>
      <c r="W256" s="7"/>
      <c r="X256"/>
    </row>
    <row r="257" spans="1:24" x14ac:dyDescent="0.25">
      <c r="A257" s="26">
        <v>76</v>
      </c>
      <c r="B257" s="1">
        <f>IFERROR(VLOOKUP(ТабПозиции[[#This Row],[orderNum]],ТабЗаказы[#Data],MATCH(B$7,ТабЗаказы[#Headers],0),0),"")</f>
        <v>45408</v>
      </c>
      <c r="C257" t="str">
        <f>MONTH(ТабПозиции[[#This Row],[date]])&amp;"/"&amp;YEAR(ТабПозиции[[#This Row],[date]])</f>
        <v>4/2024</v>
      </c>
      <c r="D257" s="1" t="str">
        <f>IFERROR(VLOOKUP(ТабПозиции[[#This Row],[orderNum]],ТабЗаказы[#Data],MATCH(D$7,ТабЗаказы[#Headers],0),0),"")</f>
        <v>Лариса Кирова</v>
      </c>
      <c r="E257" s="32" t="s">
        <v>635</v>
      </c>
      <c r="F257" s="56" t="s">
        <v>3061</v>
      </c>
      <c r="H257" s="34">
        <v>45411</v>
      </c>
      <c r="I257" s="26">
        <v>1</v>
      </c>
      <c r="J257" s="26">
        <v>238</v>
      </c>
      <c r="K257">
        <v>238</v>
      </c>
      <c r="L257" s="26">
        <v>243</v>
      </c>
      <c r="M257">
        <f t="shared" si="3"/>
        <v>243</v>
      </c>
      <c r="O25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Row],[orderNum]],ТабПозиции[orderSumm])&gt;1500),ABS(M257*VLOOKUP(ТабПозиции[[#This Row],[orderNum]],ТабЗаказы[#Data],MATCH("Percent",ТабЗаказы[#Headers],0),0))/100,200/COUNTIF(ТабПозиции[orderNum],ТабПозиции[[#This Row],[orderNum]])),0),"")</f>
        <v>50</v>
      </c>
      <c r="P257">
        <f>IF(OR(ТабПозиции[[#This Row],[item]]="По штрихкоду",ТабПозиции[[#This Row],[item]]="Посылка"),ТабПозиции[[#This Row],[deliverySumm]]+ТабПозиции[[#This Row],[deliveryPost]],SUM(M257:O257))</f>
        <v>293</v>
      </c>
      <c r="Q257" s="57">
        <v>293</v>
      </c>
      <c r="R257" s="62">
        <f>ТабПозиции[[#This Row],[totalSumm]]-ТабПозиции[[#This Row],[payment]]</f>
        <v>0</v>
      </c>
      <c r="S257" s="34" t="s">
        <v>558</v>
      </c>
      <c r="T257" s="56" t="s">
        <v>3061</v>
      </c>
      <c r="U257" s="56" t="s">
        <v>3061</v>
      </c>
      <c r="V257" s="56" t="s">
        <v>3061</v>
      </c>
      <c r="W257" s="7"/>
      <c r="X257"/>
    </row>
    <row r="258" spans="1:24" x14ac:dyDescent="0.25">
      <c r="A258" s="26">
        <v>76</v>
      </c>
      <c r="B258" s="1">
        <f>IFERROR(VLOOKUP(ТабПозиции[[#This Row],[orderNum]],ТабЗаказы[#Data],MATCH(B$7,ТабЗаказы[#Headers],0),0),"")</f>
        <v>45408</v>
      </c>
      <c r="C258" t="str">
        <f>MONTH(ТабПозиции[[#This Row],[date]])&amp;"/"&amp;YEAR(ТабПозиции[[#This Row],[date]])</f>
        <v>4/2024</v>
      </c>
      <c r="D258" s="1" t="str">
        <f>IFERROR(VLOOKUP(ТабПозиции[[#This Row],[orderNum]],ТабЗаказы[#Data],MATCH(D$7,ТабЗаказы[#Headers],0),0),"")</f>
        <v>Лариса Кирова</v>
      </c>
      <c r="E258" s="32" t="s">
        <v>774</v>
      </c>
      <c r="F258" s="56" t="s">
        <v>3061</v>
      </c>
      <c r="H258" s="34">
        <v>45410</v>
      </c>
      <c r="I258" s="26">
        <v>1</v>
      </c>
      <c r="J258" s="26">
        <v>229</v>
      </c>
      <c r="K258">
        <v>229</v>
      </c>
      <c r="L258" s="26">
        <v>234</v>
      </c>
      <c r="M258">
        <f t="shared" si="3"/>
        <v>234</v>
      </c>
      <c r="O25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Row],[orderNum]],ТабПозиции[orderSumm])&gt;1500),ABS(M258*VLOOKUP(ТабПозиции[[#This Row],[orderNum]],ТабЗаказы[#Data],MATCH("Percent",ТабЗаказы[#Headers],0),0))/100,200/COUNTIF(ТабПозиции[orderNum],ТабПозиции[[#This Row],[orderNum]])),0),"")</f>
        <v>50</v>
      </c>
      <c r="P258">
        <f>IF(OR(ТабПозиции[[#This Row],[item]]="По штрихкоду",ТабПозиции[[#This Row],[item]]="Посылка"),ТабПозиции[[#This Row],[deliverySumm]]+ТабПозиции[[#This Row],[deliveryPost]],SUM(M258:O258))</f>
        <v>284</v>
      </c>
      <c r="Q258" s="57">
        <v>284</v>
      </c>
      <c r="R258" s="62">
        <f>ТабПозиции[[#This Row],[totalSumm]]-ТабПозиции[[#This Row],[payment]]</f>
        <v>0</v>
      </c>
      <c r="S258" s="34" t="s">
        <v>558</v>
      </c>
      <c r="T258" s="56" t="s">
        <v>3061</v>
      </c>
      <c r="U258" s="56" t="s">
        <v>3061</v>
      </c>
      <c r="V258" s="56" t="s">
        <v>3061</v>
      </c>
      <c r="W258" s="7"/>
      <c r="X258"/>
    </row>
    <row r="259" spans="1:24" x14ac:dyDescent="0.25">
      <c r="A259" s="26">
        <v>76</v>
      </c>
      <c r="B259" s="1">
        <f>IFERROR(VLOOKUP(ТабПозиции[[#This Row],[orderNum]],ТабЗаказы[#Data],MATCH(B$7,ТабЗаказы[#Headers],0),0),"")</f>
        <v>45408</v>
      </c>
      <c r="C259" t="str">
        <f>MONTH(ТабПозиции[[#This Row],[date]])&amp;"/"&amp;YEAR(ТабПозиции[[#This Row],[date]])</f>
        <v>4/2024</v>
      </c>
      <c r="D259" s="1" t="str">
        <f>IFERROR(VLOOKUP(ТабПозиции[[#This Row],[orderNum]],ТабЗаказы[#Data],MATCH(D$7,ТабЗаказы[#Headers],0),0),"")</f>
        <v>Лариса Кирова</v>
      </c>
      <c r="E259" s="32" t="s">
        <v>775</v>
      </c>
      <c r="F259" s="56" t="s">
        <v>3061</v>
      </c>
      <c r="H259" s="34">
        <v>45410</v>
      </c>
      <c r="I259" s="26">
        <v>1</v>
      </c>
      <c r="J259" s="26">
        <v>381</v>
      </c>
      <c r="K259">
        <v>381</v>
      </c>
      <c r="L259" s="26">
        <v>389</v>
      </c>
      <c r="M259">
        <f t="shared" si="3"/>
        <v>389</v>
      </c>
      <c r="O25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Row],[orderNum]],ТабПозиции[orderSumm])&gt;1500),ABS(M259*VLOOKUP(ТабПозиции[[#This Row],[orderNum]],ТабЗаказы[#Data],MATCH("Percent",ТабЗаказы[#Headers],0),0))/100,200/COUNTIF(ТабПозиции[orderNum],ТабПозиции[[#This Row],[orderNum]])),0),"")</f>
        <v>50</v>
      </c>
      <c r="P259">
        <f>IF(OR(ТабПозиции[[#This Row],[item]]="По штрихкоду",ТабПозиции[[#This Row],[item]]="Посылка"),ТабПозиции[[#This Row],[deliverySumm]]+ТабПозиции[[#This Row],[deliveryPost]],SUM(M259:O259))</f>
        <v>439</v>
      </c>
      <c r="Q259" s="57">
        <v>439</v>
      </c>
      <c r="R259" s="62">
        <f>ТабПозиции[[#This Row],[totalSumm]]-ТабПозиции[[#This Row],[payment]]</f>
        <v>0</v>
      </c>
      <c r="S259" s="34" t="s">
        <v>558</v>
      </c>
      <c r="T259" s="56" t="s">
        <v>3061</v>
      </c>
      <c r="U259" s="56" t="s">
        <v>3061</v>
      </c>
      <c r="V259" s="56" t="s">
        <v>3061</v>
      </c>
      <c r="W259" s="7"/>
      <c r="X259"/>
    </row>
    <row r="260" spans="1:24" x14ac:dyDescent="0.25">
      <c r="A260" s="26">
        <v>76</v>
      </c>
      <c r="B260" s="1">
        <f>IFERROR(VLOOKUP(ТабПозиции[[#This Row],[orderNum]],ТабЗаказы[#Data],MATCH(B$7,ТабЗаказы[#Headers],0),0),"")</f>
        <v>45408</v>
      </c>
      <c r="C260" t="str">
        <f>MONTH(ТабПозиции[[#This Row],[date]])&amp;"/"&amp;YEAR(ТабПозиции[[#This Row],[date]])</f>
        <v>4/2024</v>
      </c>
      <c r="D260" s="1" t="str">
        <f>IFERROR(VLOOKUP(ТабПозиции[[#This Row],[orderNum]],ТабЗаказы[#Data],MATCH(D$7,ТабЗаказы[#Headers],0),0),"")</f>
        <v>Лариса Кирова</v>
      </c>
      <c r="E260" s="32" t="s">
        <v>772</v>
      </c>
      <c r="F260" s="56" t="s">
        <v>3061</v>
      </c>
      <c r="H260" s="34">
        <v>45411</v>
      </c>
      <c r="I260" s="26">
        <v>1</v>
      </c>
      <c r="J260" s="26">
        <v>243</v>
      </c>
      <c r="K260">
        <v>243</v>
      </c>
      <c r="L260" s="26">
        <v>248</v>
      </c>
      <c r="M260">
        <f t="shared" si="3"/>
        <v>248</v>
      </c>
      <c r="O26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Row],[orderNum]],ТабПозиции[orderSumm])&gt;1500),ABS(M260*VLOOKUP(ТабПозиции[[#This Row],[orderNum]],ТабЗаказы[#Data],MATCH("Percent",ТабЗаказы[#Headers],0),0))/100,200/COUNTIF(ТабПозиции[orderNum],ТабПозиции[[#This Row],[orderNum]])),0),"")</f>
        <v>50</v>
      </c>
      <c r="P260">
        <f>IF(OR(ТабПозиции[[#This Row],[item]]="По штрихкоду",ТабПозиции[[#This Row],[item]]="Посылка"),ТабПозиции[[#This Row],[deliverySumm]]+ТабПозиции[[#This Row],[deliveryPost]],SUM(M260:O260))</f>
        <v>298</v>
      </c>
      <c r="Q260" s="57">
        <v>298</v>
      </c>
      <c r="R260" s="62">
        <f>ТабПозиции[[#This Row],[totalSumm]]-ТабПозиции[[#This Row],[payment]]</f>
        <v>0</v>
      </c>
      <c r="S260" s="34" t="s">
        <v>575</v>
      </c>
      <c r="T260" s="56" t="s">
        <v>3061</v>
      </c>
      <c r="U260" s="56" t="s">
        <v>3061</v>
      </c>
      <c r="V260" s="56" t="s">
        <v>3061</v>
      </c>
      <c r="W260" s="7"/>
      <c r="X260"/>
    </row>
    <row r="261" spans="1:24" x14ac:dyDescent="0.25">
      <c r="A261" s="26">
        <v>77</v>
      </c>
      <c r="B261" s="1">
        <f>IFERROR(VLOOKUP(ТабПозиции[[#This Row],[orderNum]],ТабЗаказы[#Data],MATCH(B$7,ТабЗаказы[#Headers],0),0),"")</f>
        <v>45409</v>
      </c>
      <c r="C261" t="str">
        <f>MONTH(ТабПозиции[[#This Row],[date]])&amp;"/"&amp;YEAR(ТабПозиции[[#This Row],[date]])</f>
        <v>4/2024</v>
      </c>
      <c r="D261" s="1" t="str">
        <f>IFERROR(VLOOKUP(ТабПозиции[[#This Row],[orderNum]],ТабЗаказы[#Data],MATCH(D$7,ТабЗаказы[#Headers],0),0),"")</f>
        <v>Александр Каскад</v>
      </c>
      <c r="E261" s="32" t="s">
        <v>776</v>
      </c>
      <c r="F261" s="56" t="s">
        <v>3061</v>
      </c>
      <c r="H261" s="34">
        <v>45410</v>
      </c>
      <c r="I261" s="26">
        <v>1</v>
      </c>
      <c r="J261" s="26">
        <v>1776</v>
      </c>
      <c r="K261">
        <v>1776</v>
      </c>
      <c r="L261" s="26">
        <v>1920</v>
      </c>
      <c r="M261">
        <f t="shared" si="3"/>
        <v>1920</v>
      </c>
      <c r="O26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Row],[orderNum]],ТабПозиции[orderSumm])&gt;1500),ABS(M261*VLOOKUP(ТабПозиции[[#This Row],[orderNum]],ТабЗаказы[#Data],MATCH("Percent",ТабЗаказы[#Headers],0),0))/100,200/COUNTIF(ТабПозиции[orderNum],ТабПозиции[[#This Row],[orderNum]])),0),"")</f>
        <v>288</v>
      </c>
      <c r="P261">
        <f>IF(OR(ТабПозиции[[#This Row],[item]]="По штрихкоду",ТабПозиции[[#This Row],[item]]="Посылка"),ТабПозиции[[#This Row],[deliverySumm]]+ТабПозиции[[#This Row],[deliveryPost]],SUM(M261:O261))</f>
        <v>2208</v>
      </c>
      <c r="Q261" s="57">
        <v>2208</v>
      </c>
      <c r="R261" s="62">
        <f>ТабПозиции[[#This Row],[totalSumm]]-ТабПозиции[[#This Row],[payment]]</f>
        <v>0</v>
      </c>
      <c r="S261" s="34" t="s">
        <v>575</v>
      </c>
      <c r="T261" s="56" t="s">
        <v>3061</v>
      </c>
      <c r="U261" s="56" t="s">
        <v>3061</v>
      </c>
      <c r="V261" s="56" t="s">
        <v>3061</v>
      </c>
      <c r="W261" s="7"/>
      <c r="X261"/>
    </row>
    <row r="262" spans="1:24" x14ac:dyDescent="0.25">
      <c r="A262" s="26">
        <v>78</v>
      </c>
      <c r="B262" s="1">
        <f>IFERROR(VLOOKUP(ТабПозиции[[#This Row],[orderNum]],ТабЗаказы[#Data],MATCH(B$7,ТабЗаказы[#Headers],0),0),"")</f>
        <v>45409</v>
      </c>
      <c r="C262" t="str">
        <f>MONTH(ТабПозиции[[#This Row],[date]])&amp;"/"&amp;YEAR(ТабПозиции[[#This Row],[date]])</f>
        <v>4/2024</v>
      </c>
      <c r="D262" s="1" t="str">
        <f>IFERROR(VLOOKUP(ТабПозиции[[#This Row],[orderNum]],ТабЗаказы[#Data],MATCH(D$7,ТабЗаказы[#Headers],0),0),"")</f>
        <v>Елена Ларисына</v>
      </c>
      <c r="E262" s="32" t="s">
        <v>777</v>
      </c>
      <c r="F262" s="56" t="s">
        <v>3061</v>
      </c>
      <c r="H262" s="34">
        <v>45410</v>
      </c>
      <c r="I262" s="26">
        <v>1</v>
      </c>
      <c r="J262" s="26">
        <v>468</v>
      </c>
      <c r="K262">
        <v>468</v>
      </c>
      <c r="L262" s="26">
        <v>508</v>
      </c>
      <c r="M262">
        <f t="shared" si="3"/>
        <v>508</v>
      </c>
      <c r="O26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Row],[orderNum]],ТабПозиции[orderSumm])&gt;1500),ABS(M262*VLOOKUP(ТабПозиции[[#This Row],[orderNum]],ТабЗаказы[#Data],MATCH("Percent",ТабЗаказы[#Headers],0),0))/100,200/COUNTIF(ТабПозиции[orderNum],ТабПозиции[[#This Row],[orderNum]])),0),"")</f>
        <v>76</v>
      </c>
      <c r="P262">
        <f>IF(OR(ТабПозиции[[#This Row],[item]]="По штрихкоду",ТабПозиции[[#This Row],[item]]="Посылка"),ТабПозиции[[#This Row],[deliverySumm]]+ТабПозиции[[#This Row],[deliveryPost]],SUM(M262:O262))</f>
        <v>584</v>
      </c>
      <c r="Q262" s="57">
        <v>584</v>
      </c>
      <c r="R262" s="62">
        <f>ТабПозиции[[#This Row],[totalSumm]]-ТабПозиции[[#This Row],[payment]]</f>
        <v>0</v>
      </c>
      <c r="S262" s="34" t="s">
        <v>575</v>
      </c>
      <c r="T262" s="56" t="s">
        <v>3061</v>
      </c>
      <c r="U262" s="56" t="s">
        <v>3061</v>
      </c>
      <c r="V262" s="56" t="s">
        <v>3061</v>
      </c>
      <c r="W262" s="7"/>
      <c r="X262"/>
    </row>
    <row r="263" spans="1:24" x14ac:dyDescent="0.25">
      <c r="A263" s="26">
        <v>78</v>
      </c>
      <c r="B263" s="1">
        <f>IFERROR(VLOOKUP(ТабПозиции[[#This Row],[orderNum]],ТабЗаказы[#Data],MATCH(B$7,ТабЗаказы[#Headers],0),0),"")</f>
        <v>45409</v>
      </c>
      <c r="C263" t="str">
        <f>MONTH(ТабПозиции[[#This Row],[date]])&amp;"/"&amp;YEAR(ТабПозиции[[#This Row],[date]])</f>
        <v>4/2024</v>
      </c>
      <c r="D263" s="1" t="str">
        <f>IFERROR(VLOOKUP(ТабПозиции[[#This Row],[orderNum]],ТабЗаказы[#Data],MATCH(D$7,ТабЗаказы[#Headers],0),0),"")</f>
        <v>Елена Ларисына</v>
      </c>
      <c r="E263" s="32" t="s">
        <v>700</v>
      </c>
      <c r="F263" s="56" t="s">
        <v>3061</v>
      </c>
      <c r="H263" s="34">
        <v>45418</v>
      </c>
      <c r="I263" s="26">
        <v>1</v>
      </c>
      <c r="J263" s="26">
        <v>911</v>
      </c>
      <c r="K263">
        <v>911</v>
      </c>
      <c r="L263" s="26">
        <v>983</v>
      </c>
      <c r="M263">
        <f t="shared" si="3"/>
        <v>983</v>
      </c>
      <c r="O26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Row],[orderNum]],ТабПозиции[orderSumm])&gt;1500),ABS(M263*VLOOKUP(ТабПозиции[[#This Row],[orderNum]],ТабЗаказы[#Data],MATCH("Percent",ТабЗаказы[#Headers],0),0))/100,200/COUNTIF(ТабПозиции[orderNum],ТабПозиции[[#This Row],[orderNum]])),0),"")</f>
        <v>147</v>
      </c>
      <c r="P263">
        <f>IF(OR(ТабПозиции[[#This Row],[item]]="По штрихкоду",ТабПозиции[[#This Row],[item]]="Посылка"),ТабПозиции[[#This Row],[deliverySumm]]+ТабПозиции[[#This Row],[deliveryPost]],SUM(M263:O263))</f>
        <v>1130</v>
      </c>
      <c r="Q263" s="57">
        <v>1130</v>
      </c>
      <c r="R263" s="62">
        <f>ТабПозиции[[#This Row],[totalSumm]]-ТабПозиции[[#This Row],[payment]]</f>
        <v>0</v>
      </c>
      <c r="S263" s="34" t="s">
        <v>575</v>
      </c>
      <c r="T263" s="56" t="s">
        <v>3061</v>
      </c>
      <c r="U263" s="56" t="s">
        <v>3061</v>
      </c>
      <c r="V263" s="56" t="s">
        <v>3061</v>
      </c>
      <c r="W263" s="7"/>
      <c r="X263"/>
    </row>
    <row r="264" spans="1:24" x14ac:dyDescent="0.25">
      <c r="A264" s="26">
        <v>78</v>
      </c>
      <c r="B264" s="1">
        <f>IFERROR(VLOOKUP(ТабПозиции[[#This Row],[orderNum]],ТабЗаказы[#Data],MATCH(B$7,ТабЗаказы[#Headers],0),0),"")</f>
        <v>45409</v>
      </c>
      <c r="C264" t="str">
        <f>MONTH(ТабПозиции[[#This Row],[date]])&amp;"/"&amp;YEAR(ТабПозиции[[#This Row],[date]])</f>
        <v>4/2024</v>
      </c>
      <c r="D264" s="1" t="str">
        <f>IFERROR(VLOOKUP(ТабПозиции[[#This Row],[orderNum]],ТабЗаказы[#Data],MATCH(D$7,ТабЗаказы[#Headers],0),0),"")</f>
        <v>Елена Ларисына</v>
      </c>
      <c r="E264" s="32" t="s">
        <v>778</v>
      </c>
      <c r="F264" s="56" t="s">
        <v>3061</v>
      </c>
      <c r="H264" s="34">
        <v>45416</v>
      </c>
      <c r="I264" s="26">
        <v>1</v>
      </c>
      <c r="J264" s="26">
        <v>431</v>
      </c>
      <c r="K264">
        <v>431</v>
      </c>
      <c r="L264" s="26">
        <v>440</v>
      </c>
      <c r="M264">
        <f t="shared" si="3"/>
        <v>440</v>
      </c>
      <c r="O26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Row],[orderNum]],ТабПозиции[orderSumm])&gt;1500),ABS(M264*VLOOKUP(ТабПозиции[[#This Row],[orderNum]],ТабЗаказы[#Data],MATCH("Percent",ТабЗаказы[#Headers],0),0))/100,200/COUNTIF(ТабПозиции[orderNum],ТабПозиции[[#This Row],[orderNum]])),0),"")</f>
        <v>66</v>
      </c>
      <c r="P264">
        <f>IF(OR(ТабПозиции[[#This Row],[item]]="По штрихкоду",ТабПозиции[[#This Row],[item]]="Посылка"),ТабПозиции[[#This Row],[deliverySumm]]+ТабПозиции[[#This Row],[deliveryPost]],SUM(M264:O264))</f>
        <v>506</v>
      </c>
      <c r="Q264" s="57">
        <v>506</v>
      </c>
      <c r="R264" s="62">
        <f>ТабПозиции[[#This Row],[totalSumm]]-ТабПозиции[[#This Row],[payment]]</f>
        <v>0</v>
      </c>
      <c r="S264" s="34" t="s">
        <v>575</v>
      </c>
      <c r="T264" s="56" t="s">
        <v>3061</v>
      </c>
      <c r="U264" s="56" t="s">
        <v>3061</v>
      </c>
      <c r="V264" s="56" t="s">
        <v>3061</v>
      </c>
      <c r="W264" s="7"/>
      <c r="X264"/>
    </row>
    <row r="265" spans="1:24" x14ac:dyDescent="0.25">
      <c r="A265" s="26">
        <v>77</v>
      </c>
      <c r="B265" s="1">
        <f>IFERROR(VLOOKUP(ТабПозиции[[#This Row],[orderNum]],ТабЗаказы[#Data],MATCH(B$7,ТабЗаказы[#Headers],0),0),"")</f>
        <v>45409</v>
      </c>
      <c r="C265" t="str">
        <f>MONTH(ТабПозиции[[#This Row],[date]])&amp;"/"&amp;YEAR(ТабПозиции[[#This Row],[date]])</f>
        <v>4/2024</v>
      </c>
      <c r="D265" s="1" t="str">
        <f>IFERROR(VLOOKUP(ТабПозиции[[#This Row],[orderNum]],ТабЗаказы[#Data],MATCH(D$7,ТабЗаказы[#Headers],0),0),"")</f>
        <v>Александр Каскад</v>
      </c>
      <c r="E265" s="35" t="s">
        <v>779</v>
      </c>
      <c r="F265" s="56" t="s">
        <v>3061</v>
      </c>
      <c r="H265" s="34">
        <v>45432</v>
      </c>
      <c r="I265" s="26">
        <v>1</v>
      </c>
      <c r="J265" s="26">
        <v>636</v>
      </c>
      <c r="K265">
        <v>636</v>
      </c>
      <c r="L265" s="26">
        <v>690</v>
      </c>
      <c r="M265">
        <f t="shared" si="3"/>
        <v>690</v>
      </c>
      <c r="O26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Row],[orderNum]],ТабПозиции[orderSumm])&gt;1500),ABS(M265*VLOOKUP(ТабПозиции[[#This Row],[orderNum]],ТабЗаказы[#Data],MATCH("Percent",ТабЗаказы[#Headers],0),0))/100,200/COUNTIF(ТабПозиции[orderNum],ТабПозиции[[#This Row],[orderNum]])),0),"")</f>
        <v>104</v>
      </c>
      <c r="P265">
        <f>IF(OR(ТабПозиции[[#This Row],[item]]="По штрихкоду",ТабПозиции[[#This Row],[item]]="Посылка"),ТабПозиции[[#This Row],[deliverySumm]]+ТабПозиции[[#This Row],[deliveryPost]],SUM(M265:O265))</f>
        <v>794</v>
      </c>
      <c r="Q265" s="57">
        <v>794</v>
      </c>
      <c r="R265" s="62">
        <f>ТабПозиции[[#This Row],[totalSumm]]-ТабПозиции[[#This Row],[payment]]</f>
        <v>0</v>
      </c>
      <c r="S265" s="34" t="s">
        <v>575</v>
      </c>
      <c r="T265" s="56" t="s">
        <v>3061</v>
      </c>
      <c r="U265" s="56" t="s">
        <v>3061</v>
      </c>
      <c r="V265" s="64" t="s">
        <v>3061</v>
      </c>
      <c r="W265" s="7"/>
      <c r="X265"/>
    </row>
    <row r="266" spans="1:24" x14ac:dyDescent="0.25">
      <c r="A266" s="26">
        <v>79</v>
      </c>
      <c r="B266" s="1">
        <f>IFERROR(VLOOKUP(ТабПозиции[[#This Row],[orderNum]],ТабЗаказы[#Data],MATCH(B$7,ТабЗаказы[#Headers],0),0),"")</f>
        <v>45410</v>
      </c>
      <c r="C266" t="str">
        <f>MONTH(ТабПозиции[[#This Row],[date]])&amp;"/"&amp;YEAR(ТабПозиции[[#This Row],[date]])</f>
        <v>4/2024</v>
      </c>
      <c r="D266" s="1" t="str">
        <f>IFERROR(VLOOKUP(ТабПозиции[[#This Row],[orderNum]],ТабЗаказы[#Data],MATCH(D$7,ТабЗаказы[#Headers],0),0),"")</f>
        <v>григорий(танковый )</v>
      </c>
      <c r="E266" s="35" t="s">
        <v>780</v>
      </c>
      <c r="F266" s="56" t="s">
        <v>3061</v>
      </c>
      <c r="H266" s="34">
        <v>45449</v>
      </c>
      <c r="I266" s="26">
        <v>1</v>
      </c>
      <c r="J266" s="26">
        <v>2532</v>
      </c>
      <c r="K266">
        <v>2532</v>
      </c>
      <c r="L266" s="26">
        <v>2632</v>
      </c>
      <c r="M266">
        <f t="shared" si="3"/>
        <v>2632</v>
      </c>
      <c r="O26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Row],[orderNum]],ТабПозиции[orderSumm])&gt;1500),ABS(M266*VLOOKUP(ТабПозиции[[#This Row],[orderNum]],ТабЗаказы[#Data],MATCH("Percent",ТабЗаказы[#Headers],0),0))/100,200/COUNTIF(ТабПозиции[orderNum],ТабПозиции[[#This Row],[orderNum]])),0),"")</f>
        <v>395</v>
      </c>
      <c r="P266">
        <f>IF(OR(ТабПозиции[[#This Row],[item]]="По штрихкоду",ТабПозиции[[#This Row],[item]]="Посылка"),ТабПозиции[[#This Row],[deliverySumm]]+ТабПозиции[[#This Row],[deliveryPost]],SUM(M266:O266))</f>
        <v>3027</v>
      </c>
      <c r="Q266" s="57">
        <v>3027</v>
      </c>
      <c r="R266" s="62">
        <f>ТабПозиции[[#This Row],[totalSumm]]-ТабПозиции[[#This Row],[payment]]</f>
        <v>0</v>
      </c>
      <c r="S266" s="34" t="s">
        <v>575</v>
      </c>
      <c r="T266" s="56" t="s">
        <v>3061</v>
      </c>
      <c r="U266" s="56" t="s">
        <v>3061</v>
      </c>
      <c r="V266" s="56" t="s">
        <v>3061</v>
      </c>
      <c r="W266" s="7"/>
      <c r="X266"/>
    </row>
    <row r="267" spans="1:24" x14ac:dyDescent="0.25">
      <c r="A267" s="26">
        <v>79</v>
      </c>
      <c r="B267" s="1">
        <f>IFERROR(VLOOKUP(ТабПозиции[[#This Row],[orderNum]],ТабЗаказы[#Data],MATCH(B$7,ТабЗаказы[#Headers],0),0),"")</f>
        <v>45410</v>
      </c>
      <c r="C267" t="str">
        <f>MONTH(ТабПозиции[[#This Row],[date]])&amp;"/"&amp;YEAR(ТабПозиции[[#This Row],[date]])</f>
        <v>4/2024</v>
      </c>
      <c r="D267" s="1" t="str">
        <f>IFERROR(VLOOKUP(ТабПозиции[[#This Row],[orderNum]],ТабЗаказы[#Data],MATCH(D$7,ТабЗаказы[#Headers],0),0),"")</f>
        <v>григорий(танковый )</v>
      </c>
      <c r="E267" s="35" t="s">
        <v>781</v>
      </c>
      <c r="F267" s="56" t="s">
        <v>3061</v>
      </c>
      <c r="H267" s="34">
        <v>45416</v>
      </c>
      <c r="I267" s="26">
        <v>1</v>
      </c>
      <c r="J267" s="26">
        <v>482</v>
      </c>
      <c r="K267">
        <v>482</v>
      </c>
      <c r="L267" s="26">
        <v>515</v>
      </c>
      <c r="M267">
        <f t="shared" si="3"/>
        <v>515</v>
      </c>
      <c r="O26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Row],[orderNum]],ТабПозиции[orderSumm])&gt;1500),ABS(M267*VLOOKUP(ТабПозиции[[#This Row],[orderNum]],ТабЗаказы[#Data],MATCH("Percent",ТабЗаказы[#Headers],0),0))/100,200/COUNTIF(ТабПозиции[orderNum],ТабПозиции[[#This Row],[orderNum]])),0),"")</f>
        <v>77</v>
      </c>
      <c r="P267">
        <f>IF(OR(ТабПозиции[[#This Row],[item]]="По штрихкоду",ТабПозиции[[#This Row],[item]]="Посылка"),ТабПозиции[[#This Row],[deliverySumm]]+ТабПозиции[[#This Row],[deliveryPost]],SUM(M267:O267))</f>
        <v>592</v>
      </c>
      <c r="Q267" s="57">
        <v>592</v>
      </c>
      <c r="R267" s="62">
        <f>ТабПозиции[[#This Row],[totalSumm]]-ТабПозиции[[#This Row],[payment]]</f>
        <v>0</v>
      </c>
      <c r="S267" s="34" t="s">
        <v>575</v>
      </c>
      <c r="T267" s="56" t="s">
        <v>3061</v>
      </c>
      <c r="U267" s="56" t="s">
        <v>3061</v>
      </c>
      <c r="V267" s="56" t="s">
        <v>3061</v>
      </c>
      <c r="W267" s="7"/>
      <c r="X267"/>
    </row>
    <row r="268" spans="1:24" x14ac:dyDescent="0.25">
      <c r="A268" s="26">
        <v>79</v>
      </c>
      <c r="B268" s="1">
        <f>IFERROR(VLOOKUP(ТабПозиции[[#This Row],[orderNum]],ТабЗаказы[#Data],MATCH(B$7,ТабЗаказы[#Headers],0),0),"")</f>
        <v>45410</v>
      </c>
      <c r="C268" t="str">
        <f>MONTH(ТабПозиции[[#This Row],[date]])&amp;"/"&amp;YEAR(ТабПозиции[[#This Row],[date]])</f>
        <v>4/2024</v>
      </c>
      <c r="D268" s="1" t="str">
        <f>IFERROR(VLOOKUP(ТабПозиции[[#This Row],[orderNum]],ТабЗаказы[#Data],MATCH(D$7,ТабЗаказы[#Headers],0),0),"")</f>
        <v>григорий(танковый )</v>
      </c>
      <c r="E268" s="35" t="s">
        <v>782</v>
      </c>
      <c r="F268" s="56" t="s">
        <v>3061</v>
      </c>
      <c r="H268" s="34">
        <v>45415</v>
      </c>
      <c r="I268" s="26">
        <v>1</v>
      </c>
      <c r="J268" s="26">
        <v>562</v>
      </c>
      <c r="K268">
        <v>562</v>
      </c>
      <c r="L268" s="26">
        <v>600</v>
      </c>
      <c r="M268">
        <f t="shared" ref="M268:M331" si="4">L268*I268</f>
        <v>600</v>
      </c>
      <c r="O26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Row],[orderNum]],ТабПозиции[orderSumm])&gt;1500),ABS(M268*VLOOKUP(ТабПозиции[[#This Row],[orderNum]],ТабЗаказы[#Data],MATCH("Percent",ТабЗаказы[#Headers],0),0))/100,200/COUNTIF(ТабПозиции[orderNum],ТабПозиции[[#This Row],[orderNum]])),0),"")</f>
        <v>90</v>
      </c>
      <c r="P268">
        <f>IF(OR(ТабПозиции[[#This Row],[item]]="По штрихкоду",ТабПозиции[[#This Row],[item]]="Посылка"),ТабПозиции[[#This Row],[deliverySumm]]+ТабПозиции[[#This Row],[deliveryPost]],SUM(M268:O268))</f>
        <v>690</v>
      </c>
      <c r="Q268" s="57">
        <v>690</v>
      </c>
      <c r="R268" s="62">
        <f>ТабПозиции[[#This Row],[totalSumm]]-ТабПозиции[[#This Row],[payment]]</f>
        <v>0</v>
      </c>
      <c r="S268" s="34" t="s">
        <v>575</v>
      </c>
      <c r="T268" s="56" t="s">
        <v>3061</v>
      </c>
      <c r="U268" s="56" t="s">
        <v>3061</v>
      </c>
      <c r="V268" s="56" t="s">
        <v>3061</v>
      </c>
      <c r="W268" s="7"/>
      <c r="X268"/>
    </row>
    <row r="269" spans="1:24" x14ac:dyDescent="0.25">
      <c r="A269" s="26">
        <v>79</v>
      </c>
      <c r="B269" s="1">
        <f>IFERROR(VLOOKUP(ТабПозиции[[#This Row],[orderNum]],ТабЗаказы[#Data],MATCH(B$7,ТабЗаказы[#Headers],0),0),"")</f>
        <v>45410</v>
      </c>
      <c r="C269" t="str">
        <f>MONTH(ТабПозиции[[#This Row],[date]])&amp;"/"&amp;YEAR(ТабПозиции[[#This Row],[date]])</f>
        <v>4/2024</v>
      </c>
      <c r="D269" s="1" t="str">
        <f>IFERROR(VLOOKUP(ТабПозиции[[#This Row],[orderNum]],ТабЗаказы[#Data],MATCH(D$7,ТабЗаказы[#Headers],0),0),"")</f>
        <v>григорий(танковый )</v>
      </c>
      <c r="E269" s="35" t="s">
        <v>783</v>
      </c>
      <c r="F269" s="56" t="s">
        <v>3061</v>
      </c>
      <c r="H269" s="34">
        <v>45418</v>
      </c>
      <c r="I269" s="26">
        <v>1</v>
      </c>
      <c r="J269" s="26">
        <v>3174</v>
      </c>
      <c r="K269">
        <v>3174</v>
      </c>
      <c r="L269" s="26">
        <v>3358</v>
      </c>
      <c r="M269">
        <f t="shared" si="4"/>
        <v>3358</v>
      </c>
      <c r="O26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Row],[orderNum]],ТабПозиции[orderSumm])&gt;1500),ABS(M269*VLOOKUP(ТабПозиции[[#This Row],[orderNum]],ТабЗаказы[#Data],MATCH("Percent",ТабЗаказы[#Headers],0),0))/100,200/COUNTIF(ТабПозиции[orderNum],ТабПозиции[[#This Row],[orderNum]])),0),"")</f>
        <v>504</v>
      </c>
      <c r="P269">
        <f>IF(OR(ТабПозиции[[#This Row],[item]]="По штрихкоду",ТабПозиции[[#This Row],[item]]="Посылка"),ТабПозиции[[#This Row],[deliverySumm]]+ТабПозиции[[#This Row],[deliveryPost]],SUM(M269:O269))</f>
        <v>3862</v>
      </c>
      <c r="Q269" s="57">
        <v>3862</v>
      </c>
      <c r="R269" s="62">
        <f>ТабПозиции[[#This Row],[totalSumm]]-ТабПозиции[[#This Row],[payment]]</f>
        <v>0</v>
      </c>
      <c r="S269" s="34" t="s">
        <v>575</v>
      </c>
      <c r="T269" s="56" t="s">
        <v>3061</v>
      </c>
      <c r="U269" s="56" t="s">
        <v>3061</v>
      </c>
      <c r="V269" s="56" t="s">
        <v>3061</v>
      </c>
      <c r="W269" s="7"/>
      <c r="X269"/>
    </row>
    <row r="270" spans="1:24" x14ac:dyDescent="0.25">
      <c r="A270" s="26">
        <v>79</v>
      </c>
      <c r="B270" s="1">
        <f>IFERROR(VLOOKUP(ТабПозиции[[#This Row],[orderNum]],ТабЗаказы[#Data],MATCH(B$7,ТабЗаказы[#Headers],0),0),"")</f>
        <v>45410</v>
      </c>
      <c r="C270" t="str">
        <f>MONTH(ТабПозиции[[#This Row],[date]])&amp;"/"&amp;YEAR(ТабПозиции[[#This Row],[date]])</f>
        <v>4/2024</v>
      </c>
      <c r="D270" s="1" t="str">
        <f>IFERROR(VLOOKUP(ТабПозиции[[#This Row],[orderNum]],ТабЗаказы[#Data],MATCH(D$7,ТабЗаказы[#Headers],0),0),"")</f>
        <v>григорий(танковый )</v>
      </c>
      <c r="E270" s="35" t="s">
        <v>574</v>
      </c>
      <c r="F270" s="56" t="s">
        <v>3061</v>
      </c>
      <c r="H270" s="34">
        <v>45412</v>
      </c>
      <c r="I270" s="26">
        <v>1</v>
      </c>
      <c r="J270" s="26">
        <v>510</v>
      </c>
      <c r="K270">
        <v>510</v>
      </c>
      <c r="L270" s="26">
        <v>551</v>
      </c>
      <c r="M270">
        <f t="shared" si="4"/>
        <v>551</v>
      </c>
      <c r="O27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Row],[orderNum]],ТабПозиции[orderSumm])&gt;1500),ABS(M270*VLOOKUP(ТабПозиции[[#This Row],[orderNum]],ТабЗаказы[#Data],MATCH("Percent",ТабЗаказы[#Headers],0),0))/100,200/COUNTIF(ТабПозиции[orderNum],ТабПозиции[[#This Row],[orderNum]])),0),"")</f>
        <v>83</v>
      </c>
      <c r="P270">
        <f>IF(OR(ТабПозиции[[#This Row],[item]]="По штрихкоду",ТабПозиции[[#This Row],[item]]="Посылка"),ТабПозиции[[#This Row],[deliverySumm]]+ТабПозиции[[#This Row],[deliveryPost]],SUM(M270:O270))</f>
        <v>634</v>
      </c>
      <c r="Q270" s="57">
        <v>634</v>
      </c>
      <c r="R270" s="62">
        <f>ТабПозиции[[#This Row],[totalSumm]]-ТабПозиции[[#This Row],[payment]]</f>
        <v>0</v>
      </c>
      <c r="S270" s="34" t="s">
        <v>575</v>
      </c>
      <c r="T270" s="56" t="s">
        <v>3061</v>
      </c>
      <c r="U270" s="56" t="s">
        <v>3061</v>
      </c>
      <c r="V270" s="56" t="s">
        <v>3061</v>
      </c>
      <c r="W270" s="7"/>
      <c r="X270"/>
    </row>
    <row r="271" spans="1:24" x14ac:dyDescent="0.25">
      <c r="A271" s="26">
        <v>78</v>
      </c>
      <c r="B271" s="1">
        <f>IFERROR(VLOOKUP(ТабПозиции[[#This Row],[orderNum]],ТабЗаказы[#Data],MATCH(B$7,ТабЗаказы[#Headers],0),0),"")</f>
        <v>45409</v>
      </c>
      <c r="C271" t="str">
        <f>MONTH(ТабПозиции[[#This Row],[date]])&amp;"/"&amp;YEAR(ТабПозиции[[#This Row],[date]])</f>
        <v>4/2024</v>
      </c>
      <c r="D271" s="1" t="str">
        <f>IFERROR(VLOOKUP(ТабПозиции[[#This Row],[orderNum]],ТабЗаказы[#Data],MATCH(D$7,ТабЗаказы[#Headers],0),0),"")</f>
        <v>Елена Ларисына</v>
      </c>
      <c r="E271" s="37" t="s">
        <v>784</v>
      </c>
      <c r="F271" s="56" t="s">
        <v>3061</v>
      </c>
      <c r="H271" s="34">
        <v>45415</v>
      </c>
      <c r="I271" s="26">
        <v>1</v>
      </c>
      <c r="J271" s="26">
        <v>215</v>
      </c>
      <c r="K271">
        <v>215</v>
      </c>
      <c r="L271" s="26">
        <v>219</v>
      </c>
      <c r="M271">
        <f t="shared" si="4"/>
        <v>219</v>
      </c>
      <c r="O27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Row],[orderNum]],ТабПозиции[orderSumm])&gt;1500),ABS(M271*VLOOKUP(ТабПозиции[[#This Row],[orderNum]],ТабЗаказы[#Data],MATCH("Percent",ТабЗаказы[#Headers],0),0))/100,200/COUNTIF(ТабПозиции[orderNum],ТабПозиции[[#This Row],[orderNum]])),0),"")</f>
        <v>33</v>
      </c>
      <c r="P271">
        <f>IF(OR(ТабПозиции[[#This Row],[item]]="По штрихкоду",ТабПозиции[[#This Row],[item]]="Посылка"),ТабПозиции[[#This Row],[deliverySumm]]+ТабПозиции[[#This Row],[deliveryPost]],SUM(M271:O271))</f>
        <v>252</v>
      </c>
      <c r="Q271" s="57">
        <v>252</v>
      </c>
      <c r="R271" s="62">
        <f>ТабПозиции[[#This Row],[totalSumm]]-ТабПозиции[[#This Row],[payment]]</f>
        <v>0</v>
      </c>
      <c r="S271" s="34" t="s">
        <v>575</v>
      </c>
      <c r="T271" s="56" t="s">
        <v>3061</v>
      </c>
      <c r="U271" s="56" t="s">
        <v>3061</v>
      </c>
      <c r="V271" s="56" t="s">
        <v>3061</v>
      </c>
      <c r="W271" s="7"/>
      <c r="X271"/>
    </row>
    <row r="272" spans="1:24" x14ac:dyDescent="0.25">
      <c r="A272" s="26">
        <v>78</v>
      </c>
      <c r="B272" s="1">
        <f>IFERROR(VLOOKUP(ТабПозиции[[#This Row],[orderNum]],ТабЗаказы[#Data],MATCH(B$7,ТабЗаказы[#Headers],0),0),"")</f>
        <v>45409</v>
      </c>
      <c r="C272" t="str">
        <f>MONTH(ТабПозиции[[#This Row],[date]])&amp;"/"&amp;YEAR(ТабПозиции[[#This Row],[date]])</f>
        <v>4/2024</v>
      </c>
      <c r="D272" s="1" t="str">
        <f>IFERROR(VLOOKUP(ТабПозиции[[#This Row],[orderNum]],ТабЗаказы[#Data],MATCH(D$7,ТабЗаказы[#Headers],0),0),"")</f>
        <v>Елена Ларисына</v>
      </c>
      <c r="E272" s="32" t="s">
        <v>785</v>
      </c>
      <c r="F272" s="56" t="s">
        <v>3061</v>
      </c>
      <c r="H272" s="34">
        <v>45415</v>
      </c>
      <c r="I272" s="26">
        <v>1</v>
      </c>
      <c r="J272" s="26">
        <v>354</v>
      </c>
      <c r="K272">
        <v>354</v>
      </c>
      <c r="L272" s="26">
        <v>361</v>
      </c>
      <c r="M272">
        <f t="shared" si="4"/>
        <v>361</v>
      </c>
      <c r="O27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Row],[orderNum]],ТабПозиции[orderSumm])&gt;1500),ABS(M272*VLOOKUP(ТабПозиции[[#This Row],[orderNum]],ТабЗаказы[#Data],MATCH("Percent",ТабЗаказы[#Headers],0),0))/100,200/COUNTIF(ТабПозиции[orderNum],ТабПозиции[[#This Row],[orderNum]])),0),"")</f>
        <v>54</v>
      </c>
      <c r="P272">
        <f>IF(OR(ТабПозиции[[#This Row],[item]]="По штрихкоду",ТабПозиции[[#This Row],[item]]="Посылка"),ТабПозиции[[#This Row],[deliverySumm]]+ТабПозиции[[#This Row],[deliveryPost]],SUM(M272:O272))</f>
        <v>415</v>
      </c>
      <c r="Q272" s="57">
        <v>415</v>
      </c>
      <c r="R272" s="62">
        <f>ТабПозиции[[#This Row],[totalSumm]]-ТабПозиции[[#This Row],[payment]]</f>
        <v>0</v>
      </c>
      <c r="S272" s="34" t="s">
        <v>575</v>
      </c>
      <c r="T272" s="56" t="s">
        <v>3061</v>
      </c>
      <c r="U272" s="56" t="s">
        <v>3061</v>
      </c>
      <c r="V272" s="56" t="s">
        <v>3061</v>
      </c>
      <c r="W272" s="7"/>
      <c r="X272"/>
    </row>
    <row r="273" spans="1:24" x14ac:dyDescent="0.25">
      <c r="A273" s="26">
        <v>80</v>
      </c>
      <c r="B273" s="1">
        <f>IFERROR(VLOOKUP(ТабПозиции[[#This Row],[orderNum]],ТабЗаказы[#Data],MATCH(B$7,ТабЗаказы[#Headers],0),0),"")</f>
        <v>45412</v>
      </c>
      <c r="C273" t="str">
        <f>MONTH(ТабПозиции[[#This Row],[date]])&amp;"/"&amp;YEAR(ТабПозиции[[#This Row],[date]])</f>
        <v>4/2024</v>
      </c>
      <c r="D273" s="1" t="str">
        <f>IFERROR(VLOOKUP(ТабПозиции[[#This Row],[orderNum]],ТабЗаказы[#Data],MATCH(D$7,ТабЗаказы[#Headers],0),0),"")</f>
        <v>Митрофанов Евгений</v>
      </c>
      <c r="E273" s="32" t="s">
        <v>786</v>
      </c>
      <c r="F273" s="56" t="s">
        <v>3061</v>
      </c>
      <c r="H273" s="34">
        <v>45420</v>
      </c>
      <c r="I273" s="26">
        <v>1</v>
      </c>
      <c r="J273" s="26">
        <v>386</v>
      </c>
      <c r="K273">
        <v>386</v>
      </c>
      <c r="L273" s="26">
        <v>394</v>
      </c>
      <c r="M273">
        <f t="shared" si="4"/>
        <v>394</v>
      </c>
      <c r="O27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Row],[orderNum]],ТабПозиции[orderSumm])&gt;1500),ABS(M273*VLOOKUP(ТабПозиции[[#This Row],[orderNum]],ТабЗаказы[#Data],MATCH("Percent",ТабЗаказы[#Headers],0),0))/100,200/COUNTIF(ТабПозиции[orderNum],ТабПозиции[[#This Row],[orderNum]])),0),"")</f>
        <v>59</v>
      </c>
      <c r="P273">
        <f>IF(OR(ТабПозиции[[#This Row],[item]]="По штрихкоду",ТабПозиции[[#This Row],[item]]="Посылка"),ТабПозиции[[#This Row],[deliverySumm]]+ТабПозиции[[#This Row],[deliveryPost]],SUM(M273:O273))</f>
        <v>453</v>
      </c>
      <c r="Q273" s="57">
        <v>453</v>
      </c>
      <c r="R273" s="62">
        <f>ТабПозиции[[#This Row],[totalSumm]]-ТабПозиции[[#This Row],[payment]]</f>
        <v>0</v>
      </c>
      <c r="S273" s="34" t="s">
        <v>575</v>
      </c>
      <c r="T273" s="56" t="s">
        <v>3061</v>
      </c>
      <c r="U273" s="56" t="s">
        <v>3061</v>
      </c>
      <c r="V273" s="64" t="s">
        <v>3061</v>
      </c>
      <c r="W273" s="7"/>
      <c r="X273"/>
    </row>
    <row r="274" spans="1:24" x14ac:dyDescent="0.25">
      <c r="A274" s="26">
        <v>80</v>
      </c>
      <c r="B274" s="1">
        <f>IFERROR(VLOOKUP(ТабПозиции[[#This Row],[orderNum]],ТабЗаказы[#Data],MATCH(B$7,ТабЗаказы[#Headers],0),0),"")</f>
        <v>45412</v>
      </c>
      <c r="C274" t="str">
        <f>MONTH(ТабПозиции[[#This Row],[date]])&amp;"/"&amp;YEAR(ТабПозиции[[#This Row],[date]])</f>
        <v>4/2024</v>
      </c>
      <c r="D274" s="1" t="str">
        <f>IFERROR(VLOOKUP(ТабПозиции[[#This Row],[orderNum]],ТабЗаказы[#Data],MATCH(D$7,ТабЗаказы[#Headers],0),0),"")</f>
        <v>Митрофанов Евгений</v>
      </c>
      <c r="E274" s="32" t="s">
        <v>787</v>
      </c>
      <c r="F274" s="56" t="s">
        <v>3061</v>
      </c>
      <c r="H274" s="34">
        <v>45415</v>
      </c>
      <c r="I274" s="26">
        <v>1</v>
      </c>
      <c r="J274" s="26">
        <v>435</v>
      </c>
      <c r="K274">
        <v>435</v>
      </c>
      <c r="L274" s="26">
        <v>463</v>
      </c>
      <c r="M274">
        <f t="shared" si="4"/>
        <v>463</v>
      </c>
      <c r="O27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Row],[orderNum]],ТабПозиции[orderSumm])&gt;1500),ABS(M274*VLOOKUP(ТабПозиции[[#This Row],[orderNum]],ТабЗаказы[#Data],MATCH("Percent",ТабЗаказы[#Headers],0),0))/100,200/COUNTIF(ТабПозиции[orderNum],ТабПозиции[[#This Row],[orderNum]])),0),"")</f>
        <v>69</v>
      </c>
      <c r="P274">
        <f>IF(OR(ТабПозиции[[#This Row],[item]]="По штрихкоду",ТабПозиции[[#This Row],[item]]="Посылка"),ТабПозиции[[#This Row],[deliverySumm]]+ТабПозиции[[#This Row],[deliveryPost]],SUM(M274:O274))</f>
        <v>532</v>
      </c>
      <c r="Q274" s="57">
        <v>532</v>
      </c>
      <c r="R274" s="62">
        <f>ТабПозиции[[#This Row],[totalSumm]]-ТабПозиции[[#This Row],[payment]]</f>
        <v>0</v>
      </c>
      <c r="S274" s="34" t="s">
        <v>575</v>
      </c>
      <c r="T274" s="56" t="s">
        <v>3061</v>
      </c>
      <c r="U274" s="56" t="s">
        <v>3061</v>
      </c>
      <c r="V274" s="56" t="s">
        <v>3061</v>
      </c>
      <c r="W274" s="7"/>
      <c r="X274"/>
    </row>
    <row r="275" spans="1:24" x14ac:dyDescent="0.25">
      <c r="A275" s="26">
        <v>80</v>
      </c>
      <c r="B275" s="1">
        <f>IFERROR(VLOOKUP(ТабПозиции[[#This Row],[orderNum]],ТабЗаказы[#Data],MATCH(B$7,ТабЗаказы[#Headers],0),0),"")</f>
        <v>45412</v>
      </c>
      <c r="C275" t="str">
        <f>MONTH(ТабПозиции[[#This Row],[date]])&amp;"/"&amp;YEAR(ТабПозиции[[#This Row],[date]])</f>
        <v>4/2024</v>
      </c>
      <c r="D275" s="1" t="str">
        <f>IFERROR(VLOOKUP(ТабПозиции[[#This Row],[orderNum]],ТабЗаказы[#Data],MATCH(D$7,ТабЗаказы[#Headers],0),0),"")</f>
        <v>Митрофанов Евгений</v>
      </c>
      <c r="E275" s="32" t="s">
        <v>788</v>
      </c>
      <c r="F275" s="56" t="s">
        <v>3061</v>
      </c>
      <c r="H275" s="34">
        <v>45415</v>
      </c>
      <c r="I275" s="26">
        <v>1</v>
      </c>
      <c r="J275" s="26">
        <v>503</v>
      </c>
      <c r="K275">
        <v>503</v>
      </c>
      <c r="L275" s="26">
        <v>538</v>
      </c>
      <c r="M275">
        <f t="shared" si="4"/>
        <v>538</v>
      </c>
      <c r="O27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Row],[orderNum]],ТабПозиции[orderSumm])&gt;1500),ABS(M275*VLOOKUP(ТабПозиции[[#This Row],[orderNum]],ТабЗаказы[#Data],MATCH("Percent",ТабЗаказы[#Headers],0),0))/100,200/COUNTIF(ТабПозиции[orderNum],ТабПозиции[[#This Row],[orderNum]])),0),"")</f>
        <v>81</v>
      </c>
      <c r="P275">
        <f>IF(OR(ТабПозиции[[#This Row],[item]]="По штрихкоду",ТабПозиции[[#This Row],[item]]="Посылка"),ТабПозиции[[#This Row],[deliverySumm]]+ТабПозиции[[#This Row],[deliveryPost]],SUM(M275:O275))</f>
        <v>619</v>
      </c>
      <c r="Q275" s="57">
        <v>619</v>
      </c>
      <c r="R275" s="62">
        <f>ТабПозиции[[#This Row],[totalSumm]]-ТабПозиции[[#This Row],[payment]]</f>
        <v>0</v>
      </c>
      <c r="S275" s="34" t="s">
        <v>575</v>
      </c>
      <c r="T275" s="56" t="s">
        <v>3061</v>
      </c>
      <c r="U275" s="56" t="s">
        <v>3061</v>
      </c>
      <c r="V275" s="56" t="s">
        <v>3061</v>
      </c>
      <c r="W275" s="7"/>
      <c r="X275"/>
    </row>
    <row r="276" spans="1:24" x14ac:dyDescent="0.25">
      <c r="A276" s="26">
        <v>80</v>
      </c>
      <c r="B276" s="1">
        <f>IFERROR(VLOOKUP(ТабПозиции[[#This Row],[orderNum]],ТабЗаказы[#Data],MATCH(B$7,ТабЗаказы[#Headers],0),0),"")</f>
        <v>45412</v>
      </c>
      <c r="C276" t="str">
        <f>MONTH(ТабПозиции[[#This Row],[date]])&amp;"/"&amp;YEAR(ТабПозиции[[#This Row],[date]])</f>
        <v>4/2024</v>
      </c>
      <c r="D276" s="1" t="str">
        <f>IFERROR(VLOOKUP(ТабПозиции[[#This Row],[orderNum]],ТабЗаказы[#Data],MATCH(D$7,ТабЗаказы[#Headers],0),0),"")</f>
        <v>Митрофанов Евгений</v>
      </c>
      <c r="E276" s="32" t="s">
        <v>789</v>
      </c>
      <c r="F276" s="56" t="s">
        <v>3061</v>
      </c>
      <c r="H276" s="34">
        <v>45438</v>
      </c>
      <c r="I276" s="26">
        <v>1</v>
      </c>
      <c r="J276" s="26">
        <v>804</v>
      </c>
      <c r="K276">
        <v>804</v>
      </c>
      <c r="L276" s="26">
        <v>806</v>
      </c>
      <c r="M276">
        <f t="shared" si="4"/>
        <v>806</v>
      </c>
      <c r="O27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Row],[orderNum]],ТабПозиции[orderSumm])&gt;1500),ABS(M276*VLOOKUP(ТабПозиции[[#This Row],[orderNum]],ТабЗаказы[#Data],MATCH("Percent",ТабЗаказы[#Headers],0),0))/100,200/COUNTIF(ТабПозиции[orderNum],ТабПозиции[[#This Row],[orderNum]])),0),"")</f>
        <v>121</v>
      </c>
      <c r="P276">
        <f>IF(OR(ТабПозиции[[#This Row],[item]]="По штрихкоду",ТабПозиции[[#This Row],[item]]="Посылка"),ТабПозиции[[#This Row],[deliverySumm]]+ТабПозиции[[#This Row],[deliveryPost]],SUM(M276:O276))</f>
        <v>927</v>
      </c>
      <c r="Q276" s="57">
        <v>927</v>
      </c>
      <c r="R276" s="62">
        <f>ТабПозиции[[#This Row],[totalSumm]]-ТабПозиции[[#This Row],[payment]]</f>
        <v>0</v>
      </c>
      <c r="S276" s="34" t="s">
        <v>575</v>
      </c>
      <c r="T276" s="56" t="s">
        <v>3061</v>
      </c>
      <c r="U276" s="56" t="s">
        <v>3061</v>
      </c>
      <c r="V276" s="56" t="s">
        <v>3061</v>
      </c>
      <c r="W276" s="7"/>
      <c r="X276"/>
    </row>
    <row r="277" spans="1:24" x14ac:dyDescent="0.25">
      <c r="A277" s="26">
        <v>81</v>
      </c>
      <c r="B277" s="1">
        <f>IFERROR(VLOOKUP(ТабПозиции[[#This Row],[orderNum]],ТабЗаказы[#Data],MATCH(B$7,ТабЗаказы[#Headers],0),0),"")</f>
        <v>45415</v>
      </c>
      <c r="C277" t="str">
        <f>MONTH(ТабПозиции[[#This Row],[date]])&amp;"/"&amp;YEAR(ТабПозиции[[#This Row],[date]])</f>
        <v>5/2024</v>
      </c>
      <c r="D277" s="1" t="str">
        <f>IFERROR(VLOOKUP(ТабПозиции[[#This Row],[orderNum]],ТабЗаказы[#Data],MATCH(D$7,ТабЗаказы[#Headers],0),0),"")</f>
        <v>алекса фиери</v>
      </c>
      <c r="E277" s="35" t="s">
        <v>790</v>
      </c>
      <c r="F277" s="56" t="s">
        <v>3061</v>
      </c>
      <c r="H277" s="34">
        <v>45417</v>
      </c>
      <c r="I277" s="26">
        <v>1</v>
      </c>
      <c r="J277" s="26">
        <v>5121</v>
      </c>
      <c r="K277">
        <v>5121</v>
      </c>
      <c r="L277" s="26">
        <v>5335</v>
      </c>
      <c r="M277">
        <f t="shared" si="4"/>
        <v>5335</v>
      </c>
      <c r="O27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Row],[orderNum]],ТабПозиции[orderSumm])&gt;1500),ABS(M277*VLOOKUP(ТабПозиции[[#This Row],[orderNum]],ТабЗаказы[#Data],MATCH("Percent",ТабЗаказы[#Headers],0),0))/100,200/COUNTIF(ТабПозиции[orderNum],ТабПозиции[[#This Row],[orderNum]])),0),"")</f>
        <v>800</v>
      </c>
      <c r="P277">
        <f>IF(OR(ТабПозиции[[#This Row],[item]]="По штрихкоду",ТабПозиции[[#This Row],[item]]="Посылка"),ТабПозиции[[#This Row],[deliverySumm]]+ТабПозиции[[#This Row],[deliveryPost]],SUM(M277:O277))</f>
        <v>6135</v>
      </c>
      <c r="Q277" s="57">
        <v>6135</v>
      </c>
      <c r="R277" s="62">
        <f>ТабПозиции[[#This Row],[totalSumm]]-ТабПозиции[[#This Row],[payment]]</f>
        <v>0</v>
      </c>
      <c r="S277" s="34" t="s">
        <v>558</v>
      </c>
      <c r="T277" s="56" t="s">
        <v>3061</v>
      </c>
      <c r="U277" s="56" t="s">
        <v>3061</v>
      </c>
      <c r="V277" s="56" t="s">
        <v>3061</v>
      </c>
      <c r="W277" s="7"/>
      <c r="X277"/>
    </row>
    <row r="278" spans="1:24" x14ac:dyDescent="0.25">
      <c r="A278" s="26">
        <v>81</v>
      </c>
      <c r="B278" s="1">
        <f>IFERROR(VLOOKUP(ТабПозиции[[#This Row],[orderNum]],ТабЗаказы[#Data],MATCH(B$7,ТабЗаказы[#Headers],0),0),"")</f>
        <v>45415</v>
      </c>
      <c r="C278" t="str">
        <f>MONTH(ТабПозиции[[#This Row],[date]])&amp;"/"&amp;YEAR(ТабПозиции[[#This Row],[date]])</f>
        <v>5/2024</v>
      </c>
      <c r="D278" s="1" t="str">
        <f>IFERROR(VLOOKUP(ТабПозиции[[#This Row],[orderNum]],ТабЗаказы[#Data],MATCH(D$7,ТабЗаказы[#Headers],0),0),"")</f>
        <v>алекса фиери</v>
      </c>
      <c r="E278" s="35" t="s">
        <v>791</v>
      </c>
      <c r="F278" s="56" t="s">
        <v>3061</v>
      </c>
      <c r="H278" s="34">
        <v>45422</v>
      </c>
      <c r="I278" s="26">
        <v>1</v>
      </c>
      <c r="J278" s="26">
        <v>344</v>
      </c>
      <c r="K278">
        <v>344</v>
      </c>
      <c r="L278" s="26">
        <v>359</v>
      </c>
      <c r="M278">
        <f t="shared" si="4"/>
        <v>359</v>
      </c>
      <c r="O27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Row],[orderNum]],ТабПозиции[orderSumm])&gt;1500),ABS(M278*VLOOKUP(ТабПозиции[[#This Row],[orderNum]],ТабЗаказы[#Data],MATCH("Percent",ТабЗаказы[#Headers],0),0))/100,200/COUNTIF(ТабПозиции[orderNum],ТабПозиции[[#This Row],[orderNum]])),0),"")</f>
        <v>54</v>
      </c>
      <c r="P278">
        <f>IF(OR(ТабПозиции[[#This Row],[item]]="По штрихкоду",ТабПозиции[[#This Row],[item]]="Посылка"),ТабПозиции[[#This Row],[deliverySumm]]+ТабПозиции[[#This Row],[deliveryPost]],SUM(M278:O278))</f>
        <v>413</v>
      </c>
      <c r="Q278" s="57">
        <v>413</v>
      </c>
      <c r="R278" s="62">
        <f>ТабПозиции[[#This Row],[totalSumm]]-ТабПозиции[[#This Row],[payment]]</f>
        <v>0</v>
      </c>
      <c r="S278" s="34" t="s">
        <v>558</v>
      </c>
      <c r="T278" s="56" t="s">
        <v>3061</v>
      </c>
      <c r="U278" s="56" t="s">
        <v>3061</v>
      </c>
      <c r="V278" s="56" t="s">
        <v>3061</v>
      </c>
      <c r="W278" s="7"/>
      <c r="X278"/>
    </row>
    <row r="279" spans="1:24" x14ac:dyDescent="0.25">
      <c r="A279" s="26">
        <v>81</v>
      </c>
      <c r="B279" s="1">
        <f>IFERROR(VLOOKUP(ТабПозиции[[#This Row],[orderNum]],ТабЗаказы[#Data],MATCH(B$7,ТабЗаказы[#Headers],0),0),"")</f>
        <v>45415</v>
      </c>
      <c r="C279" t="str">
        <f>MONTH(ТабПозиции[[#This Row],[date]])&amp;"/"&amp;YEAR(ТабПозиции[[#This Row],[date]])</f>
        <v>5/2024</v>
      </c>
      <c r="D279" s="1" t="str">
        <f>IFERROR(VLOOKUP(ТабПозиции[[#This Row],[orderNum]],ТабЗаказы[#Data],MATCH(D$7,ТабЗаказы[#Headers],0),0),"")</f>
        <v>алекса фиери</v>
      </c>
      <c r="E279" s="35" t="s">
        <v>792</v>
      </c>
      <c r="F279" s="56" t="s">
        <v>3061</v>
      </c>
      <c r="H279" s="34">
        <v>45419</v>
      </c>
      <c r="I279" s="26">
        <v>1</v>
      </c>
      <c r="J279" s="26">
        <v>432</v>
      </c>
      <c r="K279">
        <v>432</v>
      </c>
      <c r="L279" s="26">
        <v>451</v>
      </c>
      <c r="M279">
        <f t="shared" si="4"/>
        <v>451</v>
      </c>
      <c r="O27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Row],[orderNum]],ТабПозиции[orderSumm])&gt;1500),ABS(M279*VLOOKUP(ТабПозиции[[#This Row],[orderNum]],ТабЗаказы[#Data],MATCH("Percent",ТабЗаказы[#Headers],0),0))/100,200/COUNTIF(ТабПозиции[orderNum],ТабПозиции[[#This Row],[orderNum]])),0),"")</f>
        <v>68</v>
      </c>
      <c r="P279">
        <f>IF(OR(ТабПозиции[[#This Row],[item]]="По штрихкоду",ТабПозиции[[#This Row],[item]]="Посылка"),ТабПозиции[[#This Row],[deliverySumm]]+ТабПозиции[[#This Row],[deliveryPost]],SUM(M279:O279))</f>
        <v>519</v>
      </c>
      <c r="Q279" s="57">
        <v>519</v>
      </c>
      <c r="R279" s="62">
        <f>ТабПозиции[[#This Row],[totalSumm]]-ТабПозиции[[#This Row],[payment]]</f>
        <v>0</v>
      </c>
      <c r="S279" s="34" t="s">
        <v>558</v>
      </c>
      <c r="T279" s="56" t="s">
        <v>3061</v>
      </c>
      <c r="U279" s="56" t="s">
        <v>3061</v>
      </c>
      <c r="V279" s="56" t="s">
        <v>3061</v>
      </c>
      <c r="W279" s="7"/>
      <c r="X279"/>
    </row>
    <row r="280" spans="1:24" x14ac:dyDescent="0.25">
      <c r="A280" s="26">
        <v>81</v>
      </c>
      <c r="B280" s="1">
        <f>IFERROR(VLOOKUP(ТабПозиции[[#This Row],[orderNum]],ТабЗаказы[#Data],MATCH(B$7,ТабЗаказы[#Headers],0),0),"")</f>
        <v>45415</v>
      </c>
      <c r="C280" t="str">
        <f>MONTH(ТабПозиции[[#This Row],[date]])&amp;"/"&amp;YEAR(ТабПозиции[[#This Row],[date]])</f>
        <v>5/2024</v>
      </c>
      <c r="D280" s="1" t="str">
        <f>IFERROR(VLOOKUP(ТабПозиции[[#This Row],[orderNum]],ТабЗаказы[#Data],MATCH(D$7,ТабЗаказы[#Headers],0),0),"")</f>
        <v>алекса фиери</v>
      </c>
      <c r="E280" s="35" t="s">
        <v>793</v>
      </c>
      <c r="F280" s="56" t="s">
        <v>3061</v>
      </c>
      <c r="H280" s="34">
        <v>45417</v>
      </c>
      <c r="I280" s="26">
        <v>1</v>
      </c>
      <c r="J280" s="26">
        <v>1530</v>
      </c>
      <c r="K280">
        <v>1530</v>
      </c>
      <c r="L280" s="26">
        <v>1594</v>
      </c>
      <c r="M280">
        <f t="shared" si="4"/>
        <v>1594</v>
      </c>
      <c r="O28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Row],[orderNum]],ТабПозиции[orderSumm])&gt;1500),ABS(M280*VLOOKUP(ТабПозиции[[#This Row],[orderNum]],ТабЗаказы[#Data],MATCH("Percent",ТабЗаказы[#Headers],0),0))/100,200/COUNTIF(ТабПозиции[orderNum],ТабПозиции[[#This Row],[orderNum]])),0),"")</f>
        <v>239</v>
      </c>
      <c r="P280">
        <f>IF(OR(ТабПозиции[[#This Row],[item]]="По штрихкоду",ТабПозиции[[#This Row],[item]]="Посылка"),ТабПозиции[[#This Row],[deliverySumm]]+ТабПозиции[[#This Row],[deliveryPost]],SUM(M280:O280))</f>
        <v>1833</v>
      </c>
      <c r="Q280" s="57">
        <v>1833</v>
      </c>
      <c r="R280" s="62">
        <f>ТабПозиции[[#This Row],[totalSumm]]-ТабПозиции[[#This Row],[payment]]</f>
        <v>0</v>
      </c>
      <c r="S280" s="34" t="s">
        <v>558</v>
      </c>
      <c r="T280" s="56" t="s">
        <v>3061</v>
      </c>
      <c r="U280" s="56" t="s">
        <v>3061</v>
      </c>
      <c r="V280" s="56" t="s">
        <v>3061</v>
      </c>
      <c r="W280" s="7"/>
      <c r="X280"/>
    </row>
    <row r="281" spans="1:24" x14ac:dyDescent="0.25">
      <c r="A281" s="26">
        <v>82</v>
      </c>
      <c r="B281" s="1">
        <f>IFERROR(VLOOKUP(ТабПозиции[[#This Row],[orderNum]],ТабЗаказы[#Data],MATCH(B$7,ТабЗаказы[#Headers],0),0),"")</f>
        <v>45415</v>
      </c>
      <c r="C281" t="str">
        <f>MONTH(ТабПозиции[[#This Row],[date]])&amp;"/"&amp;YEAR(ТабПозиции[[#This Row],[date]])</f>
        <v>5/2024</v>
      </c>
      <c r="D281" s="1" t="str">
        <f>IFERROR(VLOOKUP(ТабПозиции[[#This Row],[orderNum]],ТабЗаказы[#Data],MATCH(D$7,ТабЗаказы[#Headers],0),0),"")</f>
        <v>Лариса Кирова</v>
      </c>
      <c r="E281" s="32" t="s">
        <v>794</v>
      </c>
      <c r="F281" s="56" t="s">
        <v>3061</v>
      </c>
      <c r="H281" s="34">
        <v>45417</v>
      </c>
      <c r="I281" s="26">
        <v>1</v>
      </c>
      <c r="J281" s="26">
        <v>453</v>
      </c>
      <c r="K281">
        <v>453</v>
      </c>
      <c r="L281" s="26">
        <v>472</v>
      </c>
      <c r="M281">
        <f t="shared" si="4"/>
        <v>472</v>
      </c>
      <c r="O28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Row],[orderNum]],ТабПозиции[orderSumm])&gt;1500),ABS(M281*VLOOKUP(ТабПозиции[[#This Row],[orderNum]],ТабЗаказы[#Data],MATCH("Percent",ТабЗаказы[#Headers],0),0))/100,200/COUNTIF(ТабПозиции[orderNum],ТабПозиции[[#This Row],[orderNum]])),0),"")</f>
        <v>71</v>
      </c>
      <c r="P281">
        <f>IF(OR(ТабПозиции[[#This Row],[item]]="По штрихкоду",ТабПозиции[[#This Row],[item]]="Посылка"),ТабПозиции[[#This Row],[deliverySumm]]+ТабПозиции[[#This Row],[deliveryPost]],SUM(M281:O281))</f>
        <v>543</v>
      </c>
      <c r="Q281" s="57">
        <v>543</v>
      </c>
      <c r="R281" s="62">
        <f>ТабПозиции[[#This Row],[totalSumm]]-ТабПозиции[[#This Row],[payment]]</f>
        <v>0</v>
      </c>
      <c r="S281" s="34" t="s">
        <v>558</v>
      </c>
      <c r="T281" s="56" t="s">
        <v>3061</v>
      </c>
      <c r="U281" s="56" t="s">
        <v>3061</v>
      </c>
      <c r="V281" s="56" t="s">
        <v>3061</v>
      </c>
      <c r="W281" s="7"/>
      <c r="X281"/>
    </row>
    <row r="282" spans="1:24" x14ac:dyDescent="0.25">
      <c r="A282" s="26">
        <v>82</v>
      </c>
      <c r="B282" s="1">
        <f>IFERROR(VLOOKUP(ТабПозиции[[#This Row],[orderNum]],ТабЗаказы[#Data],MATCH(B$7,ТабЗаказы[#Headers],0),0),"")</f>
        <v>45415</v>
      </c>
      <c r="C282" t="str">
        <f>MONTH(ТабПозиции[[#This Row],[date]])&amp;"/"&amp;YEAR(ТабПозиции[[#This Row],[date]])</f>
        <v>5/2024</v>
      </c>
      <c r="D282" s="1" t="str">
        <f>IFERROR(VLOOKUP(ТабПозиции[[#This Row],[orderNum]],ТабЗаказы[#Data],MATCH(D$7,ТабЗаказы[#Headers],0),0),"")</f>
        <v>Лариса Кирова</v>
      </c>
      <c r="E282" s="32" t="s">
        <v>795</v>
      </c>
      <c r="F282" s="56" t="s">
        <v>3061</v>
      </c>
      <c r="H282" s="34">
        <v>45417</v>
      </c>
      <c r="I282" s="26">
        <v>1</v>
      </c>
      <c r="J282" s="26">
        <v>364</v>
      </c>
      <c r="K282">
        <v>364</v>
      </c>
      <c r="L282" s="26">
        <v>380</v>
      </c>
      <c r="M282">
        <f t="shared" si="4"/>
        <v>380</v>
      </c>
      <c r="O28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Row],[orderNum]],ТабПозиции[orderSumm])&gt;1500),ABS(M282*VLOOKUP(ТабПозиции[[#This Row],[orderNum]],ТабЗаказы[#Data],MATCH("Percent",ТабЗаказы[#Headers],0),0))/100,200/COUNTIF(ТабПозиции[orderNum],ТабПозиции[[#This Row],[orderNum]])),0),"")</f>
        <v>57</v>
      </c>
      <c r="P282">
        <f>IF(OR(ТабПозиции[[#This Row],[item]]="По штрихкоду",ТабПозиции[[#This Row],[item]]="Посылка"),ТабПозиции[[#This Row],[deliverySumm]]+ТабПозиции[[#This Row],[deliveryPost]],SUM(M282:O282))</f>
        <v>437</v>
      </c>
      <c r="Q282" s="57">
        <v>437</v>
      </c>
      <c r="R282" s="62">
        <f>ТабПозиции[[#This Row],[totalSumm]]-ТабПозиции[[#This Row],[payment]]</f>
        <v>0</v>
      </c>
      <c r="S282" s="34" t="s">
        <v>558</v>
      </c>
      <c r="T282" s="56" t="s">
        <v>3061</v>
      </c>
      <c r="U282" s="56" t="s">
        <v>3061</v>
      </c>
      <c r="V282" s="56" t="s">
        <v>3061</v>
      </c>
      <c r="W282" s="7"/>
      <c r="X282"/>
    </row>
    <row r="283" spans="1:24" x14ac:dyDescent="0.25">
      <c r="A283" s="26">
        <v>82</v>
      </c>
      <c r="B283" s="1">
        <f>IFERROR(VLOOKUP(ТабПозиции[[#This Row],[orderNum]],ТабЗаказы[#Data],MATCH(B$7,ТабЗаказы[#Headers],0),0),"")</f>
        <v>45415</v>
      </c>
      <c r="C283" t="str">
        <f>MONTH(ТабПозиции[[#This Row],[date]])&amp;"/"&amp;YEAR(ТабПозиции[[#This Row],[date]])</f>
        <v>5/2024</v>
      </c>
      <c r="D283" s="1" t="str">
        <f>IFERROR(VLOOKUP(ТабПозиции[[#This Row],[orderNum]],ТабЗаказы[#Data],MATCH(D$7,ТабЗаказы[#Headers],0),0),"")</f>
        <v>Лариса Кирова</v>
      </c>
      <c r="E283" s="32" t="s">
        <v>796</v>
      </c>
      <c r="F283" s="56" t="s">
        <v>3061</v>
      </c>
      <c r="H283" s="34">
        <v>45418</v>
      </c>
      <c r="I283" s="26">
        <v>1</v>
      </c>
      <c r="J283" s="26">
        <v>656</v>
      </c>
      <c r="K283">
        <v>656</v>
      </c>
      <c r="L283" s="26">
        <v>684</v>
      </c>
      <c r="M283">
        <f t="shared" si="4"/>
        <v>684</v>
      </c>
      <c r="O28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Row],[orderNum]],ТабПозиции[orderSumm])&gt;1500),ABS(M283*VLOOKUP(ТабПозиции[[#This Row],[orderNum]],ТабЗаказы[#Data],MATCH("Percent",ТабЗаказы[#Headers],0),0))/100,200/COUNTIF(ТабПозиции[orderNum],ТабПозиции[[#This Row],[orderNum]])),0),"")</f>
        <v>103</v>
      </c>
      <c r="P283">
        <f>IF(OR(ТабПозиции[[#This Row],[item]]="По штрихкоду",ТабПозиции[[#This Row],[item]]="Посылка"),ТабПозиции[[#This Row],[deliverySumm]]+ТабПозиции[[#This Row],[deliveryPost]],SUM(M283:O283))</f>
        <v>787</v>
      </c>
      <c r="Q283" s="57">
        <v>787</v>
      </c>
      <c r="R283" s="62">
        <f>ТабПозиции[[#This Row],[totalSumm]]-ТабПозиции[[#This Row],[payment]]</f>
        <v>0</v>
      </c>
      <c r="S283" s="34" t="s">
        <v>558</v>
      </c>
      <c r="T283" s="56" t="s">
        <v>3061</v>
      </c>
      <c r="U283" s="56" t="s">
        <v>3061</v>
      </c>
      <c r="V283" s="64" t="s">
        <v>3061</v>
      </c>
      <c r="W283" s="7"/>
      <c r="X283"/>
    </row>
    <row r="284" spans="1:24" x14ac:dyDescent="0.25">
      <c r="A284" s="26">
        <v>82</v>
      </c>
      <c r="B284" s="1">
        <f>IFERROR(VLOOKUP(ТабПозиции[[#This Row],[orderNum]],ТабЗаказы[#Data],MATCH(B$7,ТабЗаказы[#Headers],0),0),"")</f>
        <v>45415</v>
      </c>
      <c r="C284" t="str">
        <f>MONTH(ТабПозиции[[#This Row],[date]])&amp;"/"&amp;YEAR(ТабПозиции[[#This Row],[date]])</f>
        <v>5/2024</v>
      </c>
      <c r="D284" s="1" t="str">
        <f>IFERROR(VLOOKUP(ТабПозиции[[#This Row],[orderNum]],ТабЗаказы[#Data],MATCH(D$7,ТабЗаказы[#Headers],0),0),"")</f>
        <v>Лариса Кирова</v>
      </c>
      <c r="E284" s="32" t="s">
        <v>797</v>
      </c>
      <c r="F284" s="56" t="s">
        <v>3061</v>
      </c>
      <c r="H284" s="34">
        <v>45417</v>
      </c>
      <c r="I284" s="26">
        <v>1</v>
      </c>
      <c r="J284" s="26">
        <v>961</v>
      </c>
      <c r="K284">
        <v>961</v>
      </c>
      <c r="L284" s="26">
        <v>1002</v>
      </c>
      <c r="M284">
        <f t="shared" si="4"/>
        <v>1002</v>
      </c>
      <c r="O28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Row],[orderNum]],ТабПозиции[orderSumm])&gt;1500),ABS(M284*VLOOKUP(ТабПозиции[[#This Row],[orderNum]],ТабЗаказы[#Data],MATCH("Percent",ТабЗаказы[#Headers],0),0))/100,200/COUNTIF(ТабПозиции[orderNum],ТабПозиции[[#This Row],[orderNum]])),0),"")</f>
        <v>150</v>
      </c>
      <c r="P284">
        <f>IF(OR(ТабПозиции[[#This Row],[item]]="По штрихкоду",ТабПозиции[[#This Row],[item]]="Посылка"),ТабПозиции[[#This Row],[deliverySumm]]+ТабПозиции[[#This Row],[deliveryPost]],SUM(M284:O284))</f>
        <v>1152</v>
      </c>
      <c r="Q284" s="57">
        <v>1152</v>
      </c>
      <c r="R284" s="62">
        <f>ТабПозиции[[#This Row],[totalSumm]]-ТабПозиции[[#This Row],[payment]]</f>
        <v>0</v>
      </c>
      <c r="S284" s="34" t="s">
        <v>558</v>
      </c>
      <c r="T284" s="56" t="s">
        <v>3061</v>
      </c>
      <c r="U284" s="56" t="s">
        <v>3061</v>
      </c>
      <c r="V284" s="56" t="s">
        <v>3061</v>
      </c>
      <c r="W284" s="7"/>
      <c r="X284"/>
    </row>
    <row r="285" spans="1:24" x14ac:dyDescent="0.25">
      <c r="A285" s="26">
        <v>82</v>
      </c>
      <c r="B285" s="1">
        <f>IFERROR(VLOOKUP(ТабПозиции[[#This Row],[orderNum]],ТабЗаказы[#Data],MATCH(B$7,ТабЗаказы[#Headers],0),0),"")</f>
        <v>45415</v>
      </c>
      <c r="C285" t="str">
        <f>MONTH(ТабПозиции[[#This Row],[date]])&amp;"/"&amp;YEAR(ТабПозиции[[#This Row],[date]])</f>
        <v>5/2024</v>
      </c>
      <c r="D285" s="1" t="str">
        <f>IFERROR(VLOOKUP(ТабПозиции[[#This Row],[orderNum]],ТабЗаказы[#Data],MATCH(D$7,ТабЗаказы[#Headers],0),0),"")</f>
        <v>Лариса Кирова</v>
      </c>
      <c r="E285" s="32" t="s">
        <v>798</v>
      </c>
      <c r="F285" s="56" t="s">
        <v>3061</v>
      </c>
      <c r="H285" s="34">
        <v>45417</v>
      </c>
      <c r="I285" s="26">
        <v>1</v>
      </c>
      <c r="J285" s="26">
        <v>432</v>
      </c>
      <c r="K285">
        <v>432</v>
      </c>
      <c r="L285" s="26">
        <v>451</v>
      </c>
      <c r="M285">
        <f t="shared" si="4"/>
        <v>451</v>
      </c>
      <c r="O28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Row],[orderNum]],ТабПозиции[orderSumm])&gt;1500),ABS(M285*VLOOKUP(ТабПозиции[[#This Row],[orderNum]],ТабЗаказы[#Data],MATCH("Percent",ТабЗаказы[#Headers],0),0))/100,200/COUNTIF(ТабПозиции[orderNum],ТабПозиции[[#This Row],[orderNum]])),0),"")</f>
        <v>68</v>
      </c>
      <c r="P285">
        <f>IF(OR(ТабПозиции[[#This Row],[item]]="По штрихкоду",ТабПозиции[[#This Row],[item]]="Посылка"),ТабПозиции[[#This Row],[deliverySumm]]+ТабПозиции[[#This Row],[deliveryPost]],SUM(M285:O285))</f>
        <v>519</v>
      </c>
      <c r="Q285" s="57">
        <v>519</v>
      </c>
      <c r="R285" s="62">
        <f>ТабПозиции[[#This Row],[totalSumm]]-ТабПозиции[[#This Row],[payment]]</f>
        <v>0</v>
      </c>
      <c r="S285" s="34" t="s">
        <v>558</v>
      </c>
      <c r="T285" s="56" t="s">
        <v>3061</v>
      </c>
      <c r="U285" s="56" t="s">
        <v>3061</v>
      </c>
      <c r="V285" s="56" t="s">
        <v>3061</v>
      </c>
      <c r="W285" s="7"/>
      <c r="X285"/>
    </row>
    <row r="286" spans="1:24" x14ac:dyDescent="0.25">
      <c r="A286" s="26">
        <v>83</v>
      </c>
      <c r="B286" s="1">
        <f>IFERROR(VLOOKUP(ТабПозиции[[#This Row],[orderNum]],ТабЗаказы[#Data],MATCH(B$7,ТабЗаказы[#Headers],0),0),"")</f>
        <v>45415</v>
      </c>
      <c r="C286" t="str">
        <f>MONTH(ТабПозиции[[#This Row],[date]])&amp;"/"&amp;YEAR(ТабПозиции[[#This Row],[date]])</f>
        <v>5/2024</v>
      </c>
      <c r="D286" s="1" t="str">
        <f>IFERROR(VLOOKUP(ТабПозиции[[#This Row],[orderNum]],ТабЗаказы[#Data],MATCH(D$7,ТабЗаказы[#Headers],0),0),"")</f>
        <v>Руденко Юля</v>
      </c>
      <c r="E286" s="32" t="s">
        <v>799</v>
      </c>
      <c r="F286" s="56" t="s">
        <v>3061</v>
      </c>
      <c r="H286" s="34">
        <v>45418</v>
      </c>
      <c r="I286" s="26">
        <v>1</v>
      </c>
      <c r="J286" s="26">
        <v>459</v>
      </c>
      <c r="K286">
        <v>459</v>
      </c>
      <c r="L286" s="26">
        <v>479</v>
      </c>
      <c r="M286">
        <f t="shared" si="4"/>
        <v>479</v>
      </c>
      <c r="O28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Row],[orderNum]],ТабПозиции[orderSumm])&gt;1500),ABS(M286*VLOOKUP(ТабПозиции[[#This Row],[orderNum]],ТабЗаказы[#Data],MATCH("Percent",ТабЗаказы[#Headers],0),0))/100,200/COUNTIF(ТабПозиции[orderNum],ТабПозиции[[#This Row],[orderNum]])),0),"")</f>
        <v>48</v>
      </c>
      <c r="P286">
        <f>IF(OR(ТабПозиции[[#This Row],[item]]="По штрихкоду",ТабПозиции[[#This Row],[item]]="Посылка"),ТабПозиции[[#This Row],[deliverySumm]]+ТабПозиции[[#This Row],[deliveryPost]],SUM(M286:O286))</f>
        <v>527</v>
      </c>
      <c r="Q286" s="57">
        <v>527</v>
      </c>
      <c r="R286" s="62">
        <f>ТабПозиции[[#This Row],[totalSumm]]-ТабПозиции[[#This Row],[payment]]</f>
        <v>0</v>
      </c>
      <c r="S286" s="34" t="s">
        <v>558</v>
      </c>
      <c r="T286" s="56" t="s">
        <v>3061</v>
      </c>
      <c r="U286" s="56" t="s">
        <v>3061</v>
      </c>
      <c r="V286" s="56" t="s">
        <v>3061</v>
      </c>
      <c r="W286" s="7"/>
      <c r="X286"/>
    </row>
    <row r="287" spans="1:24" x14ac:dyDescent="0.25">
      <c r="A287" s="26">
        <v>83</v>
      </c>
      <c r="B287" s="1">
        <f>IFERROR(VLOOKUP(ТабПозиции[[#This Row],[orderNum]],ТабЗаказы[#Data],MATCH(B$7,ТабЗаказы[#Headers],0),0),"")</f>
        <v>45415</v>
      </c>
      <c r="C287" t="str">
        <f>MONTH(ТабПозиции[[#This Row],[date]])&amp;"/"&amp;YEAR(ТабПозиции[[#This Row],[date]])</f>
        <v>5/2024</v>
      </c>
      <c r="D287" s="1" t="str">
        <f>IFERROR(VLOOKUP(ТабПозиции[[#This Row],[orderNum]],ТабЗаказы[#Data],MATCH(D$7,ТабЗаказы[#Headers],0),0),"")</f>
        <v>Руденко Юля</v>
      </c>
      <c r="E287" s="32" t="s">
        <v>800</v>
      </c>
      <c r="F287" s="56" t="s">
        <v>3061</v>
      </c>
      <c r="H287" s="34">
        <v>45418</v>
      </c>
      <c r="I287" s="26">
        <v>1</v>
      </c>
      <c r="J287" s="26">
        <v>216</v>
      </c>
      <c r="K287">
        <v>216</v>
      </c>
      <c r="L287" s="26">
        <v>226</v>
      </c>
      <c r="M287">
        <f t="shared" si="4"/>
        <v>226</v>
      </c>
      <c r="O28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Row],[orderNum]],ТабПозиции[orderSumm])&gt;1500),ABS(M287*VLOOKUP(ТабПозиции[[#This Row],[orderNum]],ТабЗаказы[#Data],MATCH("Percent",ТабЗаказы[#Headers],0),0))/100,200/COUNTIF(ТабПозиции[orderNum],ТабПозиции[[#This Row],[orderNum]])),0),"")</f>
        <v>23</v>
      </c>
      <c r="P287">
        <f>IF(OR(ТабПозиции[[#This Row],[item]]="По штрихкоду",ТабПозиции[[#This Row],[item]]="Посылка"),ТабПозиции[[#This Row],[deliverySumm]]+ТабПозиции[[#This Row],[deliveryPost]],SUM(M287:O287))</f>
        <v>249</v>
      </c>
      <c r="Q287" s="57">
        <v>249</v>
      </c>
      <c r="R287" s="62">
        <f>ТабПозиции[[#This Row],[totalSumm]]-ТабПозиции[[#This Row],[payment]]</f>
        <v>0</v>
      </c>
      <c r="S287" s="34" t="s">
        <v>558</v>
      </c>
      <c r="T287" s="56" t="s">
        <v>3061</v>
      </c>
      <c r="U287" s="56" t="s">
        <v>3061</v>
      </c>
      <c r="V287" s="56" t="s">
        <v>3061</v>
      </c>
      <c r="W287" s="7"/>
      <c r="X287"/>
    </row>
    <row r="288" spans="1:24" x14ac:dyDescent="0.25">
      <c r="A288" s="26">
        <v>83</v>
      </c>
      <c r="B288" s="1">
        <f>IFERROR(VLOOKUP(ТабПозиции[[#This Row],[orderNum]],ТабЗаказы[#Data],MATCH(B$7,ТабЗаказы[#Headers],0),0),"")</f>
        <v>45415</v>
      </c>
      <c r="C288" t="str">
        <f>MONTH(ТабПозиции[[#This Row],[date]])&amp;"/"&amp;YEAR(ТабПозиции[[#This Row],[date]])</f>
        <v>5/2024</v>
      </c>
      <c r="D288" s="1" t="str">
        <f>IFERROR(VLOOKUP(ТабПозиции[[#This Row],[orderNum]],ТабЗаказы[#Data],MATCH(D$7,ТабЗаказы[#Headers],0),0),"")</f>
        <v>Руденко Юля</v>
      </c>
      <c r="E288" s="32" t="s">
        <v>801</v>
      </c>
      <c r="F288" s="56" t="s">
        <v>3061</v>
      </c>
      <c r="H288" s="34">
        <v>45417</v>
      </c>
      <c r="I288" s="26">
        <v>1</v>
      </c>
      <c r="J288" s="26">
        <v>191</v>
      </c>
      <c r="K288">
        <v>191</v>
      </c>
      <c r="L288" s="26">
        <v>199</v>
      </c>
      <c r="M288">
        <f t="shared" si="4"/>
        <v>199</v>
      </c>
      <c r="O28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Row],[orderNum]],ТабПозиции[orderSumm])&gt;1500),ABS(M288*VLOOKUP(ТабПозиции[[#This Row],[orderNum]],ТабЗаказы[#Data],MATCH("Percent",ТабЗаказы[#Headers],0),0))/100,200/COUNTIF(ТабПозиции[orderNum],ТабПозиции[[#This Row],[orderNum]])),0),"")</f>
        <v>20</v>
      </c>
      <c r="P288">
        <f>IF(OR(ТабПозиции[[#This Row],[item]]="По штрихкоду",ТабПозиции[[#This Row],[item]]="Посылка"),ТабПозиции[[#This Row],[deliverySumm]]+ТабПозиции[[#This Row],[deliveryPost]],SUM(M288:O288))</f>
        <v>219</v>
      </c>
      <c r="Q288" s="57">
        <v>219</v>
      </c>
      <c r="R288" s="62">
        <f>ТабПозиции[[#This Row],[totalSumm]]-ТабПозиции[[#This Row],[payment]]</f>
        <v>0</v>
      </c>
      <c r="S288" s="34" t="s">
        <v>558</v>
      </c>
      <c r="T288" s="56" t="s">
        <v>3061</v>
      </c>
      <c r="U288" s="56" t="s">
        <v>3061</v>
      </c>
      <c r="V288" s="56" t="s">
        <v>3061</v>
      </c>
      <c r="W288" s="7"/>
      <c r="X288"/>
    </row>
    <row r="289" spans="1:24" x14ac:dyDescent="0.25">
      <c r="A289" s="26">
        <v>83</v>
      </c>
      <c r="B289" s="1">
        <f>IFERROR(VLOOKUP(ТабПозиции[[#This Row],[orderNum]],ТабЗаказы[#Data],MATCH(B$7,ТабЗаказы[#Headers],0),0),"")</f>
        <v>45415</v>
      </c>
      <c r="C289" t="str">
        <f>MONTH(ТабПозиции[[#This Row],[date]])&amp;"/"&amp;YEAR(ТабПозиции[[#This Row],[date]])</f>
        <v>5/2024</v>
      </c>
      <c r="D289" s="1" t="str">
        <f>IFERROR(VLOOKUP(ТабПозиции[[#This Row],[orderNum]],ТабЗаказы[#Data],MATCH(D$7,ТабЗаказы[#Headers],0),0),"")</f>
        <v>Руденко Юля</v>
      </c>
      <c r="E289" s="32" t="s">
        <v>802</v>
      </c>
      <c r="F289" s="56" t="s">
        <v>3061</v>
      </c>
      <c r="H289" s="34">
        <v>45417</v>
      </c>
      <c r="I289" s="26">
        <v>2</v>
      </c>
      <c r="J289" s="26">
        <v>339</v>
      </c>
      <c r="K289">
        <v>678</v>
      </c>
      <c r="L289" s="26">
        <v>354</v>
      </c>
      <c r="M289">
        <f t="shared" si="4"/>
        <v>708</v>
      </c>
      <c r="O28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Row],[orderNum]],ТабПозиции[orderSumm])&gt;1500),ABS(M289*VLOOKUP(ТабПозиции[[#This Row],[orderNum]],ТабЗаказы[#Data],MATCH("Percent",ТабЗаказы[#Headers],0),0))/100,200/COUNTIF(ТабПозиции[orderNum],ТабПозиции[[#This Row],[orderNum]])),0),"")</f>
        <v>71</v>
      </c>
      <c r="P289">
        <f>IF(OR(ТабПозиции[[#This Row],[item]]="По штрихкоду",ТабПозиции[[#This Row],[item]]="Посылка"),ТабПозиции[[#This Row],[deliverySumm]]+ТабПозиции[[#This Row],[deliveryPost]],SUM(M289:O289))</f>
        <v>779</v>
      </c>
      <c r="Q289" s="57">
        <v>779</v>
      </c>
      <c r="R289" s="62">
        <f>ТабПозиции[[#This Row],[totalSumm]]-ТабПозиции[[#This Row],[payment]]</f>
        <v>0</v>
      </c>
      <c r="S289" s="34" t="s">
        <v>558</v>
      </c>
      <c r="T289" s="56" t="s">
        <v>3061</v>
      </c>
      <c r="U289" s="56" t="s">
        <v>3061</v>
      </c>
      <c r="V289" s="56" t="s">
        <v>3061</v>
      </c>
      <c r="W289" s="7"/>
      <c r="X289"/>
    </row>
    <row r="290" spans="1:24" x14ac:dyDescent="0.25">
      <c r="A290" s="26">
        <v>83</v>
      </c>
      <c r="B290" s="1">
        <f>IFERROR(VLOOKUP(ТабПозиции[[#This Row],[orderNum]],ТабЗаказы[#Data],MATCH(B$7,ТабЗаказы[#Headers],0),0),"")</f>
        <v>45415</v>
      </c>
      <c r="C290" t="str">
        <f>MONTH(ТабПозиции[[#This Row],[date]])&amp;"/"&amp;YEAR(ТабПозиции[[#This Row],[date]])</f>
        <v>5/2024</v>
      </c>
      <c r="D290" s="1" t="str">
        <f>IFERROR(VLOOKUP(ТабПозиции[[#This Row],[orderNum]],ТабЗаказы[#Data],MATCH(D$7,ТабЗаказы[#Headers],0),0),"")</f>
        <v>Руденко Юля</v>
      </c>
      <c r="E290" s="32" t="s">
        <v>803</v>
      </c>
      <c r="F290" s="56" t="s">
        <v>3061</v>
      </c>
      <c r="H290" s="34">
        <v>45418</v>
      </c>
      <c r="I290" s="26">
        <v>1</v>
      </c>
      <c r="J290" s="26">
        <v>554</v>
      </c>
      <c r="K290">
        <v>554</v>
      </c>
      <c r="L290" s="26">
        <v>578</v>
      </c>
      <c r="M290">
        <f t="shared" si="4"/>
        <v>578</v>
      </c>
      <c r="O29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Row],[orderNum]],ТабПозиции[orderSumm])&gt;1500),ABS(M290*VLOOKUP(ТабПозиции[[#This Row],[orderNum]],ТабЗаказы[#Data],MATCH("Percent",ТабЗаказы[#Headers],0),0))/100,200/COUNTIF(ТабПозиции[orderNum],ТабПозиции[[#This Row],[orderNum]])),0),"")</f>
        <v>58</v>
      </c>
      <c r="P290">
        <f>IF(OR(ТабПозиции[[#This Row],[item]]="По штрихкоду",ТабПозиции[[#This Row],[item]]="Посылка"),ТабПозиции[[#This Row],[deliverySumm]]+ТабПозиции[[#This Row],[deliveryPost]],SUM(M290:O290))</f>
        <v>636</v>
      </c>
      <c r="Q290" s="57">
        <v>636</v>
      </c>
      <c r="R290" s="62">
        <f>ТабПозиции[[#This Row],[totalSumm]]-ТабПозиции[[#This Row],[payment]]</f>
        <v>0</v>
      </c>
      <c r="S290" s="34" t="s">
        <v>558</v>
      </c>
      <c r="T290" s="56" t="s">
        <v>3061</v>
      </c>
      <c r="U290" s="56" t="s">
        <v>3061</v>
      </c>
      <c r="V290" s="56" t="s">
        <v>3061</v>
      </c>
      <c r="W290" s="7"/>
      <c r="X290"/>
    </row>
    <row r="291" spans="1:24" x14ac:dyDescent="0.25">
      <c r="A291" s="26">
        <v>83</v>
      </c>
      <c r="B291" s="1">
        <f>IFERROR(VLOOKUP(ТабПозиции[[#This Row],[orderNum]],ТабЗаказы[#Data],MATCH(B$7,ТабЗаказы[#Headers],0),0),"")</f>
        <v>45415</v>
      </c>
      <c r="C291" t="str">
        <f>MONTH(ТабПозиции[[#This Row],[date]])&amp;"/"&amp;YEAR(ТабПозиции[[#This Row],[date]])</f>
        <v>5/2024</v>
      </c>
      <c r="D291" s="1" t="str">
        <f>IFERROR(VLOOKUP(ТабПозиции[[#This Row],[orderNum]],ТабЗаказы[#Data],MATCH(D$7,ТабЗаказы[#Headers],0),0),"")</f>
        <v>Руденко Юля</v>
      </c>
      <c r="E291" s="32" t="s">
        <v>804</v>
      </c>
      <c r="F291" s="56" t="s">
        <v>3061</v>
      </c>
      <c r="H291" s="34">
        <v>45417</v>
      </c>
      <c r="I291" s="26">
        <v>3</v>
      </c>
      <c r="J291" s="26">
        <v>1254</v>
      </c>
      <c r="K291">
        <v>3762</v>
      </c>
      <c r="L291" s="26">
        <v>1307</v>
      </c>
      <c r="M291">
        <f t="shared" si="4"/>
        <v>3921</v>
      </c>
      <c r="O29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Row],[orderNum]],ТабПозиции[orderSumm])&gt;1500),ABS(M291*VLOOKUP(ТабПозиции[[#This Row],[orderNum]],ТабЗаказы[#Data],MATCH("Percent",ТабЗаказы[#Headers],0),0))/100,200/COUNTIF(ТабПозиции[orderNum],ТабПозиции[[#This Row],[orderNum]])),0),"")</f>
        <v>392</v>
      </c>
      <c r="P291">
        <f>IF(OR(ТабПозиции[[#This Row],[item]]="По штрихкоду",ТабПозиции[[#This Row],[item]]="Посылка"),ТабПозиции[[#This Row],[deliverySumm]]+ТабПозиции[[#This Row],[deliveryPost]],SUM(M291:O291))</f>
        <v>4313</v>
      </c>
      <c r="Q291" s="57">
        <v>4313</v>
      </c>
      <c r="R291" s="62">
        <f>ТабПозиции[[#This Row],[totalSumm]]-ТабПозиции[[#This Row],[payment]]</f>
        <v>0</v>
      </c>
      <c r="S291" s="34" t="s">
        <v>558</v>
      </c>
      <c r="T291" s="56" t="s">
        <v>3061</v>
      </c>
      <c r="U291" s="56" t="s">
        <v>3061</v>
      </c>
      <c r="V291" s="56" t="s">
        <v>3061</v>
      </c>
      <c r="W291" s="7"/>
      <c r="X291"/>
    </row>
    <row r="292" spans="1:24" x14ac:dyDescent="0.25">
      <c r="A292" s="26">
        <v>84</v>
      </c>
      <c r="B292" s="1">
        <f>IFERROR(VLOOKUP(ТабПозиции[[#This Row],[orderNum]],ТабЗаказы[#Data],MATCH(B$7,ТабЗаказы[#Headers],0),0),"")</f>
        <v>45416</v>
      </c>
      <c r="C292" t="str">
        <f>MONTH(ТабПозиции[[#This Row],[date]])&amp;"/"&amp;YEAR(ТабПозиции[[#This Row],[date]])</f>
        <v>5/2024</v>
      </c>
      <c r="D292" s="1" t="str">
        <f>IFERROR(VLOOKUP(ТабПозиции[[#This Row],[orderNum]],ТабЗаказы[#Data],MATCH(D$7,ТабЗаказы[#Headers],0),0),"")</f>
        <v>Геннадий Генерал</v>
      </c>
      <c r="E292" s="26" t="s">
        <v>32</v>
      </c>
      <c r="F292" s="56" t="s">
        <v>3061</v>
      </c>
      <c r="H292" s="34">
        <v>45416</v>
      </c>
      <c r="I292" s="26">
        <v>1</v>
      </c>
      <c r="J292" s="26">
        <v>6297</v>
      </c>
      <c r="K292">
        <v>6297</v>
      </c>
      <c r="L292" s="26">
        <v>6297</v>
      </c>
      <c r="M292">
        <f t="shared" si="4"/>
        <v>6297</v>
      </c>
      <c r="O29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Row],[orderNum]],ТабПозиции[orderSumm])&gt;1500),ABS(M292*VLOOKUP(ТабПозиции[[#This Row],[orderNum]],ТабЗаказы[#Data],MATCH("Percent",ТабЗаказы[#Headers],0),0))/100,200/COUNTIF(ТабПозиции[orderNum],ТабПозиции[[#This Row],[orderNum]])),0),"")</f>
        <v>630</v>
      </c>
      <c r="P292">
        <f>IF(OR(ТабПозиции[[#This Row],[item]]="По штрихкоду",ТабПозиции[[#This Row],[item]]="Посылка"),ТабПозиции[[#This Row],[deliverySumm]]+ТабПозиции[[#This Row],[deliveryPost]],SUM(M292:O292))</f>
        <v>630</v>
      </c>
      <c r="Q292" s="57">
        <v>630</v>
      </c>
      <c r="R292" s="62">
        <f>ТабПозиции[[#This Row],[totalSumm]]-ТабПозиции[[#This Row],[payment]]</f>
        <v>0</v>
      </c>
      <c r="S292" s="34" t="s">
        <v>575</v>
      </c>
      <c r="T292" s="56" t="s">
        <v>3061</v>
      </c>
      <c r="U292" s="56" t="s">
        <v>3061</v>
      </c>
      <c r="V292" s="56" t="s">
        <v>3061</v>
      </c>
      <c r="W292" s="7"/>
      <c r="X292"/>
    </row>
    <row r="293" spans="1:24" x14ac:dyDescent="0.25">
      <c r="A293" s="26">
        <v>85</v>
      </c>
      <c r="B293" s="1">
        <f>IFERROR(VLOOKUP(ТабПозиции[[#This Row],[orderNum]],ТабЗаказы[#Data],MATCH(B$7,ТабЗаказы[#Headers],0),0),"")</f>
        <v>45416</v>
      </c>
      <c r="C293" t="str">
        <f>MONTH(ТабПозиции[[#This Row],[date]])&amp;"/"&amp;YEAR(ТабПозиции[[#This Row],[date]])</f>
        <v>5/2024</v>
      </c>
      <c r="D293" s="1" t="str">
        <f>IFERROR(VLOOKUP(ТабПозиции[[#This Row],[orderNum]],ТабЗаказы[#Data],MATCH(D$7,ТабЗаказы[#Headers],0),0),"")</f>
        <v>Антон Кондитерка</v>
      </c>
      <c r="E293" s="26" t="s">
        <v>32</v>
      </c>
      <c r="F293" s="56" t="s">
        <v>3061</v>
      </c>
      <c r="H293" s="34">
        <v>45416</v>
      </c>
      <c r="I293" s="26">
        <v>1</v>
      </c>
      <c r="J293" s="26">
        <v>500</v>
      </c>
      <c r="K293">
        <v>500</v>
      </c>
      <c r="L293" s="26">
        <v>500</v>
      </c>
      <c r="M293">
        <f t="shared" si="4"/>
        <v>500</v>
      </c>
      <c r="N293" s="26">
        <v>200</v>
      </c>
      <c r="O29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Row],[orderNum]],ТабПозиции[orderSumm])&gt;1500),ABS(M293*VLOOKUP(ТабПозиции[[#This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293">
        <f>IF(OR(ТабПозиции[[#This Row],[item]]="По штрихкоду",ТабПозиции[[#This Row],[item]]="Посылка"),ТабПозиции[[#This Row],[deliverySumm]]+ТабПозиции[[#This Row],[deliveryPost]],SUM(M293:O293))</f>
        <v>400</v>
      </c>
      <c r="Q293" s="57">
        <v>400</v>
      </c>
      <c r="R293" s="62">
        <f>ТабПозиции[[#This Row],[totalSumm]]-ТабПозиции[[#This Row],[payment]]</f>
        <v>0</v>
      </c>
      <c r="S293" s="34" t="s">
        <v>575</v>
      </c>
      <c r="T293" s="56" t="s">
        <v>3061</v>
      </c>
      <c r="U293" s="56" t="s">
        <v>3061</v>
      </c>
      <c r="V293" s="56" t="s">
        <v>3061</v>
      </c>
      <c r="W293" s="7"/>
      <c r="X293"/>
    </row>
    <row r="294" spans="1:24" x14ac:dyDescent="0.25">
      <c r="A294" s="26">
        <v>86</v>
      </c>
      <c r="B294" s="1">
        <f>IFERROR(VLOOKUP(ТабПозиции[[#This Row],[orderNum]],ТабЗаказы[#Data],MATCH(B$7,ТабЗаказы[#Headers],0),0),"")</f>
        <v>45418</v>
      </c>
      <c r="C294" t="str">
        <f>MONTH(ТабПозиции[[#This Row],[date]])&amp;"/"&amp;YEAR(ТабПозиции[[#This Row],[date]])</f>
        <v>5/2024</v>
      </c>
      <c r="D294" s="1" t="str">
        <f>IFERROR(VLOOKUP(ТабПозиции[[#This Row],[orderNum]],ТабЗаказы[#Data],MATCH(D$7,ТабЗаказы[#Headers],0),0),"")</f>
        <v>григорий(танковый )</v>
      </c>
      <c r="E294" s="32" t="s">
        <v>805</v>
      </c>
      <c r="F294" s="56" t="s">
        <v>3061</v>
      </c>
      <c r="H294" s="34">
        <v>45419</v>
      </c>
      <c r="I294" s="26">
        <v>1</v>
      </c>
      <c r="J294" s="26">
        <v>376</v>
      </c>
      <c r="K294">
        <v>376</v>
      </c>
      <c r="L294" s="26">
        <v>384</v>
      </c>
      <c r="M294">
        <f t="shared" si="4"/>
        <v>384</v>
      </c>
      <c r="O29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Row],[orderNum]],ТабПозиции[orderSumm])&gt;1500),ABS(M294*VLOOKUP(ТабПозиции[[#This Row],[orderNum]],ТабЗаказы[#Data],MATCH("Percent",ТабЗаказы[#Headers],0),0))/100,200/COUNTIF(ТабПозиции[orderNum],ТабПозиции[[#This Row],[orderNum]])),0),"")</f>
        <v>58</v>
      </c>
      <c r="P294">
        <f>IF(OR(ТабПозиции[[#This Row],[item]]="По штрихкоду",ТабПозиции[[#This Row],[item]]="Посылка"),ТабПозиции[[#This Row],[deliverySumm]]+ТабПозиции[[#This Row],[deliveryPost]],SUM(M294:O294))</f>
        <v>442</v>
      </c>
      <c r="Q294" s="57">
        <v>442</v>
      </c>
      <c r="R294" s="62">
        <f>ТабПозиции[[#This Row],[totalSumm]]-ТабПозиции[[#This Row],[payment]]</f>
        <v>0</v>
      </c>
      <c r="S294" s="34" t="s">
        <v>575</v>
      </c>
      <c r="T294" s="63" t="s">
        <v>3061</v>
      </c>
      <c r="U294" s="56" t="s">
        <v>3061</v>
      </c>
      <c r="V294" s="56" t="s">
        <v>3061</v>
      </c>
      <c r="W294" s="7"/>
      <c r="X294"/>
    </row>
    <row r="295" spans="1:24" x14ac:dyDescent="0.25">
      <c r="A295" s="26">
        <v>86</v>
      </c>
      <c r="B295" s="1">
        <f>IFERROR(VLOOKUP(ТабПозиции[[#This Row],[orderNum]],ТабЗаказы[#Data],MATCH(B$7,ТабЗаказы[#Headers],0),0),"")</f>
        <v>45418</v>
      </c>
      <c r="C295" t="str">
        <f>MONTH(ТабПозиции[[#This Row],[date]])&amp;"/"&amp;YEAR(ТабПозиции[[#This Row],[date]])</f>
        <v>5/2024</v>
      </c>
      <c r="D295" s="1" t="str">
        <f>IFERROR(VLOOKUP(ТабПозиции[[#This Row],[orderNum]],ТабЗаказы[#Data],MATCH(D$7,ТабЗаказы[#Headers],0),0),"")</f>
        <v>григорий(танковый )</v>
      </c>
      <c r="E295" s="32" t="s">
        <v>806</v>
      </c>
      <c r="F295" s="56" t="s">
        <v>3061</v>
      </c>
      <c r="H295" s="34">
        <v>45421</v>
      </c>
      <c r="I295" s="26">
        <v>1</v>
      </c>
      <c r="J295" s="26">
        <v>794</v>
      </c>
      <c r="K295">
        <v>794</v>
      </c>
      <c r="L295" s="26">
        <v>838</v>
      </c>
      <c r="M295">
        <f t="shared" si="4"/>
        <v>838</v>
      </c>
      <c r="O29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Row],[orderNum]],ТабПозиции[orderSumm])&gt;1500),ABS(M295*VLOOKUP(ТабПозиции[[#This Row],[orderNum]],ТабЗаказы[#Data],MATCH("Percent",ТабЗаказы[#Headers],0),0))/100,200/COUNTIF(ТабПозиции[orderNum],ТабПозиции[[#This Row],[orderNum]])),0),"")</f>
        <v>126</v>
      </c>
      <c r="P295">
        <f>IF(OR(ТабПозиции[[#This Row],[item]]="По штрихкоду",ТабПозиции[[#This Row],[item]]="Посылка"),ТабПозиции[[#This Row],[deliverySumm]]+ТабПозиции[[#This Row],[deliveryPost]],SUM(M295:O295))</f>
        <v>964</v>
      </c>
      <c r="Q295" s="57">
        <v>964</v>
      </c>
      <c r="R295" s="62">
        <f>ТабПозиции[[#This Row],[totalSumm]]-ТабПозиции[[#This Row],[payment]]</f>
        <v>0</v>
      </c>
      <c r="S295" s="34" t="s">
        <v>575</v>
      </c>
      <c r="T295" s="56" t="s">
        <v>3061</v>
      </c>
      <c r="U295" s="56" t="s">
        <v>3061</v>
      </c>
      <c r="V295" s="56" t="s">
        <v>3061</v>
      </c>
      <c r="W295" s="7"/>
      <c r="X295"/>
    </row>
    <row r="296" spans="1:24" x14ac:dyDescent="0.25">
      <c r="A296" s="26">
        <v>86</v>
      </c>
      <c r="B296" s="1">
        <f>IFERROR(VLOOKUP(ТабПозиции[[#This Row],[orderNum]],ТабЗаказы[#Data],MATCH(B$7,ТабЗаказы[#Headers],0),0),"")</f>
        <v>45418</v>
      </c>
      <c r="C296" t="str">
        <f>MONTH(ТабПозиции[[#This Row],[date]])&amp;"/"&amp;YEAR(ТабПозиции[[#This Row],[date]])</f>
        <v>5/2024</v>
      </c>
      <c r="D296" s="1" t="str">
        <f>IFERROR(VLOOKUP(ТабПозиции[[#This Row],[orderNum]],ТабЗаказы[#Data],MATCH(D$7,ТабЗаказы[#Headers],0),0),"")</f>
        <v>григорий(танковый )</v>
      </c>
      <c r="E296" s="32" t="s">
        <v>807</v>
      </c>
      <c r="F296" s="56" t="s">
        <v>3061</v>
      </c>
      <c r="H296" s="34">
        <v>45425</v>
      </c>
      <c r="I296" s="26">
        <v>1</v>
      </c>
      <c r="J296" s="26">
        <v>432</v>
      </c>
      <c r="K296">
        <v>432</v>
      </c>
      <c r="L296" s="26">
        <v>465</v>
      </c>
      <c r="M296">
        <f t="shared" si="4"/>
        <v>465</v>
      </c>
      <c r="O29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Row],[orderNum]],ТабПозиции[orderSumm])&gt;1500),ABS(M296*VLOOKUP(ТабПозиции[[#This Row],[orderNum]],ТабЗаказы[#Data],MATCH("Percent",ТабЗаказы[#Headers],0),0))/100,200/COUNTIF(ТабПозиции[orderNum],ТабПозиции[[#This Row],[orderNum]])),0),"")</f>
        <v>70</v>
      </c>
      <c r="P296">
        <f>IF(OR(ТабПозиции[[#This Row],[item]]="По штрихкоду",ТабПозиции[[#This Row],[item]]="Посылка"),ТабПозиции[[#This Row],[deliverySumm]]+ТабПозиции[[#This Row],[deliveryPost]],SUM(M296:O296))</f>
        <v>535</v>
      </c>
      <c r="Q296" s="57">
        <v>535</v>
      </c>
      <c r="R296" s="62">
        <f>ТабПозиции[[#This Row],[totalSumm]]-ТабПозиции[[#This Row],[payment]]</f>
        <v>0</v>
      </c>
      <c r="S296" s="34" t="s">
        <v>575</v>
      </c>
      <c r="T296" s="56" t="s">
        <v>3061</v>
      </c>
      <c r="U296" s="56" t="s">
        <v>3061</v>
      </c>
      <c r="V296" s="64" t="s">
        <v>3061</v>
      </c>
      <c r="W296" s="7"/>
      <c r="X296"/>
    </row>
    <row r="297" spans="1:24" x14ac:dyDescent="0.25">
      <c r="A297" s="26">
        <v>87</v>
      </c>
      <c r="B297" s="1">
        <f>IFERROR(VLOOKUP(ТабПозиции[[#This Row],[orderNum]],ТабЗаказы[#Data],MATCH(B$7,ТабЗаказы[#Headers],0),0),"")</f>
        <v>45418</v>
      </c>
      <c r="C297" t="str">
        <f>MONTH(ТабПозиции[[#This Row],[date]])&amp;"/"&amp;YEAR(ТабПозиции[[#This Row],[date]])</f>
        <v>5/2024</v>
      </c>
      <c r="D297" s="1" t="str">
        <f>IFERROR(VLOOKUP(ТабПозиции[[#This Row],[orderNum]],ТабЗаказы[#Data],MATCH(D$7,ТабЗаказы[#Headers],0),0),"")</f>
        <v>Людмила Эдельвейс</v>
      </c>
      <c r="E297" s="32" t="s">
        <v>808</v>
      </c>
      <c r="F297" s="56" t="s">
        <v>3061</v>
      </c>
      <c r="H297" s="34">
        <v>45422</v>
      </c>
      <c r="I297" s="26">
        <v>1</v>
      </c>
      <c r="J297" s="26">
        <v>490</v>
      </c>
      <c r="K297">
        <v>490</v>
      </c>
      <c r="L297" s="26">
        <v>511</v>
      </c>
      <c r="M297">
        <f t="shared" si="4"/>
        <v>511</v>
      </c>
      <c r="O29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Row],[orderNum]],ТабПозиции[orderSumm])&gt;1500),ABS(M297*VLOOKUP(ТабПозиции[[#This Row],[orderNum]],ТабЗаказы[#Data],MATCH("Percent",ТабЗаказы[#Headers],0),0))/100,200/COUNTIF(ТабПозиции[orderNum],ТабПозиции[[#This Row],[orderNum]])),0),"")</f>
        <v>77</v>
      </c>
      <c r="P297">
        <f>IF(OR(ТабПозиции[[#This Row],[item]]="По штрихкоду",ТабПозиции[[#This Row],[item]]="Посылка"),ТабПозиции[[#This Row],[deliverySumm]]+ТабПозиции[[#This Row],[deliveryPost]],SUM(M297:O297))</f>
        <v>588</v>
      </c>
      <c r="Q297" s="57">
        <v>588</v>
      </c>
      <c r="R297" s="62">
        <f>ТабПозиции[[#This Row],[totalSumm]]-ТабПозиции[[#This Row],[payment]]</f>
        <v>0</v>
      </c>
      <c r="S297" s="34" t="s">
        <v>558</v>
      </c>
      <c r="T297" s="56" t="s">
        <v>3061</v>
      </c>
      <c r="U297" s="56" t="s">
        <v>3061</v>
      </c>
      <c r="V297" s="56" t="s">
        <v>3061</v>
      </c>
      <c r="W297" s="7"/>
      <c r="X297"/>
    </row>
    <row r="298" spans="1:24" x14ac:dyDescent="0.25">
      <c r="A298" s="26">
        <v>87</v>
      </c>
      <c r="B298" s="1">
        <f>IFERROR(VLOOKUP(ТабПозиции[[#This Row],[orderNum]],ТабЗаказы[#Data],MATCH(B$7,ТабЗаказы[#Headers],0),0),"")</f>
        <v>45418</v>
      </c>
      <c r="C298" t="str">
        <f>MONTH(ТабПозиции[[#This Row],[date]])&amp;"/"&amp;YEAR(ТабПозиции[[#This Row],[date]])</f>
        <v>5/2024</v>
      </c>
      <c r="D298" s="1" t="str">
        <f>IFERROR(VLOOKUP(ТабПозиции[[#This Row],[orderNum]],ТабЗаказы[#Data],MATCH(D$7,ТабЗаказы[#Headers],0),0),"")</f>
        <v>Людмила Эдельвейс</v>
      </c>
      <c r="E298" s="32" t="s">
        <v>809</v>
      </c>
      <c r="F298" s="56" t="s">
        <v>3061</v>
      </c>
      <c r="H298" s="34">
        <v>45420</v>
      </c>
      <c r="I298" s="26">
        <v>1</v>
      </c>
      <c r="J298" s="26">
        <v>965</v>
      </c>
      <c r="K298">
        <v>965</v>
      </c>
      <c r="L298" s="26">
        <v>1006</v>
      </c>
      <c r="M298">
        <f t="shared" si="4"/>
        <v>1006</v>
      </c>
      <c r="O29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Row],[orderNum]],ТабПозиции[orderSumm])&gt;1500),ABS(M298*VLOOKUP(ТабПозиции[[#This Row],[orderNum]],ТабЗаказы[#Data],MATCH("Percent",ТабЗаказы[#Headers],0),0))/100,200/COUNTIF(ТабПозиции[orderNum],ТабПозиции[[#This Row],[orderNum]])),0),"")</f>
        <v>151</v>
      </c>
      <c r="P298">
        <f>IF(OR(ТабПозиции[[#This Row],[item]]="По штрихкоду",ТабПозиции[[#This Row],[item]]="Посылка"),ТабПозиции[[#This Row],[deliverySumm]]+ТабПозиции[[#This Row],[deliveryPost]],SUM(M298:O298))</f>
        <v>1157</v>
      </c>
      <c r="Q298" s="57">
        <v>1157</v>
      </c>
      <c r="R298" s="62">
        <f>ТабПозиции[[#This Row],[totalSumm]]-ТабПозиции[[#This Row],[payment]]</f>
        <v>0</v>
      </c>
      <c r="S298" s="34" t="s">
        <v>558</v>
      </c>
      <c r="T298" s="56" t="s">
        <v>3061</v>
      </c>
      <c r="U298" s="56" t="s">
        <v>3061</v>
      </c>
      <c r="V298" s="56" t="s">
        <v>3061</v>
      </c>
      <c r="W298" s="7"/>
      <c r="X298"/>
    </row>
    <row r="299" spans="1:24" x14ac:dyDescent="0.25">
      <c r="A299" s="26">
        <v>88</v>
      </c>
      <c r="B299" s="1">
        <f>IFERROR(VLOOKUP(ТабПозиции[[#This Row],[orderNum]],ТабЗаказы[#Data],MATCH(B$7,ТабЗаказы[#Headers],0),0),"")</f>
        <v>45418</v>
      </c>
      <c r="C299" t="str">
        <f>MONTH(ТабПозиции[[#This Row],[date]])&amp;"/"&amp;YEAR(ТабПозиции[[#This Row],[date]])</f>
        <v>5/2024</v>
      </c>
      <c r="D299" s="1" t="str">
        <f>IFERROR(VLOOKUP(ТабПозиции[[#This Row],[orderNum]],ТабЗаказы[#Data],MATCH(D$7,ТабЗаказы[#Headers],0),0),"")</f>
        <v>Лариса Кирова</v>
      </c>
      <c r="E299" s="32" t="s">
        <v>810</v>
      </c>
      <c r="F299" s="56" t="s">
        <v>3061</v>
      </c>
      <c r="H299" s="34">
        <v>45422</v>
      </c>
      <c r="I299" s="26">
        <v>1</v>
      </c>
      <c r="J299" s="26">
        <v>13284</v>
      </c>
      <c r="K299">
        <v>13284</v>
      </c>
      <c r="L299" s="26">
        <v>13284</v>
      </c>
      <c r="M299">
        <f t="shared" si="4"/>
        <v>13284</v>
      </c>
      <c r="O29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Row],[orderNum]],ТабПозиции[orderSumm])&gt;1500),ABS(M299*VLOOKUP(ТабПозиции[[#This Row],[orderNum]],ТабЗаказы[#Data],MATCH("Percent",ТабЗаказы[#Headers],0),0))/100,200/COUNTIF(ТабПозиции[orderNum],ТабПозиции[[#This Row],[orderNum]])),0),"")</f>
        <v>1328</v>
      </c>
      <c r="P299">
        <f>IF(OR(ТабПозиции[[#This Row],[item]]="По штрихкоду",ТабПозиции[[#This Row],[item]]="Посылка"),ТабПозиции[[#This Row],[deliverySumm]]+ТабПозиции[[#This Row],[deliveryPost]],SUM(M299:O299))</f>
        <v>14612</v>
      </c>
      <c r="Q299" s="57">
        <v>14612</v>
      </c>
      <c r="R299" s="62">
        <f>ТабПозиции[[#This Row],[totalSumm]]-ТабПозиции[[#This Row],[payment]]</f>
        <v>0</v>
      </c>
      <c r="S299" s="34" t="s">
        <v>689</v>
      </c>
      <c r="T299" s="56" t="s">
        <v>3061</v>
      </c>
      <c r="U299" s="56" t="s">
        <v>3061</v>
      </c>
      <c r="V299" s="56" t="s">
        <v>3061</v>
      </c>
      <c r="W299" s="7"/>
      <c r="X299"/>
    </row>
    <row r="300" spans="1:24" x14ac:dyDescent="0.25">
      <c r="A300" s="26">
        <v>88</v>
      </c>
      <c r="B300" s="1">
        <f>IFERROR(VLOOKUP(ТабПозиции[[#This Row],[orderNum]],ТабЗаказы[#Data],MATCH(B$7,ТабЗаказы[#Headers],0),0),"")</f>
        <v>45418</v>
      </c>
      <c r="C300" t="str">
        <f>MONTH(ТабПозиции[[#This Row],[date]])&amp;"/"&amp;YEAR(ТабПозиции[[#This Row],[date]])</f>
        <v>5/2024</v>
      </c>
      <c r="D300" s="1" t="str">
        <f>IFERROR(VLOOKUP(ТабПозиции[[#This Row],[orderNum]],ТабЗаказы[#Data],MATCH(D$7,ТабЗаказы[#Headers],0),0),"")</f>
        <v>Лариса Кирова</v>
      </c>
      <c r="E300" s="32" t="s">
        <v>811</v>
      </c>
      <c r="F300" s="56" t="s">
        <v>3061</v>
      </c>
      <c r="H300" s="34">
        <v>45421</v>
      </c>
      <c r="I300" s="26">
        <v>0</v>
      </c>
      <c r="J300" s="26">
        <v>624</v>
      </c>
      <c r="K300">
        <v>0</v>
      </c>
      <c r="L300" s="26">
        <v>651</v>
      </c>
      <c r="M300">
        <f t="shared" si="4"/>
        <v>0</v>
      </c>
      <c r="O30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Row],[orderNum]],ТабПозиции[orderSumm])&gt;1500),ABS(M300*VLOOKUP(ТабПозиции[[#This Row],[orderNum]],ТабЗаказы[#Data],MATCH("Percent",ТабЗаказы[#Headers],0),0))/100,200/COUNTIF(ТабПозиции[orderNum],ТабПозиции[[#This Row],[orderNum]])),0),"")</f>
        <v>0</v>
      </c>
      <c r="P300">
        <f>IF(OR(ТабПозиции[[#This Row],[item]]="По штрихкоду",ТабПозиции[[#This Row],[item]]="Посылка"),ТабПозиции[[#This Row],[deliverySumm]]+ТабПозиции[[#This Row],[deliveryPost]],SUM(M300:O300))</f>
        <v>0</v>
      </c>
      <c r="Q300" s="57">
        <v>0</v>
      </c>
      <c r="R300" s="62">
        <f>ТабПозиции[[#This Row],[totalSumm]]-ТабПозиции[[#This Row],[payment]]</f>
        <v>0</v>
      </c>
      <c r="S300" s="34" t="s">
        <v>558</v>
      </c>
      <c r="T300" s="56" t="s">
        <v>3061</v>
      </c>
      <c r="U300" s="56" t="s">
        <v>3061</v>
      </c>
      <c r="V300" s="56" t="s">
        <v>3061</v>
      </c>
      <c r="W300" s="7"/>
      <c r="X300"/>
    </row>
    <row r="301" spans="1:24" x14ac:dyDescent="0.25">
      <c r="A301" s="26">
        <v>88</v>
      </c>
      <c r="B301" s="1">
        <f>IFERROR(VLOOKUP(ТабПозиции[[#This Row],[orderNum]],ТабЗаказы[#Data],MATCH(B$7,ТабЗаказы[#Headers],0),0),"")</f>
        <v>45418</v>
      </c>
      <c r="C301" t="str">
        <f>MONTH(ТабПозиции[[#This Row],[date]])&amp;"/"&amp;YEAR(ТабПозиции[[#This Row],[date]])</f>
        <v>5/2024</v>
      </c>
      <c r="D301" s="1" t="str">
        <f>IFERROR(VLOOKUP(ТабПозиции[[#This Row],[orderNum]],ТабЗаказы[#Data],MATCH(D$7,ТабЗаказы[#Headers],0),0),"")</f>
        <v>Лариса Кирова</v>
      </c>
      <c r="E301" s="32" t="s">
        <v>812</v>
      </c>
      <c r="F301" s="56" t="s">
        <v>3061</v>
      </c>
      <c r="H301" s="34">
        <v>45463</v>
      </c>
      <c r="I301" s="26">
        <v>1</v>
      </c>
      <c r="J301" s="26">
        <v>688</v>
      </c>
      <c r="K301">
        <v>688</v>
      </c>
      <c r="L301" s="26">
        <v>689</v>
      </c>
      <c r="M301">
        <f t="shared" si="4"/>
        <v>689</v>
      </c>
      <c r="O30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Row],[orderNum]],ТабПозиции[orderSumm])&gt;1500),ABS(M301*VLOOKUP(ТабПозиции[[#This Row],[orderNum]],ТабЗаказы[#Data],MATCH("Percent",ТабЗаказы[#Headers],0),0))/100,200/COUNTIF(ТабПозиции[orderNum],ТабПозиции[[#This Row],[orderNum]])),0),"")</f>
        <v>69</v>
      </c>
      <c r="P301">
        <f>IF(OR(ТабПозиции[[#This Row],[item]]="По штрихкоду",ТабПозиции[[#This Row],[item]]="Посылка"),ТабПозиции[[#This Row],[deliverySumm]]+ТабПозиции[[#This Row],[deliveryPost]],SUM(M301:O301))</f>
        <v>758</v>
      </c>
      <c r="Q301" s="57">
        <v>758</v>
      </c>
      <c r="R301" s="62">
        <f>ТабПозиции[[#This Row],[totalSumm]]-ТабПозиции[[#This Row],[payment]]</f>
        <v>0</v>
      </c>
      <c r="S301" s="34" t="s">
        <v>558</v>
      </c>
      <c r="T301" s="56" t="s">
        <v>3061</v>
      </c>
      <c r="U301" s="56" t="s">
        <v>3061</v>
      </c>
      <c r="V301" s="56" t="s">
        <v>3061</v>
      </c>
      <c r="W301" s="7"/>
      <c r="X301"/>
    </row>
    <row r="302" spans="1:24" x14ac:dyDescent="0.25">
      <c r="A302" s="26">
        <v>88</v>
      </c>
      <c r="B302" s="1">
        <f>IFERROR(VLOOKUP(ТабПозиции[[#This Row],[orderNum]],ТабЗаказы[#Data],MATCH(B$7,ТабЗаказы[#Headers],0),0),"")</f>
        <v>45418</v>
      </c>
      <c r="C302" t="str">
        <f>MONTH(ТабПозиции[[#This Row],[date]])&amp;"/"&amp;YEAR(ТабПозиции[[#This Row],[date]])</f>
        <v>5/2024</v>
      </c>
      <c r="D302" s="1" t="str">
        <f>IFERROR(VLOOKUP(ТабПозиции[[#This Row],[orderNum]],ТабЗаказы[#Data],MATCH(D$7,ТабЗаказы[#Headers],0),0),"")</f>
        <v>Лариса Кирова</v>
      </c>
      <c r="E302" s="32" t="s">
        <v>813</v>
      </c>
      <c r="F302" s="56" t="s">
        <v>3061</v>
      </c>
      <c r="H302" s="34">
        <v>45420</v>
      </c>
      <c r="I302" s="26">
        <v>2</v>
      </c>
      <c r="J302" s="26">
        <v>192</v>
      </c>
      <c r="K302">
        <v>384</v>
      </c>
      <c r="L302" s="26">
        <v>200</v>
      </c>
      <c r="M302">
        <f t="shared" si="4"/>
        <v>400</v>
      </c>
      <c r="O30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Row],[orderNum]],ТабПозиции[orderSumm])&gt;1500),ABS(M302*VLOOKUP(ТабПозиции[[#This Row],[orderNum]],ТабЗаказы[#Data],MATCH("Percent",ТабЗаказы[#Headers],0),0))/100,200/COUNTIF(ТабПозиции[orderNum],ТабПозиции[[#This Row],[orderNum]])),0),"")</f>
        <v>40</v>
      </c>
      <c r="P302">
        <f>IF(OR(ТабПозиции[[#This Row],[item]]="По штрихкоду",ТабПозиции[[#This Row],[item]]="Посылка"),ТабПозиции[[#This Row],[deliverySumm]]+ТабПозиции[[#This Row],[deliveryPost]],SUM(M302:O302))</f>
        <v>440</v>
      </c>
      <c r="Q302" s="57">
        <v>440</v>
      </c>
      <c r="R302" s="62">
        <f>ТабПозиции[[#This Row],[totalSumm]]-ТабПозиции[[#This Row],[payment]]</f>
        <v>0</v>
      </c>
      <c r="S302" s="34" t="s">
        <v>558</v>
      </c>
      <c r="T302" s="56" t="s">
        <v>3061</v>
      </c>
      <c r="U302" s="56" t="s">
        <v>3061</v>
      </c>
      <c r="V302" s="56" t="s">
        <v>3061</v>
      </c>
      <c r="W302" s="7"/>
      <c r="X302"/>
    </row>
    <row r="303" spans="1:24" x14ac:dyDescent="0.25">
      <c r="A303" s="26">
        <v>88</v>
      </c>
      <c r="B303" s="1">
        <f>IFERROR(VLOOKUP(ТабПозиции[[#This Row],[orderNum]],ТабЗаказы[#Data],MATCH(B$7,ТабЗаказы[#Headers],0),0),"")</f>
        <v>45418</v>
      </c>
      <c r="C303" t="str">
        <f>MONTH(ТабПозиции[[#This Row],[date]])&amp;"/"&amp;YEAR(ТабПозиции[[#This Row],[date]])</f>
        <v>5/2024</v>
      </c>
      <c r="D303" s="1" t="str">
        <f>IFERROR(VLOOKUP(ТабПозиции[[#This Row],[orderNum]],ТабЗаказы[#Data],MATCH(D$7,ТабЗаказы[#Headers],0),0),"")</f>
        <v>Лариса Кирова</v>
      </c>
      <c r="E303" s="32" t="s">
        <v>814</v>
      </c>
      <c r="F303" s="56" t="s">
        <v>3061</v>
      </c>
      <c r="H303" s="34">
        <v>45420</v>
      </c>
      <c r="I303" s="26">
        <v>2</v>
      </c>
      <c r="J303" s="26">
        <v>95</v>
      </c>
      <c r="K303">
        <v>190</v>
      </c>
      <c r="L303" s="26">
        <v>99</v>
      </c>
      <c r="M303">
        <f t="shared" si="4"/>
        <v>198</v>
      </c>
      <c r="O30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Row],[orderNum]],ТабПозиции[orderSumm])&gt;1500),ABS(M303*VLOOKUP(ТабПозиции[[#This Row],[orderNum]],ТабЗаказы[#Data],MATCH("Percent",ТабЗаказы[#Headers],0),0))/100,200/COUNTIF(ТабПозиции[orderNum],ТабПозиции[[#This Row],[orderNum]])),0),"")</f>
        <v>20</v>
      </c>
      <c r="P303">
        <f>IF(OR(ТабПозиции[[#This Row],[item]]="По штрихкоду",ТабПозиции[[#This Row],[item]]="Посылка"),ТабПозиции[[#This Row],[deliverySumm]]+ТабПозиции[[#This Row],[deliveryPost]],SUM(M303:O303))</f>
        <v>218</v>
      </c>
      <c r="Q303" s="57">
        <v>218</v>
      </c>
      <c r="R303" s="62">
        <f>ТабПозиции[[#This Row],[totalSumm]]-ТабПозиции[[#This Row],[payment]]</f>
        <v>0</v>
      </c>
      <c r="S303" s="34" t="s">
        <v>558</v>
      </c>
      <c r="T303" s="56" t="s">
        <v>3061</v>
      </c>
      <c r="U303" s="56" t="s">
        <v>3061</v>
      </c>
      <c r="V303" s="56" t="s">
        <v>3061</v>
      </c>
      <c r="W303" s="7"/>
      <c r="X303"/>
    </row>
    <row r="304" spans="1:24" x14ac:dyDescent="0.25">
      <c r="A304" s="26">
        <v>89</v>
      </c>
      <c r="B304" s="1">
        <f>IFERROR(VLOOKUP(ТабПозиции[[#This Row],[orderNum]],ТабЗаказы[#Data],MATCH(B$7,ТабЗаказы[#Headers],0),0),"")</f>
        <v>45419</v>
      </c>
      <c r="C304" t="str">
        <f>MONTH(ТабПозиции[[#This Row],[date]])&amp;"/"&amp;YEAR(ТабПозиции[[#This Row],[date]])</f>
        <v>5/2024</v>
      </c>
      <c r="D304" s="1" t="str">
        <f>IFERROR(VLOOKUP(ТабПозиции[[#This Row],[orderNum]],ТабЗаказы[#Data],MATCH(D$7,ТабЗаказы[#Headers],0),0),"")</f>
        <v>Максим телевизор</v>
      </c>
      <c r="E304" s="26" t="s">
        <v>815</v>
      </c>
      <c r="F304" s="56" t="s">
        <v>3061</v>
      </c>
      <c r="G304" s="28" t="s">
        <v>816</v>
      </c>
      <c r="H304" s="34">
        <v>45420</v>
      </c>
      <c r="I304" s="26">
        <v>1</v>
      </c>
      <c r="J304" s="26">
        <v>2959</v>
      </c>
      <c r="K304">
        <v>2959</v>
      </c>
      <c r="L304" s="26">
        <v>2959</v>
      </c>
      <c r="M304">
        <f t="shared" si="4"/>
        <v>2959</v>
      </c>
      <c r="O30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Row],[orderNum]],ТабПозиции[orderSumm])&gt;1500),ABS(M304*VLOOKUP(ТабПозиции[[#This Row],[orderNum]],ТабЗаказы[#Data],MATCH("Percent",ТабЗаказы[#Headers],0),0))/100,200/COUNTIF(ТабПозиции[orderNum],ТабПозиции[[#This Row],[orderNum]])),0),"")</f>
        <v>296</v>
      </c>
      <c r="P304">
        <f>IF(OR(ТабПозиции[[#This Row],[item]]="По штрихкоду",ТабПозиции[[#This Row],[item]]="Посылка"),ТабПозиции[[#This Row],[deliverySumm]]+ТабПозиции[[#This Row],[deliveryPost]],SUM(M304:O304))</f>
        <v>296</v>
      </c>
      <c r="Q304" s="57">
        <v>296</v>
      </c>
      <c r="R304" s="62">
        <f>ТабПозиции[[#This Row],[totalSumm]]-ТабПозиции[[#This Row],[payment]]</f>
        <v>0</v>
      </c>
      <c r="S304" s="34" t="s">
        <v>671</v>
      </c>
      <c r="T304" s="56" t="s">
        <v>3061</v>
      </c>
      <c r="U304" s="64" t="s">
        <v>3061</v>
      </c>
      <c r="V304" s="64" t="s">
        <v>3061</v>
      </c>
      <c r="W304" s="7"/>
      <c r="X304"/>
    </row>
    <row r="305" spans="1:24" x14ac:dyDescent="0.25">
      <c r="A305" s="26">
        <v>89</v>
      </c>
      <c r="B305" s="1">
        <f>IFERROR(VLOOKUP(ТабПозиции[[#This Row],[orderNum]],ТабЗаказы[#Data],MATCH(B$7,ТабЗаказы[#Headers],0),0),"")</f>
        <v>45419</v>
      </c>
      <c r="C305" t="str">
        <f>MONTH(ТабПозиции[[#This Row],[date]])&amp;"/"&amp;YEAR(ТабПозиции[[#This Row],[date]])</f>
        <v>5/2024</v>
      </c>
      <c r="D305" s="1" t="str">
        <f>IFERROR(VLOOKUP(ТабПозиции[[#This Row],[orderNum]],ТабЗаказы[#Data],MATCH(D$7,ТабЗаказы[#Headers],0),0),"")</f>
        <v>Максим телевизор</v>
      </c>
      <c r="E305" s="26" t="s">
        <v>815</v>
      </c>
      <c r="F305" s="56" t="s">
        <v>3061</v>
      </c>
      <c r="G305" s="28" t="s">
        <v>817</v>
      </c>
      <c r="H305" s="34">
        <v>45427</v>
      </c>
      <c r="I305" s="26">
        <v>1</v>
      </c>
      <c r="J305" s="26">
        <v>5990</v>
      </c>
      <c r="K305">
        <v>5990</v>
      </c>
      <c r="L305" s="26">
        <v>5990</v>
      </c>
      <c r="M305">
        <f t="shared" si="4"/>
        <v>5990</v>
      </c>
      <c r="O30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Row],[orderNum]],ТабПозиции[orderSumm])&gt;1500),ABS(M305*VLOOKUP(ТабПозиции[[#This Row],[orderNum]],ТабЗаказы[#Data],MATCH("Percent",ТабЗаказы[#Headers],0),0))/100,200/COUNTIF(ТабПозиции[orderNum],ТабПозиции[[#This Row],[orderNum]])),0),"")</f>
        <v>599</v>
      </c>
      <c r="P305">
        <f>IF(OR(ТабПозиции[[#This Row],[item]]="По штрихкоду",ТабПозиции[[#This Row],[item]]="Посылка"),ТабПозиции[[#This Row],[deliverySumm]]+ТабПозиции[[#This Row],[deliveryPost]],SUM(M305:O305))</f>
        <v>599</v>
      </c>
      <c r="Q305" s="57">
        <v>599</v>
      </c>
      <c r="R305" s="62">
        <f>ТабПозиции[[#This Row],[totalSumm]]-ТабПозиции[[#This Row],[payment]]</f>
        <v>0</v>
      </c>
      <c r="S305" s="34" t="s">
        <v>671</v>
      </c>
      <c r="T305" s="56" t="s">
        <v>3061</v>
      </c>
      <c r="U305" s="64" t="s">
        <v>3061</v>
      </c>
      <c r="V305" s="64" t="s">
        <v>3061</v>
      </c>
      <c r="W305" s="7"/>
      <c r="X305"/>
    </row>
    <row r="306" spans="1:24" x14ac:dyDescent="0.25">
      <c r="A306" s="26">
        <v>89</v>
      </c>
      <c r="B306" s="1">
        <f>IFERROR(VLOOKUP(ТабПозиции[[#This Row],[orderNum]],ТабЗаказы[#Data],MATCH(B$7,ТабЗаказы[#Headers],0),0),"")</f>
        <v>45419</v>
      </c>
      <c r="C306" t="str">
        <f>MONTH(ТабПозиции[[#This Row],[date]])&amp;"/"&amp;YEAR(ТабПозиции[[#This Row],[date]])</f>
        <v>5/2024</v>
      </c>
      <c r="D306" s="1" t="str">
        <f>IFERROR(VLOOKUP(ТабПозиции[[#This Row],[orderNum]],ТабЗаказы[#Data],MATCH(D$7,ТабЗаказы[#Headers],0),0),"")</f>
        <v>Максим телевизор</v>
      </c>
      <c r="E306" s="26" t="s">
        <v>815</v>
      </c>
      <c r="F306" s="56" t="s">
        <v>3061</v>
      </c>
      <c r="G306" s="28" t="s">
        <v>818</v>
      </c>
      <c r="H306" s="34">
        <v>45428</v>
      </c>
      <c r="I306" s="26">
        <v>1</v>
      </c>
      <c r="J306" s="26">
        <v>11300</v>
      </c>
      <c r="K306">
        <v>11300</v>
      </c>
      <c r="L306" s="26">
        <v>11300</v>
      </c>
      <c r="M306">
        <f t="shared" si="4"/>
        <v>11300</v>
      </c>
      <c r="O30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Row],[orderNum]],ТабПозиции[orderSumm])&gt;1500),ABS(M306*VLOOKUP(ТабПозиции[[#This Row],[orderNum]],ТабЗаказы[#Data],MATCH("Percent",ТабЗаказы[#Headers],0),0))/100,200/COUNTIF(ТабПозиции[orderNum],ТабПозиции[[#This Row],[orderNum]])),0),"")</f>
        <v>1130</v>
      </c>
      <c r="P306">
        <f>IF(OR(ТабПозиции[[#This Row],[item]]="По штрихкоду",ТабПозиции[[#This Row],[item]]="Посылка"),ТабПозиции[[#This Row],[deliverySumm]]+ТабПозиции[[#This Row],[deliveryPost]],SUM(M306:O306))</f>
        <v>1130</v>
      </c>
      <c r="Q306" s="57">
        <v>1130</v>
      </c>
      <c r="R306" s="62">
        <f>ТабПозиции[[#This Row],[totalSumm]]-ТабПозиции[[#This Row],[payment]]</f>
        <v>0</v>
      </c>
      <c r="S306" s="34" t="s">
        <v>610</v>
      </c>
      <c r="T306" s="56" t="s">
        <v>3061</v>
      </c>
      <c r="U306" s="64" t="s">
        <v>3061</v>
      </c>
      <c r="V306" s="64" t="s">
        <v>3061</v>
      </c>
      <c r="W306" s="7"/>
      <c r="X306"/>
    </row>
    <row r="307" spans="1:24" x14ac:dyDescent="0.25">
      <c r="A307" s="26">
        <v>89</v>
      </c>
      <c r="B307" s="1">
        <f>IFERROR(VLOOKUP(ТабПозиции[[#This Row],[orderNum]],ТабЗаказы[#Data],MATCH(B$7,ТабЗаказы[#Headers],0),0),"")</f>
        <v>45419</v>
      </c>
      <c r="C307" t="str">
        <f>MONTH(ТабПозиции[[#This Row],[date]])&amp;"/"&amp;YEAR(ТабПозиции[[#This Row],[date]])</f>
        <v>5/2024</v>
      </c>
      <c r="D307" s="1" t="str">
        <f>IFERROR(VLOOKUP(ТабПозиции[[#This Row],[orderNum]],ТабЗаказы[#Data],MATCH(D$7,ТабЗаказы[#Headers],0),0),"")</f>
        <v>Максим телевизор</v>
      </c>
      <c r="E307" s="26" t="s">
        <v>815</v>
      </c>
      <c r="F307" s="56" t="s">
        <v>3061</v>
      </c>
      <c r="G307" s="28" t="s">
        <v>819</v>
      </c>
      <c r="H307" s="34">
        <v>45425</v>
      </c>
      <c r="I307" s="26">
        <v>1</v>
      </c>
      <c r="J307" s="26">
        <v>4400</v>
      </c>
      <c r="K307">
        <v>4400</v>
      </c>
      <c r="L307" s="26">
        <v>4400</v>
      </c>
      <c r="M307">
        <f t="shared" si="4"/>
        <v>4400</v>
      </c>
      <c r="O30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Row],[orderNum]],ТабПозиции[orderSumm])&gt;1500),ABS(M307*VLOOKUP(ТабПозиции[[#This Row],[orderNum]],ТабЗаказы[#Data],MATCH("Percent",ТабЗаказы[#Headers],0),0))/100,200/COUNTIF(ТабПозиции[orderNum],ТабПозиции[[#This Row],[orderNum]])),0),"")</f>
        <v>440</v>
      </c>
      <c r="P307">
        <f>IF(OR(ТабПозиции[[#This Row],[item]]="По штрихкоду",ТабПозиции[[#This Row],[item]]="Посылка"),ТабПозиции[[#This Row],[deliverySumm]]+ТабПозиции[[#This Row],[deliveryPost]],SUM(M307:O307))</f>
        <v>440</v>
      </c>
      <c r="Q307" s="57">
        <v>440</v>
      </c>
      <c r="R307" s="62">
        <f>ТабПозиции[[#This Row],[totalSumm]]-ТабПозиции[[#This Row],[payment]]</f>
        <v>0</v>
      </c>
      <c r="S307" s="34" t="s">
        <v>610</v>
      </c>
      <c r="T307" s="56" t="s">
        <v>3061</v>
      </c>
      <c r="U307" s="64" t="s">
        <v>3061</v>
      </c>
      <c r="V307" s="64" t="s">
        <v>3061</v>
      </c>
      <c r="W307" s="7"/>
      <c r="X307"/>
    </row>
    <row r="308" spans="1:24" x14ac:dyDescent="0.25">
      <c r="A308" s="26">
        <v>89</v>
      </c>
      <c r="B308" s="1">
        <f>IFERROR(VLOOKUP(ТабПозиции[[#This Row],[orderNum]],ТабЗаказы[#Data],MATCH(B$7,ТабЗаказы[#Headers],0),0),"")</f>
        <v>45419</v>
      </c>
      <c r="C308" t="str">
        <f>MONTH(ТабПозиции[[#This Row],[date]])&amp;"/"&amp;YEAR(ТабПозиции[[#This Row],[date]])</f>
        <v>5/2024</v>
      </c>
      <c r="D308" s="1" t="str">
        <f>IFERROR(VLOOKUP(ТабПозиции[[#This Row],[orderNum]],ТабЗаказы[#Data],MATCH(D$7,ТабЗаказы[#Headers],0),0),"")</f>
        <v>Максим телевизор</v>
      </c>
      <c r="E308" s="26" t="s">
        <v>820</v>
      </c>
      <c r="F308" s="56" t="s">
        <v>3061</v>
      </c>
      <c r="G308" s="28" t="s">
        <v>821</v>
      </c>
      <c r="H308" s="34">
        <v>45422</v>
      </c>
      <c r="I308" s="26">
        <v>1</v>
      </c>
      <c r="J308" s="26">
        <v>9000</v>
      </c>
      <c r="K308">
        <v>9000</v>
      </c>
      <c r="L308" s="26">
        <v>9000</v>
      </c>
      <c r="M308">
        <f t="shared" si="4"/>
        <v>9000</v>
      </c>
      <c r="O30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Row],[orderNum]],ТабПозиции[orderSumm])&gt;1500),ABS(M308*VLOOKUP(ТабПозиции[[#This Row],[orderNum]],ТабЗаказы[#Data],MATCH("Percent",ТабЗаказы[#Headers],0),0))/100,200/COUNTIF(ТабПозиции[orderNum],ТабПозиции[[#This Row],[orderNum]])),0),"")</f>
        <v>900</v>
      </c>
      <c r="P308">
        <f>IF(OR(ТабПозиции[[#This Row],[item]]="По штрихкоду",ТабПозиции[[#This Row],[item]]="Посылка"),ТабПозиции[[#This Row],[deliverySumm]]+ТабПозиции[[#This Row],[deliveryPost]],SUM(M308:O308))</f>
        <v>9900</v>
      </c>
      <c r="Q308" s="57">
        <v>9900</v>
      </c>
      <c r="R308" s="62">
        <f>ТабПозиции[[#This Row],[totalSumm]]-ТабПозиции[[#This Row],[payment]]</f>
        <v>0</v>
      </c>
      <c r="S308" s="34" t="s">
        <v>610</v>
      </c>
      <c r="T308" s="56" t="s">
        <v>3061</v>
      </c>
      <c r="U308" s="64" t="s">
        <v>3061</v>
      </c>
      <c r="V308" s="64" t="s">
        <v>3061</v>
      </c>
      <c r="W308" s="7"/>
      <c r="X308"/>
    </row>
    <row r="309" spans="1:24" x14ac:dyDescent="0.25">
      <c r="A309" s="26">
        <v>90</v>
      </c>
      <c r="B309" s="1">
        <f>IFERROR(VLOOKUP(ТабПозиции[[#This Row],[orderNum]],ТабЗаказы[#Data],MATCH(B$7,ТабЗаказы[#Headers],0),0),"")</f>
        <v>45416</v>
      </c>
      <c r="C309" t="str">
        <f>MONTH(ТабПозиции[[#This Row],[date]])&amp;"/"&amp;YEAR(ТабПозиции[[#This Row],[date]])</f>
        <v>5/2024</v>
      </c>
      <c r="D309" s="1" t="str">
        <f>IFERROR(VLOOKUP(ТабПозиции[[#This Row],[orderNum]],ТабЗаказы[#Data],MATCH(D$7,ТабЗаказы[#Headers],0),0),"")</f>
        <v>Александр Радин</v>
      </c>
      <c r="E309" s="26" t="s">
        <v>820</v>
      </c>
      <c r="F309" s="56" t="s">
        <v>3061</v>
      </c>
      <c r="G309" s="28" t="s">
        <v>822</v>
      </c>
      <c r="H309" s="34"/>
      <c r="I309" s="26">
        <v>1</v>
      </c>
      <c r="J309" s="26">
        <v>25999</v>
      </c>
      <c r="K309">
        <v>25999</v>
      </c>
      <c r="L309" s="26">
        <v>25999</v>
      </c>
      <c r="M309">
        <f t="shared" si="4"/>
        <v>25999</v>
      </c>
      <c r="O30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Row],[orderNum]],ТабПозиции[orderSumm])&gt;1500),ABS(M309*VLOOKUP(ТабПозиции[[#This Row],[orderNum]],ТабЗаказы[#Data],MATCH("Percent",ТабЗаказы[#Headers],0),0))/100,200/COUNTIF(ТабПозиции[orderNum],ТабПозиции[[#This Row],[orderNum]])),0),"")</f>
        <v>2600</v>
      </c>
      <c r="P309">
        <f>IF(OR(ТабПозиции[[#This Row],[item]]="По штрихкоду",ТабПозиции[[#This Row],[item]]="Посылка"),ТабПозиции[[#This Row],[deliverySumm]]+ТабПозиции[[#This Row],[deliveryPost]],SUM(M309:O309))</f>
        <v>28599</v>
      </c>
      <c r="Q309" s="57">
        <v>28599</v>
      </c>
      <c r="R309" s="62">
        <f>ТабПозиции[[#This Row],[totalSumm]]-ТабПозиции[[#This Row],[payment]]</f>
        <v>0</v>
      </c>
      <c r="S309" s="34" t="s">
        <v>610</v>
      </c>
      <c r="T309" s="56" t="s">
        <v>3061</v>
      </c>
      <c r="U309" s="56" t="s">
        <v>3061</v>
      </c>
      <c r="V309" s="64" t="s">
        <v>3061</v>
      </c>
      <c r="W309" s="7"/>
      <c r="X309"/>
    </row>
    <row r="310" spans="1:24" x14ac:dyDescent="0.25">
      <c r="A310" s="26">
        <v>91</v>
      </c>
      <c r="B310" s="1">
        <f>IFERROR(VLOOKUP(ТабПозиции[[#This Row],[orderNum]],ТабЗаказы[#Data],MATCH(B$7,ТабЗаказы[#Headers],0),0),"")</f>
        <v>45422</v>
      </c>
      <c r="C310" t="str">
        <f>MONTH(ТабПозиции[[#This Row],[date]])&amp;"/"&amp;YEAR(ТабПозиции[[#This Row],[date]])</f>
        <v>5/2024</v>
      </c>
      <c r="D310" s="1" t="str">
        <f>IFERROR(VLOOKUP(ТабПозиции[[#This Row],[orderNum]],ТабЗаказы[#Data],MATCH(D$7,ТабЗаказы[#Headers],0),0),"")</f>
        <v>Митрофанов Евгений</v>
      </c>
      <c r="E310" s="32" t="s">
        <v>823</v>
      </c>
      <c r="F310" s="56" t="s">
        <v>3061</v>
      </c>
      <c r="H310" s="34">
        <v>45428</v>
      </c>
      <c r="I310" s="26">
        <v>1</v>
      </c>
      <c r="J310" s="26">
        <v>642</v>
      </c>
      <c r="K310">
        <v>642</v>
      </c>
      <c r="L310" s="26">
        <v>691</v>
      </c>
      <c r="M310">
        <f t="shared" si="4"/>
        <v>691</v>
      </c>
      <c r="O31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Row],[orderNum]],ТабПозиции[orderSumm])&gt;1500),ABS(M310*VLOOKUP(ТабПозиции[[#This Row],[orderNum]],ТабЗаказы[#Data],MATCH("Percent",ТабЗаказы[#Headers],0),0))/100,200/COUNTIF(ТабПозиции[orderNum],ТабПозиции[[#This Row],[orderNum]])),0),"")</f>
        <v>104</v>
      </c>
      <c r="P310">
        <f>IF(OR(ТабПозиции[[#This Row],[item]]="По штрихкоду",ТабПозиции[[#This Row],[item]]="Посылка"),ТабПозиции[[#This Row],[deliverySumm]]+ТабПозиции[[#This Row],[deliveryPost]],SUM(M310:O310))</f>
        <v>795</v>
      </c>
      <c r="Q310" s="57">
        <v>795</v>
      </c>
      <c r="R310" s="62">
        <f>ТабПозиции[[#This Row],[totalSumm]]-ТабПозиции[[#This Row],[payment]]</f>
        <v>0</v>
      </c>
      <c r="S310" s="34" t="s">
        <v>575</v>
      </c>
      <c r="T310" s="56" t="s">
        <v>3061</v>
      </c>
      <c r="U310" s="56" t="s">
        <v>3061</v>
      </c>
      <c r="V310" s="64" t="s">
        <v>3061</v>
      </c>
      <c r="W310" s="7"/>
      <c r="X310"/>
    </row>
    <row r="311" spans="1:24" x14ac:dyDescent="0.25">
      <c r="A311" s="26">
        <v>91</v>
      </c>
      <c r="B311" s="1">
        <f>IFERROR(VLOOKUP(ТабПозиции[[#This Row],[orderNum]],ТабЗаказы[#Data],MATCH(B$7,ТабЗаказы[#Headers],0),0),"")</f>
        <v>45422</v>
      </c>
      <c r="C311" t="str">
        <f>MONTH(ТабПозиции[[#This Row],[date]])&amp;"/"&amp;YEAR(ТабПозиции[[#This Row],[date]])</f>
        <v>5/2024</v>
      </c>
      <c r="D311" s="1" t="str">
        <f>IFERROR(VLOOKUP(ТабПозиции[[#This Row],[orderNum]],ТабЗаказы[#Data],MATCH(D$7,ТабЗаказы[#Headers],0),0),"")</f>
        <v>Митрофанов Евгений</v>
      </c>
      <c r="E311" s="32" t="s">
        <v>824</v>
      </c>
      <c r="F311" s="56" t="s">
        <v>3061</v>
      </c>
      <c r="H311" s="34">
        <v>45424</v>
      </c>
      <c r="I311" s="26">
        <v>1</v>
      </c>
      <c r="J311" s="26">
        <v>266</v>
      </c>
      <c r="K311">
        <v>266</v>
      </c>
      <c r="L311" s="26">
        <v>271</v>
      </c>
      <c r="M311">
        <f t="shared" si="4"/>
        <v>271</v>
      </c>
      <c r="O31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Row],[orderNum]],ТабПозиции[orderSumm])&gt;1500),ABS(M311*VLOOKUP(ТабПозиции[[#This Row],[orderNum]],ТабЗаказы[#Data],MATCH("Percent",ТабЗаказы[#Headers],0),0))/100,200/COUNTIF(ТабПозиции[orderNum],ТабПозиции[[#This Row],[orderNum]])),0),"")</f>
        <v>41</v>
      </c>
      <c r="P311">
        <f>IF(OR(ТабПозиции[[#This Row],[item]]="По штрихкоду",ТабПозиции[[#This Row],[item]]="Посылка"),ТабПозиции[[#This Row],[deliverySumm]]+ТабПозиции[[#This Row],[deliveryPost]],SUM(M311:O311))</f>
        <v>312</v>
      </c>
      <c r="Q311" s="57">
        <v>312</v>
      </c>
      <c r="R311" s="62">
        <f>ТабПозиции[[#This Row],[totalSumm]]-ТабПозиции[[#This Row],[payment]]</f>
        <v>0</v>
      </c>
      <c r="S311" s="34" t="s">
        <v>575</v>
      </c>
      <c r="T311" s="56" t="s">
        <v>3061</v>
      </c>
      <c r="U311" s="56" t="s">
        <v>3061</v>
      </c>
      <c r="V311" s="64" t="s">
        <v>3061</v>
      </c>
      <c r="W311" s="7"/>
      <c r="X311"/>
    </row>
    <row r="312" spans="1:24" x14ac:dyDescent="0.25">
      <c r="A312" s="26">
        <v>91</v>
      </c>
      <c r="B312" s="1">
        <f>IFERROR(VLOOKUP(ТабПозиции[[#This Row],[orderNum]],ТабЗаказы[#Data],MATCH(B$7,ТабЗаказы[#Headers],0),0),"")</f>
        <v>45422</v>
      </c>
      <c r="C312" t="str">
        <f>MONTH(ТабПозиции[[#This Row],[date]])&amp;"/"&amp;YEAR(ТабПозиции[[#This Row],[date]])</f>
        <v>5/2024</v>
      </c>
      <c r="D312" s="1" t="str">
        <f>IFERROR(VLOOKUP(ТабПозиции[[#This Row],[orderNum]],ТабЗаказы[#Data],MATCH(D$7,ТабЗаказы[#Headers],0),0),"")</f>
        <v>Митрофанов Евгений</v>
      </c>
      <c r="E312" s="32" t="s">
        <v>825</v>
      </c>
      <c r="F312" s="56" t="s">
        <v>3061</v>
      </c>
      <c r="H312" s="34">
        <v>45425</v>
      </c>
      <c r="I312" s="26">
        <v>1</v>
      </c>
      <c r="J312" s="26">
        <v>322</v>
      </c>
      <c r="K312">
        <v>322</v>
      </c>
      <c r="L312" s="26">
        <v>329</v>
      </c>
      <c r="M312">
        <f t="shared" si="4"/>
        <v>329</v>
      </c>
      <c r="O31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Row],[orderNum]],ТабПозиции[orderSumm])&gt;1500),ABS(M312*VLOOKUP(ТабПозиции[[#This Row],[orderNum]],ТабЗаказы[#Data],MATCH("Percent",ТабЗаказы[#Headers],0),0))/100,200/COUNTIF(ТабПозиции[orderNum],ТабПозиции[[#This Row],[orderNum]])),0),"")</f>
        <v>49</v>
      </c>
      <c r="P312">
        <f>IF(OR(ТабПозиции[[#This Row],[item]]="По штрихкоду",ТабПозиции[[#This Row],[item]]="Посылка"),ТабПозиции[[#This Row],[deliverySumm]]+ТабПозиции[[#This Row],[deliveryPost]],SUM(M312:O312))</f>
        <v>378</v>
      </c>
      <c r="Q312" s="57">
        <v>378</v>
      </c>
      <c r="R312" s="62">
        <f>ТабПозиции[[#This Row],[totalSumm]]-ТабПозиции[[#This Row],[payment]]</f>
        <v>0</v>
      </c>
      <c r="S312" s="34" t="s">
        <v>575</v>
      </c>
      <c r="T312" s="56" t="s">
        <v>3061</v>
      </c>
      <c r="U312" s="56" t="s">
        <v>3061</v>
      </c>
      <c r="V312" s="64" t="s">
        <v>3061</v>
      </c>
      <c r="W312" s="7"/>
      <c r="X312"/>
    </row>
    <row r="313" spans="1:24" x14ac:dyDescent="0.25">
      <c r="A313" s="26">
        <v>91</v>
      </c>
      <c r="B313" s="1">
        <f>IFERROR(VLOOKUP(ТабПозиции[[#This Row],[orderNum]],ТабЗаказы[#Data],MATCH(B$7,ТабЗаказы[#Headers],0),0),"")</f>
        <v>45422</v>
      </c>
      <c r="C313" t="str">
        <f>MONTH(ТабПозиции[[#This Row],[date]])&amp;"/"&amp;YEAR(ТабПозиции[[#This Row],[date]])</f>
        <v>5/2024</v>
      </c>
      <c r="D313" s="1" t="str">
        <f>IFERROR(VLOOKUP(ТабПозиции[[#This Row],[orderNum]],ТабЗаказы[#Data],MATCH(D$7,ТабЗаказы[#Headers],0),0),"")</f>
        <v>Митрофанов Евгений</v>
      </c>
      <c r="E313" s="32" t="s">
        <v>826</v>
      </c>
      <c r="F313" s="56" t="s">
        <v>3061</v>
      </c>
      <c r="H313" s="34">
        <v>45429</v>
      </c>
      <c r="I313" s="26">
        <v>1</v>
      </c>
      <c r="J313" s="26">
        <v>394</v>
      </c>
      <c r="K313">
        <v>394</v>
      </c>
      <c r="L313" s="26">
        <v>426</v>
      </c>
      <c r="M313">
        <f t="shared" si="4"/>
        <v>426</v>
      </c>
      <c r="O31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Row],[orderNum]],ТабПозиции[orderSumm])&gt;1500),ABS(M313*VLOOKUP(ТабПозиции[[#This Row],[orderNum]],ТабЗаказы[#Data],MATCH("Percent",ТабЗаказы[#Headers],0),0))/100,200/COUNTIF(ТабПозиции[orderNum],ТабПозиции[[#This Row],[orderNum]])),0),"")</f>
        <v>64</v>
      </c>
      <c r="P313">
        <f>IF(OR(ТабПозиции[[#This Row],[item]]="По штрихкоду",ТабПозиции[[#This Row],[item]]="Посылка"),ТабПозиции[[#This Row],[deliverySumm]]+ТабПозиции[[#This Row],[deliveryPost]],SUM(M313:O313))</f>
        <v>490</v>
      </c>
      <c r="Q313" s="57">
        <v>490</v>
      </c>
      <c r="R313" s="62">
        <f>ТабПозиции[[#This Row],[totalSumm]]-ТабПозиции[[#This Row],[payment]]</f>
        <v>0</v>
      </c>
      <c r="S313" s="34" t="s">
        <v>575</v>
      </c>
      <c r="T313" s="56" t="s">
        <v>3061</v>
      </c>
      <c r="U313" s="56" t="s">
        <v>3061</v>
      </c>
      <c r="V313" s="64" t="s">
        <v>3061</v>
      </c>
      <c r="W313" s="7"/>
      <c r="X313"/>
    </row>
    <row r="314" spans="1:24" x14ac:dyDescent="0.25">
      <c r="A314" s="26">
        <v>91</v>
      </c>
      <c r="B314" s="1">
        <f>IFERROR(VLOOKUP(ТабПозиции[[#This Row],[orderNum]],ТабЗаказы[#Data],MATCH(B$7,ТабЗаказы[#Headers],0),0),"")</f>
        <v>45422</v>
      </c>
      <c r="C314" t="str">
        <f>MONTH(ТабПозиции[[#This Row],[date]])&amp;"/"&amp;YEAR(ТабПозиции[[#This Row],[date]])</f>
        <v>5/2024</v>
      </c>
      <c r="D314" s="1" t="str">
        <f>IFERROR(VLOOKUP(ТабПозиции[[#This Row],[orderNum]],ТабЗаказы[#Data],MATCH(D$7,ТабЗаказы[#Headers],0),0),"")</f>
        <v>Митрофанов Евгений</v>
      </c>
      <c r="E314" s="32" t="s">
        <v>827</v>
      </c>
      <c r="F314" s="56" t="s">
        <v>3061</v>
      </c>
      <c r="H314" s="34">
        <v>45425</v>
      </c>
      <c r="I314" s="26">
        <v>1</v>
      </c>
      <c r="J314" s="26">
        <v>1142</v>
      </c>
      <c r="K314">
        <v>1142</v>
      </c>
      <c r="L314" s="26">
        <v>1177</v>
      </c>
      <c r="M314">
        <f t="shared" si="4"/>
        <v>1177</v>
      </c>
      <c r="O31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Row],[orderNum]],ТабПозиции[orderSumm])&gt;1500),ABS(M314*VLOOKUP(ТабПозиции[[#This Row],[orderNum]],ТабЗаказы[#Data],MATCH("Percent",ТабЗаказы[#Headers],0),0))/100,200/COUNTIF(ТабПозиции[orderNum],ТабПозиции[[#This Row],[orderNum]])),0),"")</f>
        <v>177</v>
      </c>
      <c r="P314">
        <f>IF(OR(ТабПозиции[[#This Row],[item]]="По штрихкоду",ТабПозиции[[#This Row],[item]]="Посылка"),ТабПозиции[[#This Row],[deliverySumm]]+ТабПозиции[[#This Row],[deliveryPost]],SUM(M314:O314))</f>
        <v>1354</v>
      </c>
      <c r="Q314" s="57">
        <v>1354</v>
      </c>
      <c r="R314" s="62">
        <f>ТабПозиции[[#This Row],[totalSumm]]-ТабПозиции[[#This Row],[payment]]</f>
        <v>0</v>
      </c>
      <c r="S314" s="34" t="s">
        <v>575</v>
      </c>
      <c r="T314" s="56" t="s">
        <v>3061</v>
      </c>
      <c r="U314" s="56" t="s">
        <v>3061</v>
      </c>
      <c r="V314" s="64" t="s">
        <v>3061</v>
      </c>
      <c r="W314" s="7"/>
      <c r="X314"/>
    </row>
    <row r="315" spans="1:24" x14ac:dyDescent="0.25">
      <c r="A315" s="26">
        <v>91</v>
      </c>
      <c r="B315" s="1">
        <f>IFERROR(VLOOKUP(ТабПозиции[[#This Row],[orderNum]],ТабЗаказы[#Data],MATCH(B$7,ТабЗаказы[#Headers],0),0),"")</f>
        <v>45422</v>
      </c>
      <c r="C315" t="str">
        <f>MONTH(ТабПозиции[[#This Row],[date]])&amp;"/"&amp;YEAR(ТабПозиции[[#This Row],[date]])</f>
        <v>5/2024</v>
      </c>
      <c r="D315" s="1" t="str">
        <f>IFERROR(VLOOKUP(ТабПозиции[[#This Row],[orderNum]],ТабЗаказы[#Data],MATCH(D$7,ТабЗаказы[#Headers],0),0),"")</f>
        <v>Митрофанов Евгений</v>
      </c>
      <c r="E315" s="32" t="s">
        <v>828</v>
      </c>
      <c r="F315" s="56" t="s">
        <v>3061</v>
      </c>
      <c r="H315" s="34">
        <v>45423</v>
      </c>
      <c r="I315" s="26">
        <v>1</v>
      </c>
      <c r="J315" s="26">
        <v>320</v>
      </c>
      <c r="K315">
        <v>320</v>
      </c>
      <c r="L315" s="26">
        <v>327</v>
      </c>
      <c r="M315">
        <f t="shared" si="4"/>
        <v>327</v>
      </c>
      <c r="O31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Row],[orderNum]],ТабПозиции[orderSumm])&gt;1500),ABS(M315*VLOOKUP(ТабПозиции[[#This Row],[orderNum]],ТабЗаказы[#Data],MATCH("Percent",ТабЗаказы[#Headers],0),0))/100,200/COUNTIF(ТабПозиции[orderNum],ТабПозиции[[#This Row],[orderNum]])),0),"")</f>
        <v>49</v>
      </c>
      <c r="P315">
        <f>IF(OR(ТабПозиции[[#This Row],[item]]="По штрихкоду",ТабПозиции[[#This Row],[item]]="Посылка"),ТабПозиции[[#This Row],[deliverySumm]]+ТабПозиции[[#This Row],[deliveryPost]],SUM(M315:O315))</f>
        <v>376</v>
      </c>
      <c r="Q315" s="57">
        <v>376</v>
      </c>
      <c r="R315" s="62">
        <f>ТабПозиции[[#This Row],[totalSumm]]-ТабПозиции[[#This Row],[payment]]</f>
        <v>0</v>
      </c>
      <c r="S315" s="34" t="s">
        <v>575</v>
      </c>
      <c r="T315" s="56" t="s">
        <v>3061</v>
      </c>
      <c r="U315" s="56" t="s">
        <v>3061</v>
      </c>
      <c r="V315" s="64" t="s">
        <v>3061</v>
      </c>
      <c r="W315" s="7"/>
      <c r="X315"/>
    </row>
    <row r="316" spans="1:24" x14ac:dyDescent="0.25">
      <c r="A316" s="26">
        <v>91</v>
      </c>
      <c r="B316" s="1">
        <f>IFERROR(VLOOKUP(ТабПозиции[[#This Row],[orderNum]],ТабЗаказы[#Data],MATCH(B$7,ТабЗаказы[#Headers],0),0),"")</f>
        <v>45422</v>
      </c>
      <c r="C316" t="str">
        <f>MONTH(ТабПозиции[[#This Row],[date]])&amp;"/"&amp;YEAR(ТабПозиции[[#This Row],[date]])</f>
        <v>5/2024</v>
      </c>
      <c r="D316" s="1" t="str">
        <f>IFERROR(VLOOKUP(ТабПозиции[[#This Row],[orderNum]],ТабЗаказы[#Data],MATCH(D$7,ТабЗаказы[#Headers],0),0),"")</f>
        <v>Митрофанов Евгений</v>
      </c>
      <c r="E316" s="32" t="s">
        <v>829</v>
      </c>
      <c r="F316" s="56" t="s">
        <v>3061</v>
      </c>
      <c r="H316" s="34">
        <v>45427</v>
      </c>
      <c r="I316" s="26">
        <v>1</v>
      </c>
      <c r="J316" s="26">
        <v>450</v>
      </c>
      <c r="K316">
        <v>450</v>
      </c>
      <c r="L316" s="26">
        <v>459</v>
      </c>
      <c r="M316">
        <f t="shared" si="4"/>
        <v>459</v>
      </c>
      <c r="O31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Row],[orderNum]],ТабПозиции[orderSumm])&gt;1500),ABS(M316*VLOOKUP(ТабПозиции[[#This Row],[orderNum]],ТабЗаказы[#Data],MATCH("Percent",ТабЗаказы[#Headers],0),0))/100,200/COUNTIF(ТабПозиции[orderNum],ТабПозиции[[#This Row],[orderNum]])),0),"")</f>
        <v>69</v>
      </c>
      <c r="P316">
        <f>IF(OR(ТабПозиции[[#This Row],[item]]="По штрихкоду",ТабПозиции[[#This Row],[item]]="Посылка"),ТабПозиции[[#This Row],[deliverySumm]]+ТабПозиции[[#This Row],[deliveryPost]],SUM(M316:O316))</f>
        <v>528</v>
      </c>
      <c r="Q316" s="57">
        <v>528</v>
      </c>
      <c r="R316" s="62">
        <f>ТабПозиции[[#This Row],[totalSumm]]-ТабПозиции[[#This Row],[payment]]</f>
        <v>0</v>
      </c>
      <c r="S316" s="34" t="s">
        <v>575</v>
      </c>
      <c r="T316" s="56" t="s">
        <v>3061</v>
      </c>
      <c r="U316" s="56" t="s">
        <v>3061</v>
      </c>
      <c r="V316" s="64" t="s">
        <v>3061</v>
      </c>
      <c r="W316" s="7"/>
      <c r="X316"/>
    </row>
    <row r="317" spans="1:24" x14ac:dyDescent="0.25">
      <c r="A317" s="26">
        <v>91</v>
      </c>
      <c r="B317" s="1">
        <f>IFERROR(VLOOKUP(ТабПозиции[[#This Row],[orderNum]],ТабЗаказы[#Data],MATCH(B$7,ТабЗаказы[#Headers],0),0),"")</f>
        <v>45422</v>
      </c>
      <c r="C317" t="str">
        <f>MONTH(ТабПозиции[[#This Row],[date]])&amp;"/"&amp;YEAR(ТабПозиции[[#This Row],[date]])</f>
        <v>5/2024</v>
      </c>
      <c r="D317" s="1" t="str">
        <f>IFERROR(VLOOKUP(ТабПозиции[[#This Row],[orderNum]],ТабЗаказы[#Data],MATCH(D$7,ТабЗаказы[#Headers],0),0),"")</f>
        <v>Митрофанов Евгений</v>
      </c>
      <c r="E317" s="32" t="s">
        <v>830</v>
      </c>
      <c r="F317" s="56" t="s">
        <v>3061</v>
      </c>
      <c r="H317" s="34">
        <v>45424</v>
      </c>
      <c r="I317" s="26">
        <v>1</v>
      </c>
      <c r="J317" s="26">
        <v>334</v>
      </c>
      <c r="K317">
        <v>334</v>
      </c>
      <c r="L317" s="26">
        <v>341</v>
      </c>
      <c r="M317">
        <f t="shared" si="4"/>
        <v>341</v>
      </c>
      <c r="O31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Row],[orderNum]],ТабПозиции[orderSumm])&gt;1500),ABS(M317*VLOOKUP(ТабПозиции[[#This Row],[orderNum]],ТабЗаказы[#Data],MATCH("Percent",ТабЗаказы[#Headers],0),0))/100,200/COUNTIF(ТабПозиции[orderNum],ТабПозиции[[#This Row],[orderNum]])),0),"")</f>
        <v>51</v>
      </c>
      <c r="P317">
        <f>IF(OR(ТабПозиции[[#This Row],[item]]="По штрихкоду",ТабПозиции[[#This Row],[item]]="Посылка"),ТабПозиции[[#This Row],[deliverySumm]]+ТабПозиции[[#This Row],[deliveryPost]],SUM(M317:O317))</f>
        <v>392</v>
      </c>
      <c r="Q317" s="57">
        <v>392</v>
      </c>
      <c r="R317" s="62">
        <f>ТабПозиции[[#This Row],[totalSumm]]-ТабПозиции[[#This Row],[payment]]</f>
        <v>0</v>
      </c>
      <c r="S317" s="34" t="s">
        <v>575</v>
      </c>
      <c r="T317" s="56" t="s">
        <v>3061</v>
      </c>
      <c r="U317" s="56" t="s">
        <v>3061</v>
      </c>
      <c r="V317" s="64" t="s">
        <v>3061</v>
      </c>
      <c r="W317" s="7"/>
      <c r="X317"/>
    </row>
    <row r="318" spans="1:24" x14ac:dyDescent="0.25">
      <c r="A318" s="26">
        <v>91</v>
      </c>
      <c r="B318" s="1">
        <f>IFERROR(VLOOKUP(ТабПозиции[[#This Row],[orderNum]],ТабЗаказы[#Data],MATCH(B$7,ТабЗаказы[#Headers],0),0),"")</f>
        <v>45422</v>
      </c>
      <c r="C318" t="str">
        <f>MONTH(ТабПозиции[[#This Row],[date]])&amp;"/"&amp;YEAR(ТабПозиции[[#This Row],[date]])</f>
        <v>5/2024</v>
      </c>
      <c r="D318" s="1" t="str">
        <f>IFERROR(VLOOKUP(ТабПозиции[[#This Row],[orderNum]],ТабЗаказы[#Data],MATCH(D$7,ТабЗаказы[#Headers],0),0),"")</f>
        <v>Митрофанов Евгений</v>
      </c>
      <c r="E318" s="32" t="s">
        <v>831</v>
      </c>
      <c r="F318" s="56" t="s">
        <v>3061</v>
      </c>
      <c r="H318" s="34">
        <v>45424</v>
      </c>
      <c r="I318" s="26">
        <v>1</v>
      </c>
      <c r="J318" s="26">
        <v>536</v>
      </c>
      <c r="K318">
        <v>536</v>
      </c>
      <c r="L318" s="26">
        <v>576</v>
      </c>
      <c r="M318">
        <f t="shared" si="4"/>
        <v>576</v>
      </c>
      <c r="O31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Row],[orderNum]],ТабПозиции[orderSumm])&gt;1500),ABS(M318*VLOOKUP(ТабПозиции[[#This Row],[orderNum]],ТабЗаказы[#Data],MATCH("Percent",ТабЗаказы[#Headers],0),0))/100,200/COUNTIF(ТабПозиции[orderNum],ТабПозиции[[#This Row],[orderNum]])),0),"")</f>
        <v>86</v>
      </c>
      <c r="P318">
        <f>IF(OR(ТабПозиции[[#This Row],[item]]="По штрихкоду",ТабПозиции[[#This Row],[item]]="Посылка"),ТабПозиции[[#This Row],[deliverySumm]]+ТабПозиции[[#This Row],[deliveryPost]],SUM(M318:O318))</f>
        <v>662</v>
      </c>
      <c r="Q318" s="57">
        <v>662</v>
      </c>
      <c r="R318" s="62">
        <f>ТабПозиции[[#This Row],[totalSumm]]-ТабПозиции[[#This Row],[payment]]</f>
        <v>0</v>
      </c>
      <c r="S318" s="34" t="s">
        <v>575</v>
      </c>
      <c r="T318" s="56" t="s">
        <v>3061</v>
      </c>
      <c r="U318" s="56" t="s">
        <v>3061</v>
      </c>
      <c r="V318" s="64" t="s">
        <v>3061</v>
      </c>
      <c r="W318" s="7"/>
      <c r="X318"/>
    </row>
    <row r="319" spans="1:24" x14ac:dyDescent="0.25">
      <c r="A319" s="26">
        <v>92</v>
      </c>
      <c r="B319" s="1">
        <f>IFERROR(VLOOKUP(ТабПозиции[[#This Row],[orderNum]],ТабЗаказы[#Data],MATCH(B$7,ТабЗаказы[#Headers],0),0),"")</f>
        <v>45422</v>
      </c>
      <c r="C319" t="str">
        <f>MONTH(ТабПозиции[[#This Row],[date]])&amp;"/"&amp;YEAR(ТабПозиции[[#This Row],[date]])</f>
        <v>5/2024</v>
      </c>
      <c r="D319" s="1" t="str">
        <f>IFERROR(VLOOKUP(ТабПозиции[[#This Row],[orderNum]],ТабЗаказы[#Data],MATCH(D$7,ТабЗаказы[#Headers],0),0),"")</f>
        <v>Елена Ларисына</v>
      </c>
      <c r="E319" s="32" t="s">
        <v>713</v>
      </c>
      <c r="F319" s="56" t="s">
        <v>3061</v>
      </c>
      <c r="H319" s="34">
        <v>45425</v>
      </c>
      <c r="I319" s="26">
        <v>1</v>
      </c>
      <c r="J319" s="26">
        <v>278</v>
      </c>
      <c r="K319">
        <v>278</v>
      </c>
      <c r="L319" s="26">
        <v>284</v>
      </c>
      <c r="M319">
        <f t="shared" si="4"/>
        <v>284</v>
      </c>
      <c r="O31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Row],[orderNum]],ТабПозиции[orderSumm])&gt;1500),ABS(M319*VLOOKUP(ТабПозиции[[#This Row],[orderNum]],ТабЗаказы[#Data],MATCH("Percent",ТабЗаказы[#Headers],0),0))/100,200/COUNTIF(ТабПозиции[orderNum],ТабПозиции[[#This Row],[orderNum]])),0),"")</f>
        <v>43</v>
      </c>
      <c r="P319">
        <f>IF(OR(ТабПозиции[[#This Row],[item]]="По штрихкоду",ТабПозиции[[#This Row],[item]]="Посылка"),ТабПозиции[[#This Row],[deliverySumm]]+ТабПозиции[[#This Row],[deliveryPost]],SUM(M319:O319))</f>
        <v>327</v>
      </c>
      <c r="Q319" s="57">
        <v>327</v>
      </c>
      <c r="R319" s="62">
        <f>ТабПозиции[[#This Row],[totalSumm]]-ТабПозиции[[#This Row],[payment]]</f>
        <v>0</v>
      </c>
      <c r="S319" s="34" t="s">
        <v>575</v>
      </c>
      <c r="T319" s="56" t="s">
        <v>3061</v>
      </c>
      <c r="U319" s="56" t="s">
        <v>3061</v>
      </c>
      <c r="V319" s="64" t="s">
        <v>3061</v>
      </c>
      <c r="W319" s="7"/>
      <c r="X319"/>
    </row>
    <row r="320" spans="1:24" x14ac:dyDescent="0.25">
      <c r="A320" s="26">
        <v>92</v>
      </c>
      <c r="B320" s="1">
        <f>IFERROR(VLOOKUP(ТабПозиции[[#This Row],[orderNum]],ТабЗаказы[#Data],MATCH(B$7,ТабЗаказы[#Headers],0),0),"")</f>
        <v>45422</v>
      </c>
      <c r="C320" t="str">
        <f>MONTH(ТабПозиции[[#This Row],[date]])&amp;"/"&amp;YEAR(ТабПозиции[[#This Row],[date]])</f>
        <v>5/2024</v>
      </c>
      <c r="D320" s="1" t="str">
        <f>IFERROR(VLOOKUP(ТабПозиции[[#This Row],[orderNum]],ТабЗаказы[#Data],MATCH(D$7,ТабЗаказы[#Headers],0),0),"")</f>
        <v>Елена Ларисына</v>
      </c>
      <c r="E320" s="32" t="s">
        <v>713</v>
      </c>
      <c r="F320" s="56" t="s">
        <v>3061</v>
      </c>
      <c r="H320" s="34">
        <v>45425</v>
      </c>
      <c r="I320" s="26">
        <v>1</v>
      </c>
      <c r="J320" s="26">
        <v>278</v>
      </c>
      <c r="K320">
        <v>278</v>
      </c>
      <c r="L320" s="26">
        <v>284</v>
      </c>
      <c r="M320">
        <f t="shared" si="4"/>
        <v>284</v>
      </c>
      <c r="O32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Row],[orderNum]],ТабПозиции[orderSumm])&gt;1500),ABS(M320*VLOOKUP(ТабПозиции[[#This Row],[orderNum]],ТабЗаказы[#Data],MATCH("Percent",ТабЗаказы[#Headers],0),0))/100,200/COUNTIF(ТабПозиции[orderNum],ТабПозиции[[#This Row],[orderNum]])),0),"")</f>
        <v>43</v>
      </c>
      <c r="P320">
        <f>IF(OR(ТабПозиции[[#This Row],[item]]="По штрихкоду",ТабПозиции[[#This Row],[item]]="Посылка"),ТабПозиции[[#This Row],[deliverySumm]]+ТабПозиции[[#This Row],[deliveryPost]],SUM(M320:O320))</f>
        <v>327</v>
      </c>
      <c r="Q320" s="57">
        <v>327</v>
      </c>
      <c r="R320" s="62">
        <f>ТабПозиции[[#This Row],[totalSumm]]-ТабПозиции[[#This Row],[payment]]</f>
        <v>0</v>
      </c>
      <c r="S320" s="34" t="s">
        <v>575</v>
      </c>
      <c r="T320" s="56" t="s">
        <v>3061</v>
      </c>
      <c r="U320" s="56" t="s">
        <v>3061</v>
      </c>
      <c r="V320" s="64" t="s">
        <v>3061</v>
      </c>
      <c r="W320" s="7"/>
      <c r="X320"/>
    </row>
    <row r="321" spans="1:24" x14ac:dyDescent="0.25">
      <c r="A321" s="26">
        <v>92</v>
      </c>
      <c r="B321" s="1">
        <f>IFERROR(VLOOKUP(ТабПозиции[[#This Row],[orderNum]],ТабЗаказы[#Data],MATCH(B$7,ТабЗаказы[#Headers],0),0),"")</f>
        <v>45422</v>
      </c>
      <c r="C321" t="str">
        <f>MONTH(ТабПозиции[[#This Row],[date]])&amp;"/"&amp;YEAR(ТабПозиции[[#This Row],[date]])</f>
        <v>5/2024</v>
      </c>
      <c r="D321" s="1" t="str">
        <f>IFERROR(VLOOKUP(ТабПозиции[[#This Row],[orderNum]],ТабЗаказы[#Data],MATCH(D$7,ТабЗаказы[#Headers],0),0),"")</f>
        <v>Елена Ларисына</v>
      </c>
      <c r="E321" s="32" t="s">
        <v>832</v>
      </c>
      <c r="F321" s="56" t="s">
        <v>3061</v>
      </c>
      <c r="H321" s="34">
        <v>45424</v>
      </c>
      <c r="I321" s="26">
        <v>1</v>
      </c>
      <c r="J321" s="26">
        <v>331</v>
      </c>
      <c r="K321">
        <v>331</v>
      </c>
      <c r="L321" s="26">
        <v>338</v>
      </c>
      <c r="M321">
        <f t="shared" si="4"/>
        <v>338</v>
      </c>
      <c r="O32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Row],[orderNum]],ТабПозиции[orderSumm])&gt;1500),ABS(M321*VLOOKUP(ТабПозиции[[#This Row],[orderNum]],ТабЗаказы[#Data],MATCH("Percent",ТабЗаказы[#Headers],0),0))/100,200/COUNTIF(ТабПозиции[orderNum],ТабПозиции[[#This Row],[orderNum]])),0),"")</f>
        <v>51</v>
      </c>
      <c r="P321">
        <f>IF(OR(ТабПозиции[[#This Row],[item]]="По штрихкоду",ТабПозиции[[#This Row],[item]]="Посылка"),ТабПозиции[[#This Row],[deliverySumm]]+ТабПозиции[[#This Row],[deliveryPost]],SUM(M321:O321))</f>
        <v>389</v>
      </c>
      <c r="Q321" s="57">
        <v>389</v>
      </c>
      <c r="R321" s="62">
        <f>ТабПозиции[[#This Row],[totalSumm]]-ТабПозиции[[#This Row],[payment]]</f>
        <v>0</v>
      </c>
      <c r="S321" s="34" t="s">
        <v>575</v>
      </c>
      <c r="T321" s="56" t="s">
        <v>3061</v>
      </c>
      <c r="U321" s="56" t="s">
        <v>3061</v>
      </c>
      <c r="V321" s="64" t="s">
        <v>3061</v>
      </c>
      <c r="W321" s="7"/>
      <c r="X321"/>
    </row>
    <row r="322" spans="1:24" x14ac:dyDescent="0.25">
      <c r="A322" s="26">
        <v>92</v>
      </c>
      <c r="B322" s="1">
        <f>IFERROR(VLOOKUP(ТабПозиции[[#This Row],[orderNum]],ТабЗаказы[#Data],MATCH(B$7,ТабЗаказы[#Headers],0),0),"")</f>
        <v>45422</v>
      </c>
      <c r="C322" t="str">
        <f>MONTH(ТабПозиции[[#This Row],[date]])&amp;"/"&amp;YEAR(ТабПозиции[[#This Row],[date]])</f>
        <v>5/2024</v>
      </c>
      <c r="D322" s="1" t="str">
        <f>IFERROR(VLOOKUP(ТабПозиции[[#This Row],[orderNum]],ТабЗаказы[#Data],MATCH(D$7,ТабЗаказы[#Headers],0),0),"")</f>
        <v>Елена Ларисына</v>
      </c>
      <c r="E322" s="32" t="s">
        <v>833</v>
      </c>
      <c r="F322" s="56" t="s">
        <v>3061</v>
      </c>
      <c r="H322" s="34">
        <v>45424</v>
      </c>
      <c r="I322" s="26">
        <v>1</v>
      </c>
      <c r="J322" s="26">
        <v>373</v>
      </c>
      <c r="K322">
        <v>373</v>
      </c>
      <c r="L322" s="26">
        <v>381</v>
      </c>
      <c r="M322">
        <f t="shared" si="4"/>
        <v>381</v>
      </c>
      <c r="O32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Row],[orderNum]],ТабПозиции[orderSumm])&gt;1500),ABS(M322*VLOOKUP(ТабПозиции[[#This Row],[orderNum]],ТабЗаказы[#Data],MATCH("Percent",ТабЗаказы[#Headers],0),0))/100,200/COUNTIF(ТабПозиции[orderNum],ТабПозиции[[#This Row],[orderNum]])),0),"")</f>
        <v>57</v>
      </c>
      <c r="P322">
        <f>IF(OR(ТабПозиции[[#This Row],[item]]="По штрихкоду",ТабПозиции[[#This Row],[item]]="Посылка"),ТабПозиции[[#This Row],[deliverySumm]]+ТабПозиции[[#This Row],[deliveryPost]],SUM(M322:O322))</f>
        <v>438</v>
      </c>
      <c r="Q322" s="57">
        <v>438</v>
      </c>
      <c r="R322" s="62">
        <f>ТабПозиции[[#This Row],[totalSumm]]-ТабПозиции[[#This Row],[payment]]</f>
        <v>0</v>
      </c>
      <c r="S322" s="34" t="s">
        <v>575</v>
      </c>
      <c r="T322" s="56" t="s">
        <v>3061</v>
      </c>
      <c r="U322" s="56" t="s">
        <v>3061</v>
      </c>
      <c r="V322" s="64" t="s">
        <v>3061</v>
      </c>
      <c r="W322" s="7"/>
      <c r="X322"/>
    </row>
    <row r="323" spans="1:24" x14ac:dyDescent="0.25">
      <c r="A323" s="26">
        <v>92</v>
      </c>
      <c r="B323" s="1">
        <f>IFERROR(VLOOKUP(ТабПозиции[[#This Row],[orderNum]],ТабЗаказы[#Data],MATCH(B$7,ТабЗаказы[#Headers],0),0),"")</f>
        <v>45422</v>
      </c>
      <c r="C323" t="str">
        <f>MONTH(ТабПозиции[[#This Row],[date]])&amp;"/"&amp;YEAR(ТабПозиции[[#This Row],[date]])</f>
        <v>5/2024</v>
      </c>
      <c r="D323" s="1" t="str">
        <f>IFERROR(VLOOKUP(ТабПозиции[[#This Row],[orderNum]],ТабЗаказы[#Data],MATCH(D$7,ТабЗаказы[#Headers],0),0),"")</f>
        <v>Елена Ларисына</v>
      </c>
      <c r="E323" s="32" t="s">
        <v>834</v>
      </c>
      <c r="F323" s="56" t="s">
        <v>3061</v>
      </c>
      <c r="H323" s="34">
        <v>45426</v>
      </c>
      <c r="I323" s="26">
        <v>1</v>
      </c>
      <c r="J323" s="26">
        <v>294</v>
      </c>
      <c r="K323">
        <v>294</v>
      </c>
      <c r="L323" s="26">
        <v>294</v>
      </c>
      <c r="M323">
        <f t="shared" si="4"/>
        <v>294</v>
      </c>
      <c r="O32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Row],[orderNum]],ТабПозиции[orderSumm])&gt;1500),ABS(M323*VLOOKUP(ТабПозиции[[#This Row],[orderNum]],ТабЗаказы[#Data],MATCH("Percent",ТабЗаказы[#Headers],0),0))/100,200/COUNTIF(ТабПозиции[orderNum],ТабПозиции[[#This Row],[orderNum]])),0),"")</f>
        <v>44</v>
      </c>
      <c r="P323">
        <f>IF(OR(ТабПозиции[[#This Row],[item]]="По штрихкоду",ТабПозиции[[#This Row],[item]]="Посылка"),ТабПозиции[[#This Row],[deliverySumm]]+ТабПозиции[[#This Row],[deliveryPost]],SUM(M323:O323))</f>
        <v>338</v>
      </c>
      <c r="Q323" s="57">
        <v>338</v>
      </c>
      <c r="R323" s="62">
        <f>ТабПозиции[[#This Row],[totalSumm]]-ТабПозиции[[#This Row],[payment]]</f>
        <v>0</v>
      </c>
      <c r="S323" s="34" t="s">
        <v>575</v>
      </c>
      <c r="T323" s="56" t="s">
        <v>3061</v>
      </c>
      <c r="U323" s="56" t="s">
        <v>3061</v>
      </c>
      <c r="V323" s="64" t="s">
        <v>3061</v>
      </c>
      <c r="W323" s="7"/>
      <c r="X323"/>
    </row>
    <row r="324" spans="1:24" x14ac:dyDescent="0.25">
      <c r="A324" s="26">
        <v>93</v>
      </c>
      <c r="B324" s="1">
        <f>IFERROR(VLOOKUP(ТабПозиции[[#This Row],[orderNum]],ТабЗаказы[#Data],MATCH(B$7,ТабЗаказы[#Headers],0),0),"")</f>
        <v>45422</v>
      </c>
      <c r="C324" t="str">
        <f>MONTH(ТабПозиции[[#This Row],[date]])&amp;"/"&amp;YEAR(ТабПозиции[[#This Row],[date]])</f>
        <v>5/2024</v>
      </c>
      <c r="D324" s="1" t="str">
        <f>IFERROR(VLOOKUP(ТабПозиции[[#This Row],[orderNum]],ТабЗаказы[#Data],MATCH(D$7,ТабЗаказы[#Headers],0),0),"")</f>
        <v>Алена Бондаренко</v>
      </c>
      <c r="E324" s="26" t="s">
        <v>32</v>
      </c>
      <c r="F324" s="56" t="s">
        <v>3061</v>
      </c>
      <c r="H324" s="34">
        <v>45422</v>
      </c>
      <c r="I324" s="26">
        <v>1</v>
      </c>
      <c r="J324" s="26">
        <v>6634</v>
      </c>
      <c r="K324">
        <v>6634</v>
      </c>
      <c r="L324" s="26">
        <v>6634</v>
      </c>
      <c r="M324">
        <f t="shared" si="4"/>
        <v>6634</v>
      </c>
      <c r="O32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Row],[orderNum]],ТабПозиции[orderSumm])&gt;1500),ABS(M324*VLOOKUP(ТабПозиции[[#This Row],[orderNum]],ТабЗаказы[#Data],MATCH("Percent",ТабЗаказы[#Headers],0),0))/100,200/COUNTIF(ТабПозиции[orderNum],ТабПозиции[[#This Row],[orderNum]])),0),"")</f>
        <v>663</v>
      </c>
      <c r="P324">
        <f>IF(OR(ТабПозиции[[#This Row],[item]]="По штрихкоду",ТабПозиции[[#This Row],[item]]="Посылка"),ТабПозиции[[#This Row],[deliverySumm]]+ТабПозиции[[#This Row],[deliveryPost]],SUM(M324:O324))</f>
        <v>663</v>
      </c>
      <c r="Q324" s="57">
        <v>663</v>
      </c>
      <c r="R324" s="62">
        <f>ТабПозиции[[#This Row],[totalSumm]]-ТабПозиции[[#This Row],[payment]]</f>
        <v>0</v>
      </c>
      <c r="S324" s="34" t="s">
        <v>558</v>
      </c>
      <c r="T324" s="56" t="s">
        <v>3061</v>
      </c>
      <c r="U324" s="56" t="s">
        <v>3061</v>
      </c>
      <c r="V324" s="56" t="s">
        <v>3061</v>
      </c>
      <c r="W324" s="7"/>
      <c r="X324"/>
    </row>
    <row r="325" spans="1:24" x14ac:dyDescent="0.25">
      <c r="A325" s="26">
        <v>94</v>
      </c>
      <c r="B325" s="1">
        <f>IFERROR(VLOOKUP(ТабПозиции[[#This Row],[orderNum]],ТабЗаказы[#Data],MATCH(B$7,ТабЗаказы[#Headers],0),0),"")</f>
        <v>45422</v>
      </c>
      <c r="C325" t="str">
        <f>MONTH(ТабПозиции[[#This Row],[date]])&amp;"/"&amp;YEAR(ТабПозиции[[#This Row],[date]])</f>
        <v>5/2024</v>
      </c>
      <c r="D325" s="1" t="str">
        <f>IFERROR(VLOOKUP(ТабПозиции[[#This Row],[orderNum]],ТабЗаказы[#Data],MATCH(D$7,ТабЗаказы[#Headers],0),0),"")</f>
        <v>Геннадий Генерал</v>
      </c>
      <c r="E325" s="26" t="s">
        <v>32</v>
      </c>
      <c r="F325" s="56" t="s">
        <v>3061</v>
      </c>
      <c r="H325" s="34">
        <v>45422</v>
      </c>
      <c r="I325" s="26">
        <v>1</v>
      </c>
      <c r="J325" s="26">
        <v>667</v>
      </c>
      <c r="K325">
        <v>667</v>
      </c>
      <c r="L325" s="26">
        <v>667</v>
      </c>
      <c r="M325">
        <f t="shared" si="4"/>
        <v>667</v>
      </c>
      <c r="O32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Row],[orderNum]],ТабПозиции[orderSumm])&gt;1500),ABS(M325*VLOOKUP(ТабПозиции[[#This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325">
        <f>IF(OR(ТабПозиции[[#This Row],[item]]="По штрихкоду",ТабПозиции[[#This Row],[item]]="Посылка"),ТабПозиции[[#This Row],[deliverySumm]]+ТабПозиции[[#This Row],[deliveryPost]],SUM(M325:O325))</f>
        <v>200</v>
      </c>
      <c r="Q325" s="57">
        <v>200</v>
      </c>
      <c r="R325" s="62">
        <f>ТабПозиции[[#This Row],[totalSumm]]-ТабПозиции[[#This Row],[payment]]</f>
        <v>0</v>
      </c>
      <c r="S325" s="34" t="s">
        <v>575</v>
      </c>
      <c r="T325" s="56" t="s">
        <v>3061</v>
      </c>
      <c r="U325" s="56" t="s">
        <v>3061</v>
      </c>
      <c r="V325" s="56" t="s">
        <v>3061</v>
      </c>
      <c r="W325" s="7"/>
      <c r="X325"/>
    </row>
    <row r="326" spans="1:24" x14ac:dyDescent="0.25">
      <c r="A326" s="26">
        <v>92</v>
      </c>
      <c r="B326" s="1">
        <f>IFERROR(VLOOKUP(ТабПозиции[[#This Row],[orderNum]],ТабЗаказы[#Data],MATCH(B$7,ТабЗаказы[#Headers],0),0),"")</f>
        <v>45422</v>
      </c>
      <c r="C326" t="str">
        <f>MONTH(ТабПозиции[[#This Row],[date]])&amp;"/"&amp;YEAR(ТабПозиции[[#This Row],[date]])</f>
        <v>5/2024</v>
      </c>
      <c r="D326" s="1" t="str">
        <f>IFERROR(VLOOKUP(ТабПозиции[[#This Row],[orderNum]],ТабЗаказы[#Data],MATCH(D$7,ТабЗаказы[#Headers],0),0),"")</f>
        <v>Елена Ларисына</v>
      </c>
      <c r="E326" s="26" t="s">
        <v>722</v>
      </c>
      <c r="F326" s="56" t="s">
        <v>3061</v>
      </c>
      <c r="H326" s="34">
        <v>45427</v>
      </c>
      <c r="I326" s="26">
        <v>1</v>
      </c>
      <c r="J326" s="26">
        <v>2240</v>
      </c>
      <c r="K326">
        <v>2240</v>
      </c>
      <c r="L326" s="26">
        <v>2399</v>
      </c>
      <c r="M326">
        <f t="shared" si="4"/>
        <v>2399</v>
      </c>
      <c r="O32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Row],[orderNum]],ТабПозиции[orderSumm])&gt;1500),ABS(M326*VLOOKUP(ТабПозиции[[#This Row],[orderNum]],ТабЗаказы[#Data],MATCH("Percent",ТабЗаказы[#Headers],0),0))/100,200/COUNTIF(ТабПозиции[orderNum],ТабПозиции[[#This Row],[orderNum]])),0),"")</f>
        <v>360</v>
      </c>
      <c r="P326">
        <f>IF(OR(ТабПозиции[[#This Row],[item]]="По штрихкоду",ТабПозиции[[#This Row],[item]]="Посылка"),ТабПозиции[[#This Row],[deliverySumm]]+ТабПозиции[[#This Row],[deliveryPost]],SUM(M326:O326))</f>
        <v>2759</v>
      </c>
      <c r="Q326" s="57">
        <v>2759</v>
      </c>
      <c r="R326" s="62">
        <f>ТабПозиции[[#This Row],[totalSumm]]-ТабПозиции[[#This Row],[payment]]</f>
        <v>0</v>
      </c>
      <c r="S326" s="34" t="s">
        <v>575</v>
      </c>
      <c r="T326" s="56" t="s">
        <v>3061</v>
      </c>
      <c r="U326" s="56" t="s">
        <v>3061</v>
      </c>
      <c r="V326" s="64" t="s">
        <v>3061</v>
      </c>
      <c r="W326" s="7"/>
      <c r="X326"/>
    </row>
    <row r="327" spans="1:24" x14ac:dyDescent="0.25">
      <c r="A327" s="26">
        <v>95</v>
      </c>
      <c r="B327" s="1">
        <f>IFERROR(VLOOKUP(ТабПозиции[[#This Row],[orderNum]],ТабЗаказы[#Data],MATCH(B$7,ТабЗаказы[#Headers],0),0),"")</f>
        <v>45423</v>
      </c>
      <c r="C327" t="str">
        <f>MONTH(ТабПозиции[[#This Row],[date]])&amp;"/"&amp;YEAR(ТабПозиции[[#This Row],[date]])</f>
        <v>5/2024</v>
      </c>
      <c r="D327" s="1" t="str">
        <f>IFERROR(VLOOKUP(ТабПозиции[[#This Row],[orderNum]],ТабЗаказы[#Data],MATCH(D$7,ТабЗаказы[#Headers],0),0),"")</f>
        <v>Лариса Кирова</v>
      </c>
      <c r="E327" s="32" t="s">
        <v>835</v>
      </c>
      <c r="F327" s="56" t="s">
        <v>3061</v>
      </c>
      <c r="H327" s="34">
        <v>45425</v>
      </c>
      <c r="I327" s="26">
        <v>1</v>
      </c>
      <c r="J327" s="26">
        <v>679</v>
      </c>
      <c r="K327">
        <v>679</v>
      </c>
      <c r="L327" s="26">
        <v>708</v>
      </c>
      <c r="M327">
        <f t="shared" si="4"/>
        <v>708</v>
      </c>
      <c r="O32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Row],[orderNum]],ТабПозиции[orderSumm])&gt;1500),ABS(M327*VLOOKUP(ТабПозиции[[#This Row],[orderNum]],ТабЗаказы[#Data],MATCH("Percent",ТабЗаказы[#Headers],0),0))/100,200/COUNTIF(ТабПозиции[orderNum],ТабПозиции[[#This Row],[orderNum]])),0),"")</f>
        <v>106</v>
      </c>
      <c r="P327">
        <f>IF(OR(ТабПозиции[[#This Row],[item]]="По штрихкоду",ТабПозиции[[#This Row],[item]]="Посылка"),ТабПозиции[[#This Row],[deliverySumm]]+ТабПозиции[[#This Row],[deliveryPost]],SUM(M327:O327))</f>
        <v>814</v>
      </c>
      <c r="Q327" s="57">
        <v>814</v>
      </c>
      <c r="R327" s="62">
        <f>ТабПозиции[[#This Row],[totalSumm]]-ТабПозиции[[#This Row],[payment]]</f>
        <v>0</v>
      </c>
      <c r="S327" s="34" t="s">
        <v>558</v>
      </c>
      <c r="T327" s="56" t="s">
        <v>3061</v>
      </c>
      <c r="U327" s="56" t="s">
        <v>3061</v>
      </c>
      <c r="V327" s="64" t="s">
        <v>3061</v>
      </c>
      <c r="W327" s="7"/>
      <c r="X327"/>
    </row>
    <row r="328" spans="1:24" x14ac:dyDescent="0.25">
      <c r="A328" s="26">
        <v>95</v>
      </c>
      <c r="B328" s="1">
        <f>IFERROR(VLOOKUP(ТабПозиции[[#This Row],[orderNum]],ТабЗаказы[#Data],MATCH(B$7,ТабЗаказы[#Headers],0),0),"")</f>
        <v>45423</v>
      </c>
      <c r="C328" t="str">
        <f>MONTH(ТабПозиции[[#This Row],[date]])&amp;"/"&amp;YEAR(ТабПозиции[[#This Row],[date]])</f>
        <v>5/2024</v>
      </c>
      <c r="D328" s="1" t="str">
        <f>IFERROR(VLOOKUP(ТабПозиции[[#This Row],[orderNum]],ТабЗаказы[#Data],MATCH(D$7,ТабЗаказы[#Headers],0),0),"")</f>
        <v>Лариса Кирова</v>
      </c>
      <c r="E328" s="32" t="s">
        <v>836</v>
      </c>
      <c r="F328" s="56" t="s">
        <v>3061</v>
      </c>
      <c r="H328" s="34">
        <v>45425</v>
      </c>
      <c r="I328" s="26">
        <v>2</v>
      </c>
      <c r="J328" s="26">
        <v>295</v>
      </c>
      <c r="K328">
        <v>590</v>
      </c>
      <c r="L328" s="26">
        <v>308</v>
      </c>
      <c r="M328">
        <f t="shared" si="4"/>
        <v>616</v>
      </c>
      <c r="O32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Row],[orderNum]],ТабПозиции[orderSumm])&gt;1500),ABS(M328*VLOOKUP(ТабПозиции[[#This Row],[orderNum]],ТабЗаказы[#Data],MATCH("Percent",ТабЗаказы[#Headers],0),0))/100,200/COUNTIF(ТабПозиции[orderNum],ТабПозиции[[#This Row],[orderNum]])),0),"")</f>
        <v>92</v>
      </c>
      <c r="P328">
        <f>IF(OR(ТабПозиции[[#This Row],[item]]="По штрихкоду",ТабПозиции[[#This Row],[item]]="Посылка"),ТабПозиции[[#This Row],[deliverySumm]]+ТабПозиции[[#This Row],[deliveryPost]],SUM(M328:O328))</f>
        <v>708</v>
      </c>
      <c r="Q328" s="57">
        <v>708</v>
      </c>
      <c r="R328" s="62">
        <f>ТабПозиции[[#This Row],[totalSumm]]-ТабПозиции[[#This Row],[payment]]</f>
        <v>0</v>
      </c>
      <c r="S328" s="34" t="s">
        <v>558</v>
      </c>
      <c r="T328" s="56" t="s">
        <v>3061</v>
      </c>
      <c r="U328" s="56" t="s">
        <v>3061</v>
      </c>
      <c r="V328" s="64" t="s">
        <v>3061</v>
      </c>
      <c r="W328" s="7"/>
      <c r="X328"/>
    </row>
    <row r="329" spans="1:24" x14ac:dyDescent="0.25">
      <c r="A329" s="26">
        <v>95</v>
      </c>
      <c r="B329" s="1">
        <f>IFERROR(VLOOKUP(ТабПозиции[[#This Row],[orderNum]],ТабЗаказы[#Data],MATCH(B$7,ТабЗаказы[#Headers],0),0),"")</f>
        <v>45423</v>
      </c>
      <c r="C329" t="str">
        <f>MONTH(ТабПозиции[[#This Row],[date]])&amp;"/"&amp;YEAR(ТабПозиции[[#This Row],[date]])</f>
        <v>5/2024</v>
      </c>
      <c r="D329" s="1" t="str">
        <f>IFERROR(VLOOKUP(ТабПозиции[[#This Row],[orderNum]],ТабЗаказы[#Data],MATCH(D$7,ТабЗаказы[#Headers],0),0),"")</f>
        <v>Лариса Кирова</v>
      </c>
      <c r="E329" s="32" t="s">
        <v>837</v>
      </c>
      <c r="F329" s="56" t="s">
        <v>3061</v>
      </c>
      <c r="H329" s="34">
        <v>45426</v>
      </c>
      <c r="I329" s="26">
        <v>1</v>
      </c>
      <c r="J329" s="26">
        <v>525</v>
      </c>
      <c r="K329">
        <v>525</v>
      </c>
      <c r="L329" s="26">
        <v>570</v>
      </c>
      <c r="M329">
        <f t="shared" si="4"/>
        <v>570</v>
      </c>
      <c r="O32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Row],[orderNum]],ТабПозиции[orderSumm])&gt;1500),ABS(M329*VLOOKUP(ТабПозиции[[#This Row],[orderNum]],ТабЗаказы[#Data],MATCH("Percent",ТабЗаказы[#Headers],0),0))/100,200/COUNTIF(ТабПозиции[orderNum],ТабПозиции[[#This Row],[orderNum]])),0),"")</f>
        <v>86</v>
      </c>
      <c r="P329">
        <f>IF(OR(ТабПозиции[[#This Row],[item]]="По штрихкоду",ТабПозиции[[#This Row],[item]]="Посылка"),ТабПозиции[[#This Row],[deliverySumm]]+ТабПозиции[[#This Row],[deliveryPost]],SUM(M329:O329))</f>
        <v>656</v>
      </c>
      <c r="Q329" s="57">
        <v>656</v>
      </c>
      <c r="R329" s="62">
        <f>ТабПозиции[[#This Row],[totalSumm]]-ТабПозиции[[#This Row],[payment]]</f>
        <v>0</v>
      </c>
      <c r="S329" s="34" t="s">
        <v>575</v>
      </c>
      <c r="T329" s="56" t="s">
        <v>3061</v>
      </c>
      <c r="U329" s="56" t="s">
        <v>3061</v>
      </c>
      <c r="V329" s="64" t="s">
        <v>3061</v>
      </c>
      <c r="W329" s="7"/>
      <c r="X329"/>
    </row>
    <row r="330" spans="1:24" x14ac:dyDescent="0.25">
      <c r="A330" s="26">
        <v>95</v>
      </c>
      <c r="B330" s="1">
        <f>IFERROR(VLOOKUP(ТабПозиции[[#This Row],[orderNum]],ТабЗаказы[#Data],MATCH(B$7,ТабЗаказы[#Headers],0),0),"")</f>
        <v>45423</v>
      </c>
      <c r="C330" t="str">
        <f>MONTH(ТабПозиции[[#This Row],[date]])&amp;"/"&amp;YEAR(ТабПозиции[[#This Row],[date]])</f>
        <v>5/2024</v>
      </c>
      <c r="D330" s="1" t="str">
        <f>IFERROR(VLOOKUP(ТабПозиции[[#This Row],[orderNum]],ТабЗаказы[#Data],MATCH(D$7,ТабЗаказы[#Headers],0),0),"")</f>
        <v>Лариса Кирова</v>
      </c>
      <c r="E330" s="32" t="s">
        <v>838</v>
      </c>
      <c r="F330" s="56" t="s">
        <v>3061</v>
      </c>
      <c r="H330" s="34">
        <v>45430</v>
      </c>
      <c r="I330" s="26">
        <v>1</v>
      </c>
      <c r="J330" s="26">
        <v>1149</v>
      </c>
      <c r="K330">
        <v>1149</v>
      </c>
      <c r="L330" s="26">
        <v>1245</v>
      </c>
      <c r="M330">
        <f t="shared" si="4"/>
        <v>1245</v>
      </c>
      <c r="O33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Row],[orderNum]],ТабПозиции[orderSumm])&gt;1500),ABS(M330*VLOOKUP(ТабПозиции[[#This Row],[orderNum]],ТабЗаказы[#Data],MATCH("Percent",ТабЗаказы[#Headers],0),0))/100,200/COUNTIF(ТабПозиции[orderNum],ТабПозиции[[#This Row],[orderNum]])),0),"")</f>
        <v>187</v>
      </c>
      <c r="P330">
        <f>IF(OR(ТабПозиции[[#This Row],[item]]="По штрихкоду",ТабПозиции[[#This Row],[item]]="Посылка"),ТабПозиции[[#This Row],[deliverySumm]]+ТабПозиции[[#This Row],[deliveryPost]],SUM(M330:O330))</f>
        <v>1432</v>
      </c>
      <c r="Q330" s="57">
        <v>1432</v>
      </c>
      <c r="R330" s="62">
        <f>ТабПозиции[[#This Row],[totalSumm]]-ТабПозиции[[#This Row],[payment]]</f>
        <v>0</v>
      </c>
      <c r="S330" s="34" t="s">
        <v>575</v>
      </c>
      <c r="T330" s="56" t="s">
        <v>3061</v>
      </c>
      <c r="U330" s="56" t="s">
        <v>3061</v>
      </c>
      <c r="V330" s="64" t="s">
        <v>3061</v>
      </c>
      <c r="W330" s="7"/>
      <c r="X330"/>
    </row>
    <row r="331" spans="1:24" x14ac:dyDescent="0.25">
      <c r="A331" s="26">
        <v>88</v>
      </c>
      <c r="B331" s="1">
        <f>IFERROR(VLOOKUP(ТабПозиции[[#This Row],[orderNum]],ТабЗаказы[#Data],MATCH(B$7,ТабЗаказы[#Headers],0),0),"")</f>
        <v>45418</v>
      </c>
      <c r="C331" t="str">
        <f>MONTH(ТабПозиции[[#This Row],[date]])&amp;"/"&amp;YEAR(ТабПозиции[[#This Row],[date]])</f>
        <v>5/2024</v>
      </c>
      <c r="D331" s="1" t="str">
        <f>IFERROR(VLOOKUP(ТабПозиции[[#This Row],[orderNum]],ТабЗаказы[#Data],MATCH(D$7,ТабЗаказы[#Headers],0),0),"")</f>
        <v>Лариса Кирова</v>
      </c>
      <c r="E331" s="26" t="s">
        <v>839</v>
      </c>
      <c r="F331" s="56" t="s">
        <v>3061</v>
      </c>
      <c r="H331" s="34">
        <v>45422</v>
      </c>
      <c r="I331" s="26">
        <v>1</v>
      </c>
      <c r="J331" s="26">
        <v>258</v>
      </c>
      <c r="K331">
        <v>258</v>
      </c>
      <c r="L331" s="26">
        <v>269</v>
      </c>
      <c r="M331">
        <f t="shared" si="4"/>
        <v>269</v>
      </c>
      <c r="O33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Row],[orderNum]],ТабПозиции[orderSumm])&gt;1500),ABS(M331*VLOOKUP(ТабПозиции[[#This Row],[orderNum]],ТабЗаказы[#Data],MATCH("Percent",ТабЗаказы[#Headers],0),0))/100,200/COUNTIF(ТабПозиции[orderNum],ТабПозиции[[#This Row],[orderNum]])),0),"")</f>
        <v>27</v>
      </c>
      <c r="P331">
        <f>IF(OR(ТабПозиции[[#This Row],[item]]="По штрихкоду",ТабПозиции[[#This Row],[item]]="Посылка"),ТабПозиции[[#This Row],[deliverySumm]]+ТабПозиции[[#This Row],[deliveryPost]],SUM(M331:O331))</f>
        <v>296</v>
      </c>
      <c r="Q331" s="57">
        <v>296</v>
      </c>
      <c r="R331" s="62">
        <f>ТабПозиции[[#This Row],[totalSumm]]-ТабПозиции[[#This Row],[payment]]</f>
        <v>0</v>
      </c>
      <c r="S331" s="34" t="s">
        <v>575</v>
      </c>
      <c r="T331" s="56" t="s">
        <v>3061</v>
      </c>
      <c r="U331" s="56" t="s">
        <v>3061</v>
      </c>
      <c r="V331" s="56" t="s">
        <v>3061</v>
      </c>
      <c r="W331" s="7"/>
      <c r="X331"/>
    </row>
    <row r="332" spans="1:24" x14ac:dyDescent="0.25">
      <c r="A332" s="26">
        <v>96</v>
      </c>
      <c r="B332" s="1">
        <f>IFERROR(VLOOKUP(ТабПозиции[[#This Row],[orderNum]],ТабЗаказы[#Data],MATCH(B$7,ТабЗаказы[#Headers],0),0),"")</f>
        <v>45423</v>
      </c>
      <c r="C332" t="str">
        <f>MONTH(ТабПозиции[[#This Row],[date]])&amp;"/"&amp;YEAR(ТабПозиции[[#This Row],[date]])</f>
        <v>5/2024</v>
      </c>
      <c r="D332" s="1" t="str">
        <f>IFERROR(VLOOKUP(ТабПозиции[[#This Row],[orderNum]],ТабЗаказы[#Data],MATCH(D$7,ТабЗаказы[#Headers],0),0),"")</f>
        <v>Полинка</v>
      </c>
      <c r="E332" s="32" t="s">
        <v>840</v>
      </c>
      <c r="F332" s="56" t="s">
        <v>3061</v>
      </c>
      <c r="H332" s="34">
        <v>45426</v>
      </c>
      <c r="I332" s="26">
        <v>1</v>
      </c>
      <c r="J332" s="26">
        <v>369</v>
      </c>
      <c r="K332">
        <v>369</v>
      </c>
      <c r="L332" s="26">
        <v>385</v>
      </c>
      <c r="M332">
        <f t="shared" ref="M332:M351" si="5">L332*I332</f>
        <v>385</v>
      </c>
      <c r="O33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Row],[orderNum]],ТабПозиции[orderSumm])&gt;1500),ABS(M332*VLOOKUP(ТабПозиции[[#This Row],[orderNum]],ТабЗаказы[#Data],MATCH("Percent",ТабЗаказы[#Headers],0),0))/100,200/COUNTIF(ТабПозиции[orderNum],ТабПозиции[[#This Row],[orderNum]])),0),"")</f>
        <v>58</v>
      </c>
      <c r="P332">
        <f>IF(OR(ТабПозиции[[#This Row],[item]]="По штрихкоду",ТабПозиции[[#This Row],[item]]="Посылка"),ТабПозиции[[#This Row],[deliverySumm]]+ТабПозиции[[#This Row],[deliveryPost]],SUM(M332:O332))</f>
        <v>443</v>
      </c>
      <c r="Q332" s="57">
        <v>443</v>
      </c>
      <c r="R332" s="62">
        <f>ТабПозиции[[#This Row],[totalSumm]]-ТабПозиции[[#This Row],[payment]]</f>
        <v>0</v>
      </c>
      <c r="S332" s="34" t="s">
        <v>558</v>
      </c>
      <c r="T332" s="56" t="s">
        <v>3061</v>
      </c>
      <c r="U332" s="56" t="s">
        <v>3061</v>
      </c>
      <c r="V332" s="64" t="s">
        <v>3061</v>
      </c>
      <c r="W332" s="7"/>
      <c r="X332"/>
    </row>
    <row r="333" spans="1:24" x14ac:dyDescent="0.25">
      <c r="A333" s="26">
        <v>96</v>
      </c>
      <c r="B333" s="1">
        <f>IFERROR(VLOOKUP(ТабПозиции[[#This Row],[orderNum]],ТабЗаказы[#Data],MATCH(B$7,ТабЗаказы[#Headers],0),0),"")</f>
        <v>45423</v>
      </c>
      <c r="C333" t="str">
        <f>MONTH(ТабПозиции[[#This Row],[date]])&amp;"/"&amp;YEAR(ТабПозиции[[#This Row],[date]])</f>
        <v>5/2024</v>
      </c>
      <c r="D333" s="1" t="str">
        <f>IFERROR(VLOOKUP(ТабПозиции[[#This Row],[orderNum]],ТабЗаказы[#Data],MATCH(D$7,ТабЗаказы[#Headers],0),0),"")</f>
        <v>Полинка</v>
      </c>
      <c r="E333" s="32" t="s">
        <v>841</v>
      </c>
      <c r="F333" s="56" t="s">
        <v>3061</v>
      </c>
      <c r="H333" s="34">
        <v>45427</v>
      </c>
      <c r="I333" s="26">
        <v>1</v>
      </c>
      <c r="J333" s="26">
        <v>525</v>
      </c>
      <c r="K333">
        <v>525</v>
      </c>
      <c r="L333" s="26">
        <v>547</v>
      </c>
      <c r="M333">
        <f t="shared" si="5"/>
        <v>547</v>
      </c>
      <c r="O33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Row],[orderNum]],ТабПозиции[orderSumm])&gt;1500),ABS(M333*VLOOKUP(ТабПозиции[[#This Row],[orderNum]],ТабЗаказы[#Data],MATCH("Percent",ТабЗаказы[#Headers],0),0))/100,200/COUNTIF(ТабПозиции[orderNum],ТабПозиции[[#This Row],[orderNum]])),0),"")</f>
        <v>82</v>
      </c>
      <c r="P333">
        <f>IF(OR(ТабПозиции[[#This Row],[item]]="По штрихкоду",ТабПозиции[[#This Row],[item]]="Посылка"),ТабПозиции[[#This Row],[deliverySumm]]+ТабПозиции[[#This Row],[deliveryPost]],SUM(M333:O333))</f>
        <v>629</v>
      </c>
      <c r="Q333" s="57">
        <v>629</v>
      </c>
      <c r="R333" s="62">
        <f>ТабПозиции[[#This Row],[totalSumm]]-ТабПозиции[[#This Row],[payment]]</f>
        <v>0</v>
      </c>
      <c r="S333" s="34" t="s">
        <v>558</v>
      </c>
      <c r="T333" s="56" t="s">
        <v>3061</v>
      </c>
      <c r="U333" s="56" t="s">
        <v>3061</v>
      </c>
      <c r="V333" s="64" t="s">
        <v>3061</v>
      </c>
      <c r="W333" s="7"/>
      <c r="X333"/>
    </row>
    <row r="334" spans="1:24" x14ac:dyDescent="0.25">
      <c r="A334" s="26">
        <v>96</v>
      </c>
      <c r="B334" s="1">
        <f>IFERROR(VLOOKUP(ТабПозиции[[#This Row],[orderNum]],ТабЗаказы[#Data],MATCH(B$7,ТабЗаказы[#Headers],0),0),"")</f>
        <v>45423</v>
      </c>
      <c r="C334" t="str">
        <f>MONTH(ТабПозиции[[#This Row],[date]])&amp;"/"&amp;YEAR(ТабПозиции[[#This Row],[date]])</f>
        <v>5/2024</v>
      </c>
      <c r="D334" s="1" t="str">
        <f>IFERROR(VLOOKUP(ТабПозиции[[#This Row],[orderNum]],ТабЗаказы[#Data],MATCH(D$7,ТабЗаказы[#Headers],0),0),"")</f>
        <v>Полинка</v>
      </c>
      <c r="E334" s="32" t="s">
        <v>842</v>
      </c>
      <c r="F334" s="56" t="s">
        <v>3061</v>
      </c>
      <c r="H334" s="34">
        <v>45426</v>
      </c>
      <c r="I334" s="26">
        <v>1</v>
      </c>
      <c r="J334" s="26">
        <v>518</v>
      </c>
      <c r="K334">
        <v>518</v>
      </c>
      <c r="L334" s="26">
        <v>540</v>
      </c>
      <c r="M334">
        <f t="shared" si="5"/>
        <v>540</v>
      </c>
      <c r="O33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Row],[orderNum]],ТабПозиции[orderSumm])&gt;1500),ABS(M334*VLOOKUP(ТабПозиции[[#This Row],[orderNum]],ТабЗаказы[#Data],MATCH("Percent",ТабЗаказы[#Headers],0),0))/100,200/COUNTIF(ТабПозиции[orderNum],ТабПозиции[[#This Row],[orderNum]])),0),"")</f>
        <v>81</v>
      </c>
      <c r="P334">
        <f>IF(OR(ТабПозиции[[#This Row],[item]]="По штрихкоду",ТабПозиции[[#This Row],[item]]="Посылка"),ТабПозиции[[#This Row],[deliverySumm]]+ТабПозиции[[#This Row],[deliveryPost]],SUM(M334:O334))</f>
        <v>621</v>
      </c>
      <c r="Q334" s="57">
        <v>621</v>
      </c>
      <c r="R334" s="62">
        <f>ТабПозиции[[#This Row],[totalSumm]]-ТабПозиции[[#This Row],[payment]]</f>
        <v>0</v>
      </c>
      <c r="S334" s="34" t="s">
        <v>558</v>
      </c>
      <c r="T334" s="56" t="s">
        <v>3061</v>
      </c>
      <c r="U334" s="56" t="s">
        <v>3061</v>
      </c>
      <c r="V334" s="64" t="s">
        <v>3061</v>
      </c>
      <c r="W334" s="7"/>
      <c r="X334"/>
    </row>
    <row r="335" spans="1:24" x14ac:dyDescent="0.25">
      <c r="A335" s="26">
        <v>96</v>
      </c>
      <c r="B335" s="1">
        <f>IFERROR(VLOOKUP(ТабПозиции[[#This Row],[orderNum]],ТабЗаказы[#Data],MATCH(B$7,ТабЗаказы[#Headers],0),0),"")</f>
        <v>45423</v>
      </c>
      <c r="C335" t="str">
        <f>MONTH(ТабПозиции[[#This Row],[date]])&amp;"/"&amp;YEAR(ТабПозиции[[#This Row],[date]])</f>
        <v>5/2024</v>
      </c>
      <c r="D335" s="1" t="str">
        <f>IFERROR(VLOOKUP(ТабПозиции[[#This Row],[orderNum]],ТабЗаказы[#Data],MATCH(D$7,ТабЗаказы[#Headers],0),0),"")</f>
        <v>Полинка</v>
      </c>
      <c r="E335" s="32" t="s">
        <v>843</v>
      </c>
      <c r="F335" s="56" t="s">
        <v>3061</v>
      </c>
      <c r="H335" s="34">
        <v>45426</v>
      </c>
      <c r="I335" s="26">
        <v>1</v>
      </c>
      <c r="J335" s="26">
        <v>182</v>
      </c>
      <c r="K335">
        <v>182</v>
      </c>
      <c r="L335" s="26">
        <v>190</v>
      </c>
      <c r="M335">
        <f t="shared" si="5"/>
        <v>190</v>
      </c>
      <c r="O33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Row],[orderNum]],ТабПозиции[orderSumm])&gt;1500),ABS(M335*VLOOKUP(ТабПозиции[[#This Row],[orderNum]],ТабЗаказы[#Data],MATCH("Percent",ТабЗаказы[#Headers],0),0))/100,200/COUNTIF(ТабПозиции[orderNum],ТабПозиции[[#This Row],[orderNum]])),0),"")</f>
        <v>29</v>
      </c>
      <c r="P335">
        <f>IF(OR(ТабПозиции[[#This Row],[item]]="По штрихкоду",ТабПозиции[[#This Row],[item]]="Посылка"),ТабПозиции[[#This Row],[deliverySumm]]+ТабПозиции[[#This Row],[deliveryPost]],SUM(M335:O335))</f>
        <v>219</v>
      </c>
      <c r="Q335" s="57">
        <v>219</v>
      </c>
      <c r="R335" s="62">
        <f>ТабПозиции[[#This Row],[totalSumm]]-ТабПозиции[[#This Row],[payment]]</f>
        <v>0</v>
      </c>
      <c r="S335" s="34" t="s">
        <v>558</v>
      </c>
      <c r="T335" s="56" t="s">
        <v>3061</v>
      </c>
      <c r="U335" s="56" t="s">
        <v>3061</v>
      </c>
      <c r="V335" s="64" t="s">
        <v>3061</v>
      </c>
      <c r="W335" s="7"/>
      <c r="X335"/>
    </row>
    <row r="336" spans="1:24" x14ac:dyDescent="0.25">
      <c r="A336" s="26">
        <v>96</v>
      </c>
      <c r="B336" s="1">
        <f>IFERROR(VLOOKUP(ТабПозиции[[#This Row],[orderNum]],ТабЗаказы[#Data],MATCH(B$7,ТабЗаказы[#Headers],0),0),"")</f>
        <v>45423</v>
      </c>
      <c r="C336" t="str">
        <f>MONTH(ТабПозиции[[#This Row],[date]])&amp;"/"&amp;YEAR(ТабПозиции[[#This Row],[date]])</f>
        <v>5/2024</v>
      </c>
      <c r="D336" s="1" t="str">
        <f>IFERROR(VLOOKUP(ТабПозиции[[#This Row],[orderNum]],ТабЗаказы[#Data],MATCH(D$7,ТабЗаказы[#Headers],0),0),"")</f>
        <v>Полинка</v>
      </c>
      <c r="E336" s="32" t="s">
        <v>844</v>
      </c>
      <c r="F336" s="56" t="s">
        <v>3061</v>
      </c>
      <c r="H336" s="34">
        <v>45426</v>
      </c>
      <c r="I336" s="26">
        <v>1</v>
      </c>
      <c r="J336" s="26">
        <v>336</v>
      </c>
      <c r="K336">
        <v>336</v>
      </c>
      <c r="L336" s="26">
        <v>350</v>
      </c>
      <c r="M336">
        <f t="shared" si="5"/>
        <v>350</v>
      </c>
      <c r="O33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Row],[orderNum]],ТабПозиции[orderSumm])&gt;1500),ABS(M336*VLOOKUP(ТабПозиции[[#This Row],[orderNum]],ТабЗаказы[#Data],MATCH("Percent",ТабЗаказы[#Headers],0),0))/100,200/COUNTIF(ТабПозиции[orderNum],ТабПозиции[[#This Row],[orderNum]])),0),"")</f>
        <v>53</v>
      </c>
      <c r="P336">
        <f>IF(OR(ТабПозиции[[#This Row],[item]]="По штрихкоду",ТабПозиции[[#This Row],[item]]="Посылка"),ТабПозиции[[#This Row],[deliverySumm]]+ТабПозиции[[#This Row],[deliveryPost]],SUM(M336:O336))</f>
        <v>403</v>
      </c>
      <c r="Q336" s="57">
        <v>403</v>
      </c>
      <c r="R336" s="62">
        <f>ТабПозиции[[#This Row],[totalSumm]]-ТабПозиции[[#This Row],[payment]]</f>
        <v>0</v>
      </c>
      <c r="S336" s="34" t="s">
        <v>558</v>
      </c>
      <c r="T336" s="56" t="s">
        <v>3061</v>
      </c>
      <c r="U336" s="56" t="s">
        <v>3061</v>
      </c>
      <c r="V336" s="64" t="s">
        <v>3061</v>
      </c>
      <c r="W336" s="7"/>
      <c r="X336"/>
    </row>
    <row r="337" spans="1:24" x14ac:dyDescent="0.25">
      <c r="A337" s="26">
        <v>96</v>
      </c>
      <c r="B337" s="1">
        <f>IFERROR(VLOOKUP(ТабПозиции[[#This Row],[orderNum]],ТабЗаказы[#Data],MATCH(B$7,ТабЗаказы[#Headers],0),0),"")</f>
        <v>45423</v>
      </c>
      <c r="C337" t="str">
        <f>MONTH(ТабПозиции[[#This Row],[date]])&amp;"/"&amp;YEAR(ТабПозиции[[#This Row],[date]])</f>
        <v>5/2024</v>
      </c>
      <c r="D337" s="1" t="str">
        <f>IFERROR(VLOOKUP(ТабПозиции[[#This Row],[orderNum]],ТабЗаказы[#Data],MATCH(D$7,ТабЗаказы[#Headers],0),0),"")</f>
        <v>Полинка</v>
      </c>
      <c r="E337" s="32" t="s">
        <v>845</v>
      </c>
      <c r="F337" s="56" t="s">
        <v>3061</v>
      </c>
      <c r="H337" s="34">
        <v>45425</v>
      </c>
      <c r="I337" s="26">
        <v>1</v>
      </c>
      <c r="J337" s="26">
        <v>767</v>
      </c>
      <c r="K337">
        <v>767</v>
      </c>
      <c r="L337" s="26">
        <v>799</v>
      </c>
      <c r="M337">
        <f t="shared" si="5"/>
        <v>799</v>
      </c>
      <c r="O33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Row],[orderNum]],ТабПозиции[orderSumm])&gt;1500),ABS(M337*VLOOKUP(ТабПозиции[[#This Row],[orderNum]],ТабЗаказы[#Data],MATCH("Percent",ТабЗаказы[#Headers],0),0))/100,200/COUNTIF(ТабПозиции[orderNum],ТабПозиции[[#This Row],[orderNum]])),0),"")</f>
        <v>120</v>
      </c>
      <c r="P337">
        <f>IF(OR(ТабПозиции[[#This Row],[item]]="По штрихкоду",ТабПозиции[[#This Row],[item]]="Посылка"),ТабПозиции[[#This Row],[deliverySumm]]+ТабПозиции[[#This Row],[deliveryPost]],SUM(M337:O337))</f>
        <v>919</v>
      </c>
      <c r="Q337" s="57">
        <v>919</v>
      </c>
      <c r="R337" s="62">
        <f>ТабПозиции[[#This Row],[totalSumm]]-ТабПозиции[[#This Row],[payment]]</f>
        <v>0</v>
      </c>
      <c r="S337" s="34" t="s">
        <v>558</v>
      </c>
      <c r="T337" s="56" t="s">
        <v>3061</v>
      </c>
      <c r="U337" s="56" t="s">
        <v>3061</v>
      </c>
      <c r="V337" s="64" t="s">
        <v>3061</v>
      </c>
      <c r="W337" s="7"/>
      <c r="X337"/>
    </row>
    <row r="338" spans="1:24" x14ac:dyDescent="0.25">
      <c r="A338" s="26">
        <v>96</v>
      </c>
      <c r="B338" s="1">
        <f>IFERROR(VLOOKUP(ТабПозиции[[#This Row],[orderNum]],ТабЗаказы[#Data],MATCH(B$7,ТабЗаказы[#Headers],0),0),"")</f>
        <v>45423</v>
      </c>
      <c r="C338" t="str">
        <f>MONTH(ТабПозиции[[#This Row],[date]])&amp;"/"&amp;YEAR(ТабПозиции[[#This Row],[date]])</f>
        <v>5/2024</v>
      </c>
      <c r="D338" s="1" t="str">
        <f>IFERROR(VLOOKUP(ТабПозиции[[#This Row],[orderNum]],ТабЗаказы[#Data],MATCH(D$7,ТабЗаказы[#Headers],0),0),"")</f>
        <v>Полинка</v>
      </c>
      <c r="E338" s="32" t="s">
        <v>846</v>
      </c>
      <c r="F338" s="56" t="s">
        <v>3061</v>
      </c>
      <c r="H338" s="34">
        <v>45426</v>
      </c>
      <c r="I338" s="26">
        <v>1</v>
      </c>
      <c r="J338" s="26">
        <v>162</v>
      </c>
      <c r="K338">
        <v>162</v>
      </c>
      <c r="L338" s="26">
        <v>165</v>
      </c>
      <c r="M338">
        <f t="shared" si="5"/>
        <v>165</v>
      </c>
      <c r="O33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Row],[orderNum]],ТабПозиции[orderSumm])&gt;1500),ABS(M338*VLOOKUP(ТабПозиции[[#This Row],[orderNum]],ТабЗаказы[#Data],MATCH("Percent",ТабЗаказы[#Headers],0),0))/100,200/COUNTIF(ТабПозиции[orderNum],ТабПозиции[[#This Row],[orderNum]])),0),"")</f>
        <v>25</v>
      </c>
      <c r="P338">
        <f>IF(OR(ТабПозиции[[#This Row],[item]]="По штрихкоду",ТабПозиции[[#This Row],[item]]="Посылка"),ТабПозиции[[#This Row],[deliverySumm]]+ТабПозиции[[#This Row],[deliveryPost]],SUM(M338:O338))</f>
        <v>190</v>
      </c>
      <c r="Q338" s="57">
        <v>190</v>
      </c>
      <c r="R338" s="62">
        <f>ТабПозиции[[#This Row],[totalSumm]]-ТабПозиции[[#This Row],[payment]]</f>
        <v>0</v>
      </c>
      <c r="S338" s="34" t="s">
        <v>575</v>
      </c>
      <c r="T338" s="56" t="s">
        <v>3061</v>
      </c>
      <c r="U338" s="56" t="s">
        <v>3061</v>
      </c>
      <c r="V338" s="64" t="s">
        <v>3061</v>
      </c>
      <c r="W338" s="7"/>
      <c r="X338"/>
    </row>
    <row r="339" spans="1:24" x14ac:dyDescent="0.25">
      <c r="A339" s="26">
        <v>96</v>
      </c>
      <c r="B339" s="1">
        <f>IFERROR(VLOOKUP(ТабПозиции[[#This Row],[orderNum]],ТабЗаказы[#Data],MATCH(B$7,ТабЗаказы[#Headers],0),0),"")</f>
        <v>45423</v>
      </c>
      <c r="C339" t="str">
        <f>MONTH(ТабПозиции[[#This Row],[date]])&amp;"/"&amp;YEAR(ТабПозиции[[#This Row],[date]])</f>
        <v>5/2024</v>
      </c>
      <c r="D339" s="1" t="str">
        <f>IFERROR(VLOOKUP(ТабПозиции[[#This Row],[orderNum]],ТабЗаказы[#Data],MATCH(D$7,ТабЗаказы[#Headers],0),0),"")</f>
        <v>Полинка</v>
      </c>
      <c r="E339" s="32" t="s">
        <v>847</v>
      </c>
      <c r="F339" s="56" t="s">
        <v>3061</v>
      </c>
      <c r="H339" s="34">
        <v>45437</v>
      </c>
      <c r="I339" s="26">
        <v>1</v>
      </c>
      <c r="J339" s="26">
        <v>352</v>
      </c>
      <c r="K339">
        <v>352</v>
      </c>
      <c r="L339" s="26">
        <v>353</v>
      </c>
      <c r="M339">
        <f t="shared" si="5"/>
        <v>353</v>
      </c>
      <c r="O33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Row],[orderNum]],ТабПозиции[orderSumm])&gt;1500),ABS(M339*VLOOKUP(ТабПозиции[[#This Row],[orderNum]],ТабЗаказы[#Data],MATCH("Percent",ТабЗаказы[#Headers],0),0))/100,200/COUNTIF(ТабПозиции[orderNum],ТабПозиции[[#This Row],[orderNum]])),0),"")</f>
        <v>53</v>
      </c>
      <c r="P339">
        <f>IF(OR(ТабПозиции[[#This Row],[item]]="По штрихкоду",ТабПозиции[[#This Row],[item]]="Посылка"),ТабПозиции[[#This Row],[deliverySumm]]+ТабПозиции[[#This Row],[deliveryPost]],SUM(M339:O339))</f>
        <v>406</v>
      </c>
      <c r="Q339" s="57">
        <v>406</v>
      </c>
      <c r="R339" s="62">
        <f>ТабПозиции[[#This Row],[totalSumm]]-ТабПозиции[[#This Row],[payment]]</f>
        <v>0</v>
      </c>
      <c r="S339" s="34" t="s">
        <v>575</v>
      </c>
      <c r="T339" s="56" t="s">
        <v>3061</v>
      </c>
      <c r="U339" s="56" t="s">
        <v>3061</v>
      </c>
      <c r="V339" s="56" t="s">
        <v>3061</v>
      </c>
      <c r="W339" s="7"/>
      <c r="X339"/>
    </row>
    <row r="340" spans="1:24" x14ac:dyDescent="0.25">
      <c r="A340" s="26">
        <v>97</v>
      </c>
      <c r="B340" s="1">
        <f>IFERROR(VLOOKUP(ТабПозиции[[#This Row],[orderNum]],ТабЗаказы[#Data],MATCH(B$7,ТабЗаказы[#Headers],0),0),"")</f>
        <v>45425</v>
      </c>
      <c r="C340" t="str">
        <f>MONTH(ТабПозиции[[#This Row],[date]])&amp;"/"&amp;YEAR(ТабПозиции[[#This Row],[date]])</f>
        <v>5/2024</v>
      </c>
      <c r="D340" s="1" t="str">
        <f>IFERROR(VLOOKUP(ТабПозиции[[#This Row],[orderNum]],ТабЗаказы[#Data],MATCH(D$7,ТабЗаказы[#Headers],0),0),"")</f>
        <v>Галина Агабекова(церковь)</v>
      </c>
      <c r="E340" s="32" t="s">
        <v>848</v>
      </c>
      <c r="F340" s="56" t="s">
        <v>3061</v>
      </c>
      <c r="G340" s="28" t="s">
        <v>849</v>
      </c>
      <c r="H340" s="34">
        <v>45435</v>
      </c>
      <c r="I340" s="26">
        <v>1</v>
      </c>
      <c r="J340" s="26">
        <v>174</v>
      </c>
      <c r="K340">
        <v>174</v>
      </c>
      <c r="L340" s="26">
        <v>174</v>
      </c>
      <c r="M340">
        <f t="shared" si="5"/>
        <v>174</v>
      </c>
      <c r="N340" s="26">
        <v>189</v>
      </c>
      <c r="O34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Row],[orderNum]],ТабПозиции[orderSumm])&gt;1500),ABS(M340*VLOOKUP(ТабПозиции[[#This Row],[orderNum]],ТабЗаказы[#Data],MATCH("Percent",ТабЗаказы[#Headers],0),0))/100,200/COUNTIF(ТабПозиции[orderNum],ТабПозиции[[#This Row],[orderNum]])),0),"")</f>
        <v>26</v>
      </c>
      <c r="P340">
        <f>IF(OR(ТабПозиции[[#This Row],[item]]="По штрихкоду",ТабПозиции[[#This Row],[item]]="Посылка"),ТабПозиции[[#This Row],[deliverySumm]]+ТабПозиции[[#This Row],[deliveryPost]],SUM(M340:O340))</f>
        <v>389</v>
      </c>
      <c r="Q340" s="57">
        <v>389</v>
      </c>
      <c r="R340" s="62">
        <f>ТабПозиции[[#This Row],[totalSumm]]-ТабПозиции[[#This Row],[payment]]</f>
        <v>0</v>
      </c>
      <c r="S340" s="34" t="s">
        <v>579</v>
      </c>
      <c r="T340" s="56" t="s">
        <v>3061</v>
      </c>
      <c r="U340" s="56" t="s">
        <v>3061</v>
      </c>
      <c r="V340" s="56" t="s">
        <v>3061</v>
      </c>
      <c r="W340" s="7"/>
      <c r="X340"/>
    </row>
    <row r="341" spans="1:24" x14ac:dyDescent="0.25">
      <c r="A341" s="26">
        <v>97</v>
      </c>
      <c r="B341" s="1">
        <f>IFERROR(VLOOKUP(ТабПозиции[[#This Row],[orderNum]],ТабЗаказы[#Data],MATCH(B$7,ТабЗаказы[#Headers],0),0),"")</f>
        <v>45425</v>
      </c>
      <c r="C341" t="str">
        <f>MONTH(ТабПозиции[[#This Row],[date]])&amp;"/"&amp;YEAR(ТабПозиции[[#This Row],[date]])</f>
        <v>5/2024</v>
      </c>
      <c r="D341" s="1" t="str">
        <f>IFERROR(VLOOKUP(ТабПозиции[[#This Row],[orderNum]],ТабЗаказы[#Data],MATCH(D$7,ТабЗаказы[#Headers],0),0),"")</f>
        <v>Галина Агабекова(церковь)</v>
      </c>
      <c r="E341" s="32" t="s">
        <v>850</v>
      </c>
      <c r="F341" s="56" t="s">
        <v>3061</v>
      </c>
      <c r="G341" s="28" t="s">
        <v>851</v>
      </c>
      <c r="H341" s="34">
        <v>45439</v>
      </c>
      <c r="I341" s="26">
        <v>1</v>
      </c>
      <c r="J341" s="26">
        <v>390</v>
      </c>
      <c r="K341">
        <v>390</v>
      </c>
      <c r="L341" s="26">
        <v>390</v>
      </c>
      <c r="M341">
        <f t="shared" si="5"/>
        <v>390</v>
      </c>
      <c r="N341" s="26">
        <v>366</v>
      </c>
      <c r="O34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Row],[orderNum]],ТабПозиции[orderSumm])&gt;1500),ABS(M341*VLOOKUP(ТабПозиции[[#This Row],[orderNum]],ТабЗаказы[#Data],MATCH("Percent",ТабЗаказы[#Headers],0),0))/100,200/COUNTIF(ТабПозиции[orderNum],ТабПозиции[[#This Row],[orderNum]])),0),"")</f>
        <v>59</v>
      </c>
      <c r="P341">
        <f>IF(OR(ТабПозиции[[#This Row],[item]]="По штрихкоду",ТабПозиции[[#This Row],[item]]="Посылка"),ТабПозиции[[#This Row],[deliverySumm]]+ТабПозиции[[#This Row],[deliveryPost]],SUM(M341:O341))</f>
        <v>815</v>
      </c>
      <c r="Q341" s="57">
        <v>815</v>
      </c>
      <c r="R341" s="62">
        <f>ТабПозиции[[#This Row],[totalSumm]]-ТабПозиции[[#This Row],[payment]]</f>
        <v>0</v>
      </c>
      <c r="S341" s="34" t="s">
        <v>579</v>
      </c>
      <c r="T341" s="56" t="s">
        <v>3061</v>
      </c>
      <c r="U341" s="56" t="s">
        <v>3061</v>
      </c>
      <c r="V341" s="56" t="s">
        <v>3061</v>
      </c>
      <c r="W341" s="7"/>
      <c r="X341"/>
    </row>
    <row r="342" spans="1:24" x14ac:dyDescent="0.25">
      <c r="A342" s="26">
        <v>97</v>
      </c>
      <c r="B342" s="1">
        <f>IFERROR(VLOOKUP(ТабПозиции[[#This Row],[orderNum]],ТабЗаказы[#Data],MATCH(B$7,ТабЗаказы[#Headers],0),0),"")</f>
        <v>45425</v>
      </c>
      <c r="C342" t="str">
        <f>MONTH(ТабПозиции[[#This Row],[date]])&amp;"/"&amp;YEAR(ТабПозиции[[#This Row],[date]])</f>
        <v>5/2024</v>
      </c>
      <c r="D342" s="1" t="str">
        <f>IFERROR(VLOOKUP(ТабПозиции[[#This Row],[orderNum]],ТабЗаказы[#Data],MATCH(D$7,ТабЗаказы[#Headers],0),0),"")</f>
        <v>Галина Агабекова(церковь)</v>
      </c>
      <c r="E342" s="32" t="s">
        <v>852</v>
      </c>
      <c r="F342" s="56" t="s">
        <v>3061</v>
      </c>
      <c r="G342" s="28" t="s">
        <v>853</v>
      </c>
      <c r="H342" s="34">
        <v>45435</v>
      </c>
      <c r="I342" s="26">
        <v>1</v>
      </c>
      <c r="J342" s="26">
        <v>540</v>
      </c>
      <c r="K342">
        <v>540</v>
      </c>
      <c r="L342" s="26">
        <v>540</v>
      </c>
      <c r="M342">
        <f t="shared" si="5"/>
        <v>540</v>
      </c>
      <c r="N342" s="26">
        <f>350/5</f>
        <v>70</v>
      </c>
      <c r="O34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Row],[orderNum]],ТабПозиции[orderSumm])&gt;1500),ABS(M342*VLOOKUP(ТабПозиции[[#This Row],[orderNum]],ТабЗаказы[#Data],MATCH("Percent",ТабЗаказы[#Headers],0),0))/100,200/COUNTIF(ТабПозиции[orderNum],ТабПозиции[[#This Row],[orderNum]])),0),"")</f>
        <v>81</v>
      </c>
      <c r="P342">
        <f>IF(OR(ТабПозиции[[#This Row],[item]]="По штрихкоду",ТабПозиции[[#This Row],[item]]="Посылка"),ТабПозиции[[#This Row],[deliverySumm]]+ТабПозиции[[#This Row],[deliveryPost]],SUM(M342:O342))</f>
        <v>691</v>
      </c>
      <c r="Q342" s="57">
        <v>691</v>
      </c>
      <c r="R342" s="62">
        <f>ТабПозиции[[#This Row],[totalSumm]]-ТабПозиции[[#This Row],[payment]]</f>
        <v>0</v>
      </c>
      <c r="S342" s="34" t="s">
        <v>671</v>
      </c>
      <c r="T342" s="56" t="s">
        <v>3061</v>
      </c>
      <c r="U342" s="56" t="s">
        <v>3061</v>
      </c>
      <c r="V342" s="56" t="s">
        <v>3061</v>
      </c>
      <c r="W342" s="7"/>
      <c r="X342"/>
    </row>
    <row r="343" spans="1:24" x14ac:dyDescent="0.25">
      <c r="A343" s="26">
        <v>97</v>
      </c>
      <c r="B343" s="1">
        <f>IFERROR(VLOOKUP(ТабПозиции[[#This Row],[orderNum]],ТабЗаказы[#Data],MATCH(B$7,ТабЗаказы[#Headers],0),0),"")</f>
        <v>45425</v>
      </c>
      <c r="C343" t="str">
        <f>MONTH(ТабПозиции[[#This Row],[date]])&amp;"/"&amp;YEAR(ТабПозиции[[#This Row],[date]])</f>
        <v>5/2024</v>
      </c>
      <c r="D343" s="1" t="str">
        <f>IFERROR(VLOOKUP(ТабПозиции[[#This Row],[orderNum]],ТабЗаказы[#Data],MATCH(D$7,ТабЗаказы[#Headers],0),0),"")</f>
        <v>Галина Агабекова(церковь)</v>
      </c>
      <c r="E343" s="32" t="s">
        <v>854</v>
      </c>
      <c r="F343" s="56" t="s">
        <v>3061</v>
      </c>
      <c r="G343" s="28" t="s">
        <v>853</v>
      </c>
      <c r="H343" s="34">
        <v>45435</v>
      </c>
      <c r="I343" s="26">
        <v>1</v>
      </c>
      <c r="J343" s="26">
        <v>185</v>
      </c>
      <c r="K343">
        <v>185</v>
      </c>
      <c r="L343" s="26">
        <v>185</v>
      </c>
      <c r="M343">
        <f t="shared" si="5"/>
        <v>185</v>
      </c>
      <c r="N343" s="26">
        <f t="shared" ref="N343:N346" si="6">350/5</f>
        <v>70</v>
      </c>
      <c r="O34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Row],[orderNum]],ТабПозиции[orderSumm])&gt;1500),ABS(M343*VLOOKUP(ТабПозиции[[#This Row],[orderNum]],ТабЗаказы[#Data],MATCH("Percent",ТабЗаказы[#Headers],0),0))/100,200/COUNTIF(ТабПозиции[orderNum],ТабПозиции[[#This Row],[orderNum]])),0),"")</f>
        <v>28</v>
      </c>
      <c r="P343">
        <f>IF(OR(ТабПозиции[[#This Row],[item]]="По штрихкоду",ТабПозиции[[#This Row],[item]]="Посылка"),ТабПозиции[[#This Row],[deliverySumm]]+ТабПозиции[[#This Row],[deliveryPost]],SUM(M343:O343))</f>
        <v>283</v>
      </c>
      <c r="Q343" s="57">
        <v>283</v>
      </c>
      <c r="R343" s="62">
        <f>ТабПозиции[[#This Row],[totalSumm]]-ТабПозиции[[#This Row],[payment]]</f>
        <v>0</v>
      </c>
      <c r="S343" s="34" t="s">
        <v>671</v>
      </c>
      <c r="T343" s="56" t="s">
        <v>3061</v>
      </c>
      <c r="U343" s="56" t="s">
        <v>3061</v>
      </c>
      <c r="V343" s="56" t="s">
        <v>3061</v>
      </c>
      <c r="W343" s="7"/>
      <c r="X343"/>
    </row>
    <row r="344" spans="1:24" x14ac:dyDescent="0.25">
      <c r="A344" s="26">
        <v>97</v>
      </c>
      <c r="B344" s="1">
        <f>IFERROR(VLOOKUP(ТабПозиции[[#This Row],[orderNum]],ТабЗаказы[#Data],MATCH(B$7,ТабЗаказы[#Headers],0),0),"")</f>
        <v>45425</v>
      </c>
      <c r="C344" t="str">
        <f>MONTH(ТабПозиции[[#This Row],[date]])&amp;"/"&amp;YEAR(ТабПозиции[[#This Row],[date]])</f>
        <v>5/2024</v>
      </c>
      <c r="D344" s="1" t="str">
        <f>IFERROR(VLOOKUP(ТабПозиции[[#This Row],[orderNum]],ТабЗаказы[#Data],MATCH(D$7,ТабЗаказы[#Headers],0),0),"")</f>
        <v>Галина Агабекова(церковь)</v>
      </c>
      <c r="E344" s="32" t="s">
        <v>855</v>
      </c>
      <c r="F344" s="56" t="s">
        <v>3061</v>
      </c>
      <c r="G344" s="28" t="s">
        <v>853</v>
      </c>
      <c r="H344" s="34">
        <v>45435</v>
      </c>
      <c r="I344" s="26">
        <v>1</v>
      </c>
      <c r="J344" s="26">
        <v>475</v>
      </c>
      <c r="K344">
        <v>475</v>
      </c>
      <c r="L344" s="26">
        <v>475</v>
      </c>
      <c r="M344">
        <f t="shared" si="5"/>
        <v>475</v>
      </c>
      <c r="N344" s="26">
        <f t="shared" si="6"/>
        <v>70</v>
      </c>
      <c r="O34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Row],[orderNum]],ТабПозиции[orderSumm])&gt;1500),ABS(M344*VLOOKUP(ТабПозиции[[#This Row],[orderNum]],ТабЗаказы[#Data],MATCH("Percent",ТабЗаказы[#Headers],0),0))/100,200/COUNTIF(ТабПозиции[orderNum],ТабПозиции[[#This Row],[orderNum]])),0),"")</f>
        <v>71</v>
      </c>
      <c r="P344">
        <f>IF(OR(ТабПозиции[[#This Row],[item]]="По штрихкоду",ТабПозиции[[#This Row],[item]]="Посылка"),ТабПозиции[[#This Row],[deliverySumm]]+ТабПозиции[[#This Row],[deliveryPost]],SUM(M344:O344))</f>
        <v>616</v>
      </c>
      <c r="Q344" s="57">
        <v>616</v>
      </c>
      <c r="R344" s="62">
        <f>ТабПозиции[[#This Row],[totalSumm]]-ТабПозиции[[#This Row],[payment]]</f>
        <v>0</v>
      </c>
      <c r="S344" s="34" t="s">
        <v>671</v>
      </c>
      <c r="T344" s="56" t="s">
        <v>3061</v>
      </c>
      <c r="U344" s="56" t="s">
        <v>3061</v>
      </c>
      <c r="V344" s="56" t="s">
        <v>3061</v>
      </c>
      <c r="W344" s="7"/>
      <c r="X344"/>
    </row>
    <row r="345" spans="1:24" x14ac:dyDescent="0.25">
      <c r="A345" s="26">
        <v>97</v>
      </c>
      <c r="B345" s="1">
        <f>IFERROR(VLOOKUP(ТабПозиции[[#This Row],[orderNum]],ТабЗаказы[#Data],MATCH(B$7,ТабЗаказы[#Headers],0),0),"")</f>
        <v>45425</v>
      </c>
      <c r="C345" t="str">
        <f>MONTH(ТабПозиции[[#This Row],[date]])&amp;"/"&amp;YEAR(ТабПозиции[[#This Row],[date]])</f>
        <v>5/2024</v>
      </c>
      <c r="D345" s="1" t="str">
        <f>IFERROR(VLOOKUP(ТабПозиции[[#This Row],[orderNum]],ТабЗаказы[#Data],MATCH(D$7,ТабЗаказы[#Headers],0),0),"")</f>
        <v>Галина Агабекова(церковь)</v>
      </c>
      <c r="E345" s="32" t="s">
        <v>856</v>
      </c>
      <c r="F345" s="56" t="s">
        <v>3061</v>
      </c>
      <c r="G345" s="28" t="s">
        <v>853</v>
      </c>
      <c r="H345" s="34">
        <v>45435</v>
      </c>
      <c r="I345" s="26">
        <v>1</v>
      </c>
      <c r="J345" s="26">
        <v>617</v>
      </c>
      <c r="K345">
        <v>617</v>
      </c>
      <c r="L345" s="26">
        <v>617</v>
      </c>
      <c r="M345">
        <f t="shared" si="5"/>
        <v>617</v>
      </c>
      <c r="N345" s="26">
        <f t="shared" si="6"/>
        <v>70</v>
      </c>
      <c r="O34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Row],[orderNum]],ТабПозиции[orderSumm])&gt;1500),ABS(M345*VLOOKUP(ТабПозиции[[#This Row],[orderNum]],ТабЗаказы[#Data],MATCH("Percent",ТабЗаказы[#Headers],0),0))/100,200/COUNTIF(ТабПозиции[orderNum],ТабПозиции[[#This Row],[orderNum]])),0),"")</f>
        <v>93</v>
      </c>
      <c r="P345">
        <f>IF(OR(ТабПозиции[[#This Row],[item]]="По штрихкоду",ТабПозиции[[#This Row],[item]]="Посылка"),ТабПозиции[[#This Row],[deliverySumm]]+ТабПозиции[[#This Row],[deliveryPost]],SUM(M345:O345))</f>
        <v>780</v>
      </c>
      <c r="Q345" s="57">
        <v>780</v>
      </c>
      <c r="R345" s="62">
        <f>ТабПозиции[[#This Row],[totalSumm]]-ТабПозиции[[#This Row],[payment]]</f>
        <v>0</v>
      </c>
      <c r="S345" s="34" t="s">
        <v>671</v>
      </c>
      <c r="T345" s="56" t="s">
        <v>3061</v>
      </c>
      <c r="U345" s="56" t="s">
        <v>3061</v>
      </c>
      <c r="V345" s="56" t="s">
        <v>3061</v>
      </c>
      <c r="W345" s="7"/>
      <c r="X345"/>
    </row>
    <row r="346" spans="1:24" x14ac:dyDescent="0.25">
      <c r="A346" s="26">
        <v>97</v>
      </c>
      <c r="B346" s="1">
        <f>IFERROR(VLOOKUP(ТабПозиции[[#This Row],[orderNum]],ТабЗаказы[#Data],MATCH(B$7,ТабЗаказы[#Headers],0),0),"")</f>
        <v>45425</v>
      </c>
      <c r="C346" t="str">
        <f>MONTH(ТабПозиции[[#This Row],[date]])&amp;"/"&amp;YEAR(ТабПозиции[[#This Row],[date]])</f>
        <v>5/2024</v>
      </c>
      <c r="D346" s="1" t="str">
        <f>IFERROR(VLOOKUP(ТабПозиции[[#This Row],[orderNum]],ТабЗаказы[#Data],MATCH(D$7,ТабЗаказы[#Headers],0),0),"")</f>
        <v>Галина Агабекова(церковь)</v>
      </c>
      <c r="E346" s="32" t="s">
        <v>857</v>
      </c>
      <c r="F346" s="56" t="s">
        <v>3061</v>
      </c>
      <c r="G346" s="28" t="s">
        <v>853</v>
      </c>
      <c r="H346" s="34">
        <v>45435</v>
      </c>
      <c r="I346" s="26">
        <v>1</v>
      </c>
      <c r="J346" s="26">
        <v>52</v>
      </c>
      <c r="K346">
        <v>52</v>
      </c>
      <c r="L346" s="26">
        <v>52</v>
      </c>
      <c r="M346">
        <f t="shared" si="5"/>
        <v>52</v>
      </c>
      <c r="N346" s="26">
        <f t="shared" si="6"/>
        <v>70</v>
      </c>
      <c r="O34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Row],[orderNum]],ТабПозиции[orderSumm])&gt;1500),ABS(M346*VLOOKUP(ТабПозиции[[#This Row],[orderNum]],ТабЗаказы[#Data],MATCH("Percent",ТабЗаказы[#Headers],0),0))/100,200/COUNTIF(ТабПозиции[orderNum],ТабПозиции[[#This Row],[orderNum]])),0),"")</f>
        <v>8</v>
      </c>
      <c r="P346">
        <f>IF(OR(ТабПозиции[[#This Row],[item]]="По штрихкоду",ТабПозиции[[#This Row],[item]]="Посылка"),ТабПозиции[[#This Row],[deliverySumm]]+ТабПозиции[[#This Row],[deliveryPost]],SUM(M346:O346))</f>
        <v>130</v>
      </c>
      <c r="Q346" s="57">
        <v>130</v>
      </c>
      <c r="R346" s="62">
        <f>ТабПозиции[[#This Row],[totalSumm]]-ТабПозиции[[#This Row],[payment]]</f>
        <v>0</v>
      </c>
      <c r="S346" s="34" t="s">
        <v>671</v>
      </c>
      <c r="T346" s="56" t="s">
        <v>3061</v>
      </c>
      <c r="U346" s="56" t="s">
        <v>3061</v>
      </c>
      <c r="V346" s="56" t="s">
        <v>3061</v>
      </c>
      <c r="W346" s="7"/>
      <c r="X346"/>
    </row>
    <row r="347" spans="1:24" x14ac:dyDescent="0.25">
      <c r="A347" s="26">
        <v>97</v>
      </c>
      <c r="B347" s="1">
        <f>IFERROR(VLOOKUP(ТабПозиции[[#This Row],[orderNum]],ТабЗаказы[#Data],MATCH(B$7,ТабЗаказы[#Headers],0),0),"")</f>
        <v>45425</v>
      </c>
      <c r="C347" t="str">
        <f>MONTH(ТабПозиции[[#This Row],[date]])&amp;"/"&amp;YEAR(ТабПозиции[[#This Row],[date]])</f>
        <v>5/2024</v>
      </c>
      <c r="D347" s="1" t="str">
        <f>IFERROR(VLOOKUP(ТабПозиции[[#This Row],[orderNum]],ТабЗаказы[#Data],MATCH(D$7,ТабЗаказы[#Headers],0),0),"")</f>
        <v>Галина Агабекова(церковь)</v>
      </c>
      <c r="E347" s="32" t="s">
        <v>858</v>
      </c>
      <c r="F347" s="56" t="s">
        <v>3061</v>
      </c>
      <c r="H347" s="34">
        <v>45429</v>
      </c>
      <c r="I347" s="26">
        <v>1</v>
      </c>
      <c r="J347" s="26">
        <v>317</v>
      </c>
      <c r="K347">
        <v>317</v>
      </c>
      <c r="L347" s="26">
        <v>331</v>
      </c>
      <c r="M347">
        <f t="shared" si="5"/>
        <v>331</v>
      </c>
      <c r="O34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Row],[orderNum]],ТабПозиции[orderSumm])&gt;1500),ABS(M347*VLOOKUP(ТабПозиции[[#This Row],[orderNum]],ТабЗаказы[#Data],MATCH("Percent",ТабЗаказы[#Headers],0),0))/100,200/COUNTIF(ТабПозиции[orderNum],ТабПозиции[[#This Row],[orderNum]])),0),"")</f>
        <v>50</v>
      </c>
      <c r="P347">
        <f>IF(OR(ТабПозиции[[#This Row],[item]]="По штрихкоду",ТабПозиции[[#This Row],[item]]="Посылка"),ТабПозиции[[#This Row],[deliverySumm]]+ТабПозиции[[#This Row],[deliveryPost]],SUM(M347:O347))</f>
        <v>381</v>
      </c>
      <c r="Q347" s="57">
        <v>381</v>
      </c>
      <c r="R347" s="62">
        <f>ТабПозиции[[#This Row],[totalSumm]]-ТабПозиции[[#This Row],[payment]]</f>
        <v>0</v>
      </c>
      <c r="S347" s="34" t="s">
        <v>558</v>
      </c>
      <c r="T347" s="56" t="s">
        <v>3061</v>
      </c>
      <c r="U347" s="56" t="s">
        <v>3061</v>
      </c>
      <c r="V347" s="56" t="s">
        <v>3061</v>
      </c>
      <c r="W347" s="7"/>
      <c r="X347"/>
    </row>
    <row r="348" spans="1:24" x14ac:dyDescent="0.25">
      <c r="A348" s="26">
        <v>97</v>
      </c>
      <c r="B348" s="1">
        <f>IFERROR(VLOOKUP(ТабПозиции[[#This Row],[orderNum]],ТабЗаказы[#Data],MATCH(B$7,ТабЗаказы[#Headers],0),0),"")</f>
        <v>45425</v>
      </c>
      <c r="C348" t="str">
        <f>MONTH(ТабПозиции[[#This Row],[date]])&amp;"/"&amp;YEAR(ТабПозиции[[#This Row],[date]])</f>
        <v>5/2024</v>
      </c>
      <c r="D348" s="1" t="str">
        <f>IFERROR(VLOOKUP(ТабПозиции[[#This Row],[orderNum]],ТабЗаказы[#Data],MATCH(D$7,ТабЗаказы[#Headers],0),0),"")</f>
        <v>Галина Агабекова(церковь)</v>
      </c>
      <c r="E348" s="32" t="s">
        <v>859</v>
      </c>
      <c r="F348" s="56" t="s">
        <v>3061</v>
      </c>
      <c r="H348" s="34">
        <v>45429</v>
      </c>
      <c r="I348" s="26">
        <v>1</v>
      </c>
      <c r="J348" s="26">
        <v>406</v>
      </c>
      <c r="K348">
        <v>406</v>
      </c>
      <c r="L348" s="26">
        <v>423</v>
      </c>
      <c r="M348">
        <f t="shared" si="5"/>
        <v>423</v>
      </c>
      <c r="O34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Row],[orderNum]],ТабПозиции[orderSumm])&gt;1500),ABS(M348*VLOOKUP(ТабПозиции[[#This Row],[orderNum]],ТабЗаказы[#Data],MATCH("Percent",ТабЗаказы[#Headers],0),0))/100,200/COUNTIF(ТабПозиции[orderNum],ТабПозиции[[#This Row],[orderNum]])),0),"")</f>
        <v>63</v>
      </c>
      <c r="P348">
        <f>IF(OR(ТабПозиции[[#This Row],[item]]="По штрихкоду",ТабПозиции[[#This Row],[item]]="Посылка"),ТабПозиции[[#This Row],[deliverySumm]]+ТабПозиции[[#This Row],[deliveryPost]],SUM(M348:O348))</f>
        <v>486</v>
      </c>
      <c r="Q348" s="57">
        <v>486</v>
      </c>
      <c r="R348" s="62">
        <f>ТабПозиции[[#This Row],[totalSumm]]-ТабПозиции[[#This Row],[payment]]</f>
        <v>0</v>
      </c>
      <c r="S348" s="34" t="s">
        <v>558</v>
      </c>
      <c r="T348" s="56" t="s">
        <v>3061</v>
      </c>
      <c r="U348" s="56" t="s">
        <v>3061</v>
      </c>
      <c r="V348" s="56" t="s">
        <v>3061</v>
      </c>
      <c r="W348" s="7"/>
      <c r="X348"/>
    </row>
    <row r="349" spans="1:24" x14ac:dyDescent="0.25">
      <c r="A349" s="26">
        <v>97</v>
      </c>
      <c r="B349" s="1">
        <f>IFERROR(VLOOKUP(ТабПозиции[[#This Row],[orderNum]],ТабЗаказы[#Data],MATCH(B$7,ТабЗаказы[#Headers],0),0),"")</f>
        <v>45425</v>
      </c>
      <c r="C349" t="str">
        <f>MONTH(ТабПозиции[[#This Row],[date]])&amp;"/"&amp;YEAR(ТабПозиции[[#This Row],[date]])</f>
        <v>5/2024</v>
      </c>
      <c r="D349" s="1" t="str">
        <f>IFERROR(VLOOKUP(ТабПозиции[[#This Row],[orderNum]],ТабЗаказы[#Data],MATCH(D$7,ТабЗаказы[#Headers],0),0),"")</f>
        <v>Галина Агабекова(церковь)</v>
      </c>
      <c r="E349" s="32" t="s">
        <v>860</v>
      </c>
      <c r="F349" s="56" t="s">
        <v>3061</v>
      </c>
      <c r="H349" s="34">
        <v>45427</v>
      </c>
      <c r="I349" s="26">
        <v>1</v>
      </c>
      <c r="J349" s="26">
        <v>208</v>
      </c>
      <c r="K349">
        <v>208</v>
      </c>
      <c r="L349" s="26">
        <v>217</v>
      </c>
      <c r="M349">
        <f t="shared" si="5"/>
        <v>217</v>
      </c>
      <c r="O34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Row],[orderNum]],ТабПозиции[orderSumm])&gt;1500),ABS(M349*VLOOKUP(ТабПозиции[[#This Row],[orderNum]],ТабЗаказы[#Data],MATCH("Percent",ТабЗаказы[#Headers],0),0))/100,200/COUNTIF(ТабПозиции[orderNum],ТабПозиции[[#This Row],[orderNum]])),0),"")</f>
        <v>33</v>
      </c>
      <c r="P349">
        <f>IF(OR(ТабПозиции[[#This Row],[item]]="По штрихкоду",ТабПозиции[[#This Row],[item]]="Посылка"),ТабПозиции[[#This Row],[deliverySumm]]+ТабПозиции[[#This Row],[deliveryPost]],SUM(M349:O349))</f>
        <v>250</v>
      </c>
      <c r="Q349" s="57">
        <v>250</v>
      </c>
      <c r="R349" s="62">
        <f>ТабПозиции[[#This Row],[totalSumm]]-ТабПозиции[[#This Row],[payment]]</f>
        <v>0</v>
      </c>
      <c r="S349" s="34" t="s">
        <v>558</v>
      </c>
      <c r="T349" s="56" t="s">
        <v>3061</v>
      </c>
      <c r="U349" s="56" t="s">
        <v>3061</v>
      </c>
      <c r="V349" s="56" t="s">
        <v>3061</v>
      </c>
      <c r="W349" s="7"/>
      <c r="X349"/>
    </row>
    <row r="350" spans="1:24" x14ac:dyDescent="0.25">
      <c r="A350" s="26">
        <v>97</v>
      </c>
      <c r="B350" s="1">
        <f>IFERROR(VLOOKUP(ТабПозиции[[#This Row],[orderNum]],ТабЗаказы[#Data],MATCH(B$7,ТабЗаказы[#Headers],0),0),"")</f>
        <v>45425</v>
      </c>
      <c r="C350" t="str">
        <f>MONTH(ТабПозиции[[#This Row],[date]])&amp;"/"&amp;YEAR(ТабПозиции[[#This Row],[date]])</f>
        <v>5/2024</v>
      </c>
      <c r="D350" s="1" t="str">
        <f>IFERROR(VLOOKUP(ТабПозиции[[#This Row],[orderNum]],ТабЗаказы[#Data],MATCH(D$7,ТабЗаказы[#Headers],0),0),"")</f>
        <v>Галина Агабекова(церковь)</v>
      </c>
      <c r="E350" s="32" t="s">
        <v>861</v>
      </c>
      <c r="F350" s="56" t="s">
        <v>3061</v>
      </c>
      <c r="H350" s="34">
        <v>45430</v>
      </c>
      <c r="I350" s="26">
        <v>1</v>
      </c>
      <c r="J350" s="26">
        <v>456</v>
      </c>
      <c r="K350">
        <v>456</v>
      </c>
      <c r="L350" s="26">
        <v>476</v>
      </c>
      <c r="M350">
        <f t="shared" si="5"/>
        <v>476</v>
      </c>
      <c r="O35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Row],[orderNum]],ТабПозиции[orderSumm])&gt;1500),ABS(M350*VLOOKUP(ТабПозиции[[#This Row],[orderNum]],ТабЗаказы[#Data],MATCH("Percent",ТабЗаказы[#Headers],0),0))/100,200/COUNTIF(ТабПозиции[orderNum],ТабПозиции[[#This Row],[orderNum]])),0),"")</f>
        <v>71</v>
      </c>
      <c r="P350">
        <f>IF(OR(ТабПозиции[[#This Row],[item]]="По штрихкоду",ТабПозиции[[#This Row],[item]]="Посылка"),ТабПозиции[[#This Row],[deliverySumm]]+ТабПозиции[[#This Row],[deliveryPost]],SUM(M350:O350))</f>
        <v>547</v>
      </c>
      <c r="Q350" s="57">
        <v>547</v>
      </c>
      <c r="R350" s="62">
        <f>ТабПозиции[[#This Row],[totalSumm]]-ТабПозиции[[#This Row],[payment]]</f>
        <v>0</v>
      </c>
      <c r="S350" s="34" t="s">
        <v>558</v>
      </c>
      <c r="T350" s="56" t="s">
        <v>3061</v>
      </c>
      <c r="U350" s="56" t="s">
        <v>3061</v>
      </c>
      <c r="V350" s="56" t="s">
        <v>3061</v>
      </c>
      <c r="W350" s="7"/>
      <c r="X350"/>
    </row>
    <row r="351" spans="1:24" x14ac:dyDescent="0.25">
      <c r="A351" s="26">
        <v>97</v>
      </c>
      <c r="B351" s="1">
        <f>IFERROR(VLOOKUP(ТабПозиции[[#This Row],[orderNum]],ТабЗаказы[#Data],MATCH(B$7,ТабЗаказы[#Headers],0),0),"")</f>
        <v>45425</v>
      </c>
      <c r="C351" t="str">
        <f>MONTH(ТабПозиции[[#This Row],[date]])&amp;"/"&amp;YEAR(ТабПозиции[[#This Row],[date]])</f>
        <v>5/2024</v>
      </c>
      <c r="D351" s="1" t="str">
        <f>IFERROR(VLOOKUP(ТабПозиции[[#This Row],[orderNum]],ТабЗаказы[#Data],MATCH(D$7,ТабЗаказы[#Headers],0),0),"")</f>
        <v>Галина Агабекова(церковь)</v>
      </c>
      <c r="E351" s="32" t="s">
        <v>862</v>
      </c>
      <c r="F351" s="56" t="s">
        <v>3061</v>
      </c>
      <c r="H351" s="34">
        <v>45430</v>
      </c>
      <c r="I351" s="26">
        <v>1</v>
      </c>
      <c r="J351" s="26">
        <v>456</v>
      </c>
      <c r="K351">
        <v>456</v>
      </c>
      <c r="L351" s="26">
        <v>476</v>
      </c>
      <c r="M351">
        <f t="shared" si="5"/>
        <v>476</v>
      </c>
      <c r="O35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Row],[orderNum]],ТабПозиции[orderSumm])&gt;1500),ABS(M351*VLOOKUP(ТабПозиции[[#This Row],[orderNum]],ТабЗаказы[#Data],MATCH("Percent",ТабЗаказы[#Headers],0),0))/100,200/COUNTIF(ТабПозиции[orderNum],ТабПозиции[[#This Row],[orderNum]])),0),"")</f>
        <v>71</v>
      </c>
      <c r="P351">
        <f>IF(OR(ТабПозиции[[#This Row],[item]]="По штрихкоду",ТабПозиции[[#This Row],[item]]="Посылка"),ТабПозиции[[#This Row],[deliverySumm]]+ТабПозиции[[#This Row],[deliveryPost]],SUM(M351:O351))</f>
        <v>547</v>
      </c>
      <c r="Q351" s="57">
        <v>547</v>
      </c>
      <c r="R351" s="62">
        <f>ТабПозиции[[#This Row],[totalSumm]]-ТабПозиции[[#This Row],[payment]]</f>
        <v>0</v>
      </c>
      <c r="S351" s="34" t="s">
        <v>558</v>
      </c>
      <c r="T351" s="56" t="s">
        <v>3061</v>
      </c>
      <c r="U351" s="56" t="s">
        <v>3061</v>
      </c>
      <c r="V351" s="56" t="s">
        <v>3061</v>
      </c>
      <c r="W351" s="7"/>
      <c r="X351"/>
    </row>
    <row r="352" spans="1:24" x14ac:dyDescent="0.25">
      <c r="A352" s="26">
        <v>97</v>
      </c>
      <c r="B352" s="1">
        <f>IFERROR(VLOOKUP(ТабПозиции[[#This Row],[orderNum]],ТабЗаказы[#Data],MATCH(B$7,ТабЗаказы[#Headers],0),0),"")</f>
        <v>45425</v>
      </c>
      <c r="C352" t="str">
        <f>MONTH(ТабПозиции[[#This Row],[date]])&amp;"/"&amp;YEAR(ТабПозиции[[#This Row],[date]])</f>
        <v>5/2024</v>
      </c>
      <c r="D352" s="1" t="str">
        <f>IFERROR(VLOOKUP(ТабПозиции[[#This Row],[orderNum]],ТабЗаказы[#Data],MATCH(D$7,ТабЗаказы[#Headers],0),0),"")</f>
        <v>Галина Агабекова(церковь)</v>
      </c>
      <c r="E352" s="32" t="s">
        <v>863</v>
      </c>
      <c r="F352" s="56" t="s">
        <v>3061</v>
      </c>
      <c r="H352" s="34">
        <v>45428</v>
      </c>
      <c r="I352" s="26">
        <v>1</v>
      </c>
      <c r="J352" s="26">
        <v>652</v>
      </c>
      <c r="K352">
        <v>652</v>
      </c>
      <c r="L352" s="26">
        <v>680</v>
      </c>
      <c r="M352">
        <f>L352*I352</f>
        <v>680</v>
      </c>
      <c r="O35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Row],[orderNum]],ТабПозиции[orderSumm])&gt;1500),ABS(M352*VLOOKUP(ТабПозиции[[#This Row],[orderNum]],ТабЗаказы[#Data],MATCH("Percent",ТабЗаказы[#Headers],0),0))/100,200/COUNTIF(ТабПозиции[orderNum],ТабПозиции[[#This Row],[orderNum]])),0),"")</f>
        <v>102</v>
      </c>
      <c r="P352">
        <f>IF(OR(ТабПозиции[[#This Row],[item]]="По штрихкоду",ТабПозиции[[#This Row],[item]]="Посылка"),ТабПозиции[[#This Row],[deliverySumm]]+ТабПозиции[[#This Row],[deliveryPost]],SUM(M352:O352))</f>
        <v>782</v>
      </c>
      <c r="Q352" s="57">
        <v>782</v>
      </c>
      <c r="R352" s="62">
        <f>ТабПозиции[[#This Row],[totalSumm]]-ТабПозиции[[#This Row],[payment]]</f>
        <v>0</v>
      </c>
      <c r="S352" s="34" t="s">
        <v>558</v>
      </c>
      <c r="T352" s="56" t="s">
        <v>3061</v>
      </c>
      <c r="U352" s="56" t="s">
        <v>3061</v>
      </c>
      <c r="V352" s="56" t="s">
        <v>3061</v>
      </c>
      <c r="W352" s="7"/>
      <c r="X352"/>
    </row>
    <row r="353" spans="1:24" x14ac:dyDescent="0.25">
      <c r="A353" s="26">
        <v>97</v>
      </c>
      <c r="B353" s="1">
        <f>IFERROR(VLOOKUP(ТабПозиции[[#This Row],[orderNum]],ТабЗаказы[#Data],MATCH(B$7,ТабЗаказы[#Headers],0),0),"")</f>
        <v>45425</v>
      </c>
      <c r="C353" t="str">
        <f>MONTH(ТабПозиции[[#This Row],[date]])&amp;"/"&amp;YEAR(ТабПозиции[[#This Row],[date]])</f>
        <v>5/2024</v>
      </c>
      <c r="D353" s="1" t="str">
        <f>IFERROR(VLOOKUP(ТабПозиции[[#This Row],[orderNum]],ТабЗаказы[#Data],MATCH(D$7,ТабЗаказы[#Headers],0),0),"")</f>
        <v>Галина Агабекова(церковь)</v>
      </c>
      <c r="E353" s="32" t="s">
        <v>864</v>
      </c>
      <c r="F353" s="56" t="s">
        <v>3061</v>
      </c>
      <c r="H353" s="34">
        <v>45428</v>
      </c>
      <c r="I353" s="26">
        <v>1</v>
      </c>
      <c r="J353" s="26">
        <v>921</v>
      </c>
      <c r="K353">
        <v>921</v>
      </c>
      <c r="L353" s="26">
        <v>960</v>
      </c>
      <c r="M353">
        <f t="shared" ref="M353:M416" si="7">L353*I353</f>
        <v>960</v>
      </c>
      <c r="O35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Row],[orderNum]],ТабПозиции[orderSumm])&gt;1500),ABS(M353*VLOOKUP(ТабПозиции[[#This Row],[orderNum]],ТабЗаказы[#Data],MATCH("Percent",ТабЗаказы[#Headers],0),0))/100,200/COUNTIF(ТабПозиции[orderNum],ТабПозиции[[#This Row],[orderNum]])),0),"")</f>
        <v>144</v>
      </c>
      <c r="P353">
        <f>IF(OR(ТабПозиции[[#This Row],[item]]="По штрихкоду",ТабПозиции[[#This Row],[item]]="Посылка"),ТабПозиции[[#This Row],[deliverySumm]]+ТабПозиции[[#This Row],[deliveryPost]],SUM(M353:O353))</f>
        <v>1104</v>
      </c>
      <c r="Q353" s="57">
        <v>1104</v>
      </c>
      <c r="R353" s="62">
        <f>ТабПозиции[[#This Row],[totalSumm]]-ТабПозиции[[#This Row],[payment]]</f>
        <v>0</v>
      </c>
      <c r="S353" s="34" t="s">
        <v>558</v>
      </c>
      <c r="T353" s="56" t="s">
        <v>3061</v>
      </c>
      <c r="U353" s="56" t="s">
        <v>3061</v>
      </c>
      <c r="V353" s="56" t="s">
        <v>3061</v>
      </c>
      <c r="W353" s="7"/>
      <c r="X353"/>
    </row>
    <row r="354" spans="1:24" x14ac:dyDescent="0.25">
      <c r="A354" s="26">
        <v>97</v>
      </c>
      <c r="B354" s="1">
        <f>IFERROR(VLOOKUP(ТабПозиции[[#This Row],[orderNum]],ТабЗаказы[#Data],MATCH(B$7,ТабЗаказы[#Headers],0),0),"")</f>
        <v>45425</v>
      </c>
      <c r="C354" t="str">
        <f>MONTH(ТабПозиции[[#This Row],[date]])&amp;"/"&amp;YEAR(ТабПозиции[[#This Row],[date]])</f>
        <v>5/2024</v>
      </c>
      <c r="D354" s="1" t="str">
        <f>IFERROR(VLOOKUP(ТабПозиции[[#This Row],[orderNum]],ТабЗаказы[#Data],MATCH(D$7,ТабЗаказы[#Headers],0),0),"")</f>
        <v>Галина Агабекова(церковь)</v>
      </c>
      <c r="E354" s="32" t="s">
        <v>865</v>
      </c>
      <c r="F354" s="56" t="s">
        <v>3061</v>
      </c>
      <c r="H354" s="34">
        <v>45427</v>
      </c>
      <c r="I354" s="26">
        <v>1</v>
      </c>
      <c r="J354" s="26">
        <v>218</v>
      </c>
      <c r="K354">
        <v>218</v>
      </c>
      <c r="L354" s="26">
        <v>228</v>
      </c>
      <c r="M354">
        <f t="shared" si="7"/>
        <v>228</v>
      </c>
      <c r="O35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Row],[orderNum]],ТабПозиции[orderSumm])&gt;1500),ABS(M354*VLOOKUP(ТабПозиции[[#This Row],[orderNum]],ТабЗаказы[#Data],MATCH("Percent",ТабЗаказы[#Headers],0),0))/100,200/COUNTIF(ТабПозиции[orderNum],ТабПозиции[[#This Row],[orderNum]])),0),"")</f>
        <v>34</v>
      </c>
      <c r="P354">
        <f>IF(OR(ТабПозиции[[#This Row],[item]]="По штрихкоду",ТабПозиции[[#This Row],[item]]="Посылка"),ТабПозиции[[#This Row],[deliverySumm]]+ТабПозиции[[#This Row],[deliveryPost]],SUM(M354:O354))</f>
        <v>262</v>
      </c>
      <c r="Q354" s="57">
        <v>262</v>
      </c>
      <c r="R354" s="62">
        <f>ТабПозиции[[#This Row],[totalSumm]]-ТабПозиции[[#This Row],[payment]]</f>
        <v>0</v>
      </c>
      <c r="S354" s="34" t="s">
        <v>558</v>
      </c>
      <c r="T354" s="56" t="s">
        <v>3061</v>
      </c>
      <c r="U354" s="56" t="s">
        <v>3061</v>
      </c>
      <c r="V354" s="56" t="s">
        <v>3061</v>
      </c>
      <c r="W354" s="7"/>
      <c r="X354"/>
    </row>
    <row r="355" spans="1:24" x14ac:dyDescent="0.25">
      <c r="A355" s="26">
        <v>97</v>
      </c>
      <c r="B355" s="1">
        <f>IFERROR(VLOOKUP(ТабПозиции[[#This Row],[orderNum]],ТабЗаказы[#Data],MATCH(B$7,ТабЗаказы[#Headers],0),0),"")</f>
        <v>45425</v>
      </c>
      <c r="C355" t="str">
        <f>MONTH(ТабПозиции[[#This Row],[date]])&amp;"/"&amp;YEAR(ТабПозиции[[#This Row],[date]])</f>
        <v>5/2024</v>
      </c>
      <c r="D355" s="1" t="str">
        <f>IFERROR(VLOOKUP(ТабПозиции[[#This Row],[orderNum]],ТабЗаказы[#Data],MATCH(D$7,ТабЗаказы[#Headers],0),0),"")</f>
        <v>Галина Агабекова(церковь)</v>
      </c>
      <c r="E355" s="32" t="s">
        <v>866</v>
      </c>
      <c r="F355" s="56" t="s">
        <v>3061</v>
      </c>
      <c r="H355" s="34">
        <v>45428</v>
      </c>
      <c r="I355" s="26">
        <v>1</v>
      </c>
      <c r="J355" s="26">
        <v>315</v>
      </c>
      <c r="K355">
        <v>315</v>
      </c>
      <c r="L355" s="26">
        <v>329</v>
      </c>
      <c r="M355">
        <f t="shared" si="7"/>
        <v>329</v>
      </c>
      <c r="O35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Row],[orderNum]],ТабПозиции[orderSumm])&gt;1500),ABS(M355*VLOOKUP(ТабПозиции[[#This Row],[orderNum]],ТабЗаказы[#Data],MATCH("Percent",ТабЗаказы[#Headers],0),0))/100,200/COUNTIF(ТабПозиции[orderNum],ТабПозиции[[#This Row],[orderNum]])),0),"")</f>
        <v>49</v>
      </c>
      <c r="P355">
        <f>IF(OR(ТабПозиции[[#This Row],[item]]="По штрихкоду",ТабПозиции[[#This Row],[item]]="Посылка"),ТабПозиции[[#This Row],[deliverySumm]]+ТабПозиции[[#This Row],[deliveryPost]],SUM(M355:O355))</f>
        <v>378</v>
      </c>
      <c r="Q355" s="57">
        <v>378</v>
      </c>
      <c r="R355" s="62">
        <f>ТабПозиции[[#This Row],[totalSumm]]-ТабПозиции[[#This Row],[payment]]</f>
        <v>0</v>
      </c>
      <c r="S355" s="34" t="s">
        <v>558</v>
      </c>
      <c r="T355" s="56" t="s">
        <v>3061</v>
      </c>
      <c r="U355" s="56" t="s">
        <v>3061</v>
      </c>
      <c r="V355" s="56" t="s">
        <v>3061</v>
      </c>
      <c r="W355" s="7"/>
      <c r="X355"/>
    </row>
    <row r="356" spans="1:24" x14ac:dyDescent="0.25">
      <c r="A356" s="26">
        <v>98</v>
      </c>
      <c r="B356" s="1">
        <f>IFERROR(VLOOKUP(ТабПозиции[[#This Row],[orderNum]],ТабЗаказы[#Data],MATCH(B$7,ТабЗаказы[#Headers],0),0),"")</f>
        <v>45425</v>
      </c>
      <c r="C356" t="str">
        <f>MONTH(ТабПозиции[[#This Row],[date]])&amp;"/"&amp;YEAR(ТабПозиции[[#This Row],[date]])</f>
        <v>5/2024</v>
      </c>
      <c r="D356" s="1" t="str">
        <f>IFERROR(VLOOKUP(ТабПозиции[[#This Row],[orderNum]],ТабЗаказы[#Data],MATCH(D$7,ТабЗаказы[#Headers],0),0),"")</f>
        <v>григорий(танковый )</v>
      </c>
      <c r="E356" s="26" t="s">
        <v>867</v>
      </c>
      <c r="F356" s="56" t="s">
        <v>3061</v>
      </c>
      <c r="H356" s="34">
        <v>45432</v>
      </c>
      <c r="I356" s="26">
        <v>1</v>
      </c>
      <c r="J356" s="26">
        <v>-3174</v>
      </c>
      <c r="K356">
        <v>-3174</v>
      </c>
      <c r="L356" s="26">
        <v>-3358</v>
      </c>
      <c r="M356">
        <f t="shared" si="7"/>
        <v>-3358</v>
      </c>
      <c r="O35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Row],[orderNum]],ТабПозиции[orderSumm])&gt;1500),ABS(M356*VLOOKUP(ТабПозиции[[#This Row],[orderNum]],ТабЗаказы[#Data],MATCH("Percent",ТабЗаказы[#Headers],0),0))/100,200/COUNTIF(ТабПозиции[orderNum],ТабПозиции[[#This Row],[orderNum]])),0),"")</f>
        <v>504</v>
      </c>
      <c r="P356">
        <f>IF(OR(ТабПозиции[[#This Row],[item]]="По штрихкоду",ТабПозиции[[#This Row],[item]]="Посылка"),ТабПозиции[[#This Row],[deliverySumm]]+ТабПозиции[[#This Row],[deliveryPost]],SUM(M356:O356))</f>
        <v>-2854</v>
      </c>
      <c r="Q356" s="57">
        <v>-2854</v>
      </c>
      <c r="R356" s="62">
        <f>ТабПозиции[[#This Row],[totalSumm]]-ТабПозиции[[#This Row],[payment]]</f>
        <v>0</v>
      </c>
      <c r="S356" s="34" t="s">
        <v>575</v>
      </c>
      <c r="T356" s="56" t="s">
        <v>3061</v>
      </c>
      <c r="U356" s="56" t="s">
        <v>3061</v>
      </c>
      <c r="V356" s="56" t="s">
        <v>3061</v>
      </c>
      <c r="W356" s="7"/>
      <c r="X356"/>
    </row>
    <row r="357" spans="1:24" x14ac:dyDescent="0.25">
      <c r="A357" s="26">
        <v>99</v>
      </c>
      <c r="B357" s="1">
        <f>IFERROR(VLOOKUP(ТабПозиции[[#This Row],[orderNum]],ТабЗаказы[#Data],MATCH(B$7,ТабЗаказы[#Headers],0),0),"")</f>
        <v>45425</v>
      </c>
      <c r="C357" t="str">
        <f>MONTH(ТабПозиции[[#This Row],[date]])&amp;"/"&amp;YEAR(ТабПозиции[[#This Row],[date]])</f>
        <v>5/2024</v>
      </c>
      <c r="D357" s="1" t="str">
        <f>IFERROR(VLOOKUP(ТабПозиции[[#This Row],[orderNum]],ТабЗаказы[#Data],MATCH(D$7,ТабЗаказы[#Headers],0),0),"")</f>
        <v>Полинка</v>
      </c>
      <c r="E357" s="32" t="s">
        <v>868</v>
      </c>
      <c r="F357" s="56" t="s">
        <v>3061</v>
      </c>
      <c r="H357" s="34">
        <v>45434</v>
      </c>
      <c r="I357" s="26">
        <v>1</v>
      </c>
      <c r="J357" s="26">
        <v>471</v>
      </c>
      <c r="K357">
        <v>471</v>
      </c>
      <c r="L357" s="26">
        <v>481</v>
      </c>
      <c r="M357">
        <f t="shared" si="7"/>
        <v>481</v>
      </c>
      <c r="O35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Row],[orderNum]],ТабПозиции[orderSumm])&gt;1500),ABS(M357*VLOOKUP(ТабПозиции[[#This Row],[orderNum]],ТабЗаказы[#Data],MATCH("Percent",ТабЗаказы[#Headers],0),0))/100,200/COUNTIF(ТабПозиции[orderNum],ТабПозиции[[#This Row],[orderNum]])),0),"")</f>
        <v>72</v>
      </c>
      <c r="P357">
        <f>IF(OR(ТабПозиции[[#This Row],[item]]="По штрихкоду",ТабПозиции[[#This Row],[item]]="Посылка"),ТабПозиции[[#This Row],[deliverySumm]]+ТабПозиции[[#This Row],[deliveryPost]],SUM(M357:O357))</f>
        <v>553</v>
      </c>
      <c r="Q357" s="57">
        <v>553</v>
      </c>
      <c r="R357" s="62">
        <f>ТабПозиции[[#This Row],[totalSumm]]-ТабПозиции[[#This Row],[payment]]</f>
        <v>0</v>
      </c>
      <c r="S357" s="34" t="s">
        <v>575</v>
      </c>
      <c r="T357" s="56" t="s">
        <v>3061</v>
      </c>
      <c r="U357" s="56" t="s">
        <v>3061</v>
      </c>
      <c r="V357" s="56" t="s">
        <v>3061</v>
      </c>
      <c r="W357" s="7"/>
      <c r="X357"/>
    </row>
    <row r="358" spans="1:24" x14ac:dyDescent="0.25">
      <c r="A358" s="26">
        <v>99</v>
      </c>
      <c r="B358" s="1">
        <f>IFERROR(VLOOKUP(ТабПозиции[[#This Row],[orderNum]],ТабЗаказы[#Data],MATCH(B$7,ТабЗаказы[#Headers],0),0),"")</f>
        <v>45425</v>
      </c>
      <c r="C358" t="str">
        <f>MONTH(ТабПозиции[[#This Row],[date]])&amp;"/"&amp;YEAR(ТабПозиции[[#This Row],[date]])</f>
        <v>5/2024</v>
      </c>
      <c r="D358" s="1" t="str">
        <f>IFERROR(VLOOKUP(ТабПозиции[[#This Row],[orderNum]],ТабЗаказы[#Data],MATCH(D$7,ТабЗаказы[#Headers],0),0),"")</f>
        <v>Полинка</v>
      </c>
      <c r="E358" s="32" t="s">
        <v>869</v>
      </c>
      <c r="F358" s="65" t="s">
        <v>3061</v>
      </c>
      <c r="H358" s="34">
        <v>45432</v>
      </c>
      <c r="I358" s="26">
        <v>1</v>
      </c>
      <c r="J358" s="26">
        <v>292</v>
      </c>
      <c r="K358">
        <v>292</v>
      </c>
      <c r="L358" s="26">
        <v>298</v>
      </c>
      <c r="M358">
        <f t="shared" si="7"/>
        <v>298</v>
      </c>
      <c r="O35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Row],[orderNum]],ТабПозиции[orderSumm])&gt;1500),ABS(M358*VLOOKUP(ТабПозиции[[#This Row],[orderNum]],ТабЗаказы[#Data],MATCH("Percent",ТабЗаказы[#Headers],0),0))/100,200/COUNTIF(ТабПозиции[orderNum],ТабПозиции[[#This Row],[orderNum]])),0),"")</f>
        <v>45</v>
      </c>
      <c r="P358">
        <f>IF(OR(ТабПозиции[[#This Row],[item]]="По штрихкоду",ТабПозиции[[#This Row],[item]]="Посылка"),ТабПозиции[[#This Row],[deliverySumm]]+ТабПозиции[[#This Row],[deliveryPost]],SUM(M358:O358))</f>
        <v>343</v>
      </c>
      <c r="Q358" s="57">
        <v>343</v>
      </c>
      <c r="R358" s="62">
        <f>ТабПозиции[[#This Row],[totalSumm]]-ТабПозиции[[#This Row],[payment]]</f>
        <v>0</v>
      </c>
      <c r="S358" s="34" t="s">
        <v>575</v>
      </c>
      <c r="T358" s="56" t="s">
        <v>3061</v>
      </c>
      <c r="U358" s="56" t="s">
        <v>3061</v>
      </c>
      <c r="V358" s="56" t="s">
        <v>3061</v>
      </c>
      <c r="W358" s="7"/>
      <c r="X358"/>
    </row>
    <row r="359" spans="1:24" x14ac:dyDescent="0.25">
      <c r="A359" s="26">
        <v>99</v>
      </c>
      <c r="B359" s="1">
        <f>IFERROR(VLOOKUP(ТабПозиции[[#This Row],[orderNum]],ТабЗаказы[#Data],MATCH(B$7,ТабЗаказы[#Headers],0),0),"")</f>
        <v>45425</v>
      </c>
      <c r="C359" t="str">
        <f>MONTH(ТабПозиции[[#This Row],[date]])&amp;"/"&amp;YEAR(ТабПозиции[[#This Row],[date]])</f>
        <v>5/2024</v>
      </c>
      <c r="D359" s="1" t="str">
        <f>IFERROR(VLOOKUP(ТабПозиции[[#This Row],[orderNum]],ТабЗаказы[#Data],MATCH(D$7,ТабЗаказы[#Headers],0),0),"")</f>
        <v>Полинка</v>
      </c>
      <c r="E359" s="32" t="s">
        <v>708</v>
      </c>
      <c r="F359" s="56" t="s">
        <v>3061</v>
      </c>
      <c r="H359" s="34">
        <v>45427</v>
      </c>
      <c r="I359" s="26">
        <v>1</v>
      </c>
      <c r="J359" s="26">
        <v>191</v>
      </c>
      <c r="K359">
        <v>191</v>
      </c>
      <c r="L359" s="26">
        <v>195</v>
      </c>
      <c r="M359">
        <f t="shared" si="7"/>
        <v>195</v>
      </c>
      <c r="O35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Row],[orderNum]],ТабПозиции[orderSumm])&gt;1500),ABS(M359*VLOOKUP(ТабПозиции[[#This Row],[orderNum]],ТабЗаказы[#Data],MATCH("Percent",ТабЗаказы[#Headers],0),0))/100,200/COUNTIF(ТабПозиции[orderNum],ТабПозиции[[#This Row],[orderNum]])),0),"")</f>
        <v>29</v>
      </c>
      <c r="P359">
        <f>IF(OR(ТабПозиции[[#This Row],[item]]="По штрихкоду",ТабПозиции[[#This Row],[item]]="Посылка"),ТабПозиции[[#This Row],[deliverySumm]]+ТабПозиции[[#This Row],[deliveryPost]],SUM(M359:O359))</f>
        <v>224</v>
      </c>
      <c r="Q359" s="57">
        <v>224</v>
      </c>
      <c r="R359" s="62">
        <f>ТабПозиции[[#This Row],[totalSumm]]-ТабПозиции[[#This Row],[payment]]</f>
        <v>0</v>
      </c>
      <c r="S359" s="34" t="s">
        <v>575</v>
      </c>
      <c r="T359" s="56" t="s">
        <v>3061</v>
      </c>
      <c r="U359" s="56" t="s">
        <v>3061</v>
      </c>
      <c r="V359" s="56" t="s">
        <v>3061</v>
      </c>
      <c r="W359" s="7"/>
      <c r="X359"/>
    </row>
    <row r="360" spans="1:24" x14ac:dyDescent="0.25">
      <c r="A360" s="26">
        <v>99</v>
      </c>
      <c r="B360" s="1">
        <f>IFERROR(VLOOKUP(ТабПозиции[[#This Row],[orderNum]],ТабЗаказы[#Data],MATCH(B$7,ТабЗаказы[#Headers],0),0),"")</f>
        <v>45425</v>
      </c>
      <c r="C360" t="str">
        <f>MONTH(ТабПозиции[[#This Row],[date]])&amp;"/"&amp;YEAR(ТабПозиции[[#This Row],[date]])</f>
        <v>5/2024</v>
      </c>
      <c r="D360" s="1" t="str">
        <f>IFERROR(VLOOKUP(ТабПозиции[[#This Row],[orderNum]],ТабЗаказы[#Data],MATCH(D$7,ТабЗаказы[#Headers],0),0),"")</f>
        <v>Полинка</v>
      </c>
      <c r="E360" s="32" t="s">
        <v>870</v>
      </c>
      <c r="F360" s="56" t="s">
        <v>3061</v>
      </c>
      <c r="H360" s="34">
        <v>45427</v>
      </c>
      <c r="I360" s="26">
        <v>1</v>
      </c>
      <c r="J360" s="26">
        <v>131</v>
      </c>
      <c r="K360">
        <v>131</v>
      </c>
      <c r="L360" s="26">
        <v>137</v>
      </c>
      <c r="M360">
        <f t="shared" si="7"/>
        <v>137</v>
      </c>
      <c r="N360" s="52"/>
      <c r="O36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Row],[orderNum]],ТабПозиции[orderSumm])&gt;1500),ABS(M360*VLOOKUP(ТабПозиции[[#This Row],[orderNum]],ТабЗаказы[#Data],MATCH("Percent",ТабЗаказы[#Headers],0),0))/100,200/COUNTIF(ТабПозиции[orderNum],ТабПозиции[[#This Row],[orderNum]])),0),"")</f>
        <v>21</v>
      </c>
      <c r="P360">
        <f>IF(OR(ТабПозиции[[#This Row],[item]]="По штрихкоду",ТабПозиции[[#This Row],[item]]="Посылка"),ТабПозиции[[#This Row],[deliverySumm]]+ТабПозиции[[#This Row],[deliveryPost]],SUM(M360:O360))</f>
        <v>158</v>
      </c>
      <c r="Q360" s="57">
        <v>158</v>
      </c>
      <c r="R360" s="62">
        <f>ТабПозиции[[#This Row],[totalSumm]]-ТабПозиции[[#This Row],[payment]]</f>
        <v>0</v>
      </c>
      <c r="S360" s="34" t="s">
        <v>558</v>
      </c>
      <c r="T360" s="56" t="s">
        <v>3061</v>
      </c>
      <c r="U360" s="56" t="s">
        <v>3061</v>
      </c>
      <c r="V360" s="56" t="s">
        <v>3061</v>
      </c>
      <c r="W360" s="7"/>
      <c r="X360"/>
    </row>
    <row r="361" spans="1:24" x14ac:dyDescent="0.25">
      <c r="A361" s="26">
        <v>99</v>
      </c>
      <c r="B361" s="1">
        <f>IFERROR(VLOOKUP(ТабПозиции[[#This Row],[orderNum]],ТабЗаказы[#Data],MATCH(B$7,ТабЗаказы[#Headers],0),0),"")</f>
        <v>45425</v>
      </c>
      <c r="C361" t="str">
        <f>MONTH(ТабПозиции[[#This Row],[date]])&amp;"/"&amp;YEAR(ТабПозиции[[#This Row],[date]])</f>
        <v>5/2024</v>
      </c>
      <c r="D361" s="1" t="str">
        <f>IFERROR(VLOOKUP(ТабПозиции[[#This Row],[orderNum]],ТабЗаказы[#Data],MATCH(D$7,ТабЗаказы[#Headers],0),0),"")</f>
        <v>Полинка</v>
      </c>
      <c r="E361" s="32" t="s">
        <v>871</v>
      </c>
      <c r="F361" s="56" t="s">
        <v>3061</v>
      </c>
      <c r="H361" s="34">
        <v>45427</v>
      </c>
      <c r="I361" s="26">
        <v>1</v>
      </c>
      <c r="J361" s="26">
        <v>383</v>
      </c>
      <c r="K361">
        <v>383</v>
      </c>
      <c r="L361" s="26">
        <v>391</v>
      </c>
      <c r="M361">
        <f t="shared" si="7"/>
        <v>391</v>
      </c>
      <c r="O36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Row],[orderNum]],ТабПозиции[orderSumm])&gt;1500),ABS(M361*VLOOKUP(ТабПозиции[[#This Row],[orderNum]],ТабЗаказы[#Data],MATCH("Percent",ТабЗаказы[#Headers],0),0))/100,200/COUNTIF(ТабПозиции[orderNum],ТабПозиции[[#This Row],[orderNum]])),0),"")</f>
        <v>59</v>
      </c>
      <c r="P361">
        <f>IF(OR(ТабПозиции[[#This Row],[item]]="По штрихкоду",ТабПозиции[[#This Row],[item]]="Посылка"),ТабПозиции[[#This Row],[deliverySumm]]+ТабПозиции[[#This Row],[deliveryPost]],SUM(M361:O361))</f>
        <v>450</v>
      </c>
      <c r="Q361" s="57">
        <v>450</v>
      </c>
      <c r="R361" s="62">
        <f>ТабПозиции[[#This Row],[totalSumm]]-ТабПозиции[[#This Row],[payment]]</f>
        <v>0</v>
      </c>
      <c r="S361" s="34" t="s">
        <v>575</v>
      </c>
      <c r="T361" s="56" t="s">
        <v>3061</v>
      </c>
      <c r="U361" s="56" t="s">
        <v>3061</v>
      </c>
      <c r="V361" s="56" t="s">
        <v>3061</v>
      </c>
      <c r="W361" s="7"/>
      <c r="X361"/>
    </row>
    <row r="362" spans="1:24" x14ac:dyDescent="0.25">
      <c r="A362" s="26">
        <v>99</v>
      </c>
      <c r="B362" s="1">
        <f>IFERROR(VLOOKUP(ТабПозиции[[#This Row],[orderNum]],ТабЗаказы[#Data],MATCH(B$7,ТабЗаказы[#Headers],0),0),"")</f>
        <v>45425</v>
      </c>
      <c r="C362" t="str">
        <f>MONTH(ТабПозиции[[#This Row],[date]])&amp;"/"&amp;YEAR(ТабПозиции[[#This Row],[date]])</f>
        <v>5/2024</v>
      </c>
      <c r="D362" s="1" t="str">
        <f>IFERROR(VLOOKUP(ТабПозиции[[#This Row],[orderNum]],ТабЗаказы[#Data],MATCH(D$7,ТабЗаказы[#Headers],0),0),"")</f>
        <v>Полинка</v>
      </c>
      <c r="E362" s="32" t="s">
        <v>872</v>
      </c>
      <c r="F362" s="65" t="s">
        <v>3061</v>
      </c>
      <c r="H362" s="34">
        <v>45431</v>
      </c>
      <c r="I362" s="26">
        <v>1</v>
      </c>
      <c r="J362" s="26">
        <v>567</v>
      </c>
      <c r="K362">
        <v>567</v>
      </c>
      <c r="L362" s="26">
        <v>714</v>
      </c>
      <c r="M362">
        <f t="shared" si="7"/>
        <v>714</v>
      </c>
      <c r="O36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Row],[orderNum]],ТабПозиции[orderSumm])&gt;1500),ABS(M362*VLOOKUP(ТабПозиции[[#This Row],[orderNum]],ТабЗаказы[#Data],MATCH("Percent",ТабЗаказы[#Headers],0),0))/100,200/COUNTIF(ТабПозиции[orderNum],ТабПозиции[[#This Row],[orderNum]])),0),"")</f>
        <v>107</v>
      </c>
      <c r="P362">
        <f>IF(OR(ТабПозиции[[#This Row],[item]]="По штрихкоду",ТабПозиции[[#This Row],[item]]="Посылка"),ТабПозиции[[#This Row],[deliverySumm]]+ТабПозиции[[#This Row],[deliveryPost]],SUM(M362:O362))</f>
        <v>821</v>
      </c>
      <c r="Q362" s="57">
        <v>821</v>
      </c>
      <c r="R362" s="62">
        <f>ТабПозиции[[#This Row],[totalSumm]]-ТабПозиции[[#This Row],[payment]]</f>
        <v>0</v>
      </c>
      <c r="S362" s="34" t="s">
        <v>575</v>
      </c>
      <c r="T362" s="56" t="s">
        <v>3061</v>
      </c>
      <c r="U362" s="56" t="s">
        <v>3061</v>
      </c>
      <c r="V362" s="56" t="s">
        <v>3061</v>
      </c>
      <c r="W362" s="7"/>
      <c r="X362"/>
    </row>
    <row r="363" spans="1:24" x14ac:dyDescent="0.25">
      <c r="A363" s="26">
        <v>101</v>
      </c>
      <c r="B363" s="1">
        <f>IFERROR(VLOOKUP(ТабПозиции[[#This Row],[orderNum]],ТабЗаказы[#Data],MATCH(B$7,ТабЗаказы[#Headers],0),0),"")</f>
        <v>45425</v>
      </c>
      <c r="C363" t="str">
        <f>MONTH(ТабПозиции[[#This Row],[date]])&amp;"/"&amp;YEAR(ТабПозиции[[#This Row],[date]])</f>
        <v>5/2024</v>
      </c>
      <c r="D363" s="1" t="str">
        <f>IFERROR(VLOOKUP(ТабПозиции[[#This Row],[orderNum]],ТабЗаказы[#Data],MATCH(D$7,ТабЗаказы[#Headers],0),0),"")</f>
        <v>алекса фиери</v>
      </c>
      <c r="E363" s="32" t="s">
        <v>873</v>
      </c>
      <c r="F363" s="56" t="s">
        <v>3061</v>
      </c>
      <c r="H363" s="34">
        <v>45428</v>
      </c>
      <c r="I363" s="26">
        <v>1</v>
      </c>
      <c r="J363" s="26">
        <v>4522</v>
      </c>
      <c r="K363">
        <v>4522</v>
      </c>
      <c r="L363" s="26">
        <v>4711</v>
      </c>
      <c r="M363">
        <f t="shared" si="7"/>
        <v>4711</v>
      </c>
      <c r="O36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Row],[orderNum]],ТабПозиции[orderSumm])&gt;1500),ABS(M363*VLOOKUP(ТабПозиции[[#This Row],[orderNum]],ТабЗаказы[#Data],MATCH("Percent",ТабЗаказы[#Headers],0),0))/100,200/COUNTIF(ТабПозиции[orderNum],ТабПозиции[[#This Row],[orderNum]])),0),"")</f>
        <v>707</v>
      </c>
      <c r="P363">
        <f>IF(OR(ТабПозиции[[#This Row],[item]]="По штрихкоду",ТабПозиции[[#This Row],[item]]="Посылка"),ТабПозиции[[#This Row],[deliverySumm]]+ТабПозиции[[#This Row],[deliveryPost]],SUM(M363:O363))</f>
        <v>5418</v>
      </c>
      <c r="Q363" s="57">
        <v>5418</v>
      </c>
      <c r="R363" s="62">
        <f>ТабПозиции[[#This Row],[totalSumm]]-ТабПозиции[[#This Row],[payment]]</f>
        <v>0</v>
      </c>
      <c r="S363" s="34" t="s">
        <v>558</v>
      </c>
      <c r="T363" s="56" t="s">
        <v>3061</v>
      </c>
      <c r="U363" s="56" t="s">
        <v>3061</v>
      </c>
      <c r="V363" s="56" t="s">
        <v>3061</v>
      </c>
      <c r="W363" s="7"/>
      <c r="X363"/>
    </row>
    <row r="364" spans="1:24" x14ac:dyDescent="0.25">
      <c r="A364" s="26">
        <v>101</v>
      </c>
      <c r="B364" s="1">
        <f>IFERROR(VLOOKUP(ТабПозиции[[#This Row],[orderNum]],ТабЗаказы[#Data],MATCH(B$7,ТабЗаказы[#Headers],0),0),"")</f>
        <v>45425</v>
      </c>
      <c r="C364" t="str">
        <f>MONTH(ТабПозиции[[#This Row],[date]])&amp;"/"&amp;YEAR(ТабПозиции[[#This Row],[date]])</f>
        <v>5/2024</v>
      </c>
      <c r="D364" s="1" t="str">
        <f>IFERROR(VLOOKUP(ТабПозиции[[#This Row],[orderNum]],ТабЗаказы[#Data],MATCH(D$7,ТабЗаказы[#Headers],0),0),"")</f>
        <v>алекса фиери</v>
      </c>
      <c r="E364" s="32" t="s">
        <v>874</v>
      </c>
      <c r="F364" s="56" t="s">
        <v>3061</v>
      </c>
      <c r="H364" s="34">
        <v>45427</v>
      </c>
      <c r="I364" s="26">
        <v>1</v>
      </c>
      <c r="J364" s="26">
        <v>571</v>
      </c>
      <c r="K364">
        <v>571</v>
      </c>
      <c r="L364" s="26">
        <v>595</v>
      </c>
      <c r="M364">
        <f t="shared" si="7"/>
        <v>595</v>
      </c>
      <c r="O36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Row],[orderNum]],ТабПозиции[orderSumm])&gt;1500),ABS(M364*VLOOKUP(ТабПозиции[[#This Row],[orderNum]],ТабЗаказы[#Data],MATCH("Percent",ТабЗаказы[#Headers],0),0))/100,200/COUNTIF(ТабПозиции[orderNum],ТабПозиции[[#This Row],[orderNum]])),0),"")</f>
        <v>89</v>
      </c>
      <c r="P364">
        <f>IF(OR(ТабПозиции[[#This Row],[item]]="По штрихкоду",ТабПозиции[[#This Row],[item]]="Посылка"),ТабПозиции[[#This Row],[deliverySumm]]+ТабПозиции[[#This Row],[deliveryPost]],SUM(M364:O364))</f>
        <v>684</v>
      </c>
      <c r="Q364" s="57">
        <v>684</v>
      </c>
      <c r="R364" s="62">
        <f>ТабПозиции[[#This Row],[totalSumm]]-ТабПозиции[[#This Row],[payment]]</f>
        <v>0</v>
      </c>
      <c r="S364" s="34" t="s">
        <v>558</v>
      </c>
      <c r="T364" s="56" t="s">
        <v>3061</v>
      </c>
      <c r="U364" s="56" t="s">
        <v>3061</v>
      </c>
      <c r="V364" s="56" t="s">
        <v>3061</v>
      </c>
      <c r="W364" s="7"/>
      <c r="X364"/>
    </row>
    <row r="365" spans="1:24" x14ac:dyDescent="0.25">
      <c r="A365" s="26">
        <v>101</v>
      </c>
      <c r="B365" s="1">
        <f>IFERROR(VLOOKUP(ТабПозиции[[#This Row],[orderNum]],ТабЗаказы[#Data],MATCH(B$7,ТабЗаказы[#Headers],0),0),"")</f>
        <v>45425</v>
      </c>
      <c r="C365" t="str">
        <f>MONTH(ТабПозиции[[#This Row],[date]])&amp;"/"&amp;YEAR(ТабПозиции[[#This Row],[date]])</f>
        <v>5/2024</v>
      </c>
      <c r="D365" s="1" t="str">
        <f>IFERROR(VLOOKUP(ТабПозиции[[#This Row],[orderNum]],ТабЗаказы[#Data],MATCH(D$7,ТабЗаказы[#Headers],0),0),"")</f>
        <v>алекса фиери</v>
      </c>
      <c r="E365" s="32" t="s">
        <v>875</v>
      </c>
      <c r="F365" s="56" t="s">
        <v>3061</v>
      </c>
      <c r="H365" s="34">
        <v>45428</v>
      </c>
      <c r="I365" s="26">
        <v>1</v>
      </c>
      <c r="J365" s="26">
        <v>422</v>
      </c>
      <c r="K365">
        <v>422</v>
      </c>
      <c r="L365" s="26">
        <v>440</v>
      </c>
      <c r="M365">
        <f t="shared" si="7"/>
        <v>440</v>
      </c>
      <c r="O36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Row],[orderNum]],ТабПозиции[orderSumm])&gt;1500),ABS(M365*VLOOKUP(ТабПозиции[[#This Row],[orderNum]],ТабЗаказы[#Data],MATCH("Percent",ТабЗаказы[#Headers],0),0))/100,200/COUNTIF(ТабПозиции[orderNum],ТабПозиции[[#This Row],[orderNum]])),0),"")</f>
        <v>66</v>
      </c>
      <c r="P365">
        <f>IF(OR(ТабПозиции[[#This Row],[item]]="По штрихкоду",ТабПозиции[[#This Row],[item]]="Посылка"),ТабПозиции[[#This Row],[deliverySumm]]+ТабПозиции[[#This Row],[deliveryPost]],SUM(M365:O365))</f>
        <v>506</v>
      </c>
      <c r="Q365" s="57">
        <v>506</v>
      </c>
      <c r="R365" s="62">
        <f>ТабПозиции[[#This Row],[totalSumm]]-ТабПозиции[[#This Row],[payment]]</f>
        <v>0</v>
      </c>
      <c r="S365" s="34" t="s">
        <v>558</v>
      </c>
      <c r="T365" s="56" t="s">
        <v>3061</v>
      </c>
      <c r="U365" s="56" t="s">
        <v>3061</v>
      </c>
      <c r="V365" s="56" t="s">
        <v>3061</v>
      </c>
      <c r="W365" s="7"/>
      <c r="X365"/>
    </row>
    <row r="366" spans="1:24" x14ac:dyDescent="0.25">
      <c r="A366" s="26">
        <v>101</v>
      </c>
      <c r="B366" s="1">
        <f>IFERROR(VLOOKUP(ТабПозиции[[#This Row],[orderNum]],ТабЗаказы[#Data],MATCH(B$7,ТабЗаказы[#Headers],0),0),"")</f>
        <v>45425</v>
      </c>
      <c r="C366" t="str">
        <f>MONTH(ТабПозиции[[#This Row],[date]])&amp;"/"&amp;YEAR(ТабПозиции[[#This Row],[date]])</f>
        <v>5/2024</v>
      </c>
      <c r="D366" s="1" t="str">
        <f>IFERROR(VLOOKUP(ТабПозиции[[#This Row],[orderNum]],ТабЗаказы[#Data],MATCH(D$7,ТабЗаказы[#Headers],0),0),"")</f>
        <v>алекса фиери</v>
      </c>
      <c r="E366" s="32" t="s">
        <v>876</v>
      </c>
      <c r="F366" s="56" t="s">
        <v>3061</v>
      </c>
      <c r="H366" s="34">
        <v>45428</v>
      </c>
      <c r="I366" s="26">
        <v>1</v>
      </c>
      <c r="J366" s="26">
        <v>745</v>
      </c>
      <c r="K366">
        <v>745</v>
      </c>
      <c r="L366" s="26">
        <v>777</v>
      </c>
      <c r="M366">
        <f t="shared" si="7"/>
        <v>777</v>
      </c>
      <c r="O36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Row],[orderNum]],ТабПозиции[orderSumm])&gt;1500),ABS(M366*VLOOKUP(ТабПозиции[[#This Row],[orderNum]],ТабЗаказы[#Data],MATCH("Percent",ТабЗаказы[#Headers],0),0))/100,200/COUNTIF(ТабПозиции[orderNum],ТабПозиции[[#This Row],[orderNum]])),0),"")</f>
        <v>117</v>
      </c>
      <c r="P366">
        <f>IF(OR(ТабПозиции[[#This Row],[item]]="По штрихкоду",ТабПозиции[[#This Row],[item]]="Посылка"),ТабПозиции[[#This Row],[deliverySumm]]+ТабПозиции[[#This Row],[deliveryPost]],SUM(M366:O366))</f>
        <v>894</v>
      </c>
      <c r="Q366" s="57">
        <v>894</v>
      </c>
      <c r="R366" s="62">
        <f>ТабПозиции[[#This Row],[totalSumm]]-ТабПозиции[[#This Row],[payment]]</f>
        <v>0</v>
      </c>
      <c r="S366" s="34" t="s">
        <v>558</v>
      </c>
      <c r="T366" s="56" t="s">
        <v>3061</v>
      </c>
      <c r="U366" s="56" t="s">
        <v>3061</v>
      </c>
      <c r="V366" s="56" t="s">
        <v>3061</v>
      </c>
      <c r="W366" s="7"/>
      <c r="X366"/>
    </row>
    <row r="367" spans="1:24" x14ac:dyDescent="0.25">
      <c r="A367" s="26">
        <v>101</v>
      </c>
      <c r="B367" s="1">
        <f>IFERROR(VLOOKUP(ТабПозиции[[#This Row],[orderNum]],ТабЗаказы[#Data],MATCH(B$7,ТабЗаказы[#Headers],0),0),"")</f>
        <v>45425</v>
      </c>
      <c r="C367" t="str">
        <f>MONTH(ТабПозиции[[#This Row],[date]])&amp;"/"&amp;YEAR(ТабПозиции[[#This Row],[date]])</f>
        <v>5/2024</v>
      </c>
      <c r="D367" s="1" t="str">
        <f>IFERROR(VLOOKUP(ТабПозиции[[#This Row],[orderNum]],ТабЗаказы[#Data],MATCH(D$7,ТабЗаказы[#Headers],0),0),"")</f>
        <v>алекса фиери</v>
      </c>
      <c r="E367" s="32" t="s">
        <v>877</v>
      </c>
      <c r="F367" s="56" t="s">
        <v>3061</v>
      </c>
      <c r="H367" s="34">
        <v>45428</v>
      </c>
      <c r="I367" s="26">
        <v>1</v>
      </c>
      <c r="J367" s="26">
        <v>293</v>
      </c>
      <c r="K367">
        <v>293</v>
      </c>
      <c r="L367" s="26">
        <v>306</v>
      </c>
      <c r="M367">
        <f t="shared" si="7"/>
        <v>306</v>
      </c>
      <c r="O36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Row],[orderNum]],ТабПозиции[orderSumm])&gt;1500),ABS(M367*VLOOKUP(ТабПозиции[[#This Row],[orderNum]],ТабЗаказы[#Data],MATCH("Percent",ТабЗаказы[#Headers],0),0))/100,200/COUNTIF(ТабПозиции[orderNum],ТабПозиции[[#This Row],[orderNum]])),0),"")</f>
        <v>46</v>
      </c>
      <c r="P367">
        <f>IF(OR(ТабПозиции[[#This Row],[item]]="По штрихкоду",ТабПозиции[[#This Row],[item]]="Посылка"),ТабПозиции[[#This Row],[deliverySumm]]+ТабПозиции[[#This Row],[deliveryPost]],SUM(M367:O367))</f>
        <v>352</v>
      </c>
      <c r="Q367" s="57">
        <v>352</v>
      </c>
      <c r="R367" s="62">
        <f>ТабПозиции[[#This Row],[totalSumm]]-ТабПозиции[[#This Row],[payment]]</f>
        <v>0</v>
      </c>
      <c r="S367" s="34" t="s">
        <v>558</v>
      </c>
      <c r="T367" s="56" t="s">
        <v>3061</v>
      </c>
      <c r="U367" s="56" t="s">
        <v>3061</v>
      </c>
      <c r="V367" s="56" t="s">
        <v>3061</v>
      </c>
      <c r="W367" s="7"/>
      <c r="X367"/>
    </row>
    <row r="368" spans="1:24" x14ac:dyDescent="0.25">
      <c r="A368" s="26">
        <v>101</v>
      </c>
      <c r="B368" s="1">
        <f>IFERROR(VLOOKUP(ТабПозиции[[#This Row],[orderNum]],ТабЗаказы[#Data],MATCH(B$7,ТабЗаказы[#Headers],0),0),"")</f>
        <v>45425</v>
      </c>
      <c r="C368" t="str">
        <f>MONTH(ТабПозиции[[#This Row],[date]])&amp;"/"&amp;YEAR(ТабПозиции[[#This Row],[date]])</f>
        <v>5/2024</v>
      </c>
      <c r="D368" s="1" t="str">
        <f>IFERROR(VLOOKUP(ТабПозиции[[#This Row],[orderNum]],ТабЗаказы[#Data],MATCH(D$7,ТабЗаказы[#Headers],0),0),"")</f>
        <v>алекса фиери</v>
      </c>
      <c r="E368" s="32" t="s">
        <v>878</v>
      </c>
      <c r="F368" s="56" t="s">
        <v>3061</v>
      </c>
      <c r="H368" s="34">
        <v>45428</v>
      </c>
      <c r="I368" s="26">
        <v>1</v>
      </c>
      <c r="J368" s="26">
        <v>580</v>
      </c>
      <c r="K368">
        <v>580</v>
      </c>
      <c r="L368" s="26">
        <v>605</v>
      </c>
      <c r="M368">
        <f t="shared" si="7"/>
        <v>605</v>
      </c>
      <c r="O36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Row],[orderNum]],ТабПозиции[orderSumm])&gt;1500),ABS(M368*VLOOKUP(ТабПозиции[[#This Row],[orderNum]],ТабЗаказы[#Data],MATCH("Percent",ТабЗаказы[#Headers],0),0))/100,200/COUNTIF(ТабПозиции[orderNum],ТабПозиции[[#This Row],[orderNum]])),0),"")</f>
        <v>91</v>
      </c>
      <c r="P368">
        <f>IF(OR(ТабПозиции[[#This Row],[item]]="По штрихкоду",ТабПозиции[[#This Row],[item]]="Посылка"),ТабПозиции[[#This Row],[deliverySumm]]+ТабПозиции[[#This Row],[deliveryPost]],SUM(M368:O368))</f>
        <v>696</v>
      </c>
      <c r="Q368" s="57">
        <v>696</v>
      </c>
      <c r="R368" s="62">
        <f>ТабПозиции[[#This Row],[totalSumm]]-ТабПозиции[[#This Row],[payment]]</f>
        <v>0</v>
      </c>
      <c r="S368" s="34" t="s">
        <v>558</v>
      </c>
      <c r="T368" s="56" t="s">
        <v>3061</v>
      </c>
      <c r="U368" s="56" t="s">
        <v>3061</v>
      </c>
      <c r="V368" s="56" t="s">
        <v>3061</v>
      </c>
      <c r="W368" s="7"/>
      <c r="X368"/>
    </row>
    <row r="369" spans="1:24" x14ac:dyDescent="0.25">
      <c r="A369" s="26">
        <v>101</v>
      </c>
      <c r="B369" s="1">
        <f>IFERROR(VLOOKUP(ТабПозиции[[#This Row],[orderNum]],ТабЗаказы[#Data],MATCH(B$7,ТабЗаказы[#Headers],0),0),"")</f>
        <v>45425</v>
      </c>
      <c r="C369" t="str">
        <f>MONTH(ТабПозиции[[#This Row],[date]])&amp;"/"&amp;YEAR(ТабПозиции[[#This Row],[date]])</f>
        <v>5/2024</v>
      </c>
      <c r="D369" s="1" t="str">
        <f>IFERROR(VLOOKUP(ТабПозиции[[#This Row],[orderNum]],ТабЗаказы[#Data],MATCH(D$7,ТабЗаказы[#Headers],0),0),"")</f>
        <v>алекса фиери</v>
      </c>
      <c r="E369" s="32" t="s">
        <v>879</v>
      </c>
      <c r="F369" s="56" t="s">
        <v>3061</v>
      </c>
      <c r="H369" s="34">
        <v>45428</v>
      </c>
      <c r="I369" s="26">
        <v>1</v>
      </c>
      <c r="J369" s="26">
        <v>587</v>
      </c>
      <c r="K369">
        <v>587</v>
      </c>
      <c r="L369" s="26">
        <v>612</v>
      </c>
      <c r="M369">
        <f t="shared" si="7"/>
        <v>612</v>
      </c>
      <c r="O36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Row],[orderNum]],ТабПозиции[orderSumm])&gt;1500),ABS(M369*VLOOKUP(ТабПозиции[[#This Row],[orderNum]],ТабЗаказы[#Data],MATCH("Percent",ТабЗаказы[#Headers],0),0))/100,200/COUNTIF(ТабПозиции[orderNum],ТабПозиции[[#This Row],[orderNum]])),0),"")</f>
        <v>92</v>
      </c>
      <c r="P369">
        <f>IF(OR(ТабПозиции[[#This Row],[item]]="По штрихкоду",ТабПозиции[[#This Row],[item]]="Посылка"),ТабПозиции[[#This Row],[deliverySumm]]+ТабПозиции[[#This Row],[deliveryPost]],SUM(M369:O369))</f>
        <v>704</v>
      </c>
      <c r="Q369" s="57">
        <v>704</v>
      </c>
      <c r="R369" s="62">
        <f>ТабПозиции[[#This Row],[totalSumm]]-ТабПозиции[[#This Row],[payment]]</f>
        <v>0</v>
      </c>
      <c r="S369" s="34" t="s">
        <v>558</v>
      </c>
      <c r="T369" s="56" t="s">
        <v>3061</v>
      </c>
      <c r="U369" s="56" t="s">
        <v>3061</v>
      </c>
      <c r="V369" s="56" t="s">
        <v>3061</v>
      </c>
      <c r="W369" s="7"/>
      <c r="X369"/>
    </row>
    <row r="370" spans="1:24" x14ac:dyDescent="0.25">
      <c r="A370" s="26">
        <v>101</v>
      </c>
      <c r="B370" s="1">
        <f>IFERROR(VLOOKUP(ТабПозиции[[#This Row],[orderNum]],ТабЗаказы[#Data],MATCH(B$7,ТабЗаказы[#Headers],0),0),"")</f>
        <v>45425</v>
      </c>
      <c r="C370" t="str">
        <f>MONTH(ТабПозиции[[#This Row],[date]])&amp;"/"&amp;YEAR(ТабПозиции[[#This Row],[date]])</f>
        <v>5/2024</v>
      </c>
      <c r="D370" s="1" t="str">
        <f>IFERROR(VLOOKUP(ТабПозиции[[#This Row],[orderNum]],ТабЗаказы[#Data],MATCH(D$7,ТабЗаказы[#Headers],0),0),"")</f>
        <v>алекса фиери</v>
      </c>
      <c r="E370" s="32" t="s">
        <v>880</v>
      </c>
      <c r="F370" s="56" t="s">
        <v>3061</v>
      </c>
      <c r="H370" s="34">
        <v>45428</v>
      </c>
      <c r="I370" s="26">
        <v>1</v>
      </c>
      <c r="J370" s="26">
        <v>643</v>
      </c>
      <c r="K370">
        <v>643</v>
      </c>
      <c r="L370" s="26">
        <v>670</v>
      </c>
      <c r="M370">
        <f t="shared" si="7"/>
        <v>670</v>
      </c>
      <c r="O37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Row],[orderNum]],ТабПозиции[orderSumm])&gt;1500),ABS(M370*VLOOKUP(ТабПозиции[[#This Row],[orderNum]],ТабЗаказы[#Data],MATCH("Percent",ТабЗаказы[#Headers],0),0))/100,200/COUNTIF(ТабПозиции[orderNum],ТабПозиции[[#This Row],[orderNum]])),0),"")</f>
        <v>101</v>
      </c>
      <c r="P370">
        <f>IF(OR(ТабПозиции[[#This Row],[item]]="По штрихкоду",ТабПозиции[[#This Row],[item]]="Посылка"),ТабПозиции[[#This Row],[deliverySumm]]+ТабПозиции[[#This Row],[deliveryPost]],SUM(M370:O370))</f>
        <v>771</v>
      </c>
      <c r="Q370" s="57">
        <v>771</v>
      </c>
      <c r="R370" s="62">
        <f>ТабПозиции[[#This Row],[totalSumm]]-ТабПозиции[[#This Row],[payment]]</f>
        <v>0</v>
      </c>
      <c r="S370" s="34" t="s">
        <v>558</v>
      </c>
      <c r="T370" s="56" t="s">
        <v>3061</v>
      </c>
      <c r="U370" s="56" t="s">
        <v>3061</v>
      </c>
      <c r="V370" s="56" t="s">
        <v>3061</v>
      </c>
      <c r="W370" s="7"/>
      <c r="X370"/>
    </row>
    <row r="371" spans="1:24" x14ac:dyDescent="0.25">
      <c r="A371" s="26">
        <v>102</v>
      </c>
      <c r="B371" s="1">
        <f>IFERROR(VLOOKUP(ТабПозиции[[#This Row],[orderNum]],ТабЗаказы[#Data],MATCH(B$7,ТабЗаказы[#Headers],0),0),"")</f>
        <v>45425</v>
      </c>
      <c r="C371" t="str">
        <f>MONTH(ТабПозиции[[#This Row],[date]])&amp;"/"&amp;YEAR(ТабПозиции[[#This Row],[date]])</f>
        <v>5/2024</v>
      </c>
      <c r="D371" s="1" t="str">
        <f>IFERROR(VLOOKUP(ТабПозиции[[#This Row],[orderNum]],ТабЗаказы[#Data],MATCH(D$7,ТабЗаказы[#Headers],0),0),"")</f>
        <v>Маричка</v>
      </c>
      <c r="E371" s="32" t="s">
        <v>881</v>
      </c>
      <c r="F371" s="56" t="s">
        <v>3061</v>
      </c>
      <c r="H371" s="34">
        <v>45427</v>
      </c>
      <c r="I371" s="26">
        <v>1</v>
      </c>
      <c r="J371" s="26">
        <v>591</v>
      </c>
      <c r="K371">
        <v>591</v>
      </c>
      <c r="L371" s="26">
        <v>637</v>
      </c>
      <c r="M371">
        <f t="shared" si="7"/>
        <v>637</v>
      </c>
      <c r="O37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Row],[orderNum]],ТабПозиции[orderSumm])&gt;1500),ABS(M371*VLOOKUP(ТабПозиции[[#This Row],[orderNum]],ТабЗаказы[#Data],MATCH("Percent",ТабЗаказы[#Headers],0),0))/100,200/COUNTIF(ТабПозиции[orderNum],ТабПозиции[[#This Row],[orderNum]])),0),"")</f>
        <v>96</v>
      </c>
      <c r="P371">
        <f>IF(OR(ТабПозиции[[#This Row],[item]]="По штрихкоду",ТабПозиции[[#This Row],[item]]="Посылка"),ТабПозиции[[#This Row],[deliverySumm]]+ТабПозиции[[#This Row],[deliveryPost]],SUM(M371:O371))</f>
        <v>733</v>
      </c>
      <c r="Q371" s="57">
        <v>733</v>
      </c>
      <c r="R371" s="62">
        <f>ТабПозиции[[#This Row],[totalSumm]]-ТабПозиции[[#This Row],[payment]]</f>
        <v>0</v>
      </c>
      <c r="S371" s="34" t="s">
        <v>575</v>
      </c>
      <c r="T371" s="56" t="s">
        <v>3061</v>
      </c>
      <c r="U371" s="56" t="s">
        <v>3061</v>
      </c>
      <c r="V371" s="56" t="s">
        <v>3061</v>
      </c>
      <c r="W371" s="7"/>
      <c r="X371"/>
    </row>
    <row r="372" spans="1:24" x14ac:dyDescent="0.25">
      <c r="A372" s="26">
        <v>102</v>
      </c>
      <c r="B372" s="1">
        <f>IFERROR(VLOOKUP(ТабПозиции[[#This Row],[orderNum]],ТабЗаказы[#Data],MATCH(B$7,ТабЗаказы[#Headers],0),0),"")</f>
        <v>45425</v>
      </c>
      <c r="C372" t="str">
        <f>MONTH(ТабПозиции[[#This Row],[date]])&amp;"/"&amp;YEAR(ТабПозиции[[#This Row],[date]])</f>
        <v>5/2024</v>
      </c>
      <c r="D372" s="1" t="str">
        <f>IFERROR(VLOOKUP(ТабПозиции[[#This Row],[orderNum]],ТабЗаказы[#Data],MATCH(D$7,ТабЗаказы[#Headers],0),0),"")</f>
        <v>Маричка</v>
      </c>
      <c r="E372" s="32" t="s">
        <v>882</v>
      </c>
      <c r="F372" s="56" t="s">
        <v>3061</v>
      </c>
      <c r="H372" s="34">
        <v>45427</v>
      </c>
      <c r="I372" s="26">
        <v>1</v>
      </c>
      <c r="J372" s="26">
        <v>1015</v>
      </c>
      <c r="K372">
        <v>1015</v>
      </c>
      <c r="L372" s="26">
        <v>1058</v>
      </c>
      <c r="M372">
        <f t="shared" si="7"/>
        <v>1058</v>
      </c>
      <c r="O37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Row],[orderNum]],ТабПозиции[orderSumm])&gt;1500),ABS(M372*VLOOKUP(ТабПозиции[[#This Row],[orderNum]],ТабЗаказы[#Data],MATCH("Percent",ТабЗаказы[#Headers],0),0))/100,200/COUNTIF(ТабПозиции[orderNum],ТабПозиции[[#This Row],[orderNum]])),0),"")</f>
        <v>159</v>
      </c>
      <c r="P372">
        <f>IF(OR(ТабПозиции[[#This Row],[item]]="По штрихкоду",ТабПозиции[[#This Row],[item]]="Посылка"),ТабПозиции[[#This Row],[deliverySumm]]+ТабПозиции[[#This Row],[deliveryPost]],SUM(M372:O372))</f>
        <v>1217</v>
      </c>
      <c r="Q372" s="57">
        <v>1217</v>
      </c>
      <c r="R372" s="62">
        <f>ТабПозиции[[#This Row],[totalSumm]]-ТабПозиции[[#This Row],[payment]]</f>
        <v>0</v>
      </c>
      <c r="S372" s="34" t="s">
        <v>558</v>
      </c>
      <c r="T372" s="56" t="s">
        <v>3061</v>
      </c>
      <c r="U372" s="56" t="s">
        <v>3061</v>
      </c>
      <c r="V372" s="56" t="s">
        <v>3061</v>
      </c>
      <c r="W372" s="7"/>
      <c r="X372"/>
    </row>
    <row r="373" spans="1:24" x14ac:dyDescent="0.25">
      <c r="A373" s="26">
        <v>103</v>
      </c>
      <c r="B373" s="1">
        <f>IFERROR(VLOOKUP(ТабПозиции[[#This Row],[orderNum]],ТабЗаказы[#Data],MATCH(B$7,ТабЗаказы[#Headers],0),0),"")</f>
        <v>45427</v>
      </c>
      <c r="C373" t="str">
        <f>MONTH(ТабПозиции[[#This Row],[date]])&amp;"/"&amp;YEAR(ТабПозиции[[#This Row],[date]])</f>
        <v>5/2024</v>
      </c>
      <c r="D373" s="1" t="str">
        <f>IFERROR(VLOOKUP(ТабПозиции[[#This Row],[orderNum]],ТабЗаказы[#Data],MATCH(D$7,ТабЗаказы[#Headers],0),0),"")</f>
        <v>Александр 3 Металлургов</v>
      </c>
      <c r="E373" s="32" t="s">
        <v>883</v>
      </c>
      <c r="F373" s="56" t="s">
        <v>3061</v>
      </c>
      <c r="H373" s="34">
        <v>45430</v>
      </c>
      <c r="I373" s="26">
        <v>1</v>
      </c>
      <c r="J373" s="26">
        <v>765</v>
      </c>
      <c r="K373">
        <v>765</v>
      </c>
      <c r="L373" s="26">
        <v>827</v>
      </c>
      <c r="M373">
        <f t="shared" si="7"/>
        <v>827</v>
      </c>
      <c r="O37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Row],[orderNum]],ТабПозиции[orderSumm])&gt;1500),ABS(M373*VLOOKUP(ТабПозиции[[#This Row],[orderNum]],ТабЗаказы[#Data],MATCH("Percent",ТабЗаказы[#Headers],0),0))/100,200/COUNTIF(ТабПозиции[orderNum],ТабПозиции[[#This Row],[orderNum]])),0),"")</f>
        <v>124</v>
      </c>
      <c r="P373">
        <f>IF(OR(ТабПозиции[[#This Row],[item]]="По штрихкоду",ТабПозиции[[#This Row],[item]]="Посылка"),ТабПозиции[[#This Row],[deliverySumm]]+ТабПозиции[[#This Row],[deliveryPost]],SUM(M373:O373))</f>
        <v>951</v>
      </c>
      <c r="Q373" s="57">
        <v>951</v>
      </c>
      <c r="R373" s="62">
        <f>ТабПозиции[[#This Row],[totalSumm]]-ТабПозиции[[#This Row],[payment]]</f>
        <v>0</v>
      </c>
      <c r="S373" s="34" t="s">
        <v>575</v>
      </c>
      <c r="T373" s="56" t="s">
        <v>3061</v>
      </c>
      <c r="U373" s="56" t="s">
        <v>3061</v>
      </c>
      <c r="V373" s="56" t="s">
        <v>3061</v>
      </c>
      <c r="W373" s="7"/>
      <c r="X373"/>
    </row>
    <row r="374" spans="1:24" x14ac:dyDescent="0.25">
      <c r="A374" s="26">
        <v>103</v>
      </c>
      <c r="B374" s="1">
        <f>IFERROR(VLOOKUP(ТабПозиции[[#This Row],[orderNum]],ТабЗаказы[#Data],MATCH(B$7,ТабЗаказы[#Headers],0),0),"")</f>
        <v>45427</v>
      </c>
      <c r="C374" t="str">
        <f>MONTH(ТабПозиции[[#This Row],[date]])&amp;"/"&amp;YEAR(ТабПозиции[[#This Row],[date]])</f>
        <v>5/2024</v>
      </c>
      <c r="D374" s="1" t="str">
        <f>IFERROR(VLOOKUP(ТабПозиции[[#This Row],[orderNum]],ТабЗаказы[#Data],MATCH(D$7,ТабЗаказы[#Headers],0),0),"")</f>
        <v>Александр 3 Металлургов</v>
      </c>
      <c r="E374" s="32" t="s">
        <v>884</v>
      </c>
      <c r="F374" s="56" t="s">
        <v>3061</v>
      </c>
      <c r="H374" s="34">
        <v>45431</v>
      </c>
      <c r="I374" s="26">
        <v>1</v>
      </c>
      <c r="J374" s="26">
        <v>1280</v>
      </c>
      <c r="K374">
        <v>1280</v>
      </c>
      <c r="L374" s="26">
        <v>1381</v>
      </c>
      <c r="M374">
        <f t="shared" si="7"/>
        <v>1381</v>
      </c>
      <c r="O37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Row],[orderNum]],ТабПозиции[orderSumm])&gt;1500),ABS(M374*VLOOKUP(ТабПозиции[[#This Row],[orderNum]],ТабЗаказы[#Data],MATCH("Percent",ТабЗаказы[#Headers],0),0))/100,200/COUNTIF(ТабПозиции[orderNum],ТабПозиции[[#This Row],[orderNum]])),0),"")</f>
        <v>207</v>
      </c>
      <c r="P374">
        <f>IF(OR(ТабПозиции[[#This Row],[item]]="По штрихкоду",ТабПозиции[[#This Row],[item]]="Посылка"),ТабПозиции[[#This Row],[deliverySumm]]+ТабПозиции[[#This Row],[deliveryPost]],SUM(M374:O374))</f>
        <v>1588</v>
      </c>
      <c r="Q374" s="57">
        <v>1588</v>
      </c>
      <c r="R374" s="62">
        <f>ТабПозиции[[#This Row],[totalSumm]]-ТабПозиции[[#This Row],[payment]]</f>
        <v>0</v>
      </c>
      <c r="S374" s="34" t="s">
        <v>575</v>
      </c>
      <c r="T374" s="56" t="s">
        <v>3061</v>
      </c>
      <c r="U374" s="56" t="s">
        <v>3061</v>
      </c>
      <c r="V374" s="56" t="s">
        <v>3061</v>
      </c>
      <c r="W374" s="7"/>
      <c r="X374"/>
    </row>
    <row r="375" spans="1:24" x14ac:dyDescent="0.25">
      <c r="A375" s="26">
        <v>104</v>
      </c>
      <c r="B375" s="1">
        <f>IFERROR(VLOOKUP(ТабПозиции[[#This Row],[orderNum]],ТабЗаказы[#Data],MATCH(B$7,ТабЗаказы[#Headers],0),0),"")</f>
        <v>45427</v>
      </c>
      <c r="C375" t="str">
        <f>MONTH(ТабПозиции[[#This Row],[date]])&amp;"/"&amp;YEAR(ТабПозиции[[#This Row],[date]])</f>
        <v>5/2024</v>
      </c>
      <c r="D375" s="1" t="str">
        <f>IFERROR(VLOOKUP(ТабПозиции[[#This Row],[orderNum]],ТабЗаказы[#Data],MATCH(D$7,ТабЗаказы[#Headers],0),0),"")</f>
        <v>Вадим</v>
      </c>
      <c r="E375" s="26" t="s">
        <v>815</v>
      </c>
      <c r="F375" s="56" t="s">
        <v>3061</v>
      </c>
      <c r="G375" s="28" t="s">
        <v>885</v>
      </c>
      <c r="H375" s="34">
        <v>45429</v>
      </c>
      <c r="I375" s="26">
        <v>1</v>
      </c>
      <c r="J375" s="26">
        <v>14000</v>
      </c>
      <c r="K375">
        <v>14000</v>
      </c>
      <c r="L375" s="26">
        <v>14000</v>
      </c>
      <c r="M375">
        <f t="shared" si="7"/>
        <v>14000</v>
      </c>
      <c r="N375" s="26">
        <v>650</v>
      </c>
      <c r="O37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Row],[orderNum]],ТабПозиции[orderSumm])&gt;1500),ABS(M375*VLOOKUP(ТабПозиции[[#This Row],[orderNum]],ТабЗаказы[#Data],MATCH("Percent",ТабЗаказы[#Headers],0),0))/100,200/COUNTIF(ТабПозиции[orderNum],ТабПозиции[[#This Row],[orderNum]])),0),"")</f>
        <v>1400</v>
      </c>
      <c r="P375">
        <f>IF(OR(ТабПозиции[[#This Row],[item]]="По штрихкоду",ТабПозиции[[#This Row],[item]]="Посылка"),ТабПозиции[[#This Row],[deliverySumm]]+ТабПозиции[[#This Row],[deliveryPost]],SUM(M375:O375))</f>
        <v>2050</v>
      </c>
      <c r="Q375" s="62">
        <v>2050</v>
      </c>
      <c r="R375" s="62">
        <f>ТабПозиции[[#This Row],[totalSumm]]-ТабПозиции[[#This Row],[payment]]</f>
        <v>0</v>
      </c>
      <c r="S375" s="34" t="s">
        <v>610</v>
      </c>
      <c r="T375" s="56" t="s">
        <v>3061</v>
      </c>
      <c r="U375" s="56" t="s">
        <v>3061</v>
      </c>
      <c r="V375" s="56" t="s">
        <v>3061</v>
      </c>
      <c r="W375" s="7"/>
      <c r="X375"/>
    </row>
    <row r="376" spans="1:24" x14ac:dyDescent="0.25">
      <c r="A376" s="26">
        <v>104</v>
      </c>
      <c r="B376" s="1">
        <f>IFERROR(VLOOKUP(ТабПозиции[[#This Row],[orderNum]],ТабЗаказы[#Data],MATCH(B$7,ТабЗаказы[#Headers],0),0),"")</f>
        <v>45427</v>
      </c>
      <c r="C376" t="str">
        <f>MONTH(ТабПозиции[[#This Row],[date]])&amp;"/"&amp;YEAR(ТабПозиции[[#This Row],[date]])</f>
        <v>5/2024</v>
      </c>
      <c r="D376" s="1" t="str">
        <f>IFERROR(VLOOKUP(ТабПозиции[[#This Row],[orderNum]],ТабЗаказы[#Data],MATCH(D$7,ТабЗаказы[#Headers],0),0),"")</f>
        <v>Вадим</v>
      </c>
      <c r="E376" s="26" t="s">
        <v>815</v>
      </c>
      <c r="F376" s="56" t="s">
        <v>3061</v>
      </c>
      <c r="G376" s="28" t="s">
        <v>886</v>
      </c>
      <c r="H376" s="34">
        <v>45432</v>
      </c>
      <c r="I376" s="26">
        <v>1</v>
      </c>
      <c r="J376" s="26">
        <v>4500</v>
      </c>
      <c r="K376">
        <v>4500</v>
      </c>
      <c r="L376" s="26">
        <v>4500</v>
      </c>
      <c r="M376">
        <f t="shared" si="7"/>
        <v>4500</v>
      </c>
      <c r="N376" s="26">
        <v>400</v>
      </c>
      <c r="O37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Row],[orderNum]],ТабПозиции[orderSumm])&gt;1500),ABS(M376*VLOOKUP(ТабПозиции[[#This Row],[orderNum]],ТабЗаказы[#Data],MATCH("Percent",ТабЗаказы[#Headers],0),0))/100,200/COUNTIF(ТабПозиции[orderNum],ТабПозиции[[#This Row],[orderNum]])),0),"")</f>
        <v>450</v>
      </c>
      <c r="P376">
        <f>IF(OR(ТабПозиции[[#This Row],[item]]="По штрихкоду",ТабПозиции[[#This Row],[item]]="Посылка"),ТабПозиции[[#This Row],[deliverySumm]]+ТабПозиции[[#This Row],[deliveryPost]],SUM(M376:O376))</f>
        <v>850</v>
      </c>
      <c r="Q376" s="62">
        <v>850</v>
      </c>
      <c r="R376" s="62">
        <f>ТабПозиции[[#This Row],[totalSumm]]-ТабПозиции[[#This Row],[payment]]</f>
        <v>0</v>
      </c>
      <c r="S376" s="34" t="s">
        <v>610</v>
      </c>
      <c r="T376" s="56" t="s">
        <v>3061</v>
      </c>
      <c r="U376" s="56" t="s">
        <v>3061</v>
      </c>
      <c r="V376" s="56" t="s">
        <v>3061</v>
      </c>
      <c r="W376" s="7"/>
      <c r="X376"/>
    </row>
    <row r="377" spans="1:24" x14ac:dyDescent="0.25">
      <c r="A377" s="26">
        <v>105</v>
      </c>
      <c r="B377" s="1">
        <f>IFERROR(VLOOKUP(ТабПозиции[[#This Row],[orderNum]],ТабЗаказы[#Data],MATCH(B$7,ТабЗаказы[#Headers],0),0),"")</f>
        <v>45427</v>
      </c>
      <c r="C377" t="str">
        <f>MONTH(ТабПозиции[[#This Row],[date]])&amp;"/"&amp;YEAR(ТабПозиции[[#This Row],[date]])</f>
        <v>5/2024</v>
      </c>
      <c r="D377" s="1" t="str">
        <f>IFERROR(VLOOKUP(ТабПозиции[[#This Row],[orderNum]],ТабЗаказы[#Data],MATCH(D$7,ТабЗаказы[#Headers],0),0),"")</f>
        <v>Галина Агабекова(церковь)</v>
      </c>
      <c r="E377" s="32" t="s">
        <v>887</v>
      </c>
      <c r="F377" s="56" t="s">
        <v>3061</v>
      </c>
      <c r="H377" s="34">
        <v>45429</v>
      </c>
      <c r="I377" s="26">
        <v>1</v>
      </c>
      <c r="J377" s="26">
        <v>2257</v>
      </c>
      <c r="K377">
        <v>2257</v>
      </c>
      <c r="L377" s="26">
        <v>2443</v>
      </c>
      <c r="M377">
        <f t="shared" si="7"/>
        <v>2443</v>
      </c>
      <c r="O37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Row],[orderNum]],ТабПозиции[orderSumm])&gt;1500),ABS(M377*VLOOKUP(ТабПозиции[[#This Row],[orderNum]],ТабЗаказы[#Data],MATCH("Percent",ТабЗаказы[#Headers],0),0))/100,200/COUNTIF(ТабПозиции[orderNum],ТабПозиции[[#This Row],[orderNum]])),0),"")</f>
        <v>366</v>
      </c>
      <c r="P377">
        <f>IF(OR(ТабПозиции[[#This Row],[item]]="По штрихкоду",ТабПозиции[[#This Row],[item]]="Посылка"),ТабПозиции[[#This Row],[deliverySumm]]+ТабПозиции[[#This Row],[deliveryPost]],SUM(M377:O377))</f>
        <v>2809</v>
      </c>
      <c r="Q377" s="57">
        <v>2809</v>
      </c>
      <c r="R377" s="62">
        <f>ТабПозиции[[#This Row],[totalSumm]]-ТабПозиции[[#This Row],[payment]]</f>
        <v>0</v>
      </c>
      <c r="S377" s="34" t="s">
        <v>575</v>
      </c>
      <c r="T377" s="56" t="s">
        <v>3061</v>
      </c>
      <c r="U377" s="56" t="s">
        <v>3061</v>
      </c>
      <c r="V377" s="56" t="s">
        <v>3061</v>
      </c>
      <c r="W377" s="7"/>
      <c r="X377"/>
    </row>
    <row r="378" spans="1:24" x14ac:dyDescent="0.25">
      <c r="A378" s="26">
        <v>105</v>
      </c>
      <c r="B378" s="1">
        <f>IFERROR(VLOOKUP(ТабПозиции[[#This Row],[orderNum]],ТабЗаказы[#Data],MATCH(B$7,ТабЗаказы[#Headers],0),0),"")</f>
        <v>45427</v>
      </c>
      <c r="C378" t="str">
        <f>MONTH(ТабПозиции[[#This Row],[date]])&amp;"/"&amp;YEAR(ТабПозиции[[#This Row],[date]])</f>
        <v>5/2024</v>
      </c>
      <c r="D378" s="1" t="str">
        <f>IFERROR(VLOOKUP(ТабПозиции[[#This Row],[orderNum]],ТабЗаказы[#Data],MATCH(D$7,ТабЗаказы[#Headers],0),0),"")</f>
        <v>Галина Агабекова(церковь)</v>
      </c>
      <c r="E378" s="32" t="s">
        <v>888</v>
      </c>
      <c r="F378" s="56" t="s">
        <v>3061</v>
      </c>
      <c r="H378" s="34">
        <v>45430</v>
      </c>
      <c r="I378" s="26">
        <v>1</v>
      </c>
      <c r="J378" s="26">
        <v>470</v>
      </c>
      <c r="K378">
        <v>470</v>
      </c>
      <c r="L378" s="26">
        <v>480</v>
      </c>
      <c r="M378">
        <f t="shared" si="7"/>
        <v>480</v>
      </c>
      <c r="O37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Row],[orderNum]],ТабПозиции[orderSumm])&gt;1500),ABS(M378*VLOOKUP(ТабПозиции[[#This Row],[orderNum]],ТабЗаказы[#Data],MATCH("Percent",ТабЗаказы[#Headers],0),0))/100,200/COUNTIF(ТабПозиции[orderNum],ТабПозиции[[#This Row],[orderNum]])),0),"")</f>
        <v>72</v>
      </c>
      <c r="P378">
        <f>IF(OR(ТабПозиции[[#This Row],[item]]="По штрихкоду",ТабПозиции[[#This Row],[item]]="Посылка"),ТабПозиции[[#This Row],[deliverySumm]]+ТабПозиции[[#This Row],[deliveryPost]],SUM(M378:O378))</f>
        <v>552</v>
      </c>
      <c r="Q378" s="57">
        <v>552</v>
      </c>
      <c r="R378" s="62">
        <f>ТабПозиции[[#This Row],[totalSumm]]-ТабПозиции[[#This Row],[payment]]</f>
        <v>0</v>
      </c>
      <c r="S378" s="34" t="s">
        <v>575</v>
      </c>
      <c r="T378" s="56" t="s">
        <v>3061</v>
      </c>
      <c r="U378" s="56" t="s">
        <v>3061</v>
      </c>
      <c r="V378" s="56" t="s">
        <v>3061</v>
      </c>
      <c r="W378" s="7"/>
      <c r="X378"/>
    </row>
    <row r="379" spans="1:24" x14ac:dyDescent="0.25">
      <c r="A379" s="26">
        <v>105</v>
      </c>
      <c r="B379" s="1">
        <f>IFERROR(VLOOKUP(ТабПозиции[[#This Row],[orderNum]],ТабЗаказы[#Data],MATCH(B$7,ТабЗаказы[#Headers],0),0),"")</f>
        <v>45427</v>
      </c>
      <c r="C379" t="str">
        <f>MONTH(ТабПозиции[[#This Row],[date]])&amp;"/"&amp;YEAR(ТабПозиции[[#This Row],[date]])</f>
        <v>5/2024</v>
      </c>
      <c r="D379" s="1" t="str">
        <f>IFERROR(VLOOKUP(ТабПозиции[[#This Row],[orderNum]],ТабЗаказы[#Data],MATCH(D$7,ТабЗаказы[#Headers],0),0),"")</f>
        <v>Галина Агабекова(церковь)</v>
      </c>
      <c r="E379" s="32" t="s">
        <v>889</v>
      </c>
      <c r="F379" s="56" t="s">
        <v>3061</v>
      </c>
      <c r="H379" s="34">
        <v>45430</v>
      </c>
      <c r="I379" s="26">
        <v>1</v>
      </c>
      <c r="J379" s="26">
        <v>399</v>
      </c>
      <c r="K379">
        <v>399</v>
      </c>
      <c r="L379" s="26">
        <v>431</v>
      </c>
      <c r="M379">
        <f t="shared" si="7"/>
        <v>431</v>
      </c>
      <c r="O37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Row],[orderNum]],ТабПозиции[orderSumm])&gt;1500),ABS(M379*VLOOKUP(ТабПозиции[[#This Row],[orderNum]],ТабЗаказы[#Data],MATCH("Percent",ТабЗаказы[#Headers],0),0))/100,200/COUNTIF(ТабПозиции[orderNum],ТабПозиции[[#This Row],[orderNum]])),0),"")</f>
        <v>65</v>
      </c>
      <c r="P379">
        <f>IF(OR(ТабПозиции[[#This Row],[item]]="По штрихкоду",ТабПозиции[[#This Row],[item]]="Посылка"),ТабПозиции[[#This Row],[deliverySumm]]+ТабПозиции[[#This Row],[deliveryPost]],SUM(M379:O379))</f>
        <v>496</v>
      </c>
      <c r="Q379" s="57">
        <v>496</v>
      </c>
      <c r="R379" s="62">
        <f>ТабПозиции[[#This Row],[totalSumm]]-ТабПозиции[[#This Row],[payment]]</f>
        <v>0</v>
      </c>
      <c r="S379" s="34" t="s">
        <v>575</v>
      </c>
      <c r="T379" s="56" t="s">
        <v>3061</v>
      </c>
      <c r="U379" s="56" t="s">
        <v>3061</v>
      </c>
      <c r="V379" s="56" t="s">
        <v>3061</v>
      </c>
      <c r="W379" s="7"/>
      <c r="X379"/>
    </row>
    <row r="380" spans="1:24" x14ac:dyDescent="0.25">
      <c r="A380" s="26">
        <v>105</v>
      </c>
      <c r="B380" s="1">
        <f>IFERROR(VLOOKUP(ТабПозиции[[#This Row],[orderNum]],ТабЗаказы[#Data],MATCH(B$7,ТабЗаказы[#Headers],0),0),"")</f>
        <v>45427</v>
      </c>
      <c r="C380" t="str">
        <f>MONTH(ТабПозиции[[#This Row],[date]])&amp;"/"&amp;YEAR(ТабПозиции[[#This Row],[date]])</f>
        <v>5/2024</v>
      </c>
      <c r="D380" s="1" t="str">
        <f>IFERROR(VLOOKUP(ТабПозиции[[#This Row],[orderNum]],ТабЗаказы[#Data],MATCH(D$7,ТабЗаказы[#Headers],0),0),"")</f>
        <v>Галина Агабекова(церковь)</v>
      </c>
      <c r="E380" s="32" t="s">
        <v>890</v>
      </c>
      <c r="F380" s="56" t="s">
        <v>3061</v>
      </c>
      <c r="H380" s="34">
        <v>45430</v>
      </c>
      <c r="I380" s="26">
        <v>1</v>
      </c>
      <c r="J380" s="26">
        <v>470</v>
      </c>
      <c r="K380">
        <v>470</v>
      </c>
      <c r="L380" s="26">
        <v>480</v>
      </c>
      <c r="M380">
        <f t="shared" si="7"/>
        <v>480</v>
      </c>
      <c r="O38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Row],[orderNum]],ТабПозиции[orderSumm])&gt;1500),ABS(M380*VLOOKUP(ТабПозиции[[#This Row],[orderNum]],ТабЗаказы[#Data],MATCH("Percent",ТабЗаказы[#Headers],0),0))/100,200/COUNTIF(ТабПозиции[orderNum],ТабПозиции[[#This Row],[orderNum]])),0),"")</f>
        <v>72</v>
      </c>
      <c r="P380">
        <f>IF(OR(ТабПозиции[[#This Row],[item]]="По штрихкоду",ТабПозиции[[#This Row],[item]]="Посылка"),ТабПозиции[[#This Row],[deliverySumm]]+ТабПозиции[[#This Row],[deliveryPost]],SUM(M380:O380))</f>
        <v>552</v>
      </c>
      <c r="Q380" s="57">
        <v>552</v>
      </c>
      <c r="R380" s="62">
        <f>ТабПозиции[[#This Row],[totalSumm]]-ТабПозиции[[#This Row],[payment]]</f>
        <v>0</v>
      </c>
      <c r="S380" s="34" t="s">
        <v>575</v>
      </c>
      <c r="T380" s="56" t="s">
        <v>3061</v>
      </c>
      <c r="U380" s="56" t="s">
        <v>3061</v>
      </c>
      <c r="V380" s="56" t="s">
        <v>3061</v>
      </c>
      <c r="W380" s="7"/>
      <c r="X380"/>
    </row>
    <row r="381" spans="1:24" x14ac:dyDescent="0.25">
      <c r="A381" s="26">
        <v>105</v>
      </c>
      <c r="B381" s="1">
        <f>IFERROR(VLOOKUP(ТабПозиции[[#This Row],[orderNum]],ТабЗаказы[#Data],MATCH(B$7,ТабЗаказы[#Headers],0),0),"")</f>
        <v>45427</v>
      </c>
      <c r="C381" t="str">
        <f>MONTH(ТабПозиции[[#This Row],[date]])&amp;"/"&amp;YEAR(ТабПозиции[[#This Row],[date]])</f>
        <v>5/2024</v>
      </c>
      <c r="D381" s="1" t="str">
        <f>IFERROR(VLOOKUP(ТабПозиции[[#This Row],[orderNum]],ТабЗаказы[#Data],MATCH(D$7,ТабЗаказы[#Headers],0),0),"")</f>
        <v>Галина Агабекова(церковь)</v>
      </c>
      <c r="E381" s="32" t="s">
        <v>891</v>
      </c>
      <c r="F381" s="56" t="s">
        <v>3061</v>
      </c>
      <c r="H381" s="34">
        <v>45429</v>
      </c>
      <c r="I381" s="26">
        <v>1</v>
      </c>
      <c r="J381" s="26">
        <v>446</v>
      </c>
      <c r="K381">
        <v>446</v>
      </c>
      <c r="L381" s="26">
        <v>455</v>
      </c>
      <c r="M381">
        <f t="shared" si="7"/>
        <v>455</v>
      </c>
      <c r="O38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Row],[orderNum]],ТабПозиции[orderSumm])&gt;1500),ABS(M381*VLOOKUP(ТабПозиции[[#This Row],[orderNum]],ТабЗаказы[#Data],MATCH("Percent",ТабЗаказы[#Headers],0),0))/100,200/COUNTIF(ТабПозиции[orderNum],ТабПозиции[[#This Row],[orderNum]])),0),"")</f>
        <v>68</v>
      </c>
      <c r="P381">
        <f>IF(OR(ТабПозиции[[#This Row],[item]]="По штрихкоду",ТабПозиции[[#This Row],[item]]="Посылка"),ТабПозиции[[#This Row],[deliverySumm]]+ТабПозиции[[#This Row],[deliveryPost]],SUM(M381:O381))</f>
        <v>523</v>
      </c>
      <c r="Q381" s="57">
        <v>523</v>
      </c>
      <c r="R381" s="62">
        <f>ТабПозиции[[#This Row],[totalSumm]]-ТабПозиции[[#This Row],[payment]]</f>
        <v>0</v>
      </c>
      <c r="S381" s="34" t="s">
        <v>575</v>
      </c>
      <c r="T381" s="56" t="s">
        <v>3061</v>
      </c>
      <c r="U381" s="56" t="s">
        <v>3061</v>
      </c>
      <c r="V381" s="56" t="s">
        <v>3061</v>
      </c>
      <c r="W381" s="7"/>
      <c r="X381"/>
    </row>
    <row r="382" spans="1:24" x14ac:dyDescent="0.25">
      <c r="A382" s="26">
        <v>105</v>
      </c>
      <c r="B382" s="1">
        <f>IFERROR(VLOOKUP(ТабПозиции[[#This Row],[orderNum]],ТабЗаказы[#Data],MATCH(B$7,ТабЗаказы[#Headers],0),0),"")</f>
        <v>45427</v>
      </c>
      <c r="C382" t="str">
        <f>MONTH(ТабПозиции[[#This Row],[date]])&amp;"/"&amp;YEAR(ТабПозиции[[#This Row],[date]])</f>
        <v>5/2024</v>
      </c>
      <c r="D382" s="1" t="str">
        <f>IFERROR(VLOOKUP(ТабПозиции[[#This Row],[orderNum]],ТабЗаказы[#Data],MATCH(D$7,ТабЗаказы[#Headers],0),0),"")</f>
        <v>Галина Агабекова(церковь)</v>
      </c>
      <c r="E382" s="32" t="s">
        <v>892</v>
      </c>
      <c r="F382" s="56" t="s">
        <v>3061</v>
      </c>
      <c r="H382" s="34">
        <v>45430</v>
      </c>
      <c r="I382" s="26">
        <v>1</v>
      </c>
      <c r="J382" s="26">
        <v>436</v>
      </c>
      <c r="K382">
        <v>436</v>
      </c>
      <c r="L382" s="26">
        <v>471</v>
      </c>
      <c r="M382">
        <f t="shared" si="7"/>
        <v>471</v>
      </c>
      <c r="O38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Row],[orderNum]],ТабПозиции[orderSumm])&gt;1500),ABS(M382*VLOOKUP(ТабПозиции[[#This Row],[orderNum]],ТабЗаказы[#Data],MATCH("Percent",ТабЗаказы[#Headers],0),0))/100,200/COUNTIF(ТабПозиции[orderNum],ТабПозиции[[#This Row],[orderNum]])),0),"")</f>
        <v>71</v>
      </c>
      <c r="P382">
        <f>IF(OR(ТабПозиции[[#This Row],[item]]="По штрихкоду",ТабПозиции[[#This Row],[item]]="Посылка"),ТабПозиции[[#This Row],[deliverySumm]]+ТабПозиции[[#This Row],[deliveryPost]],SUM(M382:O382))</f>
        <v>542</v>
      </c>
      <c r="Q382" s="57">
        <v>542</v>
      </c>
      <c r="R382" s="62">
        <f>ТабПозиции[[#This Row],[totalSumm]]-ТабПозиции[[#This Row],[payment]]</f>
        <v>0</v>
      </c>
      <c r="S382" s="34" t="s">
        <v>575</v>
      </c>
      <c r="T382" s="56" t="s">
        <v>3061</v>
      </c>
      <c r="U382" s="56" t="s">
        <v>3061</v>
      </c>
      <c r="V382" s="56" t="s">
        <v>3061</v>
      </c>
      <c r="W382" s="7"/>
      <c r="X382"/>
    </row>
    <row r="383" spans="1:24" x14ac:dyDescent="0.25">
      <c r="A383" s="26">
        <v>105</v>
      </c>
      <c r="B383" s="1">
        <f>IFERROR(VLOOKUP(ТабПозиции[[#This Row],[orderNum]],ТабЗаказы[#Data],MATCH(B$7,ТабЗаказы[#Headers],0),0),"")</f>
        <v>45427</v>
      </c>
      <c r="C383" t="str">
        <f>MONTH(ТабПозиции[[#This Row],[date]])&amp;"/"&amp;YEAR(ТабПозиции[[#This Row],[date]])</f>
        <v>5/2024</v>
      </c>
      <c r="D383" s="1" t="str">
        <f>IFERROR(VLOOKUP(ТабПозиции[[#This Row],[orderNum]],ТабЗаказы[#Data],MATCH(D$7,ТабЗаказы[#Headers],0),0),"")</f>
        <v>Галина Агабекова(церковь)</v>
      </c>
      <c r="E383" s="32" t="s">
        <v>893</v>
      </c>
      <c r="F383" s="56" t="s">
        <v>3061</v>
      </c>
      <c r="H383" s="34">
        <v>45429</v>
      </c>
      <c r="I383" s="26">
        <v>1</v>
      </c>
      <c r="J383" s="26">
        <v>423</v>
      </c>
      <c r="K383">
        <v>423</v>
      </c>
      <c r="L383" s="26">
        <v>437</v>
      </c>
      <c r="M383">
        <f t="shared" si="7"/>
        <v>437</v>
      </c>
      <c r="O38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Row],[orderNum]],ТабПозиции[orderSumm])&gt;1500),ABS(M383*VLOOKUP(ТабПозиции[[#This Row],[orderNum]],ТабЗаказы[#Data],MATCH("Percent",ТабЗаказы[#Headers],0),0))/100,200/COUNTIF(ТабПозиции[orderNum],ТабПозиции[[#This Row],[orderNum]])),0),"")</f>
        <v>66</v>
      </c>
      <c r="P383">
        <f>IF(OR(ТабПозиции[[#This Row],[item]]="По штрихкоду",ТабПозиции[[#This Row],[item]]="Посылка"),ТабПозиции[[#This Row],[deliverySumm]]+ТабПозиции[[#This Row],[deliveryPost]],SUM(M383:O383))</f>
        <v>503</v>
      </c>
      <c r="Q383" s="57">
        <v>503</v>
      </c>
      <c r="R383" s="62">
        <f>ТабПозиции[[#This Row],[totalSumm]]-ТабПозиции[[#This Row],[payment]]</f>
        <v>0</v>
      </c>
      <c r="S383" s="34" t="s">
        <v>575</v>
      </c>
      <c r="T383" s="56" t="s">
        <v>3061</v>
      </c>
      <c r="U383" s="56" t="s">
        <v>3061</v>
      </c>
      <c r="V383" s="56" t="s">
        <v>3061</v>
      </c>
      <c r="W383" s="7"/>
      <c r="X383"/>
    </row>
    <row r="384" spans="1:24" x14ac:dyDescent="0.25">
      <c r="A384" s="26">
        <v>105</v>
      </c>
      <c r="B384" s="1">
        <f>IFERROR(VLOOKUP(ТабПозиции[[#This Row],[orderNum]],ТабЗаказы[#Data],MATCH(B$7,ТабЗаказы[#Headers],0),0),"")</f>
        <v>45427</v>
      </c>
      <c r="C384" t="str">
        <f>MONTH(ТабПозиции[[#This Row],[date]])&amp;"/"&amp;YEAR(ТабПозиции[[#This Row],[date]])</f>
        <v>5/2024</v>
      </c>
      <c r="D384" s="1" t="str">
        <f>IFERROR(VLOOKUP(ТабПозиции[[#This Row],[orderNum]],ТабЗаказы[#Data],MATCH(D$7,ТабЗаказы[#Headers],0),0),"")</f>
        <v>Галина Агабекова(церковь)</v>
      </c>
      <c r="E384" s="32" t="s">
        <v>894</v>
      </c>
      <c r="F384" s="56" t="s">
        <v>3061</v>
      </c>
      <c r="H384" s="34">
        <v>45430</v>
      </c>
      <c r="I384" s="26">
        <v>1</v>
      </c>
      <c r="J384" s="26">
        <v>451</v>
      </c>
      <c r="K384">
        <v>451</v>
      </c>
      <c r="L384" s="26">
        <v>460</v>
      </c>
      <c r="M384">
        <f t="shared" si="7"/>
        <v>460</v>
      </c>
      <c r="O38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Row],[orderNum]],ТабПозиции[orderSumm])&gt;1500),ABS(M384*VLOOKUP(ТабПозиции[[#This Row],[orderNum]],ТабЗаказы[#Data],MATCH("Percent",ТабЗаказы[#Headers],0),0))/100,200/COUNTIF(ТабПозиции[orderNum],ТабПозиции[[#This Row],[orderNum]])),0),"")</f>
        <v>69</v>
      </c>
      <c r="P384">
        <f>IF(OR(ТабПозиции[[#This Row],[item]]="По штрихкоду",ТабПозиции[[#This Row],[item]]="Посылка"),ТабПозиции[[#This Row],[deliverySumm]]+ТабПозиции[[#This Row],[deliveryPost]],SUM(M384:O384))</f>
        <v>529</v>
      </c>
      <c r="Q384" s="57">
        <v>529</v>
      </c>
      <c r="R384" s="62">
        <f>ТабПозиции[[#This Row],[totalSumm]]-ТабПозиции[[#This Row],[payment]]</f>
        <v>0</v>
      </c>
      <c r="S384" s="34" t="s">
        <v>575</v>
      </c>
      <c r="T384" s="56" t="s">
        <v>3061</v>
      </c>
      <c r="U384" s="56" t="s">
        <v>3061</v>
      </c>
      <c r="V384" s="56" t="s">
        <v>3061</v>
      </c>
      <c r="W384" s="7"/>
      <c r="X384"/>
    </row>
    <row r="385" spans="1:24" x14ac:dyDescent="0.25">
      <c r="A385" s="26">
        <v>105</v>
      </c>
      <c r="B385" s="1">
        <f>IFERROR(VLOOKUP(ТабПозиции[[#This Row],[orderNum]],ТабЗаказы[#Data],MATCH(B$7,ТабЗаказы[#Headers],0),0),"")</f>
        <v>45427</v>
      </c>
      <c r="C385" t="str">
        <f>MONTH(ТабПозиции[[#This Row],[date]])&amp;"/"&amp;YEAR(ТабПозиции[[#This Row],[date]])</f>
        <v>5/2024</v>
      </c>
      <c r="D385" s="1" t="str">
        <f>IFERROR(VLOOKUP(ТабПозиции[[#This Row],[orderNum]],ТабЗаказы[#Data],MATCH(D$7,ТабЗаказы[#Headers],0),0),"")</f>
        <v>Галина Агабекова(церковь)</v>
      </c>
      <c r="E385" s="32" t="s">
        <v>895</v>
      </c>
      <c r="F385" s="56" t="s">
        <v>3061</v>
      </c>
      <c r="H385" s="34">
        <v>45430</v>
      </c>
      <c r="I385" s="26">
        <v>1</v>
      </c>
      <c r="J385" s="26">
        <v>394</v>
      </c>
      <c r="K385">
        <v>394</v>
      </c>
      <c r="L385" s="26">
        <v>407</v>
      </c>
      <c r="M385">
        <f t="shared" si="7"/>
        <v>407</v>
      </c>
      <c r="O38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Row],[orderNum]],ТабПозиции[orderSumm])&gt;1500),ABS(M385*VLOOKUP(ТабПозиции[[#This Row],[orderNum]],ТабЗаказы[#Data],MATCH("Percent",ТабЗаказы[#Headers],0),0))/100,200/COUNTIF(ТабПозиции[orderNum],ТабПозиции[[#This Row],[orderNum]])),0),"")</f>
        <v>61</v>
      </c>
      <c r="P385">
        <f>IF(OR(ТабПозиции[[#This Row],[item]]="По штрихкоду",ТабПозиции[[#This Row],[item]]="Посылка"),ТабПозиции[[#This Row],[deliverySumm]]+ТабПозиции[[#This Row],[deliveryPost]],SUM(M385:O385))</f>
        <v>468</v>
      </c>
      <c r="Q385" s="57">
        <v>468</v>
      </c>
      <c r="R385" s="62">
        <f>ТабПозиции[[#This Row],[totalSumm]]-ТабПозиции[[#This Row],[payment]]</f>
        <v>0</v>
      </c>
      <c r="S385" s="34" t="s">
        <v>575</v>
      </c>
      <c r="T385" s="56" t="s">
        <v>3061</v>
      </c>
      <c r="U385" s="56" t="s">
        <v>3061</v>
      </c>
      <c r="V385" s="56" t="s">
        <v>3061</v>
      </c>
      <c r="W385" s="7"/>
      <c r="X385"/>
    </row>
    <row r="386" spans="1:24" x14ac:dyDescent="0.25">
      <c r="A386" s="26">
        <v>105</v>
      </c>
      <c r="B386" s="1">
        <f>IFERROR(VLOOKUP(ТабПозиции[[#This Row],[orderNum]],ТабЗаказы[#Data],MATCH(B$7,ТабЗаказы[#Headers],0),0),"")</f>
        <v>45427</v>
      </c>
      <c r="C386" t="str">
        <f>MONTH(ТабПозиции[[#This Row],[date]])&amp;"/"&amp;YEAR(ТабПозиции[[#This Row],[date]])</f>
        <v>5/2024</v>
      </c>
      <c r="D386" s="1" t="str">
        <f>IFERROR(VLOOKUP(ТабПозиции[[#This Row],[orderNum]],ТабЗаказы[#Data],MATCH(D$7,ТабЗаказы[#Headers],0),0),"")</f>
        <v>Галина Агабекова(церковь)</v>
      </c>
      <c r="E386" s="32" t="s">
        <v>896</v>
      </c>
      <c r="F386" s="56" t="s">
        <v>3061</v>
      </c>
      <c r="H386" s="34">
        <v>45429</v>
      </c>
      <c r="I386" s="26">
        <v>1</v>
      </c>
      <c r="J386" s="26">
        <v>298</v>
      </c>
      <c r="K386">
        <v>298</v>
      </c>
      <c r="L386" s="26">
        <v>304</v>
      </c>
      <c r="M386">
        <f t="shared" si="7"/>
        <v>304</v>
      </c>
      <c r="O38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Row],[orderNum]],ТабПозиции[orderSumm])&gt;1500),ABS(M386*VLOOKUP(ТабПозиции[[#This Row],[orderNum]],ТабЗаказы[#Data],MATCH("Percent",ТабЗаказы[#Headers],0),0))/100,200/COUNTIF(ТабПозиции[orderNum],ТабПозиции[[#This Row],[orderNum]])),0),"")</f>
        <v>46</v>
      </c>
      <c r="P386">
        <f>IF(OR(ТабПозиции[[#This Row],[item]]="По штрихкоду",ТабПозиции[[#This Row],[item]]="Посылка"),ТабПозиции[[#This Row],[deliverySumm]]+ТабПозиции[[#This Row],[deliveryPost]],SUM(M386:O386))</f>
        <v>350</v>
      </c>
      <c r="Q386" s="57">
        <v>350</v>
      </c>
      <c r="R386" s="62">
        <f>ТабПозиции[[#This Row],[totalSumm]]-ТабПозиции[[#This Row],[payment]]</f>
        <v>0</v>
      </c>
      <c r="S386" s="34" t="s">
        <v>575</v>
      </c>
      <c r="T386" s="56" t="s">
        <v>3061</v>
      </c>
      <c r="U386" s="56" t="s">
        <v>3061</v>
      </c>
      <c r="V386" s="56" t="s">
        <v>3061</v>
      </c>
      <c r="W386" s="7"/>
      <c r="X386"/>
    </row>
    <row r="387" spans="1:24" x14ac:dyDescent="0.25">
      <c r="A387" s="26">
        <v>106</v>
      </c>
      <c r="B387" s="1">
        <f>IFERROR(VLOOKUP(ТабПозиции[[#This Row],[orderNum]],ТабЗаказы[#Data],MATCH(B$7,ТабЗаказы[#Headers],0),0),"")</f>
        <v>45429</v>
      </c>
      <c r="C387" t="str">
        <f>MONTH(ТабПозиции[[#This Row],[date]])&amp;"/"&amp;YEAR(ТабПозиции[[#This Row],[date]])</f>
        <v>5/2024</v>
      </c>
      <c r="D387" s="1" t="str">
        <f>IFERROR(VLOOKUP(ТабПозиции[[#This Row],[orderNum]],ТабЗаказы[#Data],MATCH(D$7,ТабЗаказы[#Headers],0),0),"")</f>
        <v>Кристина дет.мир</v>
      </c>
      <c r="E387" s="32" t="s">
        <v>897</v>
      </c>
      <c r="F387" s="56" t="s">
        <v>3061</v>
      </c>
      <c r="H387" s="34">
        <v>45432</v>
      </c>
      <c r="I387" s="26">
        <v>1</v>
      </c>
      <c r="J387" s="26">
        <v>720</v>
      </c>
      <c r="K387">
        <v>720</v>
      </c>
      <c r="L387" s="26">
        <v>720</v>
      </c>
      <c r="M387">
        <f t="shared" si="7"/>
        <v>720</v>
      </c>
      <c r="O38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Row],[orderNum]],ТабПозиции[orderSumm])&gt;1500),ABS(M387*VLOOKUP(ТабПозиции[[#This Row],[orderNum]],ТабЗаказы[#Data],MATCH("Percent",ТабЗаказы[#Headers],0),0))/100,200/COUNTIF(ТабПозиции[orderNum],ТабПозиции[[#This Row],[orderNum]])),0),"")</f>
        <v>108</v>
      </c>
      <c r="P387">
        <f>IF(OR(ТабПозиции[[#This Row],[item]]="По штрихкоду",ТабПозиции[[#This Row],[item]]="Посылка"),ТабПозиции[[#This Row],[deliverySumm]]+ТабПозиции[[#This Row],[deliveryPost]],SUM(M387:O387))</f>
        <v>828</v>
      </c>
      <c r="Q387" s="57">
        <v>828</v>
      </c>
      <c r="R387" s="62">
        <f>ТабПозиции[[#This Row],[totalSumm]]-ТабПозиции[[#This Row],[payment]]</f>
        <v>0</v>
      </c>
      <c r="S387" s="34" t="s">
        <v>898</v>
      </c>
      <c r="T387" s="56" t="s">
        <v>3061</v>
      </c>
      <c r="U387" s="56" t="s">
        <v>3061</v>
      </c>
      <c r="V387" s="56" t="s">
        <v>3061</v>
      </c>
      <c r="W387" s="7"/>
      <c r="X387"/>
    </row>
    <row r="388" spans="1:24" x14ac:dyDescent="0.25">
      <c r="A388" s="26">
        <v>106</v>
      </c>
      <c r="B388" s="1">
        <f>IFERROR(VLOOKUP(ТабПозиции[[#This Row],[orderNum]],ТабЗаказы[#Data],MATCH(B$7,ТабЗаказы[#Headers],0),0),"")</f>
        <v>45429</v>
      </c>
      <c r="C388" t="str">
        <f>MONTH(ТабПозиции[[#This Row],[date]])&amp;"/"&amp;YEAR(ТабПозиции[[#This Row],[date]])</f>
        <v>5/2024</v>
      </c>
      <c r="D388" s="1" t="str">
        <f>IFERROR(VLOOKUP(ТабПозиции[[#This Row],[orderNum]],ТабЗаказы[#Data],MATCH(D$7,ТабЗаказы[#Headers],0),0),"")</f>
        <v>Кристина дет.мир</v>
      </c>
      <c r="E388" s="32" t="s">
        <v>899</v>
      </c>
      <c r="F388" s="56" t="s">
        <v>3061</v>
      </c>
      <c r="H388" s="34">
        <v>45432</v>
      </c>
      <c r="I388" s="26">
        <v>1</v>
      </c>
      <c r="J388" s="26">
        <v>576</v>
      </c>
      <c r="K388">
        <v>576</v>
      </c>
      <c r="L388" s="26">
        <v>576</v>
      </c>
      <c r="M388">
        <f t="shared" si="7"/>
        <v>576</v>
      </c>
      <c r="O38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Row],[orderNum]],ТабПозиции[orderSumm])&gt;1500),ABS(M388*VLOOKUP(ТабПозиции[[#This Row],[orderNum]],ТабЗаказы[#Data],MATCH("Percent",ТабЗаказы[#Headers],0),0))/100,200/COUNTIF(ТабПозиции[orderNum],ТабПозиции[[#This Row],[orderNum]])),0),"")</f>
        <v>86</v>
      </c>
      <c r="P388">
        <f>IF(OR(ТабПозиции[[#This Row],[item]]="По штрихкоду",ТабПозиции[[#This Row],[item]]="Посылка"),ТабПозиции[[#This Row],[deliverySumm]]+ТабПозиции[[#This Row],[deliveryPost]],SUM(M388:O388))</f>
        <v>662</v>
      </c>
      <c r="Q388" s="57">
        <v>662</v>
      </c>
      <c r="R388" s="62">
        <f>ТабПозиции[[#This Row],[totalSumm]]-ТабПозиции[[#This Row],[payment]]</f>
        <v>0</v>
      </c>
      <c r="S388" s="34" t="s">
        <v>898</v>
      </c>
      <c r="T388" s="56" t="s">
        <v>3061</v>
      </c>
      <c r="U388" s="56" t="s">
        <v>3061</v>
      </c>
      <c r="V388" s="56" t="s">
        <v>3061</v>
      </c>
      <c r="W388" s="7"/>
      <c r="X388"/>
    </row>
    <row r="389" spans="1:24" x14ac:dyDescent="0.25">
      <c r="A389" s="26">
        <v>106</v>
      </c>
      <c r="B389" s="1">
        <f>IFERROR(VLOOKUP(ТабПозиции[[#This Row],[orderNum]],ТабЗаказы[#Data],MATCH(B$7,ТабЗаказы[#Headers],0),0),"")</f>
        <v>45429</v>
      </c>
      <c r="C389" t="str">
        <f>MONTH(ТабПозиции[[#This Row],[date]])&amp;"/"&amp;YEAR(ТабПозиции[[#This Row],[date]])</f>
        <v>5/2024</v>
      </c>
      <c r="D389" s="1" t="str">
        <f>IFERROR(VLOOKUP(ТабПозиции[[#This Row],[orderNum]],ТабЗаказы[#Data],MATCH(D$7,ТабЗаказы[#Headers],0),0),"")</f>
        <v>Кристина дет.мир</v>
      </c>
      <c r="E389" s="32" t="s">
        <v>900</v>
      </c>
      <c r="F389" s="56" t="s">
        <v>3061</v>
      </c>
      <c r="H389" s="34">
        <v>45445</v>
      </c>
      <c r="I389" s="26">
        <v>1</v>
      </c>
      <c r="J389" s="26">
        <v>504</v>
      </c>
      <c r="K389">
        <v>504</v>
      </c>
      <c r="L389" s="26">
        <v>504</v>
      </c>
      <c r="M389">
        <f t="shared" si="7"/>
        <v>504</v>
      </c>
      <c r="O38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Row],[orderNum]],ТабПозиции[orderSumm])&gt;1500),ABS(M389*VLOOKUP(ТабПозиции[[#This Row],[orderNum]],ТабЗаказы[#Data],MATCH("Percent",ТабЗаказы[#Headers],0),0))/100,200/COUNTIF(ТабПозиции[orderNum],ТабПозиции[[#This Row],[orderNum]])),0),"")</f>
        <v>76</v>
      </c>
      <c r="P389">
        <f>IF(OR(ТабПозиции[[#This Row],[item]]="По штрихкоду",ТабПозиции[[#This Row],[item]]="Посылка"),ТабПозиции[[#This Row],[deliverySumm]]+ТабПозиции[[#This Row],[deliveryPost]],SUM(M389:O389))</f>
        <v>580</v>
      </c>
      <c r="Q389" s="57">
        <v>580</v>
      </c>
      <c r="R389" s="62">
        <f>ТабПозиции[[#This Row],[totalSumm]]-ТабПозиции[[#This Row],[payment]]</f>
        <v>0</v>
      </c>
      <c r="S389" s="34" t="s">
        <v>898</v>
      </c>
      <c r="T389" s="56" t="s">
        <v>3061</v>
      </c>
      <c r="U389" s="56" t="s">
        <v>3061</v>
      </c>
      <c r="V389" s="56" t="s">
        <v>3061</v>
      </c>
      <c r="W389" s="7"/>
      <c r="X389"/>
    </row>
    <row r="390" spans="1:24" x14ac:dyDescent="0.25">
      <c r="A390" s="26">
        <v>107</v>
      </c>
      <c r="B390" s="1">
        <f>IFERROR(VLOOKUP(ТабПозиции[[#This Row],[orderNum]],ТабЗаказы[#Data],MATCH(B$7,ТабЗаказы[#Headers],0),0),"")</f>
        <v>45429</v>
      </c>
      <c r="C390" t="str">
        <f>MONTH(ТабПозиции[[#This Row],[date]])&amp;"/"&amp;YEAR(ТабПозиции[[#This Row],[date]])</f>
        <v>5/2024</v>
      </c>
      <c r="D390" s="1" t="str">
        <f>IFERROR(VLOOKUP(ТабПозиции[[#This Row],[orderNum]],ТабЗаказы[#Data],MATCH(D$7,ТабЗаказы[#Headers],0),0),"")</f>
        <v>Олег Гагарина 6</v>
      </c>
      <c r="E390" s="26" t="s">
        <v>32</v>
      </c>
      <c r="F390" s="56" t="s">
        <v>3061</v>
      </c>
      <c r="H390" s="34">
        <v>45429</v>
      </c>
      <c r="I390" s="26">
        <v>1</v>
      </c>
      <c r="J390" s="26">
        <v>750</v>
      </c>
      <c r="K390">
        <v>750</v>
      </c>
      <c r="L390" s="26">
        <v>750</v>
      </c>
      <c r="M390">
        <f t="shared" si="7"/>
        <v>750</v>
      </c>
      <c r="O39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Row],[orderNum]],ТабПозиции[orderSumm])&gt;1500),ABS(M390*VLOOKUP(ТабПозиции[[#This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390">
        <f>IF(OR(ТабПозиции[[#This Row],[item]]="По штрихкоду",ТабПозиции[[#This Row],[item]]="Посылка"),ТабПозиции[[#This Row],[deliverySumm]]+ТабПозиции[[#This Row],[deliveryPost]],SUM(M390:O390))</f>
        <v>200</v>
      </c>
      <c r="Q390" s="57">
        <v>200</v>
      </c>
      <c r="R390" s="62">
        <f>ТабПозиции[[#This Row],[totalSumm]]-ТабПозиции[[#This Row],[payment]]</f>
        <v>0</v>
      </c>
      <c r="S390" s="34" t="s">
        <v>575</v>
      </c>
      <c r="T390" s="56" t="s">
        <v>3061</v>
      </c>
      <c r="U390" s="56" t="s">
        <v>3061</v>
      </c>
      <c r="V390" s="56" t="s">
        <v>3061</v>
      </c>
      <c r="W390" s="7"/>
      <c r="X390"/>
    </row>
    <row r="391" spans="1:24" x14ac:dyDescent="0.25">
      <c r="A391" s="26">
        <v>108</v>
      </c>
      <c r="B391" s="1">
        <f>IFERROR(VLOOKUP(ТабПозиции[[#This Row],[orderNum]],ТабЗаказы[#Data],MATCH(B$7,ТабЗаказы[#Headers],0),0),"")</f>
        <v>45429</v>
      </c>
      <c r="C391" t="str">
        <f>MONTH(ТабПозиции[[#This Row],[date]])&amp;"/"&amp;YEAR(ТабПозиции[[#This Row],[date]])</f>
        <v>5/2024</v>
      </c>
      <c r="D391" s="1" t="str">
        <f>IFERROR(VLOOKUP(ТабПозиции[[#This Row],[orderNum]],ТабЗаказы[#Data],MATCH(D$7,ТабЗаказы[#Headers],0),0),"")</f>
        <v>Инесса</v>
      </c>
      <c r="E391" s="32" t="s">
        <v>901</v>
      </c>
      <c r="F391" s="56" t="s">
        <v>3061</v>
      </c>
      <c r="G391" s="28" t="s">
        <v>902</v>
      </c>
      <c r="H391" s="34"/>
      <c r="I391" s="26">
        <v>1</v>
      </c>
      <c r="J391" s="26">
        <v>500</v>
      </c>
      <c r="K391">
        <v>500</v>
      </c>
      <c r="L391" s="26">
        <v>500</v>
      </c>
      <c r="M391">
        <f t="shared" si="7"/>
        <v>500</v>
      </c>
      <c r="N391" s="26">
        <v>159</v>
      </c>
      <c r="O39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Row],[orderNum]],ТабПозиции[orderSumm])&gt;1500),ABS(M391*VLOOKUP(ТабПозиции[[#This Row],[orderNum]],ТабЗаказы[#Data],MATCH("Percent",ТабЗаказы[#Headers],0),0))/100,200/COUNTIF(ТабПозиции[orderNum],ТабПозиции[[#This Row],[orderNum]])),0),"")</f>
        <v>75</v>
      </c>
      <c r="P391">
        <f>IF(OR(ТабПозиции[[#This Row],[item]]="По штрихкоду",ТабПозиции[[#This Row],[item]]="Посылка"),ТабПозиции[[#This Row],[deliverySumm]]+ТабПозиции[[#This Row],[deliveryPost]],SUM(M391:O391))</f>
        <v>734</v>
      </c>
      <c r="Q391" s="57">
        <v>734</v>
      </c>
      <c r="R391" s="62">
        <f>ТабПозиции[[#This Row],[totalSumm]]-ТабПозиции[[#This Row],[payment]]</f>
        <v>0</v>
      </c>
      <c r="S391" s="34" t="s">
        <v>671</v>
      </c>
      <c r="T391" s="56" t="s">
        <v>3061</v>
      </c>
      <c r="U391" s="56" t="s">
        <v>3061</v>
      </c>
      <c r="V391" s="56" t="s">
        <v>3061</v>
      </c>
      <c r="W391" s="7"/>
      <c r="X391"/>
    </row>
    <row r="392" spans="1:24" x14ac:dyDescent="0.25">
      <c r="A392" s="26">
        <v>108</v>
      </c>
      <c r="B392" s="1">
        <f>IFERROR(VLOOKUP(ТабПозиции[[#This Row],[orderNum]],ТабЗаказы[#Data],MATCH(B$7,ТабЗаказы[#Headers],0),0),"")</f>
        <v>45429</v>
      </c>
      <c r="C392" t="str">
        <f>MONTH(ТабПозиции[[#This Row],[date]])&amp;"/"&amp;YEAR(ТабПозиции[[#This Row],[date]])</f>
        <v>5/2024</v>
      </c>
      <c r="D392" s="1" t="str">
        <f>IFERROR(VLOOKUP(ТабПозиции[[#This Row],[orderNum]],ТабЗаказы[#Data],MATCH(D$7,ТабЗаказы[#Headers],0),0),"")</f>
        <v>Инесса</v>
      </c>
      <c r="E392" s="32" t="s">
        <v>903</v>
      </c>
      <c r="F392" s="56" t="s">
        <v>3061</v>
      </c>
      <c r="G392" s="28" t="s">
        <v>904</v>
      </c>
      <c r="H392" s="34"/>
      <c r="I392" s="26">
        <v>1</v>
      </c>
      <c r="J392" s="26">
        <v>2500</v>
      </c>
      <c r="K392">
        <v>2500</v>
      </c>
      <c r="L392" s="26">
        <v>2500</v>
      </c>
      <c r="M392">
        <f t="shared" si="7"/>
        <v>2500</v>
      </c>
      <c r="N392" s="26">
        <v>1319</v>
      </c>
      <c r="O39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Row],[orderNum]],ТабПозиции[orderSumm])&gt;1500),ABS(M392*VLOOKUP(ТабПозиции[[#This Row],[orderNum]],ТабЗаказы[#Data],MATCH("Percent",ТабЗаказы[#Headers],0),0))/100,200/COUNTIF(ТабПозиции[orderNum],ТабПозиции[[#This Row],[orderNum]])),0),"")</f>
        <v>375</v>
      </c>
      <c r="P392">
        <f>IF(OR(ТабПозиции[[#This Row],[item]]="По штрихкоду",ТабПозиции[[#This Row],[item]]="Посылка"),ТабПозиции[[#This Row],[deliverySumm]]+ТабПозиции[[#This Row],[deliveryPost]],SUM(M392:O392))</f>
        <v>4194</v>
      </c>
      <c r="Q392" s="57">
        <v>4194</v>
      </c>
      <c r="R392" s="62">
        <f>ТабПозиции[[#This Row],[totalSumm]]-ТабПозиции[[#This Row],[payment]]</f>
        <v>0</v>
      </c>
      <c r="S392" s="34" t="s">
        <v>579</v>
      </c>
      <c r="T392" s="56" t="s">
        <v>3061</v>
      </c>
      <c r="U392" s="56" t="s">
        <v>3061</v>
      </c>
      <c r="V392" s="56" t="s">
        <v>3061</v>
      </c>
      <c r="W392" s="7"/>
      <c r="X392"/>
    </row>
    <row r="393" spans="1:24" x14ac:dyDescent="0.25">
      <c r="A393" s="26">
        <v>109</v>
      </c>
      <c r="B393" s="1">
        <f>IFERROR(VLOOKUP(ТабПозиции[[#This Row],[orderNum]],ТабЗаказы[#Data],MATCH(B$7,ТабЗаказы[#Headers],0),0),"")</f>
        <v>45430</v>
      </c>
      <c r="C393" t="str">
        <f>MONTH(ТабПозиции[[#This Row],[date]])&amp;"/"&amp;YEAR(ТабПозиции[[#This Row],[date]])</f>
        <v>5/2024</v>
      </c>
      <c r="D393" s="1" t="str">
        <f>IFERROR(VLOOKUP(ТабПозиции[[#This Row],[orderNum]],ТабЗаказы[#Data],MATCH(D$7,ТабЗаказы[#Headers],0),0),"")</f>
        <v>Лариса Кирова</v>
      </c>
      <c r="E393" s="32" t="s">
        <v>905</v>
      </c>
      <c r="F393" s="56" t="s">
        <v>3061</v>
      </c>
      <c r="H393" s="34">
        <v>45438</v>
      </c>
      <c r="I393" s="26">
        <v>1</v>
      </c>
      <c r="J393" s="26">
        <v>1105</v>
      </c>
      <c r="K393">
        <v>1105</v>
      </c>
      <c r="L393" s="26">
        <v>1197</v>
      </c>
      <c r="M393">
        <f t="shared" si="7"/>
        <v>1197</v>
      </c>
      <c r="O39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Row],[orderNum]],ТабПозиции[orderSumm])&gt;1500),ABS(M393*VLOOKUP(ТабПозиции[[#This Row],[orderNum]],ТабЗаказы[#Data],MATCH("Percent",ТабЗаказы[#Headers],0),0))/100,200/COUNTIF(ТабПозиции[orderNum],ТабПозиции[[#This Row],[orderNum]])),0),"")</f>
        <v>180</v>
      </c>
      <c r="P393">
        <f>IF(OR(ТабПозиции[[#This Row],[item]]="По штрихкоду",ТабПозиции[[#This Row],[item]]="Посылка"),ТабПозиции[[#This Row],[deliverySumm]]+ТабПозиции[[#This Row],[deliveryPost]],SUM(M393:O393))</f>
        <v>1377</v>
      </c>
      <c r="Q393" s="57">
        <v>1377</v>
      </c>
      <c r="R393" s="62">
        <f>ТабПозиции[[#This Row],[totalSumm]]-ТабПозиции[[#This Row],[payment]]</f>
        <v>0</v>
      </c>
      <c r="S393" s="34" t="s">
        <v>575</v>
      </c>
      <c r="T393" s="56" t="s">
        <v>3061</v>
      </c>
      <c r="U393" s="56" t="s">
        <v>3061</v>
      </c>
      <c r="V393" s="56" t="s">
        <v>3061</v>
      </c>
      <c r="W393" s="7"/>
      <c r="X393"/>
    </row>
    <row r="394" spans="1:24" x14ac:dyDescent="0.25">
      <c r="A394" s="26">
        <v>109</v>
      </c>
      <c r="B394" s="1">
        <f>IFERROR(VLOOKUP(ТабПозиции[[#This Row],[orderNum]],ТабЗаказы[#Data],MATCH(B$7,ТабЗаказы[#Headers],0),0),"")</f>
        <v>45430</v>
      </c>
      <c r="C394" t="str">
        <f>MONTH(ТабПозиции[[#This Row],[date]])&amp;"/"&amp;YEAR(ТабПозиции[[#This Row],[date]])</f>
        <v>5/2024</v>
      </c>
      <c r="D394" s="1" t="str">
        <f>IFERROR(VLOOKUP(ТабПозиции[[#This Row],[orderNum]],ТабЗаказы[#Data],MATCH(D$7,ТабЗаказы[#Headers],0),0),"")</f>
        <v>Лариса Кирова</v>
      </c>
      <c r="E394" s="32" t="s">
        <v>906</v>
      </c>
      <c r="F394" s="56" t="s">
        <v>3061</v>
      </c>
      <c r="H394" s="34">
        <v>45439</v>
      </c>
      <c r="I394" s="26">
        <v>1</v>
      </c>
      <c r="J394" s="26">
        <v>645</v>
      </c>
      <c r="K394">
        <v>645</v>
      </c>
      <c r="L394" s="26">
        <v>698</v>
      </c>
      <c r="M394">
        <f t="shared" si="7"/>
        <v>698</v>
      </c>
      <c r="O39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Row],[orderNum]],ТабПозиции[orderSumm])&gt;1500),ABS(M394*VLOOKUP(ТабПозиции[[#This Row],[orderNum]],ТабЗаказы[#Data],MATCH("Percent",ТабЗаказы[#Headers],0),0))/100,200/COUNTIF(ТабПозиции[orderNum],ТабПозиции[[#This Row],[orderNum]])),0),"")</f>
        <v>105</v>
      </c>
      <c r="P394">
        <f>IF(OR(ТабПозиции[[#This Row],[item]]="По штрихкоду",ТабПозиции[[#This Row],[item]]="Посылка"),ТабПозиции[[#This Row],[deliverySumm]]+ТабПозиции[[#This Row],[deliveryPost]],SUM(M394:O394))</f>
        <v>803</v>
      </c>
      <c r="Q394" s="57">
        <v>803</v>
      </c>
      <c r="R394" s="62">
        <f>ТабПозиции[[#This Row],[totalSumm]]-ТабПозиции[[#This Row],[payment]]</f>
        <v>0</v>
      </c>
      <c r="S394" s="34" t="s">
        <v>575</v>
      </c>
      <c r="T394" s="56" t="s">
        <v>3061</v>
      </c>
      <c r="U394" s="56" t="s">
        <v>3061</v>
      </c>
      <c r="V394" s="56" t="s">
        <v>3061</v>
      </c>
      <c r="W394" s="7"/>
      <c r="X394"/>
    </row>
    <row r="395" spans="1:24" x14ac:dyDescent="0.25">
      <c r="A395" s="26">
        <v>109</v>
      </c>
      <c r="B395" s="1">
        <f>IFERROR(VLOOKUP(ТабПозиции[[#This Row],[orderNum]],ТабЗаказы[#Data],MATCH(B$7,ТабЗаказы[#Headers],0),0),"")</f>
        <v>45430</v>
      </c>
      <c r="C395" t="str">
        <f>MONTH(ТабПозиции[[#This Row],[date]])&amp;"/"&amp;YEAR(ТабПозиции[[#This Row],[date]])</f>
        <v>5/2024</v>
      </c>
      <c r="D395" s="1" t="str">
        <f>IFERROR(VLOOKUP(ТабПозиции[[#This Row],[orderNum]],ТабЗаказы[#Data],MATCH(D$7,ТабЗаказы[#Headers],0),0),"")</f>
        <v>Лариса Кирова</v>
      </c>
      <c r="E395" s="32" t="s">
        <v>574</v>
      </c>
      <c r="F395" s="56" t="s">
        <v>3061</v>
      </c>
      <c r="H395" s="34">
        <v>45432</v>
      </c>
      <c r="I395" s="26">
        <v>1</v>
      </c>
      <c r="J395" s="26">
        <v>490</v>
      </c>
      <c r="K395">
        <v>490</v>
      </c>
      <c r="L395" s="26">
        <v>528</v>
      </c>
      <c r="M395">
        <f t="shared" si="7"/>
        <v>528</v>
      </c>
      <c r="O39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Row],[orderNum]],ТабПозиции[orderSumm])&gt;1500),ABS(M395*VLOOKUP(ТабПозиции[[#This Row],[orderNum]],ТабЗаказы[#Data],MATCH("Percent",ТабЗаказы[#Headers],0),0))/100,200/COUNTIF(ТабПозиции[orderNum],ТабПозиции[[#This Row],[orderNum]])),0),"")</f>
        <v>79</v>
      </c>
      <c r="P395">
        <f>IF(OR(ТабПозиции[[#This Row],[item]]="По штрихкоду",ТабПозиции[[#This Row],[item]]="Посылка"),ТабПозиции[[#This Row],[deliverySumm]]+ТабПозиции[[#This Row],[deliveryPost]],SUM(M395:O395))</f>
        <v>607</v>
      </c>
      <c r="Q395" s="57">
        <v>607</v>
      </c>
      <c r="R395" s="62">
        <f>ТабПозиции[[#This Row],[totalSumm]]-ТабПозиции[[#This Row],[payment]]</f>
        <v>0</v>
      </c>
      <c r="S395" s="34" t="s">
        <v>575</v>
      </c>
      <c r="T395" s="56" t="s">
        <v>3061</v>
      </c>
      <c r="U395" s="56" t="s">
        <v>3061</v>
      </c>
      <c r="V395" s="56" t="s">
        <v>3061</v>
      </c>
      <c r="W395" s="7"/>
      <c r="X395"/>
    </row>
    <row r="396" spans="1:24" x14ac:dyDescent="0.25">
      <c r="A396" s="26">
        <v>109</v>
      </c>
      <c r="B396" s="1">
        <f>IFERROR(VLOOKUP(ТабПозиции[[#This Row],[orderNum]],ТабЗаказы[#Data],MATCH(B$7,ТабЗаказы[#Headers],0),0),"")</f>
        <v>45430</v>
      </c>
      <c r="C396" t="str">
        <f>MONTH(ТабПозиции[[#This Row],[date]])&amp;"/"&amp;YEAR(ТабПозиции[[#This Row],[date]])</f>
        <v>5/2024</v>
      </c>
      <c r="D396" s="1" t="str">
        <f>IFERROR(VLOOKUP(ТабПозиции[[#This Row],[orderNum]],ТабЗаказы[#Data],MATCH(D$7,ТабЗаказы[#Headers],0),0),"")</f>
        <v>Лариса Кирова</v>
      </c>
      <c r="E396" s="32" t="s">
        <v>907</v>
      </c>
      <c r="F396" s="56" t="s">
        <v>3061</v>
      </c>
      <c r="H396" s="34">
        <v>45433</v>
      </c>
      <c r="I396" s="26">
        <v>1</v>
      </c>
      <c r="J396" s="26">
        <v>1326</v>
      </c>
      <c r="K396">
        <v>1326</v>
      </c>
      <c r="L396" s="26">
        <v>1368</v>
      </c>
      <c r="M396">
        <f t="shared" si="7"/>
        <v>1368</v>
      </c>
      <c r="O39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Row],[orderNum]],ТабПозиции[orderSumm])&gt;1500),ABS(M396*VLOOKUP(ТабПозиции[[#This Row],[orderNum]],ТабЗаказы[#Data],MATCH("Percent",ТабЗаказы[#Headers],0),0))/100,200/COUNTIF(ТабПозиции[orderNum],ТабПозиции[[#This Row],[orderNum]])),0),"")</f>
        <v>205</v>
      </c>
      <c r="P396">
        <f>IF(OR(ТабПозиции[[#This Row],[item]]="По штрихкоду",ТабПозиции[[#This Row],[item]]="Посылка"),ТабПозиции[[#This Row],[deliverySumm]]+ТабПозиции[[#This Row],[deliveryPost]],SUM(M396:O396))</f>
        <v>1573</v>
      </c>
      <c r="Q396" s="57">
        <v>1573</v>
      </c>
      <c r="R396" s="62">
        <f>ТабПозиции[[#This Row],[totalSumm]]-ТабПозиции[[#This Row],[payment]]</f>
        <v>0</v>
      </c>
      <c r="S396" s="34" t="s">
        <v>558</v>
      </c>
      <c r="T396" s="56" t="s">
        <v>3061</v>
      </c>
      <c r="U396" s="56" t="s">
        <v>3061</v>
      </c>
      <c r="V396" s="56" t="s">
        <v>3061</v>
      </c>
      <c r="W396" s="7"/>
      <c r="X396"/>
    </row>
    <row r="397" spans="1:24" x14ac:dyDescent="0.25">
      <c r="A397" s="26">
        <v>109</v>
      </c>
      <c r="B397" s="1">
        <f>IFERROR(VLOOKUP(ТабПозиции[[#This Row],[orderNum]],ТабЗаказы[#Data],MATCH(B$7,ТабЗаказы[#Headers],0),0),"")</f>
        <v>45430</v>
      </c>
      <c r="C397" t="str">
        <f>MONTH(ТабПозиции[[#This Row],[date]])&amp;"/"&amp;YEAR(ТабПозиции[[#This Row],[date]])</f>
        <v>5/2024</v>
      </c>
      <c r="D397" s="1" t="str">
        <f>IFERROR(VLOOKUP(ТабПозиции[[#This Row],[orderNum]],ТабЗаказы[#Data],MATCH(D$7,ТабЗаказы[#Headers],0),0),"")</f>
        <v>Лариса Кирова</v>
      </c>
      <c r="E397" s="32" t="s">
        <v>908</v>
      </c>
      <c r="F397" s="56" t="s">
        <v>3061</v>
      </c>
      <c r="H397" s="34">
        <v>45432</v>
      </c>
      <c r="I397" s="26">
        <v>1</v>
      </c>
      <c r="J397" s="26">
        <v>338</v>
      </c>
      <c r="K397">
        <v>338</v>
      </c>
      <c r="L397" s="26">
        <v>349</v>
      </c>
      <c r="M397">
        <f t="shared" si="7"/>
        <v>349</v>
      </c>
      <c r="O39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Row],[orderNum]],ТабПозиции[orderSumm])&gt;1500),ABS(M397*VLOOKUP(ТабПозиции[[#This Row],[orderNum]],ТабЗаказы[#Data],MATCH("Percent",ТабЗаказы[#Headers],0),0))/100,200/COUNTIF(ТабПозиции[orderNum],ТабПозиции[[#This Row],[orderNum]])),0),"")</f>
        <v>52</v>
      </c>
      <c r="P397">
        <f>IF(OR(ТабПозиции[[#This Row],[item]]="По штрихкоду",ТабПозиции[[#This Row],[item]]="Посылка"),ТабПозиции[[#This Row],[deliverySumm]]+ТабПозиции[[#This Row],[deliveryPost]],SUM(M397:O397))</f>
        <v>401</v>
      </c>
      <c r="Q397" s="57">
        <v>401</v>
      </c>
      <c r="R397" s="62">
        <f>ТабПозиции[[#This Row],[totalSumm]]-ТабПозиции[[#This Row],[payment]]</f>
        <v>0</v>
      </c>
      <c r="S397" s="34" t="s">
        <v>558</v>
      </c>
      <c r="T397" s="56" t="s">
        <v>3061</v>
      </c>
      <c r="U397" s="56" t="s">
        <v>3061</v>
      </c>
      <c r="V397" s="56" t="s">
        <v>3061</v>
      </c>
      <c r="W397" s="7"/>
      <c r="X397"/>
    </row>
    <row r="398" spans="1:24" x14ac:dyDescent="0.25">
      <c r="A398" s="26">
        <v>109</v>
      </c>
      <c r="B398" s="1">
        <f>IFERROR(VLOOKUP(ТабПозиции[[#This Row],[orderNum]],ТабЗаказы[#Data],MATCH(B$7,ТабЗаказы[#Headers],0),0),"")</f>
        <v>45430</v>
      </c>
      <c r="C398" t="str">
        <f>MONTH(ТабПозиции[[#This Row],[date]])&amp;"/"&amp;YEAR(ТабПозиции[[#This Row],[date]])</f>
        <v>5/2024</v>
      </c>
      <c r="D398" s="1" t="str">
        <f>IFERROR(VLOOKUP(ТабПозиции[[#This Row],[orderNum]],ТабЗаказы[#Data],MATCH(D$7,ТабЗаказы[#Headers],0),0),"")</f>
        <v>Лариса Кирова</v>
      </c>
      <c r="E398" s="32" t="s">
        <v>909</v>
      </c>
      <c r="F398" s="56" t="s">
        <v>3061</v>
      </c>
      <c r="H398" s="34">
        <v>45433</v>
      </c>
      <c r="I398" s="26">
        <v>1</v>
      </c>
      <c r="J398" s="26">
        <v>547</v>
      </c>
      <c r="K398">
        <v>547</v>
      </c>
      <c r="L398" s="26">
        <v>564</v>
      </c>
      <c r="M398">
        <f t="shared" si="7"/>
        <v>564</v>
      </c>
      <c r="O39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Row],[orderNum]],ТабПозиции[orderSumm])&gt;1500),ABS(M398*VLOOKUP(ТабПозиции[[#This Row],[orderNum]],ТабЗаказы[#Data],MATCH("Percent",ТабЗаказы[#Headers],0),0))/100,200/COUNTIF(ТабПозиции[orderNum],ТабПозиции[[#This Row],[orderNum]])),0),"")</f>
        <v>85</v>
      </c>
      <c r="P398">
        <f>IF(OR(ТабПозиции[[#This Row],[item]]="По штрихкоду",ТабПозиции[[#This Row],[item]]="Посылка"),ТабПозиции[[#This Row],[deliverySumm]]+ТабПозиции[[#This Row],[deliveryPost]],SUM(M398:O398))</f>
        <v>649</v>
      </c>
      <c r="Q398" s="57">
        <v>649</v>
      </c>
      <c r="R398" s="62">
        <f>ТабПозиции[[#This Row],[totalSumm]]-ТабПозиции[[#This Row],[payment]]</f>
        <v>0</v>
      </c>
      <c r="S398" s="34" t="s">
        <v>558</v>
      </c>
      <c r="T398" s="56" t="s">
        <v>3061</v>
      </c>
      <c r="U398" s="56" t="s">
        <v>3061</v>
      </c>
      <c r="V398" s="56" t="s">
        <v>3061</v>
      </c>
      <c r="W398" s="7"/>
      <c r="X398"/>
    </row>
    <row r="399" spans="1:24" x14ac:dyDescent="0.25">
      <c r="A399" s="26">
        <v>109</v>
      </c>
      <c r="B399" s="1">
        <f>IFERROR(VLOOKUP(ТабПозиции[[#This Row],[orderNum]],ТабЗаказы[#Data],MATCH(B$7,ТабЗаказы[#Headers],0),0),"")</f>
        <v>45430</v>
      </c>
      <c r="C399" t="str">
        <f>MONTH(ТабПозиции[[#This Row],[date]])&amp;"/"&amp;YEAR(ТабПозиции[[#This Row],[date]])</f>
        <v>5/2024</v>
      </c>
      <c r="D399" s="1" t="str">
        <f>IFERROR(VLOOKUP(ТабПозиции[[#This Row],[orderNum]],ТабЗаказы[#Data],MATCH(D$7,ТабЗаказы[#Headers],0),0),"")</f>
        <v>Лариса Кирова</v>
      </c>
      <c r="E399" s="32" t="s">
        <v>910</v>
      </c>
      <c r="F399" s="56" t="s">
        <v>3061</v>
      </c>
      <c r="H399" s="34">
        <v>45432</v>
      </c>
      <c r="I399" s="26">
        <v>1</v>
      </c>
      <c r="J399" s="26">
        <v>547</v>
      </c>
      <c r="K399">
        <v>547</v>
      </c>
      <c r="L399" s="26">
        <v>564</v>
      </c>
      <c r="M399">
        <f t="shared" si="7"/>
        <v>564</v>
      </c>
      <c r="O39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Row],[orderNum]],ТабПозиции[orderSumm])&gt;1500),ABS(M399*VLOOKUP(ТабПозиции[[#This Row],[orderNum]],ТабЗаказы[#Data],MATCH("Percent",ТабЗаказы[#Headers],0),0))/100,200/COUNTIF(ТабПозиции[orderNum],ТабПозиции[[#This Row],[orderNum]])),0),"")</f>
        <v>85</v>
      </c>
      <c r="P399">
        <f>IF(OR(ТабПозиции[[#This Row],[item]]="По штрихкоду",ТабПозиции[[#This Row],[item]]="Посылка"),ТабПозиции[[#This Row],[deliverySumm]]+ТабПозиции[[#This Row],[deliveryPost]],SUM(M399:O399))</f>
        <v>649</v>
      </c>
      <c r="Q399" s="57">
        <v>649</v>
      </c>
      <c r="R399" s="62">
        <f>ТабПозиции[[#This Row],[totalSumm]]-ТабПозиции[[#This Row],[payment]]</f>
        <v>0</v>
      </c>
      <c r="S399" s="34" t="s">
        <v>558</v>
      </c>
      <c r="T399" s="56" t="s">
        <v>3061</v>
      </c>
      <c r="U399" s="56" t="s">
        <v>3061</v>
      </c>
      <c r="V399" s="56" t="s">
        <v>3061</v>
      </c>
      <c r="W399" s="7"/>
      <c r="X399"/>
    </row>
    <row r="400" spans="1:24" x14ac:dyDescent="0.25">
      <c r="A400" s="26">
        <v>109</v>
      </c>
      <c r="B400" s="1">
        <f>IFERROR(VLOOKUP(ТабПозиции[[#This Row],[orderNum]],ТабЗаказы[#Data],MATCH(B$7,ТабЗаказы[#Headers],0),0),"")</f>
        <v>45430</v>
      </c>
      <c r="C400" t="str">
        <f>MONTH(ТабПозиции[[#This Row],[date]])&amp;"/"&amp;YEAR(ТабПозиции[[#This Row],[date]])</f>
        <v>5/2024</v>
      </c>
      <c r="D400" s="1" t="str">
        <f>IFERROR(VLOOKUP(ТабПозиции[[#This Row],[orderNum]],ТабЗаказы[#Data],MATCH(D$7,ТабЗаказы[#Headers],0),0),"")</f>
        <v>Лариса Кирова</v>
      </c>
      <c r="E400" s="32" t="s">
        <v>911</v>
      </c>
      <c r="F400" s="56" t="s">
        <v>3061</v>
      </c>
      <c r="H400" s="34">
        <v>45433</v>
      </c>
      <c r="I400" s="26">
        <v>1</v>
      </c>
      <c r="J400" s="26">
        <v>2213</v>
      </c>
      <c r="K400">
        <v>2213</v>
      </c>
      <c r="L400" s="26">
        <v>2282</v>
      </c>
      <c r="M400">
        <f t="shared" si="7"/>
        <v>2282</v>
      </c>
      <c r="O40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Row],[orderNum]],ТабПозиции[orderSumm])&gt;1500),ABS(M400*VLOOKUP(ТабПозиции[[#This Row],[orderNum]],ТабЗаказы[#Data],MATCH("Percent",ТабЗаказы[#Headers],0),0))/100,200/COUNTIF(ТабПозиции[orderNum],ТабПозиции[[#This Row],[orderNum]])),0),"")</f>
        <v>342</v>
      </c>
      <c r="P400">
        <f>IF(OR(ТабПозиции[[#This Row],[item]]="По штрихкоду",ТабПозиции[[#This Row],[item]]="Посылка"),ТабПозиции[[#This Row],[deliverySumm]]+ТабПозиции[[#This Row],[deliveryPost]],SUM(M400:O400))</f>
        <v>2624</v>
      </c>
      <c r="Q400" s="57">
        <v>2624</v>
      </c>
      <c r="R400" s="62">
        <f>ТабПозиции[[#This Row],[totalSumm]]-ТабПозиции[[#This Row],[payment]]</f>
        <v>0</v>
      </c>
      <c r="S400" s="34" t="s">
        <v>558</v>
      </c>
      <c r="T400" s="56" t="s">
        <v>3061</v>
      </c>
      <c r="U400" s="56" t="s">
        <v>3061</v>
      </c>
      <c r="V400" s="56" t="s">
        <v>3061</v>
      </c>
      <c r="W400" s="7"/>
      <c r="X400"/>
    </row>
    <row r="401" spans="1:24" x14ac:dyDescent="0.25">
      <c r="A401" s="26">
        <v>110</v>
      </c>
      <c r="B401" s="1">
        <f>IFERROR(VLOOKUP(ТабПозиции[[#This Row],[orderNum]],ТабЗаказы[#Data],MATCH(B$7,ТабЗаказы[#Headers],0),0),"")</f>
        <v>45430</v>
      </c>
      <c r="C401" t="str">
        <f>MONTH(ТабПозиции[[#This Row],[date]])&amp;"/"&amp;YEAR(ТабПозиции[[#This Row],[date]])</f>
        <v>5/2024</v>
      </c>
      <c r="D401" s="1" t="str">
        <f>IFERROR(VLOOKUP(ТабПозиции[[#This Row],[orderNum]],ТабЗаказы[#Data],MATCH(D$7,ТабЗаказы[#Headers],0),0),"")</f>
        <v>Полинка</v>
      </c>
      <c r="E401" s="32" t="s">
        <v>912</v>
      </c>
      <c r="F401" s="56" t="s">
        <v>3061</v>
      </c>
      <c r="H401" s="34">
        <v>45455</v>
      </c>
      <c r="I401" s="26">
        <v>1</v>
      </c>
      <c r="J401" s="26">
        <v>926</v>
      </c>
      <c r="K401">
        <v>926</v>
      </c>
      <c r="L401" s="26">
        <v>955</v>
      </c>
      <c r="M401">
        <f t="shared" si="7"/>
        <v>955</v>
      </c>
      <c r="O40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Row],[orderNum]],ТабПозиции[orderSumm])&gt;1500),ABS(M401*VLOOKUP(ТабПозиции[[#This Row],[orderNum]],ТабЗаказы[#Data],MATCH("Percent",ТабЗаказы[#Headers],0),0))/100,200/COUNTIF(ТабПозиции[orderNum],ТабПозиции[[#This Row],[orderNum]])),0),"")</f>
        <v>143</v>
      </c>
      <c r="P401">
        <f>IF(OR(ТабПозиции[[#This Row],[item]]="По штрихкоду",ТабПозиции[[#This Row],[item]]="Посылка"),ТабПозиции[[#This Row],[deliverySumm]]+ТабПозиции[[#This Row],[deliveryPost]],SUM(M401:O401))</f>
        <v>1098</v>
      </c>
      <c r="Q401" s="57">
        <v>1098</v>
      </c>
      <c r="R401" s="62">
        <f>ТабПозиции[[#This Row],[totalSumm]]-ТабПозиции[[#This Row],[payment]]</f>
        <v>0</v>
      </c>
      <c r="S401" s="34" t="s">
        <v>558</v>
      </c>
      <c r="T401" s="56" t="s">
        <v>3061</v>
      </c>
      <c r="U401" s="56" t="s">
        <v>3061</v>
      </c>
      <c r="V401" s="56" t="s">
        <v>3061</v>
      </c>
      <c r="W401" s="7"/>
      <c r="X401"/>
    </row>
    <row r="402" spans="1:24" x14ac:dyDescent="0.25">
      <c r="A402" s="26">
        <v>110</v>
      </c>
      <c r="B402" s="1">
        <f>IFERROR(VLOOKUP(ТабПозиции[[#This Row],[orderNum]],ТабЗаказы[#Data],MATCH(B$7,ТабЗаказы[#Headers],0),0),"")</f>
        <v>45430</v>
      </c>
      <c r="C402" t="str">
        <f>MONTH(ТабПозиции[[#This Row],[date]])&amp;"/"&amp;YEAR(ТабПозиции[[#This Row],[date]])</f>
        <v>5/2024</v>
      </c>
      <c r="D402" s="1" t="str">
        <f>IFERROR(VLOOKUP(ТабПозиции[[#This Row],[orderNum]],ТабЗаказы[#Data],MATCH(D$7,ТабЗаказы[#Headers],0),0),"")</f>
        <v>Полинка</v>
      </c>
      <c r="E402" s="32" t="s">
        <v>913</v>
      </c>
      <c r="F402" s="56" t="s">
        <v>3061</v>
      </c>
      <c r="H402" s="34">
        <v>45432</v>
      </c>
      <c r="I402" s="26">
        <v>1</v>
      </c>
      <c r="J402" s="26">
        <v>165</v>
      </c>
      <c r="K402">
        <v>165</v>
      </c>
      <c r="L402" s="26">
        <v>171</v>
      </c>
      <c r="M402">
        <f t="shared" si="7"/>
        <v>171</v>
      </c>
      <c r="O40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Row],[orderNum]],ТабПозиции[orderSumm])&gt;1500),ABS(M402*VLOOKUP(ТабПозиции[[#This Row],[orderNum]],ТабЗаказы[#Data],MATCH("Percent",ТабЗаказы[#Headers],0),0))/100,200/COUNTIF(ТабПозиции[orderNum],ТабПозиции[[#This Row],[orderNum]])),0),"")</f>
        <v>26</v>
      </c>
      <c r="P402">
        <f>IF(OR(ТабПозиции[[#This Row],[item]]="По штрихкоду",ТабПозиции[[#This Row],[item]]="Посылка"),ТабПозиции[[#This Row],[deliverySumm]]+ТабПозиции[[#This Row],[deliveryPost]],SUM(M402:O402))</f>
        <v>197</v>
      </c>
      <c r="Q402" s="57">
        <v>197</v>
      </c>
      <c r="R402" s="62">
        <f>ТабПозиции[[#This Row],[totalSumm]]-ТабПозиции[[#This Row],[payment]]</f>
        <v>0</v>
      </c>
      <c r="S402" s="34" t="s">
        <v>558</v>
      </c>
      <c r="T402" s="56" t="s">
        <v>3061</v>
      </c>
      <c r="U402" s="56" t="s">
        <v>3061</v>
      </c>
      <c r="V402" s="56" t="s">
        <v>3061</v>
      </c>
      <c r="W402" s="7"/>
      <c r="X402"/>
    </row>
    <row r="403" spans="1:24" x14ac:dyDescent="0.25">
      <c r="A403" s="26">
        <v>110</v>
      </c>
      <c r="B403" s="1">
        <f>IFERROR(VLOOKUP(ТабПозиции[[#This Row],[orderNum]],ТабЗаказы[#Data],MATCH(B$7,ТабЗаказы[#Headers],0),0),"")</f>
        <v>45430</v>
      </c>
      <c r="C403" t="str">
        <f>MONTH(ТабПозиции[[#This Row],[date]])&amp;"/"&amp;YEAR(ТабПозиции[[#This Row],[date]])</f>
        <v>5/2024</v>
      </c>
      <c r="D403" s="1" t="str">
        <f>IFERROR(VLOOKUP(ТабПозиции[[#This Row],[orderNum]],ТабЗаказы[#Data],MATCH(D$7,ТабЗаказы[#Headers],0),0),"")</f>
        <v>Полинка</v>
      </c>
      <c r="E403" s="32" t="s">
        <v>914</v>
      </c>
      <c r="F403" s="56" t="s">
        <v>3061</v>
      </c>
      <c r="H403" s="34">
        <v>45444</v>
      </c>
      <c r="I403" s="26">
        <v>1</v>
      </c>
      <c r="J403" s="26">
        <v>162</v>
      </c>
      <c r="K403">
        <v>162</v>
      </c>
      <c r="L403" s="26">
        <v>162</v>
      </c>
      <c r="M403">
        <f t="shared" si="7"/>
        <v>162</v>
      </c>
      <c r="O40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Row],[orderNum]],ТабПозиции[orderSumm])&gt;1500),ABS(M403*VLOOKUP(ТабПозиции[[#This Row],[orderNum]],ТабЗаказы[#Data],MATCH("Percent",ТабЗаказы[#Headers],0),0))/100,200/COUNTIF(ТабПозиции[orderNum],ТабПозиции[[#This Row],[orderNum]])),0),"")</f>
        <v>24</v>
      </c>
      <c r="P403">
        <f>IF(OR(ТабПозиции[[#This Row],[item]]="По штрихкоду",ТабПозиции[[#This Row],[item]]="Посылка"),ТабПозиции[[#This Row],[deliverySumm]]+ТабПозиции[[#This Row],[deliveryPost]],SUM(M403:O403))</f>
        <v>186</v>
      </c>
      <c r="Q403" s="57">
        <v>186</v>
      </c>
      <c r="R403" s="62">
        <f>ТабПозиции[[#This Row],[totalSumm]]-ТабПозиции[[#This Row],[payment]]</f>
        <v>0</v>
      </c>
      <c r="S403" s="34" t="s">
        <v>575</v>
      </c>
      <c r="T403" s="56" t="s">
        <v>3061</v>
      </c>
      <c r="U403" s="56" t="s">
        <v>3061</v>
      </c>
      <c r="V403" s="56" t="s">
        <v>3061</v>
      </c>
      <c r="W403" s="7"/>
      <c r="X403"/>
    </row>
    <row r="404" spans="1:24" x14ac:dyDescent="0.25">
      <c r="A404" s="26">
        <v>110</v>
      </c>
      <c r="B404" s="1">
        <f>IFERROR(VLOOKUP(ТабПозиции[[#This Row],[orderNum]],ТабЗаказы[#Data],MATCH(B$7,ТабЗаказы[#Headers],0),0),"")</f>
        <v>45430</v>
      </c>
      <c r="C404" t="str">
        <f>MONTH(ТабПозиции[[#This Row],[date]])&amp;"/"&amp;YEAR(ТабПозиции[[#This Row],[date]])</f>
        <v>5/2024</v>
      </c>
      <c r="D404" s="1" t="str">
        <f>IFERROR(VLOOKUP(ТабПозиции[[#This Row],[orderNum]],ТабЗаказы[#Data],MATCH(D$7,ТабЗаказы[#Headers],0),0),"")</f>
        <v>Полинка</v>
      </c>
      <c r="E404" s="32" t="s">
        <v>915</v>
      </c>
      <c r="F404" s="56" t="s">
        <v>3061</v>
      </c>
      <c r="H404" s="34">
        <v>45432</v>
      </c>
      <c r="I404" s="26">
        <v>1</v>
      </c>
      <c r="J404" s="26">
        <v>1937</v>
      </c>
      <c r="K404">
        <v>1937</v>
      </c>
      <c r="L404" s="26">
        <v>1997</v>
      </c>
      <c r="M404">
        <f t="shared" si="7"/>
        <v>1997</v>
      </c>
      <c r="O40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Row],[orderNum]],ТабПозиции[orderSumm])&gt;1500),ABS(M404*VLOOKUP(ТабПозиции[[#This Row],[orderNum]],ТабЗаказы[#Data],MATCH("Percent",ТабЗаказы[#Headers],0),0))/100,200/COUNTIF(ТабПозиции[orderNum],ТабПозиции[[#This Row],[orderNum]])),0),"")</f>
        <v>300</v>
      </c>
      <c r="P404">
        <f>IF(OR(ТабПозиции[[#This Row],[item]]="По штрихкоду",ТабПозиции[[#This Row],[item]]="Посылка"),ТабПозиции[[#This Row],[deliverySumm]]+ТабПозиции[[#This Row],[deliveryPost]],SUM(M404:O404))</f>
        <v>2297</v>
      </c>
      <c r="Q404" s="57">
        <v>2297</v>
      </c>
      <c r="R404" s="62">
        <f>ТабПозиции[[#This Row],[totalSumm]]-ТабПозиции[[#This Row],[payment]]</f>
        <v>0</v>
      </c>
      <c r="S404" s="34" t="s">
        <v>558</v>
      </c>
      <c r="T404" s="56" t="s">
        <v>3061</v>
      </c>
      <c r="U404" s="56" t="s">
        <v>3061</v>
      </c>
      <c r="V404" s="56" t="s">
        <v>3061</v>
      </c>
      <c r="W404" s="7"/>
      <c r="X404"/>
    </row>
    <row r="405" spans="1:24" x14ac:dyDescent="0.25">
      <c r="A405" s="26">
        <v>110</v>
      </c>
      <c r="B405" s="1">
        <f>IFERROR(VLOOKUP(ТабПозиции[[#This Row],[orderNum]],ТабЗаказы[#Data],MATCH(B$7,ТабЗаказы[#Headers],0),0),"")</f>
        <v>45430</v>
      </c>
      <c r="C405" t="str">
        <f>MONTH(ТабПозиции[[#This Row],[date]])&amp;"/"&amp;YEAR(ТабПозиции[[#This Row],[date]])</f>
        <v>5/2024</v>
      </c>
      <c r="D405" s="1" t="str">
        <f>IFERROR(VLOOKUP(ТабПозиции[[#This Row],[orderNum]],ТабЗаказы[#Data],MATCH(D$7,ТабЗаказы[#Headers],0),0),"")</f>
        <v>Полинка</v>
      </c>
      <c r="E405" s="32" t="s">
        <v>916</v>
      </c>
      <c r="F405" s="56" t="s">
        <v>3061</v>
      </c>
      <c r="H405" s="34">
        <v>45432</v>
      </c>
      <c r="I405" s="26">
        <v>1</v>
      </c>
      <c r="J405" s="26">
        <v>200</v>
      </c>
      <c r="K405">
        <v>200</v>
      </c>
      <c r="L405" s="26">
        <v>207</v>
      </c>
      <c r="M405">
        <f t="shared" si="7"/>
        <v>207</v>
      </c>
      <c r="O40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Row],[orderNum]],ТабПозиции[orderSumm])&gt;1500),ABS(M405*VLOOKUP(ТабПозиции[[#This Row],[orderNum]],ТабЗаказы[#Data],MATCH("Percent",ТабЗаказы[#Headers],0),0))/100,200/COUNTIF(ТабПозиции[orderNum],ТабПозиции[[#This Row],[orderNum]])),0),"")</f>
        <v>31</v>
      </c>
      <c r="P405">
        <f>IF(OR(ТабПозиции[[#This Row],[item]]="По штрихкоду",ТабПозиции[[#This Row],[item]]="Посылка"),ТабПозиции[[#This Row],[deliverySumm]]+ТабПозиции[[#This Row],[deliveryPost]],SUM(M405:O405))</f>
        <v>238</v>
      </c>
      <c r="Q405" s="57">
        <v>238</v>
      </c>
      <c r="R405" s="62">
        <f>ТабПозиции[[#This Row],[totalSumm]]-ТабПозиции[[#This Row],[payment]]</f>
        <v>0</v>
      </c>
      <c r="S405" s="34" t="s">
        <v>558</v>
      </c>
      <c r="T405" s="56" t="s">
        <v>3061</v>
      </c>
      <c r="U405" s="56" t="s">
        <v>3061</v>
      </c>
      <c r="V405" s="56" t="s">
        <v>3061</v>
      </c>
      <c r="W405" s="7"/>
      <c r="X405"/>
    </row>
    <row r="406" spans="1:24" x14ac:dyDescent="0.25">
      <c r="A406" s="26">
        <v>110</v>
      </c>
      <c r="B406" s="1">
        <f>IFERROR(VLOOKUP(ТабПозиции[[#This Row],[orderNum]],ТабЗаказы[#Data],MATCH(B$7,ТабЗаказы[#Headers],0),0),"")</f>
        <v>45430</v>
      </c>
      <c r="C406" t="str">
        <f>MONTH(ТабПозиции[[#This Row],[date]])&amp;"/"&amp;YEAR(ТабПозиции[[#This Row],[date]])</f>
        <v>5/2024</v>
      </c>
      <c r="D406" s="1" t="str">
        <f>IFERROR(VLOOKUP(ТабПозиции[[#This Row],[orderNum]],ТабЗаказы[#Data],MATCH(D$7,ТабЗаказы[#Headers],0),0),"")</f>
        <v>Полинка</v>
      </c>
      <c r="E406" s="32" t="s">
        <v>917</v>
      </c>
      <c r="F406" s="56" t="s">
        <v>3061</v>
      </c>
      <c r="H406" s="34">
        <v>45433</v>
      </c>
      <c r="I406" s="26">
        <v>1</v>
      </c>
      <c r="J406" s="26">
        <v>520</v>
      </c>
      <c r="K406">
        <v>520</v>
      </c>
      <c r="L406" s="26">
        <v>531</v>
      </c>
      <c r="M406">
        <f t="shared" si="7"/>
        <v>531</v>
      </c>
      <c r="O40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Row],[orderNum]],ТабПозиции[orderSumm])&gt;1500),ABS(M406*VLOOKUP(ТабПозиции[[#This Row],[orderNum]],ТабЗаказы[#Data],MATCH("Percent",ТабЗаказы[#Headers],0),0))/100,200/COUNTIF(ТабПозиции[orderNum],ТабПозиции[[#This Row],[orderNum]])),0),"")</f>
        <v>80</v>
      </c>
      <c r="P406">
        <f>IF(OR(ТабПозиции[[#This Row],[item]]="По штрихкоду",ТабПозиции[[#This Row],[item]]="Посылка"),ТабПозиции[[#This Row],[deliverySumm]]+ТабПозиции[[#This Row],[deliveryPost]],SUM(M406:O406))</f>
        <v>611</v>
      </c>
      <c r="Q406" s="57">
        <v>611</v>
      </c>
      <c r="R406" s="62">
        <f>ТабПозиции[[#This Row],[totalSumm]]-ТабПозиции[[#This Row],[payment]]</f>
        <v>0</v>
      </c>
      <c r="S406" s="34" t="s">
        <v>575</v>
      </c>
      <c r="T406" s="56" t="s">
        <v>3061</v>
      </c>
      <c r="U406" s="56" t="s">
        <v>3061</v>
      </c>
      <c r="V406" s="56" t="s">
        <v>3061</v>
      </c>
      <c r="W406" s="7"/>
      <c r="X406"/>
    </row>
    <row r="407" spans="1:24" x14ac:dyDescent="0.25">
      <c r="A407" s="26">
        <v>111</v>
      </c>
      <c r="B407" s="1">
        <f>IFERROR(VLOOKUP(ТабПозиции[[#This Row],[orderNum]],ТабЗаказы[#Data],MATCH(B$7,ТабЗаказы[#Headers],0),0),"")</f>
        <v>45432</v>
      </c>
      <c r="C407" t="str">
        <f>MONTH(ТабПозиции[[#This Row],[date]])&amp;"/"&amp;YEAR(ТабПозиции[[#This Row],[date]])</f>
        <v>5/2024</v>
      </c>
      <c r="D407" s="1" t="str">
        <f>IFERROR(VLOOKUP(ТабПозиции[[#This Row],[orderNum]],ТабЗаказы[#Data],MATCH(D$7,ТабЗаказы[#Headers],0),0),"")</f>
        <v>Максим телевизор</v>
      </c>
      <c r="E407" s="26" t="s">
        <v>815</v>
      </c>
      <c r="F407" s="56" t="s">
        <v>3061</v>
      </c>
      <c r="G407" s="28" t="s">
        <v>918</v>
      </c>
      <c r="H407" s="34">
        <v>45438</v>
      </c>
      <c r="I407" s="26">
        <v>1</v>
      </c>
      <c r="J407" s="26">
        <v>17079</v>
      </c>
      <c r="K407">
        <v>17079</v>
      </c>
      <c r="L407" s="26">
        <v>17079</v>
      </c>
      <c r="M407">
        <f t="shared" si="7"/>
        <v>17079</v>
      </c>
      <c r="O40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Row],[orderNum]],ТабПозиции[orderSumm])&gt;1500),ABS(M407*VLOOKUP(ТабПозиции[[#This Row],[orderNum]],ТабЗаказы[#Data],MATCH("Percent",ТабЗаказы[#Headers],0),0))/100,200/COUNTIF(ТабПозиции[orderNum],ТабПозиции[[#This Row],[orderNum]])),0),"")</f>
        <v>1708</v>
      </c>
      <c r="P407">
        <f>IF(OR(ТабПозиции[[#This Row],[item]]="По штрихкоду",ТабПозиции[[#This Row],[item]]="Посылка"),ТабПозиции[[#This Row],[deliverySumm]]+ТабПозиции[[#This Row],[deliveryPost]],SUM(M407:O407))</f>
        <v>1708</v>
      </c>
      <c r="Q407" s="57">
        <v>1708</v>
      </c>
      <c r="R407" s="62">
        <f>ТабПозиции[[#This Row],[totalSumm]]-ТабПозиции[[#This Row],[payment]]</f>
        <v>0</v>
      </c>
      <c r="S407" s="34" t="s">
        <v>671</v>
      </c>
      <c r="T407" s="56" t="s">
        <v>3061</v>
      </c>
      <c r="U407" s="56" t="s">
        <v>3061</v>
      </c>
      <c r="V407" s="56" t="s">
        <v>3061</v>
      </c>
      <c r="W407" s="7"/>
      <c r="X407"/>
    </row>
    <row r="408" spans="1:24" x14ac:dyDescent="0.25">
      <c r="A408" s="26">
        <v>111</v>
      </c>
      <c r="B408" s="1">
        <f>IFERROR(VLOOKUP(ТабПозиции[[#This Row],[orderNum]],ТабЗаказы[#Data],MATCH(B$7,ТабЗаказы[#Headers],0),0),"")</f>
        <v>45432</v>
      </c>
      <c r="C408" t="str">
        <f>MONTH(ТабПозиции[[#This Row],[date]])&amp;"/"&amp;YEAR(ТабПозиции[[#This Row],[date]])</f>
        <v>5/2024</v>
      </c>
      <c r="D408" s="1" t="str">
        <f>IFERROR(VLOOKUP(ТабПозиции[[#This Row],[orderNum]],ТабЗаказы[#Data],MATCH(D$7,ТабЗаказы[#Headers],0),0),"")</f>
        <v>Максим телевизор</v>
      </c>
      <c r="E408" s="26" t="s">
        <v>815</v>
      </c>
      <c r="F408" s="56" t="s">
        <v>3061</v>
      </c>
      <c r="G408" s="28" t="s">
        <v>919</v>
      </c>
      <c r="H408" s="34">
        <v>45435</v>
      </c>
      <c r="I408" s="26">
        <v>1</v>
      </c>
      <c r="J408" s="26">
        <v>3999</v>
      </c>
      <c r="K408">
        <v>3999</v>
      </c>
      <c r="L408" s="26">
        <v>3999</v>
      </c>
      <c r="M408">
        <f t="shared" si="7"/>
        <v>3999</v>
      </c>
      <c r="O40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Row],[orderNum]],ТабПозиции[orderSumm])&gt;1500),ABS(M408*VLOOKUP(ТабПозиции[[#This Row],[orderNum]],ТабЗаказы[#Data],MATCH("Percent",ТабЗаказы[#Headers],0),0))/100,200/COUNTIF(ТабПозиции[orderNum],ТабПозиции[[#This Row],[orderNum]])),0),"")</f>
        <v>400</v>
      </c>
      <c r="P408">
        <f>IF(OR(ТабПозиции[[#This Row],[item]]="По штрихкоду",ТабПозиции[[#This Row],[item]]="Посылка"),ТабПозиции[[#This Row],[deliverySumm]]+ТабПозиции[[#This Row],[deliveryPost]],SUM(M408:O408))</f>
        <v>400</v>
      </c>
      <c r="Q408" s="57">
        <v>400</v>
      </c>
      <c r="R408" s="62">
        <f>ТабПозиции[[#This Row],[totalSumm]]-ТабПозиции[[#This Row],[payment]]</f>
        <v>0</v>
      </c>
      <c r="S408" s="34" t="s">
        <v>671</v>
      </c>
      <c r="T408" s="56" t="s">
        <v>3061</v>
      </c>
      <c r="U408" s="56" t="s">
        <v>3061</v>
      </c>
      <c r="V408" s="56" t="s">
        <v>3061</v>
      </c>
      <c r="W408" s="7"/>
      <c r="X408"/>
    </row>
    <row r="409" spans="1:24" x14ac:dyDescent="0.25">
      <c r="A409" s="26">
        <v>111</v>
      </c>
      <c r="B409" s="1">
        <f>IFERROR(VLOOKUP(ТабПозиции[[#This Row],[orderNum]],ТабЗаказы[#Data],MATCH(B$7,ТабЗаказы[#Headers],0),0),"")</f>
        <v>45432</v>
      </c>
      <c r="C409" t="str">
        <f>MONTH(ТабПозиции[[#This Row],[date]])&amp;"/"&amp;YEAR(ТабПозиции[[#This Row],[date]])</f>
        <v>5/2024</v>
      </c>
      <c r="D409" s="1" t="str">
        <f>IFERROR(VLOOKUP(ТабПозиции[[#This Row],[orderNum]],ТабЗаказы[#Data],MATCH(D$7,ТабЗаказы[#Headers],0),0),"")</f>
        <v>Максим телевизор</v>
      </c>
      <c r="E409" s="26" t="s">
        <v>815</v>
      </c>
      <c r="F409" s="56" t="s">
        <v>3061</v>
      </c>
      <c r="G409" s="28" t="s">
        <v>920</v>
      </c>
      <c r="H409" s="34">
        <v>45433</v>
      </c>
      <c r="I409" s="26">
        <v>1</v>
      </c>
      <c r="J409" s="26">
        <v>1700</v>
      </c>
      <c r="K409">
        <v>1700</v>
      </c>
      <c r="L409" s="26">
        <v>1700</v>
      </c>
      <c r="M409">
        <f t="shared" si="7"/>
        <v>1700</v>
      </c>
      <c r="N409" s="26">
        <v>520</v>
      </c>
      <c r="O40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Row],[orderNum]],ТабПозиции[orderSumm])&gt;1500),ABS(M409*VLOOKUP(ТабПозиции[[#This Row],[orderNum]],ТабЗаказы[#Data],MATCH("Percent",ТабЗаказы[#Headers],0),0))/100,200/COUNTIF(ТабПозиции[orderNum],ТабПозиции[[#This Row],[orderNum]])),0),"")</f>
        <v>170</v>
      </c>
      <c r="P409">
        <f>IF(OR(ТабПозиции[[#This Row],[item]]="По штрихкоду",ТабПозиции[[#This Row],[item]]="Посылка"),ТабПозиции[[#This Row],[deliverySumm]]+ТабПозиции[[#This Row],[deliveryPost]],SUM(M409:O409))</f>
        <v>690</v>
      </c>
      <c r="Q409" s="57">
        <f>1527-837</f>
        <v>690</v>
      </c>
      <c r="R409" s="62">
        <f>ТабПозиции[[#This Row],[totalSumm]]-ТабПозиции[[#This Row],[payment]]</f>
        <v>0</v>
      </c>
      <c r="S409" s="34" t="s">
        <v>610</v>
      </c>
      <c r="T409" s="56" t="s">
        <v>3061</v>
      </c>
      <c r="U409" s="56" t="s">
        <v>3061</v>
      </c>
      <c r="V409" s="56" t="s">
        <v>3061</v>
      </c>
      <c r="W409" s="7"/>
      <c r="X409"/>
    </row>
    <row r="410" spans="1:24" x14ac:dyDescent="0.25">
      <c r="A410" s="26">
        <v>112</v>
      </c>
      <c r="B410" s="1">
        <f>IFERROR(VLOOKUP(ТабПозиции[[#This Row],[orderNum]],ТабЗаказы[#Data],MATCH(B$7,ТабЗаказы[#Headers],0),0),"")</f>
        <v>45432</v>
      </c>
      <c r="C410" t="str">
        <f>MONTH(ТабПозиции[[#This Row],[date]])&amp;"/"&amp;YEAR(ТабПозиции[[#This Row],[date]])</f>
        <v>5/2024</v>
      </c>
      <c r="D410" s="1" t="str">
        <f>IFERROR(VLOOKUP(ТабПозиции[[#This Row],[orderNum]],ТабЗаказы[#Data],MATCH(D$7,ТабЗаказы[#Headers],0),0),"")</f>
        <v>Лариса Лавицкого 16</v>
      </c>
      <c r="E410" s="32" t="s">
        <v>921</v>
      </c>
      <c r="F410" s="56" t="s">
        <v>3061</v>
      </c>
      <c r="H410" s="34">
        <v>45434</v>
      </c>
      <c r="I410" s="26">
        <v>1</v>
      </c>
      <c r="J410" s="26">
        <v>2072</v>
      </c>
      <c r="K410">
        <v>2072</v>
      </c>
      <c r="L410" s="26">
        <v>2177</v>
      </c>
      <c r="M410">
        <f t="shared" si="7"/>
        <v>2177</v>
      </c>
      <c r="O41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Row],[orderNum]],ТабПозиции[orderSumm])&gt;1500),ABS(M410*VLOOKUP(ТабПозиции[[#This Row],[orderNum]],ТабЗаказы[#Data],MATCH("Percent",ТабЗаказы[#Headers],0),0))/100,200/COUNTIF(ТабПозиции[orderNum],ТабПозиции[[#This Row],[orderNum]])),0),"")</f>
        <v>327</v>
      </c>
      <c r="P410">
        <f>IF(OR(ТабПозиции[[#This Row],[item]]="По штрихкоду",ТабПозиции[[#This Row],[item]]="Посылка"),ТабПозиции[[#This Row],[deliverySumm]]+ТабПозиции[[#This Row],[deliveryPost]],SUM(M410:O410))</f>
        <v>2504</v>
      </c>
      <c r="Q410" s="57">
        <v>2504</v>
      </c>
      <c r="R410" s="62">
        <f>ТабПозиции[[#This Row],[totalSumm]]-ТабПозиции[[#This Row],[payment]]</f>
        <v>0</v>
      </c>
      <c r="S410" s="34" t="s">
        <v>575</v>
      </c>
      <c r="T410" s="56" t="s">
        <v>3061</v>
      </c>
      <c r="U410" s="56" t="s">
        <v>3061</v>
      </c>
      <c r="V410" s="56" t="s">
        <v>3061</v>
      </c>
      <c r="W410" s="7"/>
      <c r="X410"/>
    </row>
    <row r="411" spans="1:24" x14ac:dyDescent="0.25">
      <c r="A411" s="26">
        <v>113</v>
      </c>
      <c r="B411" s="1">
        <f>IFERROR(VLOOKUP(ТабПозиции[[#This Row],[orderNum]],ТабЗаказы[#Data],MATCH(B$7,ТабЗаказы[#Headers],0),0),"")</f>
        <v>45432</v>
      </c>
      <c r="C411" t="str">
        <f>MONTH(ТабПозиции[[#This Row],[date]])&amp;"/"&amp;YEAR(ТабПозиции[[#This Row],[date]])</f>
        <v>5/2024</v>
      </c>
      <c r="D411" s="1" t="str">
        <f>IFERROR(VLOOKUP(ТабПозиции[[#This Row],[orderNum]],ТабЗаказы[#Data],MATCH(D$7,ТабЗаказы[#Headers],0),0),"")</f>
        <v>Татьяна Олимпийская 65</v>
      </c>
      <c r="E411" s="32" t="s">
        <v>876</v>
      </c>
      <c r="F411" s="56" t="s">
        <v>3061</v>
      </c>
      <c r="H411" s="34">
        <v>45435</v>
      </c>
      <c r="I411" s="26">
        <v>1</v>
      </c>
      <c r="J411" s="26">
        <v>753</v>
      </c>
      <c r="K411">
        <v>753</v>
      </c>
      <c r="L411" s="26">
        <v>777</v>
      </c>
      <c r="M411">
        <f t="shared" si="7"/>
        <v>777</v>
      </c>
      <c r="O41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Row],[orderNum]],ТабПозиции[orderSumm])&gt;1500),ABS(M411*VLOOKUP(ТабПозиции[[#This Row],[orderNum]],ТабЗаказы[#Data],MATCH("Percent",ТабЗаказы[#Headers],0),0))/100,200/COUNTIF(ТабПозиции[orderNum],ТабПозиции[[#This Row],[orderNum]])),0),"")</f>
        <v>100</v>
      </c>
      <c r="P411">
        <f>IF(OR(ТабПозиции[[#This Row],[item]]="По штрихкоду",ТабПозиции[[#This Row],[item]]="Посылка"),ТабПозиции[[#This Row],[deliverySumm]]+ТабПозиции[[#This Row],[deliveryPost]],SUM(M411:O411))</f>
        <v>877</v>
      </c>
      <c r="Q411" s="57">
        <v>877</v>
      </c>
      <c r="R411" s="62">
        <f>ТабПозиции[[#This Row],[totalSumm]]-ТабПозиции[[#This Row],[payment]]</f>
        <v>0</v>
      </c>
      <c r="S411" s="34" t="s">
        <v>558</v>
      </c>
      <c r="T411" s="56" t="s">
        <v>3061</v>
      </c>
      <c r="U411" s="56" t="s">
        <v>3061</v>
      </c>
      <c r="V411" s="56" t="s">
        <v>3061</v>
      </c>
      <c r="W411" s="7"/>
      <c r="X411"/>
    </row>
    <row r="412" spans="1:24" x14ac:dyDescent="0.25">
      <c r="A412" s="26">
        <v>113</v>
      </c>
      <c r="B412" s="1">
        <f>IFERROR(VLOOKUP(ТабПозиции[[#This Row],[orderNum]],ТабЗаказы[#Data],MATCH(B$7,ТабЗаказы[#Headers],0),0),"")</f>
        <v>45432</v>
      </c>
      <c r="C412" t="str">
        <f>MONTH(ТабПозиции[[#This Row],[date]])&amp;"/"&amp;YEAR(ТабПозиции[[#This Row],[date]])</f>
        <v>5/2024</v>
      </c>
      <c r="D412" s="1" t="str">
        <f>IFERROR(VLOOKUP(ТабПозиции[[#This Row],[orderNum]],ТабЗаказы[#Data],MATCH(D$7,ТабЗаказы[#Headers],0),0),"")</f>
        <v>Татьяна Олимпийская 65</v>
      </c>
      <c r="E412" s="32" t="s">
        <v>922</v>
      </c>
      <c r="F412" s="56" t="s">
        <v>3061</v>
      </c>
      <c r="H412" s="34">
        <v>45435</v>
      </c>
      <c r="I412" s="26">
        <v>1</v>
      </c>
      <c r="J412" s="26">
        <v>426</v>
      </c>
      <c r="K412">
        <v>426</v>
      </c>
      <c r="L412" s="26">
        <v>440</v>
      </c>
      <c r="M412">
        <f t="shared" si="7"/>
        <v>440</v>
      </c>
      <c r="O41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Row],[orderNum]],ТабПозиции[orderSumm])&gt;1500),ABS(M412*VLOOKUP(ТабПозиции[[#This Row],[orderNum]],ТабЗаказы[#Data],MATCH("Percent",ТабЗаказы[#Headers],0),0))/100,200/COUNTIF(ТабПозиции[orderNum],ТабПозиции[[#This Row],[orderNum]])),0),"")</f>
        <v>100</v>
      </c>
      <c r="P412">
        <f>IF(OR(ТабПозиции[[#This Row],[item]]="По штрихкоду",ТабПозиции[[#This Row],[item]]="Посылка"),ТабПозиции[[#This Row],[deliverySumm]]+ТабПозиции[[#This Row],[deliveryPost]],SUM(M412:O412))</f>
        <v>540</v>
      </c>
      <c r="Q412" s="57">
        <v>540</v>
      </c>
      <c r="R412" s="62">
        <f>ТабПозиции[[#This Row],[totalSumm]]-ТабПозиции[[#This Row],[payment]]</f>
        <v>0</v>
      </c>
      <c r="S412" s="34" t="s">
        <v>558</v>
      </c>
      <c r="T412" s="56" t="s">
        <v>3061</v>
      </c>
      <c r="U412" s="56" t="s">
        <v>3061</v>
      </c>
      <c r="V412" s="56" t="s">
        <v>3061</v>
      </c>
      <c r="W412" s="7"/>
      <c r="X412"/>
    </row>
    <row r="413" spans="1:24" x14ac:dyDescent="0.25">
      <c r="A413" s="26">
        <v>17</v>
      </c>
      <c r="B413" s="1">
        <f>IFERROR(VLOOKUP(ТабПозиции[[#This Row],[orderNum]],ТабЗаказы[#Data],MATCH(B$7,ТабЗаказы[#Headers],0),0),"")</f>
        <v>45434</v>
      </c>
      <c r="C413" t="str">
        <f>MONTH(ТабПозиции[[#This Row],[date]])&amp;"/"&amp;YEAR(ТабПозиции[[#This Row],[date]])</f>
        <v>5/2024</v>
      </c>
      <c r="D413" s="1" t="str">
        <f>IFERROR(VLOOKUP(ТабПозиции[[#This Row],[orderNum]],ТабЗаказы[#Data],MATCH(D$7,ТабЗаказы[#Headers],0),0),"")</f>
        <v>Митрофанов Евгений</v>
      </c>
      <c r="E413" s="32" t="s">
        <v>923</v>
      </c>
      <c r="F413" s="56" t="s">
        <v>3061</v>
      </c>
      <c r="H413" s="34">
        <v>45442</v>
      </c>
      <c r="I413" s="26">
        <v>1</v>
      </c>
      <c r="J413" s="26">
        <v>1108</v>
      </c>
      <c r="K413">
        <v>1108</v>
      </c>
      <c r="L413" s="26">
        <v>1181</v>
      </c>
      <c r="M413">
        <f t="shared" si="7"/>
        <v>1181</v>
      </c>
      <c r="O41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Row],[orderNum]],ТабПозиции[orderSumm])&gt;1500),ABS(M413*VLOOKUP(ТабПозиции[[#This Row],[orderNum]],ТабЗаказы[#Data],MATCH("Percent",ТабЗаказы[#Headers],0),0))/100,200/COUNTIF(ТабПозиции[orderNum],ТабПозиции[[#This Row],[orderNum]])),0),"")</f>
        <v>177</v>
      </c>
      <c r="P413">
        <f>IF(OR(ТабПозиции[[#This Row],[item]]="По штрихкоду",ТабПозиции[[#This Row],[item]]="Посылка"),ТабПозиции[[#This Row],[deliverySumm]]+ТабПозиции[[#This Row],[deliveryPost]],SUM(M413:O413))</f>
        <v>1358</v>
      </c>
      <c r="Q413" s="57">
        <v>1358</v>
      </c>
      <c r="R413" s="62">
        <f>ТабПозиции[[#This Row],[totalSumm]]-ТабПозиции[[#This Row],[payment]]</f>
        <v>0</v>
      </c>
      <c r="S413" s="34" t="s">
        <v>575</v>
      </c>
      <c r="T413" s="56" t="s">
        <v>3061</v>
      </c>
      <c r="U413" s="56" t="s">
        <v>3061</v>
      </c>
      <c r="V413" s="56" t="s">
        <v>3061</v>
      </c>
      <c r="W413" s="7"/>
      <c r="X413"/>
    </row>
    <row r="414" spans="1:24" x14ac:dyDescent="0.25">
      <c r="A414" s="26">
        <v>17</v>
      </c>
      <c r="B414" s="1">
        <f>IFERROR(VLOOKUP(ТабПозиции[[#This Row],[orderNum]],ТабЗаказы[#Data],MATCH(B$7,ТабЗаказы[#Headers],0),0),"")</f>
        <v>45434</v>
      </c>
      <c r="C414" t="str">
        <f>MONTH(ТабПозиции[[#This Row],[date]])&amp;"/"&amp;YEAR(ТабПозиции[[#This Row],[date]])</f>
        <v>5/2024</v>
      </c>
      <c r="D414" s="1" t="str">
        <f>IFERROR(VLOOKUP(ТабПозиции[[#This Row],[orderNum]],ТабЗаказы[#Data],MATCH(D$7,ТабЗаказы[#Headers],0),0),"")</f>
        <v>Митрофанов Евгений</v>
      </c>
      <c r="E414" s="32" t="s">
        <v>924</v>
      </c>
      <c r="F414" s="56" t="s">
        <v>3061</v>
      </c>
      <c r="H414" s="34">
        <v>45437</v>
      </c>
      <c r="J414" s="26">
        <v>354</v>
      </c>
      <c r="K414">
        <v>0</v>
      </c>
      <c r="L414" s="26">
        <v>361</v>
      </c>
      <c r="M414">
        <f t="shared" si="7"/>
        <v>0</v>
      </c>
      <c r="O41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Row],[orderNum]],ТабПозиции[orderSumm])&gt;1500),ABS(M414*VLOOKUP(ТабПозиции[[#This Row],[orderNum]],ТабЗаказы[#Data],MATCH("Percent",ТабЗаказы[#Headers],0),0))/100,200/COUNTIF(ТабПозиции[orderNum],ТабПозиции[[#This Row],[orderNum]])),0),"")</f>
        <v>0</v>
      </c>
      <c r="P414">
        <f>IF(OR(ТабПозиции[[#This Row],[item]]="По штрихкоду",ТабПозиции[[#This Row],[item]]="Посылка"),ТабПозиции[[#This Row],[deliverySumm]]+ТабПозиции[[#This Row],[deliveryPost]],SUM(M414:O414))</f>
        <v>0</v>
      </c>
      <c r="Q414" s="57">
        <v>0</v>
      </c>
      <c r="R414" s="62">
        <f>ТабПозиции[[#This Row],[totalSumm]]-ТабПозиции[[#This Row],[payment]]</f>
        <v>0</v>
      </c>
      <c r="S414" s="34" t="s">
        <v>575</v>
      </c>
      <c r="T414" s="56" t="s">
        <v>3061</v>
      </c>
      <c r="U414" s="56" t="s">
        <v>3061</v>
      </c>
      <c r="V414" s="56" t="s">
        <v>3061</v>
      </c>
      <c r="W414" s="7"/>
      <c r="X414"/>
    </row>
    <row r="415" spans="1:24" x14ac:dyDescent="0.25">
      <c r="A415" s="26">
        <v>17</v>
      </c>
      <c r="B415" s="1">
        <f>IFERROR(VLOOKUP(ТабПозиции[[#This Row],[orderNum]],ТабЗаказы[#Data],MATCH(B$7,ТабЗаказы[#Headers],0),0),"")</f>
        <v>45434</v>
      </c>
      <c r="C415" t="str">
        <f>MONTH(ТабПозиции[[#This Row],[date]])&amp;"/"&amp;YEAR(ТабПозиции[[#This Row],[date]])</f>
        <v>5/2024</v>
      </c>
      <c r="D415" s="1" t="str">
        <f>IFERROR(VLOOKUP(ТабПозиции[[#This Row],[orderNum]],ТабЗаказы[#Data],MATCH(D$7,ТабЗаказы[#Headers],0),0),"")</f>
        <v>Митрофанов Евгений</v>
      </c>
      <c r="E415" s="32" t="s">
        <v>925</v>
      </c>
      <c r="F415" s="56" t="s">
        <v>3061</v>
      </c>
      <c r="H415" s="34">
        <v>45439</v>
      </c>
      <c r="I415" s="26">
        <v>1</v>
      </c>
      <c r="J415" s="26">
        <v>445</v>
      </c>
      <c r="K415">
        <v>445</v>
      </c>
      <c r="L415" s="26">
        <v>481</v>
      </c>
      <c r="M415">
        <f t="shared" si="7"/>
        <v>481</v>
      </c>
      <c r="O41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Row],[orderNum]],ТабПозиции[orderSumm])&gt;1500),ABS(M415*VLOOKUP(ТабПозиции[[#This Row],[orderNum]],ТабЗаказы[#Data],MATCH("Percent",ТабЗаказы[#Headers],0),0))/100,200/COUNTIF(ТабПозиции[orderNum],ТабПозиции[[#This Row],[orderNum]])),0),"")</f>
        <v>72</v>
      </c>
      <c r="P415">
        <f>IF(OR(ТабПозиции[[#This Row],[item]]="По штрихкоду",ТабПозиции[[#This Row],[item]]="Посылка"),ТабПозиции[[#This Row],[deliverySumm]]+ТабПозиции[[#This Row],[deliveryPost]],SUM(M415:O415))</f>
        <v>553</v>
      </c>
      <c r="Q415" s="57">
        <v>553</v>
      </c>
      <c r="R415" s="62">
        <f>ТабПозиции[[#This Row],[totalSumm]]-ТабПозиции[[#This Row],[payment]]</f>
        <v>0</v>
      </c>
      <c r="S415" s="34" t="s">
        <v>575</v>
      </c>
      <c r="T415" s="56" t="s">
        <v>3061</v>
      </c>
      <c r="U415" s="56" t="s">
        <v>3061</v>
      </c>
      <c r="V415" s="56" t="s">
        <v>3061</v>
      </c>
      <c r="W415" s="7"/>
      <c r="X415"/>
    </row>
    <row r="416" spans="1:24" x14ac:dyDescent="0.25">
      <c r="A416" s="26">
        <v>116</v>
      </c>
      <c r="B416" s="1">
        <f>IFERROR(VLOOKUP(ТабПозиции[[#This Row],[orderNum]],ТабЗаказы[#Data],MATCH(B$7,ТабЗаказы[#Headers],0),0),"")</f>
        <v>45436</v>
      </c>
      <c r="C416" t="str">
        <f>MONTH(ТабПозиции[[#This Row],[date]])&amp;"/"&amp;YEAR(ТабПозиции[[#This Row],[date]])</f>
        <v>5/2024</v>
      </c>
      <c r="D416" s="1" t="str">
        <f>IFERROR(VLOOKUP(ТабПозиции[[#This Row],[orderNum]],ТабЗаказы[#Data],MATCH(D$7,ТабЗаказы[#Headers],0),0),"")</f>
        <v>Александра 50 лет СССР</v>
      </c>
      <c r="E416" s="32" t="s">
        <v>926</v>
      </c>
      <c r="F416" s="56" t="s">
        <v>3061</v>
      </c>
      <c r="H416" s="34">
        <v>45438</v>
      </c>
      <c r="I416" s="26">
        <v>1</v>
      </c>
      <c r="J416" s="26">
        <v>963</v>
      </c>
      <c r="K416">
        <v>963</v>
      </c>
      <c r="L416" s="26">
        <v>1045</v>
      </c>
      <c r="M416">
        <f t="shared" si="7"/>
        <v>1045</v>
      </c>
      <c r="O41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Row],[orderNum]],ТабПозиции[orderSumm])&gt;1500),ABS(M416*VLOOKUP(ТабПозиции[[#This Row],[orderNum]],ТабЗаказы[#Data],MATCH("Percent",ТабЗаказы[#Headers],0),0))/100,200/COUNTIF(ТабПозиции[orderNum],ТабПозиции[[#This Row],[orderNum]])),0),"")</f>
        <v>157</v>
      </c>
      <c r="P416">
        <f>IF(OR(ТабПозиции[[#This Row],[item]]="По штрихкоду",ТабПозиции[[#This Row],[item]]="Посылка"),ТабПозиции[[#This Row],[deliverySumm]]+ТабПозиции[[#This Row],[deliveryPost]],SUM(M416:O416))</f>
        <v>1202</v>
      </c>
      <c r="Q416" s="57">
        <v>1202</v>
      </c>
      <c r="R416" s="62">
        <f>ТабПозиции[[#This Row],[totalSumm]]-ТабПозиции[[#This Row],[payment]]</f>
        <v>0</v>
      </c>
      <c r="S416" s="34" t="s">
        <v>575</v>
      </c>
      <c r="T416" s="56" t="s">
        <v>3061</v>
      </c>
      <c r="U416" s="56" t="s">
        <v>3061</v>
      </c>
      <c r="V416" s="56" t="s">
        <v>3061</v>
      </c>
      <c r="W416" s="7"/>
      <c r="X416"/>
    </row>
    <row r="417" spans="1:24" x14ac:dyDescent="0.25">
      <c r="A417" s="26">
        <v>116</v>
      </c>
      <c r="B417" s="1">
        <f>IFERROR(VLOOKUP(ТабПозиции[[#This Row],[orderNum]],ТабЗаказы[#Data],MATCH(B$7,ТабЗаказы[#Headers],0),0),"")</f>
        <v>45436</v>
      </c>
      <c r="C417" t="str">
        <f>MONTH(ТабПозиции[[#This Row],[date]])&amp;"/"&amp;YEAR(ТабПозиции[[#This Row],[date]])</f>
        <v>5/2024</v>
      </c>
      <c r="D417" s="1" t="str">
        <f>IFERROR(VLOOKUP(ТабПозиции[[#This Row],[orderNum]],ТабЗаказы[#Data],MATCH(D$7,ТабЗаказы[#Headers],0),0),"")</f>
        <v>Александра 50 лет СССР</v>
      </c>
      <c r="E417" s="32" t="s">
        <v>927</v>
      </c>
      <c r="F417" s="56" t="s">
        <v>3061</v>
      </c>
      <c r="H417" s="34">
        <v>45443</v>
      </c>
      <c r="I417" s="26">
        <v>1</v>
      </c>
      <c r="J417" s="26">
        <v>519</v>
      </c>
      <c r="K417">
        <v>519</v>
      </c>
      <c r="L417" s="26">
        <v>563</v>
      </c>
      <c r="M417">
        <f t="shared" ref="M417:M480" si="8">L417*I417</f>
        <v>563</v>
      </c>
      <c r="O41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Row],[orderNum]],ТабПозиции[orderSumm])&gt;1500),ABS(M417*VLOOKUP(ТабПозиции[[#This Row],[orderNum]],ТабЗаказы[#Data],MATCH("Percent",ТабЗаказы[#Headers],0),0))/100,200/COUNTIF(ТабПозиции[orderNum],ТабПозиции[[#This Row],[orderNum]])),0),"")</f>
        <v>84</v>
      </c>
      <c r="P417">
        <f>IF(OR(ТабПозиции[[#This Row],[item]]="По штрихкоду",ТабПозиции[[#This Row],[item]]="Посылка"),ТабПозиции[[#This Row],[deliverySumm]]+ТабПозиции[[#This Row],[deliveryPost]],SUM(M417:O417))</f>
        <v>647</v>
      </c>
      <c r="Q417" s="57">
        <v>647</v>
      </c>
      <c r="R417" s="62">
        <f>ТабПозиции[[#This Row],[totalSumm]]-ТабПозиции[[#This Row],[payment]]</f>
        <v>0</v>
      </c>
      <c r="S417" s="34" t="s">
        <v>575</v>
      </c>
      <c r="T417" s="56" t="s">
        <v>3061</v>
      </c>
      <c r="U417" s="56" t="s">
        <v>3061</v>
      </c>
      <c r="V417" s="56" t="s">
        <v>3061</v>
      </c>
      <c r="W417" s="7"/>
      <c r="X417"/>
    </row>
    <row r="418" spans="1:24" x14ac:dyDescent="0.25">
      <c r="A418" s="26">
        <v>116</v>
      </c>
      <c r="B418" s="1">
        <f>IFERROR(VLOOKUP(ТабПозиции[[#This Row],[orderNum]],ТабЗаказы[#Data],MATCH(B$7,ТабЗаказы[#Headers],0),0),"")</f>
        <v>45436</v>
      </c>
      <c r="C418" t="str">
        <f>MONTH(ТабПозиции[[#This Row],[date]])&amp;"/"&amp;YEAR(ТабПозиции[[#This Row],[date]])</f>
        <v>5/2024</v>
      </c>
      <c r="D418" s="1" t="str">
        <f>IFERROR(VLOOKUP(ТабПозиции[[#This Row],[orderNum]],ТабЗаказы[#Data],MATCH(D$7,ТабЗаказы[#Headers],0),0),"")</f>
        <v>Александра 50 лет СССР</v>
      </c>
      <c r="E418" s="32" t="s">
        <v>928</v>
      </c>
      <c r="F418" s="56" t="s">
        <v>3061</v>
      </c>
      <c r="H418" s="34">
        <v>45443</v>
      </c>
      <c r="I418" s="26">
        <v>1</v>
      </c>
      <c r="J418" s="26">
        <v>685</v>
      </c>
      <c r="K418">
        <v>685</v>
      </c>
      <c r="L418" s="26">
        <v>742</v>
      </c>
      <c r="M418">
        <f t="shared" si="8"/>
        <v>742</v>
      </c>
      <c r="O41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Row],[orderNum]],ТабПозиции[orderSumm])&gt;1500),ABS(M418*VLOOKUP(ТабПозиции[[#This Row],[orderNum]],ТабЗаказы[#Data],MATCH("Percent",ТабЗаказы[#Headers],0),0))/100,200/COUNTIF(ТабПозиции[orderNum],ТабПозиции[[#This Row],[orderNum]])),0),"")</f>
        <v>111</v>
      </c>
      <c r="P418">
        <f>IF(OR(ТабПозиции[[#This Row],[item]]="По штрихкоду",ТабПозиции[[#This Row],[item]]="Посылка"),ТабПозиции[[#This Row],[deliverySumm]]+ТабПозиции[[#This Row],[deliveryPost]],SUM(M418:O418))</f>
        <v>853</v>
      </c>
      <c r="Q418" s="57">
        <v>853</v>
      </c>
      <c r="R418" s="62">
        <f>ТабПозиции[[#This Row],[totalSumm]]-ТабПозиции[[#This Row],[payment]]</f>
        <v>0</v>
      </c>
      <c r="S418" s="34" t="s">
        <v>575</v>
      </c>
      <c r="T418" s="56" t="s">
        <v>3061</v>
      </c>
      <c r="U418" s="56" t="s">
        <v>3061</v>
      </c>
      <c r="V418" s="56" t="s">
        <v>3061</v>
      </c>
      <c r="W418" s="7"/>
      <c r="X418"/>
    </row>
    <row r="419" spans="1:24" x14ac:dyDescent="0.25">
      <c r="A419" s="26">
        <v>116</v>
      </c>
      <c r="B419" s="1">
        <f>IFERROR(VLOOKUP(ТабПозиции[[#This Row],[orderNum]],ТабЗаказы[#Data],MATCH(B$7,ТабЗаказы[#Headers],0),0),"")</f>
        <v>45436</v>
      </c>
      <c r="C419" t="str">
        <f>MONTH(ТабПозиции[[#This Row],[date]])&amp;"/"&amp;YEAR(ТабПозиции[[#This Row],[date]])</f>
        <v>5/2024</v>
      </c>
      <c r="D419" s="1" t="str">
        <f>IFERROR(VLOOKUP(ТабПозиции[[#This Row],[orderNum]],ТабЗаказы[#Data],MATCH(D$7,ТабЗаказы[#Headers],0),0),"")</f>
        <v>Александра 50 лет СССР</v>
      </c>
      <c r="E419" s="32" t="s">
        <v>929</v>
      </c>
      <c r="F419" s="56" t="s">
        <v>3061</v>
      </c>
      <c r="H419" s="34">
        <v>45440</v>
      </c>
      <c r="I419" s="26">
        <v>1</v>
      </c>
      <c r="J419" s="26">
        <v>783</v>
      </c>
      <c r="K419">
        <v>783</v>
      </c>
      <c r="L419" s="26">
        <v>848</v>
      </c>
      <c r="M419">
        <f t="shared" si="8"/>
        <v>848</v>
      </c>
      <c r="O41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Row],[orderNum]],ТабПозиции[orderSumm])&gt;1500),ABS(M419*VLOOKUP(ТабПозиции[[#This Row],[orderNum]],ТабЗаказы[#Data],MATCH("Percent",ТабЗаказы[#Headers],0),0))/100,200/COUNTIF(ТабПозиции[orderNum],ТабПозиции[[#This Row],[orderNum]])),0),"")</f>
        <v>127</v>
      </c>
      <c r="P419">
        <f>IF(OR(ТабПозиции[[#This Row],[item]]="По штрихкоду",ТабПозиции[[#This Row],[item]]="Посылка"),ТабПозиции[[#This Row],[deliverySumm]]+ТабПозиции[[#This Row],[deliveryPost]],SUM(M419:O419))</f>
        <v>975</v>
      </c>
      <c r="Q419" s="57">
        <v>975</v>
      </c>
      <c r="R419" s="62">
        <f>ТабПозиции[[#This Row],[totalSumm]]-ТабПозиции[[#This Row],[payment]]</f>
        <v>0</v>
      </c>
      <c r="S419" s="34" t="s">
        <v>575</v>
      </c>
      <c r="T419" s="56" t="s">
        <v>3061</v>
      </c>
      <c r="U419" s="56" t="s">
        <v>3061</v>
      </c>
      <c r="V419" s="56" t="s">
        <v>3061</v>
      </c>
      <c r="W419" s="7"/>
      <c r="X419"/>
    </row>
    <row r="420" spans="1:24" x14ac:dyDescent="0.25">
      <c r="A420" s="26">
        <v>116</v>
      </c>
      <c r="B420" s="1">
        <f>IFERROR(VLOOKUP(ТабПозиции[[#This Row],[orderNum]],ТабЗаказы[#Data],MATCH(B$7,ТабЗаказы[#Headers],0),0),"")</f>
        <v>45436</v>
      </c>
      <c r="C420" t="str">
        <f>MONTH(ТабПозиции[[#This Row],[date]])&amp;"/"&amp;YEAR(ТабПозиции[[#This Row],[date]])</f>
        <v>5/2024</v>
      </c>
      <c r="D420" s="1" t="str">
        <f>IFERROR(VLOOKUP(ТабПозиции[[#This Row],[orderNum]],ТабЗаказы[#Data],MATCH(D$7,ТабЗаказы[#Headers],0),0),"")</f>
        <v>Александра 50 лет СССР</v>
      </c>
      <c r="E420" s="32" t="s">
        <v>930</v>
      </c>
      <c r="F420" s="56" t="s">
        <v>3061</v>
      </c>
      <c r="H420" s="34">
        <v>45443</v>
      </c>
      <c r="I420" s="26">
        <v>1</v>
      </c>
      <c r="J420" s="26">
        <v>2275</v>
      </c>
      <c r="K420">
        <v>2275</v>
      </c>
      <c r="L420" s="26">
        <v>2437</v>
      </c>
      <c r="M420">
        <f t="shared" si="8"/>
        <v>2437</v>
      </c>
      <c r="O42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Row],[orderNum]],ТабПозиции[orderSumm])&gt;1500),ABS(M420*VLOOKUP(ТабПозиции[[#This Row],[orderNum]],ТабЗаказы[#Data],MATCH("Percent",ТабЗаказы[#Headers],0),0))/100,200/COUNTIF(ТабПозиции[orderNum],ТабПозиции[[#This Row],[orderNum]])),0),"")</f>
        <v>366</v>
      </c>
      <c r="P420">
        <f>IF(OR(ТабПозиции[[#This Row],[item]]="По штрихкоду",ТабПозиции[[#This Row],[item]]="Посылка"),ТабПозиции[[#This Row],[deliverySumm]]+ТабПозиции[[#This Row],[deliveryPost]],SUM(M420:O420))</f>
        <v>2803</v>
      </c>
      <c r="Q420" s="57">
        <v>2803</v>
      </c>
      <c r="R420" s="62">
        <f>ТабПозиции[[#This Row],[totalSumm]]-ТабПозиции[[#This Row],[payment]]</f>
        <v>0</v>
      </c>
      <c r="S420" s="34" t="s">
        <v>575</v>
      </c>
      <c r="T420" s="56" t="s">
        <v>3061</v>
      </c>
      <c r="U420" s="56" t="s">
        <v>3061</v>
      </c>
      <c r="V420" s="56" t="s">
        <v>3061</v>
      </c>
      <c r="W420" s="7"/>
      <c r="X420"/>
    </row>
    <row r="421" spans="1:24" x14ac:dyDescent="0.25">
      <c r="A421" s="26">
        <v>116</v>
      </c>
      <c r="B421" s="1">
        <f>IFERROR(VLOOKUP(ТабПозиции[[#This Row],[orderNum]],ТабЗаказы[#Data],MATCH(B$7,ТабЗаказы[#Headers],0),0),"")</f>
        <v>45436</v>
      </c>
      <c r="C421" t="str">
        <f>MONTH(ТабПозиции[[#This Row],[date]])&amp;"/"&amp;YEAR(ТабПозиции[[#This Row],[date]])</f>
        <v>5/2024</v>
      </c>
      <c r="D421" s="1" t="str">
        <f>IFERROR(VLOOKUP(ТабПозиции[[#This Row],[orderNum]],ТабЗаказы[#Data],MATCH(D$7,ТабЗаказы[#Headers],0),0),"")</f>
        <v>Александра 50 лет СССР</v>
      </c>
      <c r="E421" s="32" t="s">
        <v>931</v>
      </c>
      <c r="F421" s="56" t="s">
        <v>3061</v>
      </c>
      <c r="H421" s="34">
        <v>45437</v>
      </c>
      <c r="I421" s="26">
        <v>1</v>
      </c>
      <c r="J421" s="26">
        <v>250</v>
      </c>
      <c r="K421">
        <v>250</v>
      </c>
      <c r="L421" s="26">
        <v>255</v>
      </c>
      <c r="M421">
        <f t="shared" si="8"/>
        <v>255</v>
      </c>
      <c r="O42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Row],[orderNum]],ТабПозиции[orderSumm])&gt;1500),ABS(M421*VLOOKUP(ТабПозиции[[#This Row],[orderNum]],ТабЗаказы[#Data],MATCH("Percent",ТабЗаказы[#Headers],0),0))/100,200/COUNTIF(ТабПозиции[orderNum],ТабПозиции[[#This Row],[orderNum]])),0),"")</f>
        <v>38</v>
      </c>
      <c r="P421">
        <f>IF(OR(ТабПозиции[[#This Row],[item]]="По штрихкоду",ТабПозиции[[#This Row],[item]]="Посылка"),ТабПозиции[[#This Row],[deliverySumm]]+ТабПозиции[[#This Row],[deliveryPost]],SUM(M421:O421))</f>
        <v>293</v>
      </c>
      <c r="Q421" s="57">
        <v>293</v>
      </c>
      <c r="R421" s="62">
        <f>ТабПозиции[[#This Row],[totalSumm]]-ТабПозиции[[#This Row],[payment]]</f>
        <v>0</v>
      </c>
      <c r="S421" s="34" t="s">
        <v>575</v>
      </c>
      <c r="T421" s="56" t="s">
        <v>3061</v>
      </c>
      <c r="U421" s="56" t="s">
        <v>3061</v>
      </c>
      <c r="V421" s="56" t="s">
        <v>3061</v>
      </c>
      <c r="W421" s="7"/>
      <c r="X421"/>
    </row>
    <row r="422" spans="1:24" x14ac:dyDescent="0.25">
      <c r="A422" s="26">
        <v>20</v>
      </c>
      <c r="B422" s="1">
        <f>IFERROR(VLOOKUP(ТабПозиции[[#This Row],[orderNum]],ТабЗаказы[#Data],MATCH(B$7,ТабЗаказы[#Headers],0),0),"")</f>
        <v>45436</v>
      </c>
      <c r="C422" t="str">
        <f>MONTH(ТабПозиции[[#This Row],[date]])&amp;"/"&amp;YEAR(ТабПозиции[[#This Row],[date]])</f>
        <v>5/2024</v>
      </c>
      <c r="D422" s="1" t="str">
        <f>IFERROR(VLOOKUP(ТабПозиции[[#This Row],[orderNum]],ТабЗаказы[#Data],MATCH(D$7,ТабЗаказы[#Headers],0),0),"")</f>
        <v>Галина Агабекова(церковь)</v>
      </c>
      <c r="E422" s="32" t="s">
        <v>932</v>
      </c>
      <c r="F422" s="56" t="s">
        <v>3061</v>
      </c>
      <c r="H422" s="34">
        <v>45439</v>
      </c>
      <c r="I422" s="26">
        <v>1</v>
      </c>
      <c r="J422" s="26">
        <v>2658</v>
      </c>
      <c r="K422">
        <v>2658</v>
      </c>
      <c r="L422" s="26">
        <v>2798</v>
      </c>
      <c r="M422">
        <f t="shared" si="8"/>
        <v>2798</v>
      </c>
      <c r="O42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Row],[orderNum]],ТабПозиции[orderSumm])&gt;1500),ABS(M422*VLOOKUP(ТабПозиции[[#This Row],[orderNum]],ТабЗаказы[#Data],MATCH("Percent",ТабЗаказы[#Headers],0),0))/100,200/COUNTIF(ТабПозиции[orderNum],ТабПозиции[[#This Row],[orderNum]])),0),"")</f>
        <v>420</v>
      </c>
      <c r="P422">
        <f>IF(OR(ТабПозиции[[#This Row],[item]]="По штрихкоду",ТабПозиции[[#This Row],[item]]="Посылка"),ТабПозиции[[#This Row],[deliverySumm]]+ТабПозиции[[#This Row],[deliveryPost]],SUM(M422:O422))</f>
        <v>3218</v>
      </c>
      <c r="Q422" s="57">
        <v>3218</v>
      </c>
      <c r="R422" s="62">
        <f>ТабПозиции[[#This Row],[totalSumm]]-ТабПозиции[[#This Row],[payment]]</f>
        <v>0</v>
      </c>
      <c r="S422" s="34" t="s">
        <v>558</v>
      </c>
      <c r="T422" s="56" t="s">
        <v>3061</v>
      </c>
      <c r="U422" s="56" t="s">
        <v>3061</v>
      </c>
      <c r="V422" s="56" t="s">
        <v>3061</v>
      </c>
      <c r="W422" s="7"/>
      <c r="X422"/>
    </row>
    <row r="423" spans="1:24" x14ac:dyDescent="0.25">
      <c r="A423" s="26">
        <v>20</v>
      </c>
      <c r="B423" s="1">
        <f>IFERROR(VLOOKUP(ТабПозиции[[#This Row],[orderNum]],ТабЗаказы[#Data],MATCH(B$7,ТабЗаказы[#Headers],0),0),"")</f>
        <v>45436</v>
      </c>
      <c r="C423" t="str">
        <f>MONTH(ТабПозиции[[#This Row],[date]])&amp;"/"&amp;YEAR(ТабПозиции[[#This Row],[date]])</f>
        <v>5/2024</v>
      </c>
      <c r="D423" s="1" t="str">
        <f>IFERROR(VLOOKUP(ТабПозиции[[#This Row],[orderNum]],ТабЗаказы[#Data],MATCH(D$7,ТабЗаказы[#Headers],0),0),"")</f>
        <v>Галина Агабекова(церковь)</v>
      </c>
      <c r="E423" s="32" t="s">
        <v>933</v>
      </c>
      <c r="F423" s="56" t="s">
        <v>3061</v>
      </c>
      <c r="H423" s="34">
        <v>45440</v>
      </c>
      <c r="I423" s="26">
        <v>1</v>
      </c>
      <c r="J423" s="26">
        <v>2629</v>
      </c>
      <c r="K423">
        <v>2629</v>
      </c>
      <c r="L423" s="26">
        <v>2768</v>
      </c>
      <c r="M423">
        <f t="shared" si="8"/>
        <v>2768</v>
      </c>
      <c r="O42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Row],[orderNum]],ТабПозиции[orderSumm])&gt;1500),ABS(M423*VLOOKUP(ТабПозиции[[#This Row],[orderNum]],ТабЗаказы[#Data],MATCH("Percent",ТабЗаказы[#Headers],0),0))/100,200/COUNTIF(ТабПозиции[orderNum],ТабПозиции[[#This Row],[orderNum]])),0),"")</f>
        <v>415</v>
      </c>
      <c r="P423">
        <f>IF(OR(ТабПозиции[[#This Row],[item]]="По штрихкоду",ТабПозиции[[#This Row],[item]]="Посылка"),ТабПозиции[[#This Row],[deliverySumm]]+ТабПозиции[[#This Row],[deliveryPost]],SUM(M423:O423))</f>
        <v>3183</v>
      </c>
      <c r="Q423" s="57">
        <v>3183</v>
      </c>
      <c r="R423" s="62">
        <f>ТабПозиции[[#This Row],[totalSumm]]-ТабПозиции[[#This Row],[payment]]</f>
        <v>0</v>
      </c>
      <c r="S423" s="34" t="s">
        <v>558</v>
      </c>
      <c r="T423" s="56" t="s">
        <v>3061</v>
      </c>
      <c r="U423" s="56" t="s">
        <v>3061</v>
      </c>
      <c r="V423" s="56" t="s">
        <v>3061</v>
      </c>
      <c r="W423" s="7"/>
      <c r="X423"/>
    </row>
    <row r="424" spans="1:24" x14ac:dyDescent="0.25">
      <c r="A424" s="26">
        <v>25</v>
      </c>
      <c r="B424" s="1">
        <f>IFERROR(VLOOKUP(ТабПозиции[[#This Row],[orderNum]],ТабЗаказы[#Data],MATCH(B$7,ТабЗаказы[#Headers],0),0),"")</f>
        <v>45376</v>
      </c>
      <c r="C424" t="str">
        <f>MONTH(ТабПозиции[[#This Row],[date]])&amp;"/"&amp;YEAR(ТабПозиции[[#This Row],[date]])</f>
        <v>3/2024</v>
      </c>
      <c r="D424" s="1" t="str">
        <f>IFERROR(VLOOKUP(ТабПозиции[[#This Row],[orderNum]],ТабЗаказы[#Data],MATCH(D$7,ТабЗаказы[#Headers],0),0),"")</f>
        <v>Лариса Кирова</v>
      </c>
      <c r="E424" s="32" t="s">
        <v>934</v>
      </c>
      <c r="F424" s="56" t="s">
        <v>3061</v>
      </c>
      <c r="H424" s="34">
        <v>45440</v>
      </c>
      <c r="I424" s="26">
        <v>1</v>
      </c>
      <c r="J424" s="26">
        <v>252</v>
      </c>
      <c r="K424">
        <v>252</v>
      </c>
      <c r="L424" s="26">
        <v>266</v>
      </c>
      <c r="M424">
        <f t="shared" si="8"/>
        <v>266</v>
      </c>
      <c r="O42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Row],[orderNum]],ТабПозиции[orderSumm])&gt;1500),ABS(M424*VLOOKUP(ТабПозиции[[#This Row],[orderNum]],ТабЗаказы[#Data],MATCH("Percent",ТабЗаказы[#Headers],0),0))/100,200/COUNTIF(ТабПозиции[orderNum],ТабПозиции[[#This Row],[orderNum]])),0),"")</f>
        <v>40</v>
      </c>
      <c r="P424">
        <f>IF(OR(ТабПозиции[[#This Row],[item]]="По штрихкоду",ТабПозиции[[#This Row],[item]]="Посылка"),ТабПозиции[[#This Row],[deliverySumm]]+ТабПозиции[[#This Row],[deliveryPost]],SUM(M424:O424))</f>
        <v>306</v>
      </c>
      <c r="Q424" s="57">
        <v>306</v>
      </c>
      <c r="R424" s="62">
        <f>ТабПозиции[[#This Row],[totalSumm]]-ТабПозиции[[#This Row],[payment]]</f>
        <v>0</v>
      </c>
      <c r="S424" s="34" t="s">
        <v>558</v>
      </c>
      <c r="T424" s="56" t="s">
        <v>3061</v>
      </c>
      <c r="U424" s="56" t="s">
        <v>3061</v>
      </c>
      <c r="V424" s="56" t="s">
        <v>3061</v>
      </c>
      <c r="W424" s="7"/>
      <c r="X424"/>
    </row>
    <row r="425" spans="1:24" x14ac:dyDescent="0.25">
      <c r="A425" s="26">
        <v>25</v>
      </c>
      <c r="B425" s="1">
        <f>IFERROR(VLOOKUP(ТабПозиции[[#This Row],[orderNum]],ТабЗаказы[#Data],MATCH(B$7,ТабЗаказы[#Headers],0),0),"")</f>
        <v>45376</v>
      </c>
      <c r="C425" t="str">
        <f>MONTH(ТабПозиции[[#This Row],[date]])&amp;"/"&amp;YEAR(ТабПозиции[[#This Row],[date]])</f>
        <v>3/2024</v>
      </c>
      <c r="D425" s="1" t="str">
        <f>IFERROR(VLOOKUP(ТабПозиции[[#This Row],[orderNum]],ТабЗаказы[#Data],MATCH(D$7,ТабЗаказы[#Headers],0),0),"")</f>
        <v>Лариса Кирова</v>
      </c>
      <c r="E425" s="32" t="s">
        <v>680</v>
      </c>
      <c r="F425" s="56" t="s">
        <v>3061</v>
      </c>
      <c r="H425" s="34">
        <v>45439</v>
      </c>
      <c r="I425" s="26">
        <v>1</v>
      </c>
      <c r="J425" s="26">
        <v>171</v>
      </c>
      <c r="K425">
        <v>171</v>
      </c>
      <c r="L425" s="26">
        <v>180</v>
      </c>
      <c r="M425">
        <f t="shared" si="8"/>
        <v>180</v>
      </c>
      <c r="O42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Row],[orderNum]],ТабПозиции[orderSumm])&gt;1500),ABS(M425*VLOOKUP(ТабПозиции[[#This Row],[orderNum]],ТабЗаказы[#Data],MATCH("Percent",ТабЗаказы[#Headers],0),0))/100,200/COUNTIF(ТабПозиции[orderNum],ТабПозиции[[#This Row],[orderNum]])),0),"")</f>
        <v>27</v>
      </c>
      <c r="P425">
        <f>IF(OR(ТабПозиции[[#This Row],[item]]="По штрихкоду",ТабПозиции[[#This Row],[item]]="Посылка"),ТабПозиции[[#This Row],[deliverySumm]]+ТабПозиции[[#This Row],[deliveryPost]],SUM(M425:O425))</f>
        <v>207</v>
      </c>
      <c r="Q425" s="57">
        <v>207</v>
      </c>
      <c r="R425" s="62">
        <f>ТабПозиции[[#This Row],[totalSumm]]-ТабПозиции[[#This Row],[payment]]</f>
        <v>0</v>
      </c>
      <c r="S425" s="34" t="s">
        <v>558</v>
      </c>
      <c r="T425" s="56" t="s">
        <v>3061</v>
      </c>
      <c r="U425" s="56" t="s">
        <v>3061</v>
      </c>
      <c r="V425" s="56" t="s">
        <v>3061</v>
      </c>
      <c r="W425" s="7"/>
      <c r="X425"/>
    </row>
    <row r="426" spans="1:24" x14ac:dyDescent="0.25">
      <c r="A426" s="26">
        <v>25</v>
      </c>
      <c r="B426" s="1">
        <f>IFERROR(VLOOKUP(ТабПозиции[[#This Row],[orderNum]],ТабЗаказы[#Data],MATCH(B$7,ТабЗаказы[#Headers],0),0),"")</f>
        <v>45376</v>
      </c>
      <c r="C426" t="str">
        <f>MONTH(ТабПозиции[[#This Row],[date]])&amp;"/"&amp;YEAR(ТабПозиции[[#This Row],[date]])</f>
        <v>3/2024</v>
      </c>
      <c r="D426" s="1" t="str">
        <f>IFERROR(VLOOKUP(ТабПозиции[[#This Row],[orderNum]],ТабЗаказы[#Data],MATCH(D$7,ТабЗаказы[#Headers],0),0),"")</f>
        <v>Лариса Кирова</v>
      </c>
      <c r="E426" s="32" t="s">
        <v>935</v>
      </c>
      <c r="F426" s="56" t="s">
        <v>3061</v>
      </c>
      <c r="H426" s="34">
        <v>45445</v>
      </c>
      <c r="I426" s="26">
        <v>1</v>
      </c>
      <c r="J426" s="26">
        <v>1110</v>
      </c>
      <c r="K426">
        <v>1110</v>
      </c>
      <c r="L426" s="26">
        <v>1203</v>
      </c>
      <c r="M426">
        <f t="shared" si="8"/>
        <v>1203</v>
      </c>
      <c r="O42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Row],[orderNum]],ТабПозиции[orderSumm])&gt;1500),ABS(M426*VLOOKUP(ТабПозиции[[#This Row],[orderNum]],ТабЗаказы[#Data],MATCH("Percent",ТабЗаказы[#Headers],0),0))/100,200/COUNTIF(ТабПозиции[orderNum],ТабПозиции[[#This Row],[orderNum]])),0),"")</f>
        <v>180</v>
      </c>
      <c r="P426">
        <f>IF(OR(ТабПозиции[[#This Row],[item]]="По штрихкоду",ТабПозиции[[#This Row],[item]]="Посылка"),ТабПозиции[[#This Row],[deliverySumm]]+ТабПозиции[[#This Row],[deliveryPost]],SUM(M426:O426))</f>
        <v>1383</v>
      </c>
      <c r="Q426" s="57">
        <v>1383</v>
      </c>
      <c r="R426" s="62">
        <f>ТабПозиции[[#This Row],[totalSumm]]-ТабПозиции[[#This Row],[payment]]</f>
        <v>0</v>
      </c>
      <c r="S426" s="34" t="s">
        <v>575</v>
      </c>
      <c r="T426" s="56" t="s">
        <v>3061</v>
      </c>
      <c r="U426" s="56" t="s">
        <v>3061</v>
      </c>
      <c r="V426" s="56" t="s">
        <v>3061</v>
      </c>
      <c r="W426" s="7"/>
      <c r="X426"/>
    </row>
    <row r="427" spans="1:24" x14ac:dyDescent="0.25">
      <c r="A427" s="26">
        <v>43</v>
      </c>
      <c r="B427" s="1">
        <f>IFERROR(VLOOKUP(ТабПозиции[[#This Row],[orderNum]],ТабЗаказы[#Data],MATCH(B$7,ТабЗаказы[#Headers],0),0),"")</f>
        <v>45383</v>
      </c>
      <c r="C427" t="str">
        <f>MONTH(ТабПозиции[[#This Row],[date]])&amp;"/"&amp;YEAR(ТабПозиции[[#This Row],[date]])</f>
        <v>4/2024</v>
      </c>
      <c r="D427" s="1" t="str">
        <f>IFERROR(VLOOKUP(ТабПозиции[[#This Row],[orderNum]],ТабЗаказы[#Data],MATCH(D$7,ТабЗаказы[#Headers],0),0),"")</f>
        <v>Александр Каскад</v>
      </c>
      <c r="E427" s="32" t="s">
        <v>936</v>
      </c>
      <c r="F427" s="56" t="s">
        <v>3061</v>
      </c>
      <c r="H427" s="34">
        <v>45443</v>
      </c>
      <c r="I427" s="26">
        <v>2</v>
      </c>
      <c r="J427" s="26">
        <v>392</v>
      </c>
      <c r="K427">
        <v>784</v>
      </c>
      <c r="L427" s="26">
        <v>400</v>
      </c>
      <c r="M427">
        <f t="shared" si="8"/>
        <v>800</v>
      </c>
      <c r="O42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Row],[orderNum]],ТабПозиции[orderSumm])&gt;1500),ABS(M427*VLOOKUP(ТабПозиции[[#This Row],[orderNum]],ТабЗаказы[#Data],MATCH("Percent",ТабЗаказы[#Headers],0),0))/100,200/COUNTIF(ТабПозиции[orderNum],ТабПозиции[[#This Row],[orderNum]])),0),"")</f>
        <v>120</v>
      </c>
      <c r="P427">
        <f>IF(OR(ТабПозиции[[#This Row],[item]]="По штрихкоду",ТабПозиции[[#This Row],[item]]="Посылка"),ТабПозиции[[#This Row],[deliverySumm]]+ТабПозиции[[#This Row],[deliveryPost]],SUM(M427:O427))</f>
        <v>920</v>
      </c>
      <c r="Q427" s="57">
        <v>920</v>
      </c>
      <c r="R427" s="62">
        <f>ТабПозиции[[#This Row],[totalSumm]]-ТабПозиции[[#This Row],[payment]]</f>
        <v>0</v>
      </c>
      <c r="S427" s="34" t="s">
        <v>575</v>
      </c>
      <c r="T427" s="56" t="s">
        <v>3061</v>
      </c>
      <c r="U427" s="56" t="s">
        <v>3061</v>
      </c>
      <c r="V427" s="56" t="s">
        <v>3061</v>
      </c>
      <c r="W427" s="7"/>
      <c r="X427"/>
    </row>
    <row r="428" spans="1:24" x14ac:dyDescent="0.25">
      <c r="A428" s="26">
        <v>43</v>
      </c>
      <c r="B428" s="1">
        <f>IFERROR(VLOOKUP(ТабПозиции[[#This Row],[orderNum]],ТабЗаказы[#Data],MATCH(B$7,ТабЗаказы[#Headers],0),0),"")</f>
        <v>45383</v>
      </c>
      <c r="C428" t="str">
        <f>MONTH(ТабПозиции[[#This Row],[date]])&amp;"/"&amp;YEAR(ТабПозиции[[#This Row],[date]])</f>
        <v>4/2024</v>
      </c>
      <c r="D428" s="1" t="str">
        <f>IFERROR(VLOOKUP(ТабПозиции[[#This Row],[orderNum]],ТабЗаказы[#Data],MATCH(D$7,ТабЗаказы[#Headers],0),0),"")</f>
        <v>Александр Каскад</v>
      </c>
      <c r="E428" s="32" t="s">
        <v>937</v>
      </c>
      <c r="F428" s="56" t="s">
        <v>3061</v>
      </c>
      <c r="H428" s="34">
        <v>45446</v>
      </c>
      <c r="I428" s="26">
        <v>1</v>
      </c>
      <c r="J428" s="26">
        <v>222</v>
      </c>
      <c r="K428">
        <v>222</v>
      </c>
      <c r="L428" s="26">
        <v>227</v>
      </c>
      <c r="M428">
        <f t="shared" si="8"/>
        <v>227</v>
      </c>
      <c r="O42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Row],[orderNum]],ТабПозиции[orderSumm])&gt;1500),ABS(M428*VLOOKUP(ТабПозиции[[#This Row],[orderNum]],ТабЗаказы[#Data],MATCH("Percent",ТабЗаказы[#Headers],0),0))/100,200/COUNTIF(ТабПозиции[orderNum],ТабПозиции[[#This Row],[orderNum]])),0),"")</f>
        <v>34</v>
      </c>
      <c r="P428">
        <f>IF(OR(ТабПозиции[[#This Row],[item]]="По штрихкоду",ТабПозиции[[#This Row],[item]]="Посылка"),ТабПозиции[[#This Row],[deliverySumm]]+ТабПозиции[[#This Row],[deliveryPost]],SUM(M428:O428))</f>
        <v>261</v>
      </c>
      <c r="Q428" s="57">
        <v>261</v>
      </c>
      <c r="R428" s="62">
        <f>ТабПозиции[[#This Row],[totalSumm]]-ТабПозиции[[#This Row],[payment]]</f>
        <v>0</v>
      </c>
      <c r="S428" s="34" t="s">
        <v>575</v>
      </c>
      <c r="T428" s="56" t="s">
        <v>3061</v>
      </c>
      <c r="U428" s="56" t="s">
        <v>3061</v>
      </c>
      <c r="V428" s="56" t="s">
        <v>3061</v>
      </c>
      <c r="W428" s="7"/>
      <c r="X428"/>
    </row>
    <row r="429" spans="1:24" x14ac:dyDescent="0.25">
      <c r="A429" s="26">
        <v>43</v>
      </c>
      <c r="B429" s="1">
        <f>IFERROR(VLOOKUP(ТабПозиции[[#This Row],[orderNum]],ТабЗаказы[#Data],MATCH(B$7,ТабЗаказы[#Headers],0),0),"")</f>
        <v>45383</v>
      </c>
      <c r="C429" t="str">
        <f>MONTH(ТабПозиции[[#This Row],[date]])&amp;"/"&amp;YEAR(ТабПозиции[[#This Row],[date]])</f>
        <v>4/2024</v>
      </c>
      <c r="D429" s="1" t="str">
        <f>IFERROR(VLOOKUP(ТабПозиции[[#This Row],[orderNum]],ТабЗаказы[#Data],MATCH(D$7,ТабЗаказы[#Headers],0),0),"")</f>
        <v>Александр Каскад</v>
      </c>
      <c r="E429" s="32" t="s">
        <v>799</v>
      </c>
      <c r="F429" s="56" t="s">
        <v>3061</v>
      </c>
      <c r="H429" s="34">
        <v>45442</v>
      </c>
      <c r="I429" s="26">
        <v>1</v>
      </c>
      <c r="J429" s="26">
        <v>1251</v>
      </c>
      <c r="K429">
        <v>1251</v>
      </c>
      <c r="L429" s="26">
        <v>1346</v>
      </c>
      <c r="M429">
        <f t="shared" si="8"/>
        <v>1346</v>
      </c>
      <c r="O42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Row],[orderNum]],ТабПозиции[orderSumm])&gt;1500),ABS(M429*VLOOKUP(ТабПозиции[[#This Row],[orderNum]],ТабЗаказы[#Data],MATCH("Percent",ТабЗаказы[#Headers],0),0))/100,200/COUNTIF(ТабПозиции[orderNum],ТабПозиции[[#This Row],[orderNum]])),0),"")</f>
        <v>202</v>
      </c>
      <c r="P429">
        <f>IF(OR(ТабПозиции[[#This Row],[item]]="По штрихкоду",ТабПозиции[[#This Row],[item]]="Посылка"),ТабПозиции[[#This Row],[deliverySumm]]+ТабПозиции[[#This Row],[deliveryPost]],SUM(M429:O429))</f>
        <v>1548</v>
      </c>
      <c r="Q429" s="57">
        <v>1548</v>
      </c>
      <c r="R429" s="62">
        <f>ТабПозиции[[#This Row],[totalSumm]]-ТабПозиции[[#This Row],[payment]]</f>
        <v>0</v>
      </c>
      <c r="S429" s="34" t="s">
        <v>575</v>
      </c>
      <c r="T429" s="56" t="s">
        <v>3061</v>
      </c>
      <c r="U429" s="56" t="s">
        <v>3061</v>
      </c>
      <c r="V429" s="56" t="s">
        <v>3061</v>
      </c>
      <c r="W429" s="7"/>
      <c r="X429"/>
    </row>
    <row r="430" spans="1:24" x14ac:dyDescent="0.25">
      <c r="A430" s="26">
        <v>100</v>
      </c>
      <c r="B430" s="1">
        <f>IFERROR(VLOOKUP(ТабПозиции[[#This Row],[orderNum]],ТабЗаказы[#Data],MATCH(B$7,ТабЗаказы[#Headers],0),0),"")</f>
        <v>45425</v>
      </c>
      <c r="C430" t="str">
        <f>MONTH(ТабПозиции[[#This Row],[date]])&amp;"/"&amp;YEAR(ТабПозиции[[#This Row],[date]])</f>
        <v>5/2024</v>
      </c>
      <c r="D430" s="1" t="str">
        <f>IFERROR(VLOOKUP(ТабПозиции[[#This Row],[orderNum]],ТабЗаказы[#Data],MATCH(D$7,ТабЗаказы[#Headers],0),0),"")</f>
        <v>Александр 3 База</v>
      </c>
      <c r="E430" s="32" t="s">
        <v>938</v>
      </c>
      <c r="F430" s="56" t="s">
        <v>3061</v>
      </c>
      <c r="H430" s="34">
        <v>45444</v>
      </c>
      <c r="I430" s="26">
        <v>1</v>
      </c>
      <c r="J430" s="26">
        <v>1181</v>
      </c>
      <c r="K430">
        <v>1181</v>
      </c>
      <c r="L430" s="26">
        <v>1264</v>
      </c>
      <c r="M430">
        <f t="shared" si="8"/>
        <v>1264</v>
      </c>
      <c r="O43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Row],[orderNum]],ТабПозиции[orderSumm])&gt;1500),ABS(M430*VLOOKUP(ТабПозиции[[#This Row],[orderNum]],ТабЗаказы[#Data],MATCH("Percent",ТабЗаказы[#Headers],0),0))/100,200/COUNTIF(ТабПозиции[orderNum],ТабПозиции[[#This Row],[orderNum]])),0),"")</f>
        <v>190</v>
      </c>
      <c r="P430">
        <f>IF(OR(ТабПозиции[[#This Row],[item]]="По штрихкоду",ТабПозиции[[#This Row],[item]]="Посылка"),ТабПозиции[[#This Row],[deliverySumm]]+ТабПозиции[[#This Row],[deliveryPost]],SUM(M430:O430))</f>
        <v>1454</v>
      </c>
      <c r="Q430" s="57">
        <v>1454</v>
      </c>
      <c r="R430" s="62">
        <f>ТабПозиции[[#This Row],[totalSumm]]-ТабПозиции[[#This Row],[payment]]</f>
        <v>0</v>
      </c>
      <c r="S430" s="34" t="s">
        <v>575</v>
      </c>
      <c r="T430" s="56" t="s">
        <v>3061</v>
      </c>
      <c r="U430" s="56" t="s">
        <v>3061</v>
      </c>
      <c r="V430" s="56" t="s">
        <v>3061</v>
      </c>
      <c r="W430" s="7"/>
      <c r="X430"/>
    </row>
    <row r="431" spans="1:24" x14ac:dyDescent="0.25">
      <c r="A431" s="26">
        <v>100</v>
      </c>
      <c r="B431" s="1">
        <f>IFERROR(VLOOKUP(ТабПозиции[[#This Row],[orderNum]],ТабЗаказы[#Data],MATCH(B$7,ТабЗаказы[#Headers],0),0),"")</f>
        <v>45425</v>
      </c>
      <c r="C431" t="str">
        <f>MONTH(ТабПозиции[[#This Row],[date]])&amp;"/"&amp;YEAR(ТабПозиции[[#This Row],[date]])</f>
        <v>5/2024</v>
      </c>
      <c r="D431" s="1" t="str">
        <f>IFERROR(VLOOKUP(ТабПозиции[[#This Row],[orderNum]],ТабЗаказы[#Data],MATCH(D$7,ТабЗаказы[#Headers],0),0),"")</f>
        <v>Александр 3 База</v>
      </c>
      <c r="E431" s="32" t="s">
        <v>778</v>
      </c>
      <c r="F431" s="56" t="s">
        <v>3061</v>
      </c>
      <c r="H431" s="34">
        <v>45448</v>
      </c>
      <c r="I431" s="26">
        <v>1</v>
      </c>
      <c r="J431" s="26">
        <v>373</v>
      </c>
      <c r="K431">
        <v>373</v>
      </c>
      <c r="L431" s="26">
        <v>381</v>
      </c>
      <c r="M431">
        <f t="shared" si="8"/>
        <v>381</v>
      </c>
      <c r="O43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Row],[orderNum]],ТабПозиции[orderSumm])&gt;1500),ABS(M431*VLOOKUP(ТабПозиции[[#This Row],[orderNum]],ТабЗаказы[#Data],MATCH("Percent",ТабЗаказы[#Headers],0),0))/100,200/COUNTIF(ТабПозиции[orderNum],ТабПозиции[[#This Row],[orderNum]])),0),"")</f>
        <v>57</v>
      </c>
      <c r="P431">
        <f>IF(OR(ТабПозиции[[#This Row],[item]]="По штрихкоду",ТабПозиции[[#This Row],[item]]="Посылка"),ТабПозиции[[#This Row],[deliverySumm]]+ТабПозиции[[#This Row],[deliveryPost]],SUM(M431:O431))</f>
        <v>438</v>
      </c>
      <c r="Q431" s="57">
        <v>438</v>
      </c>
      <c r="R431" s="62">
        <f>ТабПозиции[[#This Row],[totalSumm]]-ТабПозиции[[#This Row],[payment]]</f>
        <v>0</v>
      </c>
      <c r="S431" s="34" t="s">
        <v>575</v>
      </c>
      <c r="T431" s="56" t="s">
        <v>3061</v>
      </c>
      <c r="U431" s="56" t="s">
        <v>3061</v>
      </c>
      <c r="V431" s="56" t="s">
        <v>3061</v>
      </c>
      <c r="W431" s="7"/>
      <c r="X431"/>
    </row>
    <row r="432" spans="1:24" x14ac:dyDescent="0.25">
      <c r="A432" s="26">
        <v>114</v>
      </c>
      <c r="B432" s="1">
        <f>IFERROR(VLOOKUP(ТабПозиции[[#This Row],[orderNum]],ТабЗаказы[#Data],MATCH(B$7,ТабЗаказы[#Headers],0),0),"")</f>
        <v>45434</v>
      </c>
      <c r="C432" t="str">
        <f>MONTH(ТабПозиции[[#This Row],[date]])&amp;"/"&amp;YEAR(ТабПозиции[[#This Row],[date]])</f>
        <v>5/2024</v>
      </c>
      <c r="D432" s="1" t="str">
        <f>IFERROR(VLOOKUP(ТабПозиции[[#This Row],[orderNum]],ТабЗаказы[#Data],MATCH(D$7,ТабЗаказы[#Headers],0),0),"")</f>
        <v>Галина Агабекова(церковь)</v>
      </c>
      <c r="E432" s="32" t="s">
        <v>939</v>
      </c>
      <c r="F432" s="56" t="s">
        <v>3061</v>
      </c>
      <c r="H432" s="34"/>
      <c r="I432" s="26">
        <v>1</v>
      </c>
      <c r="J432" s="26">
        <v>4515</v>
      </c>
      <c r="K432">
        <v>4515</v>
      </c>
      <c r="L432" s="26">
        <v>4515</v>
      </c>
      <c r="M432">
        <f t="shared" si="8"/>
        <v>4515</v>
      </c>
      <c r="N432" s="26">
        <v>389</v>
      </c>
      <c r="O43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Row],[orderNum]],ТабПозиции[orderSumm])&gt;1500),ABS(M432*VLOOKUP(ТабПозиции[[#This Row],[orderNum]],ТабЗаказы[#Data],MATCH("Percent",ТабЗаказы[#Headers],0),0))/100,200/COUNTIF(ТабПозиции[orderNum],ТабПозиции[[#This Row],[orderNum]])),0),"")</f>
        <v>677</v>
      </c>
      <c r="P432">
        <f>IF(OR(ТабПозиции[[#This Row],[item]]="По штрихкоду",ТабПозиции[[#This Row],[item]]="Посылка"),ТабПозиции[[#This Row],[deliverySumm]]+ТабПозиции[[#This Row],[deliveryPost]],SUM(M432:O432))</f>
        <v>5581</v>
      </c>
      <c r="Q432" s="57">
        <v>5581</v>
      </c>
      <c r="R432" s="62">
        <f>ТабПозиции[[#This Row],[totalSumm]]-ТабПозиции[[#This Row],[payment]]</f>
        <v>0</v>
      </c>
      <c r="S432" s="34" t="s">
        <v>689</v>
      </c>
      <c r="T432" s="56" t="s">
        <v>3061</v>
      </c>
      <c r="U432" s="56" t="s">
        <v>3061</v>
      </c>
      <c r="V432" s="56" t="s">
        <v>3061</v>
      </c>
      <c r="W432" s="7"/>
      <c r="X432"/>
    </row>
    <row r="433" spans="1:24" x14ac:dyDescent="0.25">
      <c r="A433" s="26">
        <v>70</v>
      </c>
      <c r="B433" s="1">
        <f>IFERROR(VLOOKUP(ТабПозиции[[#This Row],[orderNum]],ТабЗаказы[#Data],MATCH(B$7,ТабЗаказы[#Headers],0),0),"")</f>
        <v>45443</v>
      </c>
      <c r="C433" t="str">
        <f>MONTH(ТабПозиции[[#This Row],[date]])&amp;"/"&amp;YEAR(ТабПозиции[[#This Row],[date]])</f>
        <v>5/2024</v>
      </c>
      <c r="D433" s="1" t="str">
        <f>IFERROR(VLOOKUP(ТабПозиции[[#This Row],[orderNum]],ТабЗаказы[#Data],MATCH(D$7,ТабЗаказы[#Headers],0),0),"")</f>
        <v>Галина Агабекова(церковь)</v>
      </c>
      <c r="E433" s="32" t="s">
        <v>940</v>
      </c>
      <c r="F433" s="56" t="s">
        <v>3061</v>
      </c>
      <c r="H433" s="34">
        <v>45448</v>
      </c>
      <c r="I433" s="26">
        <v>1</v>
      </c>
      <c r="J433" s="26">
        <v>216</v>
      </c>
      <c r="K433">
        <v>216</v>
      </c>
      <c r="L433" s="26">
        <v>220</v>
      </c>
      <c r="M433">
        <f t="shared" si="8"/>
        <v>220</v>
      </c>
      <c r="O43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Row],[orderNum]],ТабПозиции[orderSumm])&gt;1500),ABS(M433*VLOOKUP(ТабПозиции[[#This Row],[orderNum]],ТабЗаказы[#Data],MATCH("Percent",ТабЗаказы[#Headers],0),0))/100,200/COUNTIF(ТабПозиции[orderNum],ТабПозиции[[#This Row],[orderNum]])),0),"")</f>
        <v>33</v>
      </c>
      <c r="P433">
        <f>IF(OR(ТабПозиции[[#This Row],[item]]="По штрихкоду",ТабПозиции[[#This Row],[item]]="Посылка"),ТабПозиции[[#This Row],[deliverySumm]]+ТабПозиции[[#This Row],[deliveryPost]],SUM(M433:O433))</f>
        <v>253</v>
      </c>
      <c r="Q433" s="57">
        <v>253</v>
      </c>
      <c r="R433" s="62">
        <f>ТабПозиции[[#This Row],[totalSumm]]-ТабПозиции[[#This Row],[payment]]</f>
        <v>0</v>
      </c>
      <c r="S433" s="34" t="s">
        <v>575</v>
      </c>
      <c r="T433" s="56" t="s">
        <v>3061</v>
      </c>
      <c r="U433" s="56" t="s">
        <v>3061</v>
      </c>
      <c r="V433" s="56" t="s">
        <v>3061</v>
      </c>
      <c r="W433" s="7"/>
      <c r="X433"/>
    </row>
    <row r="434" spans="1:24" x14ac:dyDescent="0.25">
      <c r="A434" s="26">
        <v>70</v>
      </c>
      <c r="B434" s="1">
        <f>IFERROR(VLOOKUP(ТабПозиции[[#This Row],[orderNum]],ТабЗаказы[#Data],MATCH(B$7,ТабЗаказы[#Headers],0),0),"")</f>
        <v>45443</v>
      </c>
      <c r="C434" t="str">
        <f>MONTH(ТабПозиции[[#This Row],[date]])&amp;"/"&amp;YEAR(ТабПозиции[[#This Row],[date]])</f>
        <v>5/2024</v>
      </c>
      <c r="D434" s="1" t="str">
        <f>IFERROR(VLOOKUP(ТабПозиции[[#This Row],[orderNum]],ТабЗаказы[#Data],MATCH(D$7,ТабЗаказы[#Headers],0),0),"")</f>
        <v>Галина Агабекова(церковь)</v>
      </c>
      <c r="E434" s="32" t="s">
        <v>941</v>
      </c>
      <c r="F434" s="56" t="s">
        <v>3061</v>
      </c>
      <c r="H434" s="34">
        <v>45451</v>
      </c>
      <c r="I434" s="26">
        <v>1</v>
      </c>
      <c r="J434" s="26">
        <v>426</v>
      </c>
      <c r="K434">
        <v>426</v>
      </c>
      <c r="L434" s="26">
        <v>435</v>
      </c>
      <c r="M434">
        <f t="shared" si="8"/>
        <v>435</v>
      </c>
      <c r="O43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Row],[orderNum]],ТабПозиции[orderSumm])&gt;1500),ABS(M434*VLOOKUP(ТабПозиции[[#This Row],[orderNum]],ТабЗаказы[#Data],MATCH("Percent",ТабЗаказы[#Headers],0),0))/100,200/COUNTIF(ТабПозиции[orderNum],ТабПозиции[[#This Row],[orderNum]])),0),"")</f>
        <v>65</v>
      </c>
      <c r="P434">
        <f>IF(OR(ТабПозиции[[#This Row],[item]]="По штрихкоду",ТабПозиции[[#This Row],[item]]="Посылка"),ТабПозиции[[#This Row],[deliverySumm]]+ТабПозиции[[#This Row],[deliveryPost]],SUM(M434:O434))</f>
        <v>500</v>
      </c>
      <c r="Q434" s="57">
        <v>500</v>
      </c>
      <c r="R434" s="62">
        <f>ТабПозиции[[#This Row],[totalSumm]]-ТабПозиции[[#This Row],[payment]]</f>
        <v>0</v>
      </c>
      <c r="S434" s="34" t="s">
        <v>575</v>
      </c>
      <c r="T434" s="56" t="s">
        <v>3061</v>
      </c>
      <c r="U434" s="56" t="s">
        <v>3061</v>
      </c>
      <c r="V434" s="56" t="s">
        <v>3061</v>
      </c>
      <c r="W434" s="7"/>
      <c r="X434"/>
    </row>
    <row r="435" spans="1:24" x14ac:dyDescent="0.25">
      <c r="A435" s="26">
        <v>70</v>
      </c>
      <c r="B435" s="1">
        <f>IFERROR(VLOOKUP(ТабПозиции[[#This Row],[orderNum]],ТабЗаказы[#Data],MATCH(B$7,ТабЗаказы[#Headers],0),0),"")</f>
        <v>45443</v>
      </c>
      <c r="C435" t="str">
        <f>MONTH(ТабПозиции[[#This Row],[date]])&amp;"/"&amp;YEAR(ТабПозиции[[#This Row],[date]])</f>
        <v>5/2024</v>
      </c>
      <c r="D435" s="1" t="str">
        <f>IFERROR(VLOOKUP(ТабПозиции[[#This Row],[orderNum]],ТабЗаказы[#Data],MATCH(D$7,ТабЗаказы[#Headers],0),0),"")</f>
        <v>Галина Агабекова(церковь)</v>
      </c>
      <c r="E435" s="32" t="s">
        <v>942</v>
      </c>
      <c r="F435" s="56" t="s">
        <v>3061</v>
      </c>
      <c r="H435" s="34">
        <v>45456</v>
      </c>
      <c r="I435" s="26">
        <v>1</v>
      </c>
      <c r="J435" s="26">
        <v>507</v>
      </c>
      <c r="K435">
        <v>507</v>
      </c>
      <c r="L435" s="26">
        <v>549</v>
      </c>
      <c r="M435">
        <f t="shared" si="8"/>
        <v>549</v>
      </c>
      <c r="O43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Row],[orderNum]],ТабПозиции[orderSumm])&gt;1500),ABS(M435*VLOOKUP(ТабПозиции[[#This Row],[orderNum]],ТабЗаказы[#Data],MATCH("Percent",ТабЗаказы[#Headers],0),0))/100,200/COUNTIF(ТабПозиции[orderNum],ТабПозиции[[#This Row],[orderNum]])),0),"")</f>
        <v>82</v>
      </c>
      <c r="P435">
        <f>IF(OR(ТабПозиции[[#This Row],[item]]="По штрихкоду",ТабПозиции[[#This Row],[item]]="Посылка"),ТабПозиции[[#This Row],[deliverySumm]]+ТабПозиции[[#This Row],[deliveryPost]],SUM(M435:O435))</f>
        <v>631</v>
      </c>
      <c r="Q435" s="57">
        <v>631</v>
      </c>
      <c r="R435" s="62">
        <f>ТабПозиции[[#This Row],[totalSumm]]-ТабПозиции[[#This Row],[payment]]</f>
        <v>0</v>
      </c>
      <c r="S435" s="34" t="s">
        <v>575</v>
      </c>
      <c r="T435" s="56" t="s">
        <v>3061</v>
      </c>
      <c r="U435" s="56" t="s">
        <v>3061</v>
      </c>
      <c r="V435" s="56" t="s">
        <v>3061</v>
      </c>
      <c r="W435" s="7"/>
      <c r="X435"/>
    </row>
    <row r="436" spans="1:24" x14ac:dyDescent="0.25">
      <c r="A436" s="26">
        <v>70</v>
      </c>
      <c r="B436" s="1">
        <f>IFERROR(VLOOKUP(ТабПозиции[[#This Row],[orderNum]],ТабЗаказы[#Data],MATCH(B$7,ТабЗаказы[#Headers],0),0),"")</f>
        <v>45443</v>
      </c>
      <c r="C436" t="str">
        <f>MONTH(ТабПозиции[[#This Row],[date]])&amp;"/"&amp;YEAR(ТабПозиции[[#This Row],[date]])</f>
        <v>5/2024</v>
      </c>
      <c r="D436" s="1" t="str">
        <f>IFERROR(VLOOKUP(ТабПозиции[[#This Row],[orderNum]],ТабЗаказы[#Data],MATCH(D$7,ТабЗаказы[#Headers],0),0),"")</f>
        <v>Галина Агабекова(церковь)</v>
      </c>
      <c r="E436" s="32" t="s">
        <v>943</v>
      </c>
      <c r="F436" s="56" t="s">
        <v>3061</v>
      </c>
      <c r="H436" s="34">
        <v>45447</v>
      </c>
      <c r="I436" s="26">
        <v>1</v>
      </c>
      <c r="J436" s="26">
        <v>522</v>
      </c>
      <c r="K436">
        <v>522</v>
      </c>
      <c r="L436" s="26">
        <v>565</v>
      </c>
      <c r="M436">
        <f t="shared" si="8"/>
        <v>565</v>
      </c>
      <c r="O43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Row],[orderNum]],ТабПозиции[orderSumm])&gt;1500),ABS(M436*VLOOKUP(ТабПозиции[[#This Row],[orderNum]],ТабЗаказы[#Data],MATCH("Percent",ТабЗаказы[#Headers],0),0))/100,200/COUNTIF(ТабПозиции[orderNum],ТабПозиции[[#This Row],[orderNum]])),0),"")</f>
        <v>85</v>
      </c>
      <c r="P436">
        <f>IF(OR(ТабПозиции[[#This Row],[item]]="По штрихкоду",ТабПозиции[[#This Row],[item]]="Посылка"),ТабПозиции[[#This Row],[deliverySumm]]+ТабПозиции[[#This Row],[deliveryPost]],SUM(M436:O436))</f>
        <v>650</v>
      </c>
      <c r="Q436" s="57">
        <v>650</v>
      </c>
      <c r="R436" s="62">
        <f>ТабПозиции[[#This Row],[totalSumm]]-ТабПозиции[[#This Row],[payment]]</f>
        <v>0</v>
      </c>
      <c r="S436" s="34" t="s">
        <v>575</v>
      </c>
      <c r="T436" s="56" t="s">
        <v>3061</v>
      </c>
      <c r="U436" s="56" t="s">
        <v>3061</v>
      </c>
      <c r="V436" s="56" t="s">
        <v>3061</v>
      </c>
      <c r="W436" s="7"/>
      <c r="X436"/>
    </row>
    <row r="437" spans="1:24" x14ac:dyDescent="0.25">
      <c r="A437" s="26">
        <v>70</v>
      </c>
      <c r="B437" s="1">
        <f>IFERROR(VLOOKUP(ТабПозиции[[#This Row],[orderNum]],ТабЗаказы[#Data],MATCH(B$7,ТабЗаказы[#Headers],0),0),"")</f>
        <v>45443</v>
      </c>
      <c r="C437" t="str">
        <f>MONTH(ТабПозиции[[#This Row],[date]])&amp;"/"&amp;YEAR(ТабПозиции[[#This Row],[date]])</f>
        <v>5/2024</v>
      </c>
      <c r="D437" s="1" t="str">
        <f>IFERROR(VLOOKUP(ТабПозиции[[#This Row],[orderNum]],ТабЗаказы[#Data],MATCH(D$7,ТабЗаказы[#Headers],0),0),"")</f>
        <v>Галина Агабекова(церковь)</v>
      </c>
      <c r="E437" s="32" t="s">
        <v>944</v>
      </c>
      <c r="F437" s="56" t="s">
        <v>3061</v>
      </c>
      <c r="H437" s="34">
        <v>45447</v>
      </c>
      <c r="I437" s="26">
        <v>1</v>
      </c>
      <c r="J437" s="26">
        <v>569</v>
      </c>
      <c r="K437">
        <v>569</v>
      </c>
      <c r="L437" s="26">
        <v>616</v>
      </c>
      <c r="M437">
        <f t="shared" si="8"/>
        <v>616</v>
      </c>
      <c r="O43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Row],[orderNum]],ТабПозиции[orderSumm])&gt;1500),ABS(M437*VLOOKUP(ТабПозиции[[#This Row],[orderNum]],ТабЗаказы[#Data],MATCH("Percent",ТабЗаказы[#Headers],0),0))/100,200/COUNTIF(ТабПозиции[orderNum],ТабПозиции[[#This Row],[orderNum]])),0),"")</f>
        <v>92</v>
      </c>
      <c r="P437">
        <f>IF(OR(ТабПозиции[[#This Row],[item]]="По штрихкоду",ТабПозиции[[#This Row],[item]]="Посылка"),ТабПозиции[[#This Row],[deliverySumm]]+ТабПозиции[[#This Row],[deliveryPost]],SUM(M437:O437))</f>
        <v>708</v>
      </c>
      <c r="Q437" s="57">
        <v>708</v>
      </c>
      <c r="R437" s="62">
        <f>ТабПозиции[[#This Row],[totalSumm]]-ТабПозиции[[#This Row],[payment]]</f>
        <v>0</v>
      </c>
      <c r="S437" s="34" t="s">
        <v>575</v>
      </c>
      <c r="T437" s="56" t="s">
        <v>3061</v>
      </c>
      <c r="U437" s="56" t="s">
        <v>3061</v>
      </c>
      <c r="V437" s="56" t="s">
        <v>3061</v>
      </c>
      <c r="W437" s="7"/>
      <c r="X437"/>
    </row>
    <row r="438" spans="1:24" x14ac:dyDescent="0.25">
      <c r="A438" s="26">
        <v>70</v>
      </c>
      <c r="B438" s="1">
        <f>IFERROR(VLOOKUP(ТабПозиции[[#This Row],[orderNum]],ТабЗаказы[#Data],MATCH(B$7,ТабЗаказы[#Headers],0),0),"")</f>
        <v>45443</v>
      </c>
      <c r="C438" t="str">
        <f>MONTH(ТабПозиции[[#This Row],[date]])&amp;"/"&amp;YEAR(ТабПозиции[[#This Row],[date]])</f>
        <v>5/2024</v>
      </c>
      <c r="D438" s="1" t="str">
        <f>IFERROR(VLOOKUP(ТабПозиции[[#This Row],[orderNum]],ТабЗаказы[#Data],MATCH(D$7,ТабЗаказы[#Headers],0),0),"")</f>
        <v>Галина Агабекова(церковь)</v>
      </c>
      <c r="E438" s="32" t="s">
        <v>945</v>
      </c>
      <c r="F438" s="56" t="s">
        <v>3061</v>
      </c>
      <c r="H438" s="34">
        <v>45447</v>
      </c>
      <c r="I438" s="26">
        <v>1</v>
      </c>
      <c r="J438" s="26">
        <v>514</v>
      </c>
      <c r="K438">
        <v>514</v>
      </c>
      <c r="L438" s="26">
        <v>557</v>
      </c>
      <c r="M438">
        <f t="shared" si="8"/>
        <v>557</v>
      </c>
      <c r="O43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Row],[orderNum]],ТабПозиции[orderSumm])&gt;1500),ABS(M438*VLOOKUP(ТабПозиции[[#This Row],[orderNum]],ТабЗаказы[#Data],MATCH("Percent",ТабЗаказы[#Headers],0),0))/100,200/COUNTIF(ТабПозиции[orderNum],ТабПозиции[[#This Row],[orderNum]])),0),"")</f>
        <v>84</v>
      </c>
      <c r="P438">
        <f>IF(OR(ТабПозиции[[#This Row],[item]]="По штрихкоду",ТабПозиции[[#This Row],[item]]="Посылка"),ТабПозиции[[#This Row],[deliverySumm]]+ТабПозиции[[#This Row],[deliveryPost]],SUM(M438:O438))</f>
        <v>641</v>
      </c>
      <c r="Q438" s="57">
        <v>641</v>
      </c>
      <c r="R438" s="62">
        <f>ТабПозиции[[#This Row],[totalSumm]]-ТабПозиции[[#This Row],[payment]]</f>
        <v>0</v>
      </c>
      <c r="S438" s="34" t="s">
        <v>575</v>
      </c>
      <c r="T438" s="56" t="s">
        <v>3061</v>
      </c>
      <c r="U438" s="56" t="s">
        <v>3061</v>
      </c>
      <c r="V438" s="56" t="s">
        <v>3061</v>
      </c>
      <c r="W438" s="7"/>
      <c r="X438"/>
    </row>
    <row r="439" spans="1:24" x14ac:dyDescent="0.25">
      <c r="A439" s="26">
        <v>70</v>
      </c>
      <c r="B439" s="1">
        <f>IFERROR(VLOOKUP(ТабПозиции[[#This Row],[orderNum]],ТабЗаказы[#Data],MATCH(B$7,ТабЗаказы[#Headers],0),0),"")</f>
        <v>45443</v>
      </c>
      <c r="C439" t="str">
        <f>MONTH(ТабПозиции[[#This Row],[date]])&amp;"/"&amp;YEAR(ТабПозиции[[#This Row],[date]])</f>
        <v>5/2024</v>
      </c>
      <c r="D439" s="1" t="str">
        <f>IFERROR(VLOOKUP(ТабПозиции[[#This Row],[orderNum]],ТабЗаказы[#Data],MATCH(D$7,ТабЗаказы[#Headers],0),0),"")</f>
        <v>Галина Агабекова(церковь)</v>
      </c>
      <c r="E439" s="32" t="s">
        <v>946</v>
      </c>
      <c r="F439" s="56" t="s">
        <v>3061</v>
      </c>
      <c r="H439" s="34">
        <v>45447</v>
      </c>
      <c r="I439" s="26">
        <v>1</v>
      </c>
      <c r="J439" s="26">
        <v>514</v>
      </c>
      <c r="K439">
        <v>514</v>
      </c>
      <c r="L439" s="26">
        <v>557</v>
      </c>
      <c r="M439">
        <f t="shared" si="8"/>
        <v>557</v>
      </c>
      <c r="O43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Row],[orderNum]],ТабПозиции[orderSumm])&gt;1500),ABS(M439*VLOOKUP(ТабПозиции[[#This Row],[orderNum]],ТабЗаказы[#Data],MATCH("Percent",ТабЗаказы[#Headers],0),0))/100,200/COUNTIF(ТабПозиции[orderNum],ТабПозиции[[#This Row],[orderNum]])),0),"")</f>
        <v>84</v>
      </c>
      <c r="P439">
        <f>IF(OR(ТабПозиции[[#This Row],[item]]="По штрихкоду",ТабПозиции[[#This Row],[item]]="Посылка"),ТабПозиции[[#This Row],[deliverySumm]]+ТабПозиции[[#This Row],[deliveryPost]],SUM(M439:O439))</f>
        <v>641</v>
      </c>
      <c r="Q439" s="57">
        <v>641</v>
      </c>
      <c r="R439" s="62">
        <f>ТабПозиции[[#This Row],[totalSumm]]-ТабПозиции[[#This Row],[payment]]</f>
        <v>0</v>
      </c>
      <c r="S439" s="34" t="s">
        <v>575</v>
      </c>
      <c r="T439" s="56" t="s">
        <v>3061</v>
      </c>
      <c r="U439" s="56" t="s">
        <v>3061</v>
      </c>
      <c r="V439" s="56" t="s">
        <v>3061</v>
      </c>
      <c r="W439" s="7"/>
      <c r="X439"/>
    </row>
    <row r="440" spans="1:24" x14ac:dyDescent="0.25">
      <c r="A440" s="26">
        <v>70</v>
      </c>
      <c r="B440" s="1">
        <f>IFERROR(VLOOKUP(ТабПозиции[[#This Row],[orderNum]],ТабЗаказы[#Data],MATCH(B$7,ТабЗаказы[#Headers],0),0),"")</f>
        <v>45443</v>
      </c>
      <c r="C440" t="str">
        <f>MONTH(ТабПозиции[[#This Row],[date]])&amp;"/"&amp;YEAR(ТабПозиции[[#This Row],[date]])</f>
        <v>5/2024</v>
      </c>
      <c r="D440" s="1" t="str">
        <f>IFERROR(VLOOKUP(ТабПозиции[[#This Row],[orderNum]],ТабЗаказы[#Data],MATCH(D$7,ТабЗаказы[#Headers],0),0),"")</f>
        <v>Галина Агабекова(церковь)</v>
      </c>
      <c r="E440" s="32" t="s">
        <v>947</v>
      </c>
      <c r="F440" s="56" t="s">
        <v>3061</v>
      </c>
      <c r="H440" s="34">
        <v>45447</v>
      </c>
      <c r="I440" s="26">
        <v>1</v>
      </c>
      <c r="J440" s="26">
        <v>526</v>
      </c>
      <c r="K440">
        <v>526</v>
      </c>
      <c r="L440" s="26">
        <v>570</v>
      </c>
      <c r="M440">
        <f t="shared" si="8"/>
        <v>570</v>
      </c>
      <c r="O44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Row],[orderNum]],ТабПозиции[orderSumm])&gt;1500),ABS(M440*VLOOKUP(ТабПозиции[[#This Row],[orderNum]],ТабЗаказы[#Data],MATCH("Percent",ТабЗаказы[#Headers],0),0))/100,200/COUNTIF(ТабПозиции[orderNum],ТабПозиции[[#This Row],[orderNum]])),0),"")</f>
        <v>86</v>
      </c>
      <c r="P440">
        <f>IF(OR(ТабПозиции[[#This Row],[item]]="По штрихкоду",ТабПозиции[[#This Row],[item]]="Посылка"),ТабПозиции[[#This Row],[deliverySumm]]+ТабПозиции[[#This Row],[deliveryPost]],SUM(M440:O440))</f>
        <v>656</v>
      </c>
      <c r="Q440" s="57">
        <v>656</v>
      </c>
      <c r="R440" s="62">
        <f>ТабПозиции[[#This Row],[totalSumm]]-ТабПозиции[[#This Row],[payment]]</f>
        <v>0</v>
      </c>
      <c r="S440" s="34" t="s">
        <v>575</v>
      </c>
      <c r="T440" s="56" t="s">
        <v>3061</v>
      </c>
      <c r="U440" s="56" t="s">
        <v>3061</v>
      </c>
      <c r="V440" s="56" t="s">
        <v>3061</v>
      </c>
      <c r="W440" s="7"/>
      <c r="X440"/>
    </row>
    <row r="441" spans="1:24" x14ac:dyDescent="0.25">
      <c r="A441" s="26">
        <v>70</v>
      </c>
      <c r="B441" s="1">
        <f>IFERROR(VLOOKUP(ТабПозиции[[#This Row],[orderNum]],ТабЗаказы[#Data],MATCH(B$7,ТабЗаказы[#Headers],0),0),"")</f>
        <v>45443</v>
      </c>
      <c r="C441" t="str">
        <f>MONTH(ТабПозиции[[#This Row],[date]])&amp;"/"&amp;YEAR(ТабПозиции[[#This Row],[date]])</f>
        <v>5/2024</v>
      </c>
      <c r="D441" s="1" t="str">
        <f>IFERROR(VLOOKUP(ТабПозиции[[#This Row],[orderNum]],ТабЗаказы[#Data],MATCH(D$7,ТабЗаказы[#Headers],0),0),"")</f>
        <v>Галина Агабекова(церковь)</v>
      </c>
      <c r="E441" s="32" t="s">
        <v>948</v>
      </c>
      <c r="F441" s="56" t="s">
        <v>3061</v>
      </c>
      <c r="H441" s="34">
        <v>45445</v>
      </c>
      <c r="I441" s="26">
        <v>1</v>
      </c>
      <c r="J441" s="38">
        <v>707</v>
      </c>
      <c r="K441">
        <v>707</v>
      </c>
      <c r="L441" s="26">
        <v>745</v>
      </c>
      <c r="M441">
        <f t="shared" si="8"/>
        <v>745</v>
      </c>
      <c r="O44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Row],[orderNum]],ТабПозиции[orderSumm])&gt;1500),ABS(M441*VLOOKUP(ТабПозиции[[#This Row],[orderNum]],ТабЗаказы[#Data],MATCH("Percent",ТабЗаказы[#Headers],0),0))/100,200/COUNTIF(ТабПозиции[orderNum],ТабПозиции[[#This Row],[orderNum]])),0),"")</f>
        <v>112</v>
      </c>
      <c r="P441">
        <f>IF(OR(ТабПозиции[[#This Row],[item]]="По штрихкоду",ТабПозиции[[#This Row],[item]]="Посылка"),ТабПозиции[[#This Row],[deliverySumm]]+ТабПозиции[[#This Row],[deliveryPost]],SUM(M441:O441))</f>
        <v>857</v>
      </c>
      <c r="Q441" s="57">
        <v>857</v>
      </c>
      <c r="R441" s="62">
        <f>ТабПозиции[[#This Row],[totalSumm]]-ТабПозиции[[#This Row],[payment]]</f>
        <v>0</v>
      </c>
      <c r="S441" s="34" t="s">
        <v>558</v>
      </c>
      <c r="T441" s="56" t="s">
        <v>3061</v>
      </c>
      <c r="U441" s="56" t="s">
        <v>3061</v>
      </c>
      <c r="V441" s="56" t="s">
        <v>3061</v>
      </c>
      <c r="W441" s="7"/>
      <c r="X441"/>
    </row>
    <row r="442" spans="1:24" x14ac:dyDescent="0.25">
      <c r="A442" s="26">
        <v>70</v>
      </c>
      <c r="B442" s="1">
        <f>IFERROR(VLOOKUP(ТабПозиции[[#This Row],[orderNum]],ТабЗаказы[#Data],MATCH(B$7,ТабЗаказы[#Headers],0),0),"")</f>
        <v>45443</v>
      </c>
      <c r="C442" t="str">
        <f>MONTH(ТабПозиции[[#This Row],[date]])&amp;"/"&amp;YEAR(ТабПозиции[[#This Row],[date]])</f>
        <v>5/2024</v>
      </c>
      <c r="D442" s="1" t="str">
        <f>IFERROR(VLOOKUP(ТабПозиции[[#This Row],[orderNum]],ТабЗаказы[#Data],MATCH(D$7,ТабЗаказы[#Headers],0),0),"")</f>
        <v>Галина Агабекова(церковь)</v>
      </c>
      <c r="E442" s="32" t="s">
        <v>949</v>
      </c>
      <c r="F442" s="56" t="s">
        <v>3061</v>
      </c>
      <c r="H442" s="34">
        <v>45452</v>
      </c>
      <c r="I442" s="26">
        <v>1</v>
      </c>
      <c r="J442" s="26">
        <v>650</v>
      </c>
      <c r="K442">
        <v>650</v>
      </c>
      <c r="L442" s="26">
        <v>650</v>
      </c>
      <c r="M442">
        <f t="shared" si="8"/>
        <v>650</v>
      </c>
      <c r="N442" s="26">
        <v>109</v>
      </c>
      <c r="O44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Row],[orderNum]],ТабПозиции[orderSumm])&gt;1500),ABS(M442*VLOOKUP(ТабПозиции[[#This Row],[orderNum]],ТабЗаказы[#Data],MATCH("Percent",ТабЗаказы[#Headers],0),0))/100,200/COUNTIF(ТабПозиции[orderNum],ТабПозиции[[#This Row],[orderNum]])),0),"")</f>
        <v>98</v>
      </c>
      <c r="P442">
        <f>IF(OR(ТабПозиции[[#This Row],[item]]="По штрихкоду",ТабПозиции[[#This Row],[item]]="Посылка"),ТабПозиции[[#This Row],[deliverySumm]]+ТабПозиции[[#This Row],[deliveryPost]],SUM(M442:O442))</f>
        <v>857</v>
      </c>
      <c r="Q442" s="57">
        <v>857</v>
      </c>
      <c r="R442" s="62">
        <f>ТабПозиции[[#This Row],[totalSumm]]-ТабПозиции[[#This Row],[payment]]</f>
        <v>0</v>
      </c>
      <c r="S442" s="34" t="s">
        <v>612</v>
      </c>
      <c r="T442" s="56" t="s">
        <v>3061</v>
      </c>
      <c r="U442" s="56" t="s">
        <v>3061</v>
      </c>
      <c r="V442" s="56" t="s">
        <v>3061</v>
      </c>
      <c r="W442" s="7"/>
      <c r="X442"/>
    </row>
    <row r="443" spans="1:24" x14ac:dyDescent="0.25">
      <c r="A443" s="26">
        <v>70</v>
      </c>
      <c r="B443" s="1">
        <f>IFERROR(VLOOKUP(ТабПозиции[[#This Row],[orderNum]],ТабЗаказы[#Data],MATCH(B$7,ТабЗаказы[#Headers],0),0),"")</f>
        <v>45443</v>
      </c>
      <c r="C443" t="str">
        <f>MONTH(ТабПозиции[[#This Row],[date]])&amp;"/"&amp;YEAR(ТабПозиции[[#This Row],[date]])</f>
        <v>5/2024</v>
      </c>
      <c r="D443" s="1" t="str">
        <f>IFERROR(VLOOKUP(ТабПозиции[[#This Row],[orderNum]],ТабЗаказы[#Data],MATCH(D$7,ТабЗаказы[#Headers],0),0),"")</f>
        <v>Галина Агабекова(церковь)</v>
      </c>
      <c r="E443" s="32" t="s">
        <v>950</v>
      </c>
      <c r="F443" s="56" t="s">
        <v>3061</v>
      </c>
      <c r="G443" s="28" t="s">
        <v>951</v>
      </c>
      <c r="H443" s="34">
        <v>45452</v>
      </c>
      <c r="I443" s="26">
        <v>1</v>
      </c>
      <c r="J443" s="26">
        <f>650+650*0.1</f>
        <v>715</v>
      </c>
      <c r="K443">
        <v>715</v>
      </c>
      <c r="L443" s="26">
        <f>650+650*0.1</f>
        <v>715</v>
      </c>
      <c r="M443">
        <f t="shared" si="8"/>
        <v>715</v>
      </c>
      <c r="N443" s="26">
        <v>109</v>
      </c>
      <c r="O44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Row],[orderNum]],ТабПозиции[orderSumm])&gt;1500),ABS(M443*VLOOKUP(ТабПозиции[[#This Row],[orderNum]],ТабЗаказы[#Data],MATCH("Percent",ТабЗаказы[#Headers],0),0))/100,200/COUNTIF(ТабПозиции[orderNum],ТабПозиции[[#This Row],[orderNum]])),0),"")</f>
        <v>107</v>
      </c>
      <c r="P443">
        <f>IF(OR(ТабПозиции[[#This Row],[item]]="По штрихкоду",ТабПозиции[[#This Row],[item]]="Посылка"),ТабПозиции[[#This Row],[deliverySumm]]+ТабПозиции[[#This Row],[deliveryPost]],SUM(M443:O443))</f>
        <v>931</v>
      </c>
      <c r="Q443" s="57">
        <v>931</v>
      </c>
      <c r="R443" s="62">
        <f>ТабПозиции[[#This Row],[totalSumm]]-ТабПозиции[[#This Row],[payment]]</f>
        <v>0</v>
      </c>
      <c r="S443" s="34" t="s">
        <v>612</v>
      </c>
      <c r="T443" s="56" t="s">
        <v>3061</v>
      </c>
      <c r="U443" s="56" t="s">
        <v>3061</v>
      </c>
      <c r="V443" s="56" t="s">
        <v>3061</v>
      </c>
      <c r="W443" s="7"/>
      <c r="X443"/>
    </row>
    <row r="444" spans="1:24" x14ac:dyDescent="0.25">
      <c r="A444" s="26">
        <v>115</v>
      </c>
      <c r="B444" s="1">
        <f>IFERROR(VLOOKUP(ТабПозиции[[#This Row],[orderNum]],ТабЗаказы[#Data],MATCH(B$7,ТабЗаказы[#Headers],0),0),"")</f>
        <v>45443</v>
      </c>
      <c r="C444" t="str">
        <f>MONTH(ТабПозиции[[#This Row],[date]])&amp;"/"&amp;YEAR(ТабПозиции[[#This Row],[date]])</f>
        <v>5/2024</v>
      </c>
      <c r="D444" s="1" t="str">
        <f>IFERROR(VLOOKUP(ТабПозиции[[#This Row],[orderNum]],ТабЗаказы[#Data],MATCH(D$7,ТабЗаказы[#Headers],0),0),"")</f>
        <v>Александр электростанция</v>
      </c>
      <c r="E444" s="32" t="s">
        <v>952</v>
      </c>
      <c r="F444" s="56" t="s">
        <v>3061</v>
      </c>
      <c r="H444" s="34">
        <v>45448</v>
      </c>
      <c r="I444" s="26">
        <v>1</v>
      </c>
      <c r="J444" s="38">
        <v>2477</v>
      </c>
      <c r="K444">
        <v>2477</v>
      </c>
      <c r="L444" s="26">
        <v>2608</v>
      </c>
      <c r="M444">
        <f t="shared" si="8"/>
        <v>2608</v>
      </c>
      <c r="N444" s="26">
        <v>1</v>
      </c>
      <c r="O44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Row],[orderNum]],ТабПозиции[orderSumm])&gt;1500),ABS(M444*VLOOKUP(ТабПозиции[[#This Row],[orderNum]],ТабЗаказы[#Data],MATCH("Percent",ТабЗаказы[#Headers],0),0))/100,200/COUNTIF(ТабПозиции[orderNum],ТабПозиции[[#This Row],[orderNum]])),0),"")</f>
        <v>261</v>
      </c>
      <c r="P444">
        <f>IF(OR(ТабПозиции[[#This Row],[item]]="По штрихкоду",ТабПозиции[[#This Row],[item]]="Посылка"),ТабПозиции[[#This Row],[deliverySumm]]+ТабПозиции[[#This Row],[deliveryPost]],SUM(M444:O444))</f>
        <v>2870</v>
      </c>
      <c r="Q444" s="57">
        <v>2870</v>
      </c>
      <c r="R444" s="62">
        <f>ТабПозиции[[#This Row],[totalSumm]]-ТабПозиции[[#This Row],[payment]]</f>
        <v>0</v>
      </c>
      <c r="S444" s="34" t="s">
        <v>558</v>
      </c>
      <c r="T444" s="56" t="s">
        <v>3061</v>
      </c>
      <c r="U444" s="56" t="s">
        <v>3061</v>
      </c>
      <c r="V444" s="56" t="s">
        <v>3061</v>
      </c>
      <c r="W444" s="7"/>
      <c r="X444"/>
    </row>
    <row r="445" spans="1:24" x14ac:dyDescent="0.25">
      <c r="A445" s="26">
        <v>115</v>
      </c>
      <c r="B445" s="1">
        <f>IFERROR(VLOOKUP(ТабПозиции[[#This Row],[orderNum]],ТабЗаказы[#Data],MATCH(B$7,ТабЗаказы[#Headers],0),0),"")</f>
        <v>45443</v>
      </c>
      <c r="C445" t="str">
        <f>MONTH(ТабПозиции[[#This Row],[date]])&amp;"/"&amp;YEAR(ТабПозиции[[#This Row],[date]])</f>
        <v>5/2024</v>
      </c>
      <c r="D445" s="1" t="str">
        <f>IFERROR(VLOOKUP(ТабПозиции[[#This Row],[orderNum]],ТабЗаказы[#Data],MATCH(D$7,ТабЗаказы[#Headers],0),0),"")</f>
        <v>Александр электростанция</v>
      </c>
      <c r="E445" s="32" t="s">
        <v>953</v>
      </c>
      <c r="F445" s="56" t="s">
        <v>3061</v>
      </c>
      <c r="H445" s="34">
        <v>45446</v>
      </c>
      <c r="I445" s="26">
        <v>1</v>
      </c>
      <c r="J445" s="38">
        <v>834</v>
      </c>
      <c r="K445">
        <v>834</v>
      </c>
      <c r="L445" s="26">
        <v>878</v>
      </c>
      <c r="M445">
        <f t="shared" si="8"/>
        <v>878</v>
      </c>
      <c r="N445" s="26">
        <v>190</v>
      </c>
      <c r="O44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Row],[orderNum]],ТабПозиции[orderSumm])&gt;1500),ABS(M445*VLOOKUP(ТабПозиции[[#This Row],[orderNum]],ТабЗаказы[#Data],MATCH("Percent",ТабЗаказы[#Headers],0),0))/100,200/COUNTIF(ТабПозиции[orderNum],ТабПозиции[[#This Row],[orderNum]])),0),"")</f>
        <v>88</v>
      </c>
      <c r="P445">
        <f>IF(OR(ТабПозиции[[#This Row],[item]]="По штрихкоду",ТабПозиции[[#This Row],[item]]="Посылка"),ТабПозиции[[#This Row],[deliverySumm]]+ТабПозиции[[#This Row],[deliveryPost]],SUM(M445:O445))</f>
        <v>1156</v>
      </c>
      <c r="Q445" s="57">
        <v>1156</v>
      </c>
      <c r="R445" s="62">
        <f>ТабПозиции[[#This Row],[totalSumm]]-ТабПозиции[[#This Row],[payment]]</f>
        <v>0</v>
      </c>
      <c r="S445" s="34" t="s">
        <v>558</v>
      </c>
      <c r="T445" s="56" t="s">
        <v>3061</v>
      </c>
      <c r="U445" s="56" t="s">
        <v>3061</v>
      </c>
      <c r="V445" s="56" t="s">
        <v>3061</v>
      </c>
      <c r="W445" s="7"/>
      <c r="X445"/>
    </row>
    <row r="446" spans="1:24" x14ac:dyDescent="0.25">
      <c r="A446" s="26">
        <v>115</v>
      </c>
      <c r="B446" s="1">
        <f>IFERROR(VLOOKUP(ТабПозиции[[#This Row],[orderNum]],ТабЗаказы[#Data],MATCH(B$7,ТабЗаказы[#Headers],0),0),"")</f>
        <v>45443</v>
      </c>
      <c r="C446" t="str">
        <f>MONTH(ТабПозиции[[#This Row],[date]])&amp;"/"&amp;YEAR(ТабПозиции[[#This Row],[date]])</f>
        <v>5/2024</v>
      </c>
      <c r="D446" s="1" t="str">
        <f>IFERROR(VLOOKUP(ТабПозиции[[#This Row],[orderNum]],ТабЗаказы[#Data],MATCH(D$7,ТабЗаказы[#Headers],0),0),"")</f>
        <v>Александр электростанция</v>
      </c>
      <c r="E446" s="32" t="s">
        <v>954</v>
      </c>
      <c r="F446" s="56" t="s">
        <v>3061</v>
      </c>
      <c r="H446" s="34">
        <v>45446</v>
      </c>
      <c r="I446" s="26">
        <v>1</v>
      </c>
      <c r="J446" s="26">
        <v>284</v>
      </c>
      <c r="K446">
        <v>284</v>
      </c>
      <c r="L446" s="26">
        <v>284</v>
      </c>
      <c r="M446">
        <f t="shared" si="8"/>
        <v>284</v>
      </c>
      <c r="N446" s="26">
        <v>138</v>
      </c>
      <c r="O44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Row],[orderNum]],ТабПозиции[orderSumm])&gt;1500),ABS(M446*VLOOKUP(ТабПозиции[[#This Row],[orderNum]],ТабЗаказы[#Data],MATCH("Percent",ТабЗаказы[#Headers],0),0))/100,200/COUNTIF(ТабПозиции[orderNum],ТабПозиции[[#This Row],[orderNum]])),0),"")</f>
        <v>28</v>
      </c>
      <c r="P446">
        <f>IF(OR(ТабПозиции[[#This Row],[item]]="По штрихкоду",ТабПозиции[[#This Row],[item]]="Посылка"),ТабПозиции[[#This Row],[deliverySumm]]+ТабПозиции[[#This Row],[deliveryPost]],SUM(M446:O446))</f>
        <v>450</v>
      </c>
      <c r="Q446" s="57">
        <v>450</v>
      </c>
      <c r="R446" s="62">
        <f>ТабПозиции[[#This Row],[totalSumm]]-ТабПозиции[[#This Row],[payment]]</f>
        <v>0</v>
      </c>
      <c r="S446" s="34" t="s">
        <v>955</v>
      </c>
      <c r="T446" s="56" t="s">
        <v>3061</v>
      </c>
      <c r="U446" s="56" t="s">
        <v>3061</v>
      </c>
      <c r="V446" s="56" t="s">
        <v>3061</v>
      </c>
      <c r="W446" s="7"/>
      <c r="X446"/>
    </row>
    <row r="447" spans="1:24" x14ac:dyDescent="0.25">
      <c r="A447" s="26">
        <v>117</v>
      </c>
      <c r="B447" s="1">
        <f>IFERROR(VLOOKUP(ТабПозиции[[#This Row],[orderNum]],ТабЗаказы[#Data],MATCH(B$7,ТабЗаказы[#Headers],0),0),"")</f>
        <v>45443</v>
      </c>
      <c r="C447" t="str">
        <f>MONTH(ТабПозиции[[#This Row],[date]])&amp;"/"&amp;YEAR(ТабПозиции[[#This Row],[date]])</f>
        <v>5/2024</v>
      </c>
      <c r="D447" s="1" t="str">
        <f>IFERROR(VLOOKUP(ТабПозиции[[#This Row],[orderNum]],ТабЗаказы[#Data],MATCH(D$7,ТабЗаказы[#Headers],0),0),"")</f>
        <v>Максим телевизор</v>
      </c>
      <c r="E447" s="26" t="s">
        <v>815</v>
      </c>
      <c r="F447" s="56" t="s">
        <v>3061</v>
      </c>
      <c r="H447" s="34">
        <v>45443</v>
      </c>
      <c r="I447" s="26">
        <v>1</v>
      </c>
      <c r="J447" s="26">
        <v>3990</v>
      </c>
      <c r="K447">
        <v>3990</v>
      </c>
      <c r="L447" s="26">
        <v>3990</v>
      </c>
      <c r="M447">
        <f t="shared" si="8"/>
        <v>3990</v>
      </c>
      <c r="N447" s="26">
        <v>741</v>
      </c>
      <c r="O44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Row],[orderNum]],ТабПозиции[orderSumm])&gt;1500),ABS(M447*VLOOKUP(ТабПозиции[[#This Row],[orderNum]],ТабЗаказы[#Data],MATCH("Percent",ТабЗаказы[#Headers],0),0))/100,200/COUNTIF(ТабПозиции[orderNum],ТабПозиции[[#This Row],[orderNum]])),0),"")</f>
        <v>399</v>
      </c>
      <c r="P447">
        <f>IF(OR(ТабПозиции[[#This Row],[item]]="По штрихкоду",ТабПозиции[[#This Row],[item]]="Посылка"),ТабПозиции[[#This Row],[deliverySumm]]+ТабПозиции[[#This Row],[deliveryPost]],SUM(M447:O447))</f>
        <v>1140</v>
      </c>
      <c r="Q447" s="57">
        <v>1140</v>
      </c>
      <c r="R447" s="62">
        <f>ТабПозиции[[#This Row],[totalSumm]]-ТабПозиции[[#This Row],[payment]]</f>
        <v>0</v>
      </c>
      <c r="S447" s="34" t="s">
        <v>671</v>
      </c>
      <c r="T447" s="56" t="s">
        <v>3061</v>
      </c>
      <c r="U447" s="56" t="s">
        <v>3061</v>
      </c>
      <c r="V447" s="56" t="s">
        <v>3061</v>
      </c>
      <c r="W447" s="7"/>
      <c r="X447"/>
    </row>
    <row r="448" spans="1:24" x14ac:dyDescent="0.25">
      <c r="A448" s="26">
        <v>119</v>
      </c>
      <c r="B448" s="1">
        <f>IFERROR(VLOOKUP(ТабПозиции[[#This Row],[orderNum]],ТабЗаказы[#Data],MATCH(B$7,ТабЗаказы[#Headers],0),0),"")</f>
        <v>45444</v>
      </c>
      <c r="C448" t="str">
        <f>MONTH(ТабПозиции[[#This Row],[date]])&amp;"/"&amp;YEAR(ТабПозиции[[#This Row],[date]])</f>
        <v>6/2024</v>
      </c>
      <c r="D448" s="1" t="str">
        <f>IFERROR(VLOOKUP(ТабПозиции[[#This Row],[orderNum]],ТабЗаказы[#Data],MATCH(D$7,ТабЗаказы[#Headers],0),0),"")</f>
        <v>Лариса Кирова</v>
      </c>
      <c r="E448" s="32" t="s">
        <v>956</v>
      </c>
      <c r="F448" s="56" t="s">
        <v>3061</v>
      </c>
      <c r="H448" s="34">
        <v>45446</v>
      </c>
      <c r="I448" s="26">
        <v>1</v>
      </c>
      <c r="J448" s="26">
        <v>118</v>
      </c>
      <c r="K448">
        <v>118</v>
      </c>
      <c r="L448" s="26">
        <v>120</v>
      </c>
      <c r="M448">
        <f t="shared" si="8"/>
        <v>120</v>
      </c>
      <c r="O44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Row],[orderNum]],ТабПозиции[orderSumm])&gt;1500),ABS(M448*VLOOKUP(ТабПозиции[[#This Row],[orderNum]],ТабЗаказы[#Data],MATCH("Percent",ТабЗаказы[#Headers],0),0))/100,200/COUNTIF(ТабПозиции[orderNum],ТабПозиции[[#This Row],[orderNum]])),0),"")</f>
        <v>18</v>
      </c>
      <c r="P448">
        <f>IF(OR(ТабПозиции[[#This Row],[item]]="По штрихкоду",ТабПозиции[[#This Row],[item]]="Посылка"),ТабПозиции[[#This Row],[deliverySumm]]+ТабПозиции[[#This Row],[deliveryPost]],SUM(M448:O448))</f>
        <v>138</v>
      </c>
      <c r="Q448" s="57">
        <v>138</v>
      </c>
      <c r="R448" s="62">
        <f>ТабПозиции[[#This Row],[totalSumm]]-ТабПозиции[[#This Row],[payment]]</f>
        <v>0</v>
      </c>
      <c r="S448" s="34" t="s">
        <v>575</v>
      </c>
      <c r="T448" s="56" t="s">
        <v>3061</v>
      </c>
      <c r="U448" s="56" t="s">
        <v>3061</v>
      </c>
      <c r="V448" s="56" t="s">
        <v>3061</v>
      </c>
      <c r="W448" s="7"/>
      <c r="X448"/>
    </row>
    <row r="449" spans="1:24" x14ac:dyDescent="0.25">
      <c r="A449" s="26">
        <v>119</v>
      </c>
      <c r="B449" s="1">
        <f>IFERROR(VLOOKUP(ТабПозиции[[#This Row],[orderNum]],ТабЗаказы[#Data],MATCH(B$7,ТабЗаказы[#Headers],0),0),"")</f>
        <v>45444</v>
      </c>
      <c r="C449" t="str">
        <f>MONTH(ТабПозиции[[#This Row],[date]])&amp;"/"&amp;YEAR(ТабПозиции[[#This Row],[date]])</f>
        <v>6/2024</v>
      </c>
      <c r="D449" s="1" t="str">
        <f>IFERROR(VLOOKUP(ТабПозиции[[#This Row],[orderNum]],ТабЗаказы[#Data],MATCH(D$7,ТабЗаказы[#Headers],0),0),"")</f>
        <v>Лариса Кирова</v>
      </c>
      <c r="E449" s="32" t="s">
        <v>957</v>
      </c>
      <c r="F449" s="56" t="s">
        <v>3061</v>
      </c>
      <c r="H449" s="34">
        <v>45446</v>
      </c>
      <c r="I449" s="26">
        <v>1</v>
      </c>
      <c r="J449" s="26">
        <v>118</v>
      </c>
      <c r="K449">
        <v>118</v>
      </c>
      <c r="L449" s="26">
        <v>120</v>
      </c>
      <c r="M449">
        <f t="shared" si="8"/>
        <v>120</v>
      </c>
      <c r="O44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Row],[orderNum]],ТабПозиции[orderSumm])&gt;1500),ABS(M449*VLOOKUP(ТабПозиции[[#This Row],[orderNum]],ТабЗаказы[#Data],MATCH("Percent",ТабЗаказы[#Headers],0),0))/100,200/COUNTIF(ТабПозиции[orderNum],ТабПозиции[[#This Row],[orderNum]])),0),"")</f>
        <v>18</v>
      </c>
      <c r="P449">
        <f>IF(OR(ТабПозиции[[#This Row],[item]]="По штрихкоду",ТабПозиции[[#This Row],[item]]="Посылка"),ТабПозиции[[#This Row],[deliverySumm]]+ТабПозиции[[#This Row],[deliveryPost]],SUM(M449:O449))</f>
        <v>138</v>
      </c>
      <c r="Q449" s="57">
        <v>138</v>
      </c>
      <c r="R449" s="62">
        <f>ТабПозиции[[#This Row],[totalSumm]]-ТабПозиции[[#This Row],[payment]]</f>
        <v>0</v>
      </c>
      <c r="S449" s="34" t="s">
        <v>575</v>
      </c>
      <c r="T449" s="56" t="s">
        <v>3061</v>
      </c>
      <c r="U449" s="56" t="s">
        <v>3061</v>
      </c>
      <c r="V449" s="56" t="s">
        <v>3061</v>
      </c>
      <c r="W449" s="7"/>
      <c r="X449"/>
    </row>
    <row r="450" spans="1:24" x14ac:dyDescent="0.25">
      <c r="A450" s="26">
        <v>119</v>
      </c>
      <c r="B450" s="1">
        <f>IFERROR(VLOOKUP(ТабПозиции[[#This Row],[orderNum]],ТабЗаказы[#Data],MATCH(B$7,ТабЗаказы[#Headers],0),0),"")</f>
        <v>45444</v>
      </c>
      <c r="C450" t="str">
        <f>MONTH(ТабПозиции[[#This Row],[date]])&amp;"/"&amp;YEAR(ТабПозиции[[#This Row],[date]])</f>
        <v>6/2024</v>
      </c>
      <c r="D450" s="1" t="str">
        <f>IFERROR(VLOOKUP(ТабПозиции[[#This Row],[orderNum]],ТабЗаказы[#Data],MATCH(D$7,ТабЗаказы[#Headers],0),0),"")</f>
        <v>Лариса Кирова</v>
      </c>
      <c r="E450" s="32" t="s">
        <v>958</v>
      </c>
      <c r="F450" s="56" t="s">
        <v>3061</v>
      </c>
      <c r="H450" s="34">
        <v>45450</v>
      </c>
      <c r="I450" s="26">
        <v>1</v>
      </c>
      <c r="J450" s="26">
        <v>311</v>
      </c>
      <c r="K450">
        <v>311</v>
      </c>
      <c r="L450" s="26">
        <v>317</v>
      </c>
      <c r="M450">
        <f t="shared" si="8"/>
        <v>317</v>
      </c>
      <c r="O45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Row],[orderNum]],ТабПозиции[orderSumm])&gt;1500),ABS(M450*VLOOKUP(ТабПозиции[[#This Row],[orderNum]],ТабЗаказы[#Data],MATCH("Percent",ТабЗаказы[#Headers],0),0))/100,200/COUNTIF(ТабПозиции[orderNum],ТабПозиции[[#This Row],[orderNum]])),0),"")</f>
        <v>48</v>
      </c>
      <c r="P450">
        <f>IF(OR(ТабПозиции[[#This Row],[item]]="По штрихкоду",ТабПозиции[[#This Row],[item]]="Посылка"),ТабПозиции[[#This Row],[deliverySumm]]+ТабПозиции[[#This Row],[deliveryPost]],SUM(M450:O450))</f>
        <v>365</v>
      </c>
      <c r="Q450" s="57">
        <v>365</v>
      </c>
      <c r="R450" s="62">
        <f>ТабПозиции[[#This Row],[totalSumm]]-ТабПозиции[[#This Row],[payment]]</f>
        <v>0</v>
      </c>
      <c r="S450" s="34" t="s">
        <v>575</v>
      </c>
      <c r="T450" s="56" t="s">
        <v>3061</v>
      </c>
      <c r="U450" s="56" t="s">
        <v>3061</v>
      </c>
      <c r="V450" s="56" t="s">
        <v>3061</v>
      </c>
      <c r="W450" s="7"/>
      <c r="X450"/>
    </row>
    <row r="451" spans="1:24" x14ac:dyDescent="0.25">
      <c r="A451" s="26">
        <v>119</v>
      </c>
      <c r="B451" s="1">
        <f>IFERROR(VLOOKUP(ТабПозиции[[#This Row],[orderNum]],ТабЗаказы[#Data],MATCH(B$7,ТабЗаказы[#Headers],0),0),"")</f>
        <v>45444</v>
      </c>
      <c r="C451" t="str">
        <f>MONTH(ТабПозиции[[#This Row],[date]])&amp;"/"&amp;YEAR(ТабПозиции[[#This Row],[date]])</f>
        <v>6/2024</v>
      </c>
      <c r="D451" s="1" t="str">
        <f>IFERROR(VLOOKUP(ТабПозиции[[#This Row],[orderNum]],ТабЗаказы[#Data],MATCH(D$7,ТабЗаказы[#Headers],0),0),"")</f>
        <v>Лариса Кирова</v>
      </c>
      <c r="E451" s="32" t="s">
        <v>959</v>
      </c>
      <c r="F451" s="56" t="s">
        <v>3061</v>
      </c>
      <c r="H451" s="34">
        <v>414</v>
      </c>
      <c r="I451" s="26">
        <v>1</v>
      </c>
      <c r="J451" s="26">
        <v>414</v>
      </c>
      <c r="K451">
        <v>414</v>
      </c>
      <c r="L451" s="26">
        <v>463</v>
      </c>
      <c r="M451">
        <f t="shared" si="8"/>
        <v>463</v>
      </c>
      <c r="O45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Row],[orderNum]],ТабПозиции[orderSumm])&gt;1500),ABS(M451*VLOOKUP(ТабПозиции[[#This Row],[orderNum]],ТабЗаказы[#Data],MATCH("Percent",ТабЗаказы[#Headers],0),0))/100,200/COUNTIF(ТабПозиции[orderNum],ТабПозиции[[#This Row],[orderNum]])),0),"")</f>
        <v>69</v>
      </c>
      <c r="P451">
        <f>IF(OR(ТабПозиции[[#This Row],[item]]="По штрихкоду",ТабПозиции[[#This Row],[item]]="Посылка"),ТабПозиции[[#This Row],[deliverySumm]]+ТабПозиции[[#This Row],[deliveryPost]],SUM(M451:O451))</f>
        <v>532</v>
      </c>
      <c r="Q451" s="57">
        <v>532</v>
      </c>
      <c r="R451" s="62">
        <f>ТабПозиции[[#This Row],[totalSumm]]-ТабПозиции[[#This Row],[payment]]</f>
        <v>0</v>
      </c>
      <c r="S451" s="34" t="s">
        <v>575</v>
      </c>
      <c r="T451" s="56" t="s">
        <v>3061</v>
      </c>
      <c r="U451" s="56" t="s">
        <v>3061</v>
      </c>
      <c r="V451" s="56" t="s">
        <v>3061</v>
      </c>
      <c r="W451" s="7"/>
      <c r="X451"/>
    </row>
    <row r="452" spans="1:24" x14ac:dyDescent="0.25">
      <c r="A452" s="26">
        <v>119</v>
      </c>
      <c r="B452" s="1">
        <f>IFERROR(VLOOKUP(ТабПозиции[[#This Row],[orderNum]],ТабЗаказы[#Data],MATCH(B$7,ТабЗаказы[#Headers],0),0),"")</f>
        <v>45444</v>
      </c>
      <c r="C452" t="str">
        <f>MONTH(ТабПозиции[[#This Row],[date]])&amp;"/"&amp;YEAR(ТабПозиции[[#This Row],[date]])</f>
        <v>6/2024</v>
      </c>
      <c r="D452" s="1" t="str">
        <f>IFERROR(VLOOKUP(ТабПозиции[[#This Row],[orderNum]],ТабЗаказы[#Data],MATCH(D$7,ТабЗаказы[#Headers],0),0),"")</f>
        <v>Лариса Кирова</v>
      </c>
      <c r="E452" s="32" t="s">
        <v>960</v>
      </c>
      <c r="F452" s="56" t="s">
        <v>3061</v>
      </c>
      <c r="H452" s="34">
        <v>45446</v>
      </c>
      <c r="I452" s="26">
        <v>1</v>
      </c>
      <c r="J452" s="26">
        <v>244</v>
      </c>
      <c r="K452">
        <v>244</v>
      </c>
      <c r="L452" s="26">
        <v>249</v>
      </c>
      <c r="M452">
        <f t="shared" si="8"/>
        <v>249</v>
      </c>
      <c r="O45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Row],[orderNum]],ТабПозиции[orderSumm])&gt;1500),ABS(M452*VLOOKUP(ТабПозиции[[#This Row],[orderNum]],ТабЗаказы[#Data],MATCH("Percent",ТабЗаказы[#Headers],0),0))/100,200/COUNTIF(ТабПозиции[orderNum],ТабПозиции[[#This Row],[orderNum]])),0),"")</f>
        <v>37</v>
      </c>
      <c r="P452">
        <f>IF(OR(ТабПозиции[[#This Row],[item]]="По штрихкоду",ТабПозиции[[#This Row],[item]]="Посылка"),ТабПозиции[[#This Row],[deliverySumm]]+ТабПозиции[[#This Row],[deliveryPost]],SUM(M452:O452))</f>
        <v>286</v>
      </c>
      <c r="Q452" s="57">
        <v>286</v>
      </c>
      <c r="R452" s="62">
        <f>ТабПозиции[[#This Row],[totalSumm]]-ТабПозиции[[#This Row],[payment]]</f>
        <v>0</v>
      </c>
      <c r="S452" s="34" t="s">
        <v>575</v>
      </c>
      <c r="T452" s="56" t="s">
        <v>3061</v>
      </c>
      <c r="U452" s="56" t="s">
        <v>3061</v>
      </c>
      <c r="V452" s="56" t="s">
        <v>3061</v>
      </c>
      <c r="W452" s="7"/>
      <c r="X452"/>
    </row>
    <row r="453" spans="1:24" x14ac:dyDescent="0.25">
      <c r="A453" s="26">
        <v>119</v>
      </c>
      <c r="B453" s="1">
        <f>IFERROR(VLOOKUP(ТабПозиции[[#This Row],[orderNum]],ТабЗаказы[#Data],MATCH(B$7,ТабЗаказы[#Headers],0),0),"")</f>
        <v>45444</v>
      </c>
      <c r="C453" t="str">
        <f>MONTH(ТабПозиции[[#This Row],[date]])&amp;"/"&amp;YEAR(ТабПозиции[[#This Row],[date]])</f>
        <v>6/2024</v>
      </c>
      <c r="D453" s="1" t="str">
        <f>IFERROR(VLOOKUP(ТабПозиции[[#This Row],[orderNum]],ТабЗаказы[#Data],MATCH(D$7,ТабЗаказы[#Headers],0),0),"")</f>
        <v>Лариса Кирова</v>
      </c>
      <c r="E453" s="32" t="s">
        <v>961</v>
      </c>
      <c r="F453" s="56" t="s">
        <v>3061</v>
      </c>
      <c r="H453" s="34">
        <v>45445</v>
      </c>
      <c r="I453" s="26">
        <v>1</v>
      </c>
      <c r="J453" s="39">
        <v>261</v>
      </c>
      <c r="K453">
        <v>261</v>
      </c>
      <c r="L453" s="26">
        <v>275</v>
      </c>
      <c r="M453">
        <f t="shared" si="8"/>
        <v>275</v>
      </c>
      <c r="O45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Row],[orderNum]],ТабПозиции[orderSumm])&gt;1500),ABS(M453*VLOOKUP(ТабПозиции[[#This Row],[orderNum]],ТабЗаказы[#Data],MATCH("Percent",ТабЗаказы[#Headers],0),0))/100,200/COUNTIF(ТабПозиции[orderNum],ТабПозиции[[#This Row],[orderNum]])),0),"")</f>
        <v>41</v>
      </c>
      <c r="P453">
        <f>IF(OR(ТабПозиции[[#This Row],[item]]="По штрихкоду",ТабПозиции[[#This Row],[item]]="Посылка"),ТабПозиции[[#This Row],[deliverySumm]]+ТабПозиции[[#This Row],[deliveryPost]],SUM(M453:O453))</f>
        <v>316</v>
      </c>
      <c r="Q453" s="57">
        <v>316</v>
      </c>
      <c r="R453" s="62">
        <f>ТабПозиции[[#This Row],[totalSumm]]-ТабПозиции[[#This Row],[payment]]</f>
        <v>0</v>
      </c>
      <c r="S453" s="34" t="s">
        <v>558</v>
      </c>
      <c r="T453" s="56" t="s">
        <v>3061</v>
      </c>
      <c r="U453" s="56" t="s">
        <v>3061</v>
      </c>
      <c r="V453" s="56" t="s">
        <v>3061</v>
      </c>
      <c r="W453" s="7"/>
      <c r="X453"/>
    </row>
    <row r="454" spans="1:24" x14ac:dyDescent="0.25">
      <c r="A454" s="26">
        <v>119</v>
      </c>
      <c r="B454" s="1">
        <f>IFERROR(VLOOKUP(ТабПозиции[[#This Row],[orderNum]],ТабЗаказы[#Data],MATCH(B$7,ТабЗаказы[#Headers],0),0),"")</f>
        <v>45444</v>
      </c>
      <c r="C454" t="str">
        <f>MONTH(ТабПозиции[[#This Row],[date]])&amp;"/"&amp;YEAR(ТабПозиции[[#This Row],[date]])</f>
        <v>6/2024</v>
      </c>
      <c r="D454" s="1" t="str">
        <f>IFERROR(VLOOKUP(ТабПозиции[[#This Row],[orderNum]],ТабЗаказы[#Data],MATCH(D$7,ТабЗаказы[#Headers],0),0),"")</f>
        <v>Лариса Кирова</v>
      </c>
      <c r="E454" s="32" t="s">
        <v>962</v>
      </c>
      <c r="F454" s="56" t="s">
        <v>3061</v>
      </c>
      <c r="H454" s="34">
        <v>45446</v>
      </c>
      <c r="I454" s="26">
        <v>1</v>
      </c>
      <c r="J454" s="39">
        <v>449</v>
      </c>
      <c r="K454">
        <v>449</v>
      </c>
      <c r="L454" s="26">
        <v>473</v>
      </c>
      <c r="M454">
        <f t="shared" si="8"/>
        <v>473</v>
      </c>
      <c r="O45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Row],[orderNum]],ТабПозиции[orderSumm])&gt;1500),ABS(M454*VLOOKUP(ТабПозиции[[#This Row],[orderNum]],ТабЗаказы[#Data],MATCH("Percent",ТабЗаказы[#Headers],0),0))/100,200/COUNTIF(ТабПозиции[orderNum],ТабПозиции[[#This Row],[orderNum]])),0),"")</f>
        <v>71</v>
      </c>
      <c r="P454">
        <f>IF(OR(ТабПозиции[[#This Row],[item]]="По штрихкоду",ТабПозиции[[#This Row],[item]]="Посылка"),ТабПозиции[[#This Row],[deliverySumm]]+ТабПозиции[[#This Row],[deliveryPost]],SUM(M454:O454))</f>
        <v>544</v>
      </c>
      <c r="Q454" s="57">
        <v>544</v>
      </c>
      <c r="R454" s="62">
        <f>ТабПозиции[[#This Row],[totalSumm]]-ТабПозиции[[#This Row],[payment]]</f>
        <v>0</v>
      </c>
      <c r="S454" s="34" t="s">
        <v>558</v>
      </c>
      <c r="T454" s="56" t="s">
        <v>3061</v>
      </c>
      <c r="U454" s="56" t="s">
        <v>3061</v>
      </c>
      <c r="V454" s="56" t="s">
        <v>3061</v>
      </c>
      <c r="W454" s="7"/>
      <c r="X454"/>
    </row>
    <row r="455" spans="1:24" x14ac:dyDescent="0.25">
      <c r="A455" s="26">
        <v>119</v>
      </c>
      <c r="B455" s="1">
        <f>IFERROR(VLOOKUP(ТабПозиции[[#This Row],[orderNum]],ТабЗаказы[#Data],MATCH(B$7,ТабЗаказы[#Headers],0),0),"")</f>
        <v>45444</v>
      </c>
      <c r="C455" t="str">
        <f>MONTH(ТабПозиции[[#This Row],[date]])&amp;"/"&amp;YEAR(ТабПозиции[[#This Row],[date]])</f>
        <v>6/2024</v>
      </c>
      <c r="D455" s="1" t="str">
        <f>IFERROR(VLOOKUP(ТабПозиции[[#This Row],[orderNum]],ТабЗаказы[#Data],MATCH(D$7,ТабЗаказы[#Headers],0),0),"")</f>
        <v>Лариса Кирова</v>
      </c>
      <c r="E455" s="32" t="s">
        <v>963</v>
      </c>
      <c r="F455" s="56" t="s">
        <v>3061</v>
      </c>
      <c r="H455" s="34">
        <v>45446</v>
      </c>
      <c r="I455" s="26">
        <v>1</v>
      </c>
      <c r="J455" s="39">
        <v>385</v>
      </c>
      <c r="K455">
        <v>385</v>
      </c>
      <c r="L455" s="26">
        <v>406</v>
      </c>
      <c r="M455">
        <f t="shared" si="8"/>
        <v>406</v>
      </c>
      <c r="O45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Row],[orderNum]],ТабПозиции[orderSumm])&gt;1500),ABS(M455*VLOOKUP(ТабПозиции[[#This Row],[orderNum]],ТабЗаказы[#Data],MATCH("Percent",ТабЗаказы[#Headers],0),0))/100,200/COUNTIF(ТабПозиции[orderNum],ТабПозиции[[#This Row],[orderNum]])),0),"")</f>
        <v>61</v>
      </c>
      <c r="P455">
        <f>IF(OR(ТабПозиции[[#This Row],[item]]="По штрихкоду",ТабПозиции[[#This Row],[item]]="Посылка"),ТабПозиции[[#This Row],[deliverySumm]]+ТабПозиции[[#This Row],[deliveryPost]],SUM(M455:O455))</f>
        <v>467</v>
      </c>
      <c r="Q455" s="57">
        <v>467</v>
      </c>
      <c r="R455" s="62">
        <f>ТабПозиции[[#This Row],[totalSumm]]-ТабПозиции[[#This Row],[payment]]</f>
        <v>0</v>
      </c>
      <c r="S455" s="34" t="s">
        <v>558</v>
      </c>
      <c r="T455" s="56" t="s">
        <v>3061</v>
      </c>
      <c r="U455" s="56" t="s">
        <v>3061</v>
      </c>
      <c r="V455" s="56" t="s">
        <v>3061</v>
      </c>
      <c r="W455" s="7"/>
      <c r="X455"/>
    </row>
    <row r="456" spans="1:24" x14ac:dyDescent="0.25">
      <c r="A456" s="26">
        <v>119</v>
      </c>
      <c r="B456" s="1">
        <f>IFERROR(VLOOKUP(ТабПозиции[[#This Row],[orderNum]],ТабЗаказы[#Data],MATCH(B$7,ТабЗаказы[#Headers],0),0),"")</f>
        <v>45444</v>
      </c>
      <c r="C456" t="str">
        <f>MONTH(ТабПозиции[[#This Row],[date]])&amp;"/"&amp;YEAR(ТабПозиции[[#This Row],[date]])</f>
        <v>6/2024</v>
      </c>
      <c r="D456" s="1" t="str">
        <f>IFERROR(VLOOKUP(ТабПозиции[[#This Row],[orderNum]],ТабЗаказы[#Data],MATCH(D$7,ТабЗаказы[#Headers],0),0),"")</f>
        <v>Лариса Кирова</v>
      </c>
      <c r="E456" s="32" t="s">
        <v>628</v>
      </c>
      <c r="F456" s="56" t="s">
        <v>3061</v>
      </c>
      <c r="H456" s="34">
        <v>45446</v>
      </c>
      <c r="I456" s="26">
        <v>1</v>
      </c>
      <c r="J456" s="39">
        <v>773</v>
      </c>
      <c r="K456">
        <v>773</v>
      </c>
      <c r="L456" s="26">
        <v>814</v>
      </c>
      <c r="M456">
        <f t="shared" si="8"/>
        <v>814</v>
      </c>
      <c r="O45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Row],[orderNum]],ТабПозиции[orderSumm])&gt;1500),ABS(M456*VLOOKUP(ТабПозиции[[#This Row],[orderNum]],ТабЗаказы[#Data],MATCH("Percent",ТабЗаказы[#Headers],0),0))/100,200/COUNTIF(ТабПозиции[orderNum],ТабПозиции[[#This Row],[orderNum]])),0),"")</f>
        <v>122</v>
      </c>
      <c r="P456">
        <f>IF(OR(ТабПозиции[[#This Row],[item]]="По штрихкоду",ТабПозиции[[#This Row],[item]]="Посылка"),ТабПозиции[[#This Row],[deliverySumm]]+ТабПозиции[[#This Row],[deliveryPost]],SUM(M456:O456))</f>
        <v>936</v>
      </c>
      <c r="Q456" s="57">
        <v>936</v>
      </c>
      <c r="R456" s="62">
        <f>ТабПозиции[[#This Row],[totalSumm]]-ТабПозиции[[#This Row],[payment]]</f>
        <v>0</v>
      </c>
      <c r="S456" s="34" t="s">
        <v>558</v>
      </c>
      <c r="T456" s="56" t="s">
        <v>3061</v>
      </c>
      <c r="U456" s="56" t="s">
        <v>3061</v>
      </c>
      <c r="V456" s="56" t="s">
        <v>3061</v>
      </c>
      <c r="W456" s="7"/>
      <c r="X456"/>
    </row>
    <row r="457" spans="1:24" x14ac:dyDescent="0.25">
      <c r="A457" s="26">
        <v>122</v>
      </c>
      <c r="B457" s="1">
        <f>IFERROR(VLOOKUP(ТабПозиции[[#This Row],[orderNum]],ТабЗаказы[#Data],MATCH(B$7,ТабЗаказы[#Headers],0),0),"")</f>
        <v>45448</v>
      </c>
      <c r="C457" t="str">
        <f>MONTH(ТабПозиции[[#This Row],[date]])&amp;"/"&amp;YEAR(ТабПозиции[[#This Row],[date]])</f>
        <v>6/2024</v>
      </c>
      <c r="D457" s="1" t="str">
        <f>IFERROR(VLOOKUP(ТабПозиции[[#This Row],[orderNum]],ТабЗаказы[#Data],MATCH(D$7,ТабЗаказы[#Headers],0),0),"")</f>
        <v>Юля Ларисына</v>
      </c>
      <c r="E457" s="32" t="s">
        <v>964</v>
      </c>
      <c r="F457" s="56" t="s">
        <v>3061</v>
      </c>
      <c r="H457" s="34">
        <v>45446</v>
      </c>
      <c r="I457" s="26">
        <v>1</v>
      </c>
      <c r="J457" s="40">
        <v>284</v>
      </c>
      <c r="K457">
        <v>284</v>
      </c>
      <c r="L457" s="26">
        <v>299</v>
      </c>
      <c r="M457">
        <f t="shared" si="8"/>
        <v>299</v>
      </c>
      <c r="O45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Row],[orderNum]],ТабПозиции[orderSumm])&gt;1500),ABS(M457*VLOOKUP(ТабПозиции[[#This Row],[orderNum]],ТабЗаказы[#Data],MATCH("Percent",ТабЗаказы[#Headers],0),0))/100,200/COUNTIF(ТабПозиции[orderNum],ТабПозиции[[#This Row],[orderNum]])),0),"")</f>
        <v>45</v>
      </c>
      <c r="P457">
        <f>IF(OR(ТабПозиции[[#This Row],[item]]="По штрихкоду",ТабПозиции[[#This Row],[item]]="Посылка"),ТабПозиции[[#This Row],[deliverySumm]]+ТабПозиции[[#This Row],[deliveryPost]],SUM(M457:O457))</f>
        <v>344</v>
      </c>
      <c r="Q457" s="57">
        <v>344</v>
      </c>
      <c r="R457" s="62">
        <f>ТабПозиции[[#This Row],[totalSumm]]-ТабПозиции[[#This Row],[payment]]</f>
        <v>0</v>
      </c>
      <c r="S457" s="34" t="s">
        <v>965</v>
      </c>
      <c r="T457" s="56" t="s">
        <v>3061</v>
      </c>
      <c r="U457" s="56" t="s">
        <v>3061</v>
      </c>
      <c r="V457" s="56" t="s">
        <v>3061</v>
      </c>
      <c r="W457" s="7"/>
      <c r="X457"/>
    </row>
    <row r="458" spans="1:24" x14ac:dyDescent="0.25">
      <c r="A458" s="26">
        <v>122</v>
      </c>
      <c r="B458" s="1">
        <f>IFERROR(VLOOKUP(ТабПозиции[[#This Row],[orderNum]],ТабЗаказы[#Data],MATCH(B$7,ТабЗаказы[#Headers],0),0),"")</f>
        <v>45448</v>
      </c>
      <c r="C458" t="str">
        <f>MONTH(ТабПозиции[[#This Row],[date]])&amp;"/"&amp;YEAR(ТабПозиции[[#This Row],[date]])</f>
        <v>6/2024</v>
      </c>
      <c r="D458" s="1" t="str">
        <f>IFERROR(VLOOKUP(ТабПозиции[[#This Row],[orderNum]],ТабЗаказы[#Data],MATCH(D$7,ТабЗаказы[#Headers],0),0),"")</f>
        <v>Юля Ларисына</v>
      </c>
      <c r="E458" s="32" t="s">
        <v>966</v>
      </c>
      <c r="F458" s="56" t="s">
        <v>3061</v>
      </c>
      <c r="H458" s="34">
        <v>45448</v>
      </c>
      <c r="I458" s="26">
        <v>1</v>
      </c>
      <c r="J458" s="26">
        <v>323</v>
      </c>
      <c r="K458">
        <v>323</v>
      </c>
      <c r="L458" s="26">
        <v>330</v>
      </c>
      <c r="M458">
        <f t="shared" si="8"/>
        <v>330</v>
      </c>
      <c r="O45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Row],[orderNum]],ТабПозиции[orderSumm])&gt;1500),ABS(M458*VLOOKUP(ТабПозиции[[#This Row],[orderNum]],ТабЗаказы[#Data],MATCH("Percent",ТабЗаказы[#Headers],0),0))/100,200/COUNTIF(ТабПозиции[orderNum],ТабПозиции[[#This Row],[orderNum]])),0),"")</f>
        <v>50</v>
      </c>
      <c r="P458">
        <f>IF(OR(ТабПозиции[[#This Row],[item]]="По штрихкоду",ТабПозиции[[#This Row],[item]]="Посылка"),ТабПозиции[[#This Row],[deliverySumm]]+ТабПозиции[[#This Row],[deliveryPost]],SUM(M458:O458))</f>
        <v>380</v>
      </c>
      <c r="Q458" s="57">
        <v>380</v>
      </c>
      <c r="R458" s="62">
        <f>ТабПозиции[[#This Row],[totalSumm]]-ТабПозиции[[#This Row],[payment]]</f>
        <v>0</v>
      </c>
      <c r="S458" s="34" t="s">
        <v>955</v>
      </c>
      <c r="T458" s="56" t="s">
        <v>3061</v>
      </c>
      <c r="U458" s="56" t="s">
        <v>3061</v>
      </c>
      <c r="V458" s="56" t="s">
        <v>3061</v>
      </c>
      <c r="W458" s="7"/>
      <c r="X458"/>
    </row>
    <row r="459" spans="1:24" x14ac:dyDescent="0.25">
      <c r="A459" s="26">
        <v>122</v>
      </c>
      <c r="B459" s="1">
        <f>IFERROR(VLOOKUP(ТабПозиции[[#This Row],[orderNum]],ТабЗаказы[#Data],MATCH(B$7,ТабЗаказы[#Headers],0),0),"")</f>
        <v>45448</v>
      </c>
      <c r="C459" t="str">
        <f>MONTH(ТабПозиции[[#This Row],[date]])&amp;"/"&amp;YEAR(ТабПозиции[[#This Row],[date]])</f>
        <v>6/2024</v>
      </c>
      <c r="D459" s="1" t="str">
        <f>IFERROR(VLOOKUP(ТабПозиции[[#This Row],[orderNum]],ТабЗаказы[#Data],MATCH(D$7,ТабЗаказы[#Headers],0),0),"")</f>
        <v>Юля Ларисына</v>
      </c>
      <c r="E459" s="32" t="s">
        <v>967</v>
      </c>
      <c r="F459" s="56" t="s">
        <v>3061</v>
      </c>
      <c r="H459" s="34">
        <v>45445</v>
      </c>
      <c r="I459" s="26">
        <v>1</v>
      </c>
      <c r="J459" s="40">
        <v>136</v>
      </c>
      <c r="K459">
        <v>136</v>
      </c>
      <c r="L459" s="26">
        <v>144</v>
      </c>
      <c r="M459">
        <f t="shared" si="8"/>
        <v>144</v>
      </c>
      <c r="O45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Row],[orderNum]],ТабПозиции[orderSumm])&gt;1500),ABS(M459*VLOOKUP(ТабПозиции[[#This Row],[orderNum]],ТабЗаказы[#Data],MATCH("Percent",ТабЗаказы[#Headers],0),0))/100,200/COUNTIF(ТабПозиции[orderNum],ТабПозиции[[#This Row],[orderNum]])),0),"")</f>
        <v>22</v>
      </c>
      <c r="P459">
        <f>IF(OR(ТабПозиции[[#This Row],[item]]="По штрихкоду",ТабПозиции[[#This Row],[item]]="Посылка"),ТабПозиции[[#This Row],[deliverySumm]]+ТабПозиции[[#This Row],[deliveryPost]],SUM(M459:O459))</f>
        <v>166</v>
      </c>
      <c r="Q459" s="57">
        <v>166</v>
      </c>
      <c r="R459" s="62">
        <f>ТабПозиции[[#This Row],[totalSumm]]-ТабПозиции[[#This Row],[payment]]</f>
        <v>0</v>
      </c>
      <c r="S459" s="34" t="s">
        <v>965</v>
      </c>
      <c r="T459" s="56" t="s">
        <v>3061</v>
      </c>
      <c r="U459" s="56" t="s">
        <v>3061</v>
      </c>
      <c r="V459" s="56" t="s">
        <v>3061</v>
      </c>
      <c r="W459" s="7"/>
      <c r="X459"/>
    </row>
    <row r="460" spans="1:24" x14ac:dyDescent="0.25">
      <c r="A460" s="26">
        <v>122</v>
      </c>
      <c r="B460" s="1">
        <f>IFERROR(VLOOKUP(ТабПозиции[[#This Row],[orderNum]],ТабЗаказы[#Data],MATCH(B$7,ТабЗаказы[#Headers],0),0),"")</f>
        <v>45448</v>
      </c>
      <c r="C460" t="str">
        <f>MONTH(ТабПозиции[[#This Row],[date]])&amp;"/"&amp;YEAR(ТабПозиции[[#This Row],[date]])</f>
        <v>6/2024</v>
      </c>
      <c r="D460" s="1" t="str">
        <f>IFERROR(VLOOKUP(ТабПозиции[[#This Row],[orderNum]],ТабЗаказы[#Data],MATCH(D$7,ТабЗаказы[#Headers],0),0),"")</f>
        <v>Юля Ларисына</v>
      </c>
      <c r="E460" s="32" t="s">
        <v>967</v>
      </c>
      <c r="F460" s="56" t="s">
        <v>3061</v>
      </c>
      <c r="H460" s="34">
        <v>45452</v>
      </c>
      <c r="I460" s="26">
        <v>1</v>
      </c>
      <c r="J460" s="40">
        <v>136</v>
      </c>
      <c r="K460">
        <v>136</v>
      </c>
      <c r="L460" s="26">
        <v>144</v>
      </c>
      <c r="M460">
        <f t="shared" si="8"/>
        <v>144</v>
      </c>
      <c r="O46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Row],[orderNum]],ТабПозиции[orderSumm])&gt;1500),ABS(M460*VLOOKUP(ТабПозиции[[#This Row],[orderNum]],ТабЗаказы[#Data],MATCH("Percent",ТабЗаказы[#Headers],0),0))/100,200/COUNTIF(ТабПозиции[orderNum],ТабПозиции[[#This Row],[orderNum]])),0),"")</f>
        <v>22</v>
      </c>
      <c r="P460">
        <f>IF(OR(ТабПозиции[[#This Row],[item]]="По штрихкоду",ТабПозиции[[#This Row],[item]]="Посылка"),ТабПозиции[[#This Row],[deliverySumm]]+ТабПозиции[[#This Row],[deliveryPost]],SUM(M460:O460))</f>
        <v>166</v>
      </c>
      <c r="Q460" s="57">
        <v>166</v>
      </c>
      <c r="R460" s="62">
        <f>ТабПозиции[[#This Row],[totalSumm]]-ТабПозиции[[#This Row],[payment]]</f>
        <v>0</v>
      </c>
      <c r="S460" s="34" t="s">
        <v>965</v>
      </c>
      <c r="T460" s="56" t="s">
        <v>3061</v>
      </c>
      <c r="U460" s="56" t="s">
        <v>3061</v>
      </c>
      <c r="V460" s="56" t="s">
        <v>3061</v>
      </c>
      <c r="W460" s="7"/>
      <c r="X460"/>
    </row>
    <row r="461" spans="1:24" x14ac:dyDescent="0.25">
      <c r="A461" s="26">
        <v>122</v>
      </c>
      <c r="B461" s="1">
        <f>IFERROR(VLOOKUP(ТабПозиции[[#This Row],[orderNum]],ТабЗаказы[#Data],MATCH(B$7,ТабЗаказы[#Headers],0),0),"")</f>
        <v>45448</v>
      </c>
      <c r="C461" t="str">
        <f>MONTH(ТабПозиции[[#This Row],[date]])&amp;"/"&amp;YEAR(ТабПозиции[[#This Row],[date]])</f>
        <v>6/2024</v>
      </c>
      <c r="D461" s="1" t="str">
        <f>IFERROR(VLOOKUP(ТабПозиции[[#This Row],[orderNum]],ТабЗаказы[#Data],MATCH(D$7,ТабЗаказы[#Headers],0),0),"")</f>
        <v>Юля Ларисына</v>
      </c>
      <c r="E461" s="32" t="s">
        <v>968</v>
      </c>
      <c r="F461" s="56" t="s">
        <v>3061</v>
      </c>
      <c r="H461" s="34">
        <v>45453</v>
      </c>
      <c r="I461" s="26">
        <v>1</v>
      </c>
      <c r="J461" s="26">
        <v>683</v>
      </c>
      <c r="K461">
        <v>683</v>
      </c>
      <c r="L461" s="26">
        <v>745</v>
      </c>
      <c r="M461">
        <f t="shared" si="8"/>
        <v>745</v>
      </c>
      <c r="O46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Row],[orderNum]],ТабПозиции[orderSumm])&gt;1500),ABS(M461*VLOOKUP(ТабПозиции[[#This Row],[orderNum]],ТабЗаказы[#Data],MATCH("Percent",ТабЗаказы[#Headers],0),0))/100,200/COUNTIF(ТабПозиции[orderNum],ТабПозиции[[#This Row],[orderNum]])),0),"")</f>
        <v>112</v>
      </c>
      <c r="P461">
        <f>IF(OR(ТабПозиции[[#This Row],[item]]="По штрихкоду",ТабПозиции[[#This Row],[item]]="Посылка"),ТабПозиции[[#This Row],[deliverySumm]]+ТабПозиции[[#This Row],[deliveryPost]],SUM(M461:O461))</f>
        <v>857</v>
      </c>
      <c r="Q461" s="57">
        <v>857</v>
      </c>
      <c r="R461" s="62">
        <f>ТабПозиции[[#This Row],[totalSumm]]-ТабПозиции[[#This Row],[payment]]</f>
        <v>0</v>
      </c>
      <c r="S461" s="34" t="s">
        <v>965</v>
      </c>
      <c r="T461" s="56" t="s">
        <v>3061</v>
      </c>
      <c r="U461" s="56" t="s">
        <v>3061</v>
      </c>
      <c r="V461" s="56" t="s">
        <v>3061</v>
      </c>
      <c r="W461" s="7"/>
      <c r="X461"/>
    </row>
    <row r="462" spans="1:24" x14ac:dyDescent="0.25">
      <c r="A462" s="26">
        <v>122</v>
      </c>
      <c r="B462" s="1">
        <f>IFERROR(VLOOKUP(ТабПозиции[[#This Row],[orderNum]],ТабЗаказы[#Data],MATCH(B$7,ТабЗаказы[#Headers],0),0),"")</f>
        <v>45448</v>
      </c>
      <c r="C462" t="str">
        <f>MONTH(ТабПозиции[[#This Row],[date]])&amp;"/"&amp;YEAR(ТабПозиции[[#This Row],[date]])</f>
        <v>6/2024</v>
      </c>
      <c r="D462" s="1" t="str">
        <f>IFERROR(VLOOKUP(ТабПозиции[[#This Row],[orderNum]],ТабЗаказы[#Data],MATCH(D$7,ТабЗаказы[#Headers],0),0),"")</f>
        <v>Юля Ларисына</v>
      </c>
      <c r="E462" s="32" t="s">
        <v>969</v>
      </c>
      <c r="F462" s="56" t="s">
        <v>3061</v>
      </c>
      <c r="H462" s="34">
        <v>45446</v>
      </c>
      <c r="I462" s="26">
        <v>1</v>
      </c>
      <c r="J462" s="40">
        <v>385</v>
      </c>
      <c r="K462">
        <v>385</v>
      </c>
      <c r="L462" s="26">
        <v>406</v>
      </c>
      <c r="M462">
        <f t="shared" si="8"/>
        <v>406</v>
      </c>
      <c r="O46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Row],[orderNum]],ТабПозиции[orderSumm])&gt;1500),ABS(M462*VLOOKUP(ТабПозиции[[#This Row],[orderNum]],ТабЗаказы[#Data],MATCH("Percent",ТабЗаказы[#Headers],0),0))/100,200/COUNTIF(ТабПозиции[orderNum],ТабПозиции[[#This Row],[orderNum]])),0),"")</f>
        <v>61</v>
      </c>
      <c r="P462">
        <f>IF(OR(ТабПозиции[[#This Row],[item]]="По штрихкоду",ТабПозиции[[#This Row],[item]]="Посылка"),ТабПозиции[[#This Row],[deliverySumm]]+ТабПозиции[[#This Row],[deliveryPost]],SUM(M462:O462))</f>
        <v>467</v>
      </c>
      <c r="Q462" s="57">
        <v>467</v>
      </c>
      <c r="R462" s="62">
        <f>ТабПозиции[[#This Row],[totalSumm]]-ТабПозиции[[#This Row],[payment]]</f>
        <v>0</v>
      </c>
      <c r="S462" s="34" t="s">
        <v>965</v>
      </c>
      <c r="T462" s="56" t="s">
        <v>3061</v>
      </c>
      <c r="U462" s="56" t="s">
        <v>3061</v>
      </c>
      <c r="V462" s="56" t="s">
        <v>3061</v>
      </c>
      <c r="W462" s="7"/>
      <c r="X462"/>
    </row>
    <row r="463" spans="1:24" x14ac:dyDescent="0.25">
      <c r="A463" s="26">
        <v>120</v>
      </c>
      <c r="B463" s="1">
        <f>IFERROR(VLOOKUP(ТабПозиции[[#This Row],[orderNum]],ТабЗаказы[#Data],MATCH(B$7,ТабЗаказы[#Headers],0),0),"")</f>
        <v>45446</v>
      </c>
      <c r="C463" t="str">
        <f>MONTH(ТабПозиции[[#This Row],[date]])&amp;"/"&amp;YEAR(ТабПозиции[[#This Row],[date]])</f>
        <v>6/2024</v>
      </c>
      <c r="D463" s="1" t="str">
        <f>IFERROR(VLOOKUP(ТабПозиции[[#This Row],[orderNum]],ТабЗаказы[#Data],MATCH(D$7,ТабЗаказы[#Headers],0),0),"")</f>
        <v>Митрофанов Евгений</v>
      </c>
      <c r="E463" s="32" t="s">
        <v>970</v>
      </c>
      <c r="F463" s="56" t="s">
        <v>3061</v>
      </c>
      <c r="H463" s="34">
        <v>45448</v>
      </c>
      <c r="I463" s="26">
        <v>1</v>
      </c>
      <c r="J463" s="26">
        <v>627</v>
      </c>
      <c r="K463">
        <v>627</v>
      </c>
      <c r="L463" s="26">
        <v>680</v>
      </c>
      <c r="M463">
        <f t="shared" si="8"/>
        <v>680</v>
      </c>
      <c r="O46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Row],[orderNum]],ТабПозиции[orderSumm])&gt;1500),ABS(M463*VLOOKUP(ТабПозиции[[#This Row],[orderNum]],ТабЗаказы[#Data],MATCH("Percent",ТабЗаказы[#Headers],0),0))/100,200/COUNTIF(ТабПозиции[orderNum],ТабПозиции[[#This Row],[orderNum]])),0),"")</f>
        <v>102</v>
      </c>
      <c r="P463">
        <f>IF(OR(ТабПозиции[[#This Row],[item]]="По штрихкоду",ТабПозиции[[#This Row],[item]]="Посылка"),ТабПозиции[[#This Row],[deliverySumm]]+ТабПозиции[[#This Row],[deliveryPost]],SUM(M463:O463))</f>
        <v>782</v>
      </c>
      <c r="Q463" s="57">
        <v>782</v>
      </c>
      <c r="R463" s="62">
        <f>ТабПозиции[[#This Row],[totalSumm]]-ТабПозиции[[#This Row],[payment]]</f>
        <v>0</v>
      </c>
      <c r="S463" s="34" t="s">
        <v>955</v>
      </c>
      <c r="T463" s="56" t="s">
        <v>3061</v>
      </c>
      <c r="U463" s="56" t="s">
        <v>3061</v>
      </c>
      <c r="V463" s="56" t="s">
        <v>3061</v>
      </c>
      <c r="W463" s="7"/>
      <c r="X463"/>
    </row>
    <row r="464" spans="1:24" x14ac:dyDescent="0.25">
      <c r="A464" s="26">
        <v>120</v>
      </c>
      <c r="B464" s="1">
        <f>IFERROR(VLOOKUP(ТабПозиции[[#This Row],[orderNum]],ТабЗаказы[#Data],MATCH(B$7,ТабЗаказы[#Headers],0),0),"")</f>
        <v>45446</v>
      </c>
      <c r="C464" t="str">
        <f>MONTH(ТабПозиции[[#This Row],[date]])&amp;"/"&amp;YEAR(ТабПозиции[[#This Row],[date]])</f>
        <v>6/2024</v>
      </c>
      <c r="D464" s="1" t="str">
        <f>IFERROR(VLOOKUP(ТабПозиции[[#This Row],[orderNum]],ТабЗаказы[#Data],MATCH(D$7,ТабЗаказы[#Headers],0),0),"")</f>
        <v>Митрофанов Евгений</v>
      </c>
      <c r="E464" s="32" t="s">
        <v>971</v>
      </c>
      <c r="F464" s="56" t="s">
        <v>3061</v>
      </c>
      <c r="H464" s="34">
        <v>45454</v>
      </c>
      <c r="I464" s="26">
        <v>1</v>
      </c>
      <c r="J464" s="26">
        <v>1823</v>
      </c>
      <c r="K464">
        <v>1823</v>
      </c>
      <c r="L464" s="26">
        <v>2115</v>
      </c>
      <c r="M464">
        <f t="shared" si="8"/>
        <v>2115</v>
      </c>
      <c r="O46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Row],[orderNum]],ТабПозиции[orderSumm])&gt;1500),ABS(M464*VLOOKUP(ТабПозиции[[#This Row],[orderNum]],ТабЗаказы[#Data],MATCH("Percent",ТабЗаказы[#Headers],0),0))/100,200/COUNTIF(ТабПозиции[orderNum],ТабПозиции[[#This Row],[orderNum]])),0),"")</f>
        <v>317</v>
      </c>
      <c r="P464">
        <f>IF(OR(ТабПозиции[[#This Row],[item]]="По штрихкоду",ТабПозиции[[#This Row],[item]]="Посылка"),ТабПозиции[[#This Row],[deliverySumm]]+ТабПозиции[[#This Row],[deliveryPost]],SUM(M464:O464))</f>
        <v>2432</v>
      </c>
      <c r="Q464" s="57">
        <v>2432</v>
      </c>
      <c r="R464" s="62">
        <f>ТабПозиции[[#This Row],[totalSumm]]-ТабПозиции[[#This Row],[payment]]</f>
        <v>0</v>
      </c>
      <c r="S464" s="34" t="s">
        <v>955</v>
      </c>
      <c r="T464" s="56" t="s">
        <v>3061</v>
      </c>
      <c r="U464" s="56" t="s">
        <v>3061</v>
      </c>
      <c r="V464" s="56" t="s">
        <v>3061</v>
      </c>
      <c r="W464" s="7"/>
      <c r="X464"/>
    </row>
    <row r="465" spans="1:24" x14ac:dyDescent="0.25">
      <c r="A465" s="26">
        <v>121</v>
      </c>
      <c r="B465" s="1">
        <f>IFERROR(VLOOKUP(ТабПозиции[[#This Row],[orderNum]],ТабЗаказы[#Data],MATCH(B$7,ТабЗаказы[#Headers],0),0),"")</f>
        <v>45446</v>
      </c>
      <c r="C465" t="str">
        <f>MONTH(ТабПозиции[[#This Row],[date]])&amp;"/"&amp;YEAR(ТабПозиции[[#This Row],[date]])</f>
        <v>6/2024</v>
      </c>
      <c r="D465" s="1" t="str">
        <f>IFERROR(VLOOKUP(ТабПозиции[[#This Row],[orderNum]],ТабЗаказы[#Data],MATCH(D$7,ТабЗаказы[#Headers],0),0),"")</f>
        <v>Александр Каскад</v>
      </c>
      <c r="E465" s="32" t="s">
        <v>972</v>
      </c>
      <c r="F465" s="56" t="s">
        <v>3061</v>
      </c>
      <c r="H465" s="34">
        <v>45450</v>
      </c>
      <c r="I465" s="26">
        <v>2</v>
      </c>
      <c r="J465" s="26">
        <v>511</v>
      </c>
      <c r="K465">
        <v>1022</v>
      </c>
      <c r="L465" s="26">
        <v>574</v>
      </c>
      <c r="M465">
        <f t="shared" si="8"/>
        <v>1148</v>
      </c>
      <c r="O46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Row],[orderNum]],ТабПозиции[orderSumm])&gt;1500),ABS(M465*VLOOKUP(ТабПозиции[[#This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465">
        <f>IF(OR(ТабПозиции[[#This Row],[item]]="По штрихкоду",ТабПозиции[[#This Row],[item]]="Посылка"),ТабПозиции[[#This Row],[deliverySumm]]+ТабПозиции[[#This Row],[deliveryPost]],SUM(M465:O465))</f>
        <v>1348</v>
      </c>
      <c r="Q465" s="57">
        <v>1348</v>
      </c>
      <c r="R465" s="62">
        <f>ТабПозиции[[#This Row],[totalSumm]]-ТабПозиции[[#This Row],[payment]]</f>
        <v>0</v>
      </c>
      <c r="S465" s="34" t="s">
        <v>955</v>
      </c>
      <c r="T465" s="56" t="s">
        <v>3061</v>
      </c>
      <c r="U465" s="56" t="s">
        <v>3061</v>
      </c>
      <c r="V465" s="56" t="s">
        <v>3061</v>
      </c>
      <c r="W465" s="7"/>
      <c r="X465"/>
    </row>
    <row r="466" spans="1:24" x14ac:dyDescent="0.25">
      <c r="A466" s="26">
        <v>120</v>
      </c>
      <c r="B466" s="1">
        <f>IFERROR(VLOOKUP(ТабПозиции[[#This Row],[orderNum]],ТабЗаказы[#Data],MATCH(B$7,ТабЗаказы[#Headers],0),0),"")</f>
        <v>45446</v>
      </c>
      <c r="C466" t="str">
        <f>MONTH(ТабПозиции[[#This Row],[date]])&amp;"/"&amp;YEAR(ТабПозиции[[#This Row],[date]])</f>
        <v>6/2024</v>
      </c>
      <c r="D466" s="1" t="str">
        <f>IFERROR(VLOOKUP(ТабПозиции[[#This Row],[orderNum]],ТабЗаказы[#Data],MATCH(D$7,ТабЗаказы[#Headers],0),0),"")</f>
        <v>Митрофанов Евгений</v>
      </c>
      <c r="E466" s="32" t="s">
        <v>973</v>
      </c>
      <c r="F466" s="56" t="s">
        <v>3061</v>
      </c>
      <c r="H466" s="34">
        <v>45453</v>
      </c>
      <c r="I466" s="26">
        <v>1</v>
      </c>
      <c r="J466" s="26">
        <v>335</v>
      </c>
      <c r="K466">
        <v>335</v>
      </c>
      <c r="L466" s="26">
        <v>340</v>
      </c>
      <c r="M466">
        <f t="shared" si="8"/>
        <v>340</v>
      </c>
      <c r="O46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Row],[orderNum]],ТабПозиции[orderSumm])&gt;1500),ABS(M466*VLOOKUP(ТабПозиции[[#This Row],[orderNum]],ТабЗаказы[#Data],MATCH("Percent",ТабЗаказы[#Headers],0),0))/100,200/COUNTIF(ТабПозиции[orderNum],ТабПозиции[[#This Row],[orderNum]])),0),"")</f>
        <v>51</v>
      </c>
      <c r="P466">
        <f>IF(OR(ТабПозиции[[#This Row],[item]]="По штрихкоду",ТабПозиции[[#This Row],[item]]="Посылка"),ТабПозиции[[#This Row],[deliverySumm]]+ТабПозиции[[#This Row],[deliveryPost]],SUM(M466:O466))</f>
        <v>391</v>
      </c>
      <c r="Q466" s="57">
        <v>391</v>
      </c>
      <c r="R466" s="62">
        <f>ТабПозиции[[#This Row],[totalSumm]]-ТабПозиции[[#This Row],[payment]]</f>
        <v>0</v>
      </c>
      <c r="S466" s="34" t="s">
        <v>955</v>
      </c>
      <c r="T466" s="56" t="s">
        <v>3061</v>
      </c>
      <c r="U466" s="56" t="s">
        <v>3061</v>
      </c>
      <c r="V466" s="56" t="s">
        <v>3061</v>
      </c>
      <c r="W466" s="7"/>
      <c r="X466"/>
    </row>
    <row r="467" spans="1:24" x14ac:dyDescent="0.25">
      <c r="A467" s="26">
        <v>115</v>
      </c>
      <c r="B467" s="1">
        <f>IFERROR(VLOOKUP(ТабПозиции[[#This Row],[orderNum]],ТабЗаказы[#Data],MATCH(B$7,ТабЗаказы[#Headers],0),0),"")</f>
        <v>45443</v>
      </c>
      <c r="C467" t="str">
        <f>MONTH(ТабПозиции[[#This Row],[date]])&amp;"/"&amp;YEAR(ТабПозиции[[#This Row],[date]])</f>
        <v>5/2024</v>
      </c>
      <c r="D467" s="1" t="str">
        <f>IFERROR(VLOOKUP(ТабПозиции[[#This Row],[orderNum]],ТабЗаказы[#Data],MATCH(D$7,ТабЗаказы[#Headers],0),0),"")</f>
        <v>Александр электростанция</v>
      </c>
      <c r="E467" s="26" t="s">
        <v>974</v>
      </c>
      <c r="F467" s="56" t="s">
        <v>3061</v>
      </c>
      <c r="H467" s="34">
        <v>45457</v>
      </c>
      <c r="I467" s="26">
        <v>1</v>
      </c>
      <c r="J467" s="26">
        <v>12651</v>
      </c>
      <c r="K467">
        <v>12651</v>
      </c>
      <c r="L467" s="26">
        <v>13611</v>
      </c>
      <c r="M467">
        <f t="shared" si="8"/>
        <v>13611</v>
      </c>
      <c r="N467" s="26">
        <v>900</v>
      </c>
      <c r="O46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Row],[orderNum]],ТабПозиции[orderSumm])&gt;1500),ABS(M467*VLOOKUP(ТабПозиции[[#This Row],[orderNum]],ТабЗаказы[#Data],MATCH("Percent",ТабЗаказы[#Headers],0),0))/100,200/COUNTIF(ТабПозиции[orderNum],ТабПозиции[[#This Row],[orderNum]])),0),"")</f>
        <v>1361</v>
      </c>
      <c r="P467">
        <f>IF(OR(ТабПозиции[[#This Row],[item]]="По штрихкоду",ТабПозиции[[#This Row],[item]]="Посылка"),ТабПозиции[[#This Row],[deliverySumm]]+ТабПозиции[[#This Row],[deliveryPost]],SUM(M467:O467))</f>
        <v>15872</v>
      </c>
      <c r="Q467" s="57">
        <v>15872</v>
      </c>
      <c r="R467" s="62">
        <f>ТабПозиции[[#This Row],[totalSumm]]-ТабПозиции[[#This Row],[payment]]</f>
        <v>0</v>
      </c>
      <c r="S467" s="34" t="s">
        <v>975</v>
      </c>
      <c r="T467" s="56" t="s">
        <v>3061</v>
      </c>
      <c r="U467" s="56" t="s">
        <v>3061</v>
      </c>
      <c r="V467" s="56" t="s">
        <v>3061</v>
      </c>
      <c r="W467" s="7"/>
      <c r="X467"/>
    </row>
    <row r="468" spans="1:24" x14ac:dyDescent="0.25">
      <c r="A468" s="26">
        <v>120</v>
      </c>
      <c r="B468" s="1">
        <f>IFERROR(VLOOKUP(ТабПозиции[[#This Row],[orderNum]],ТабЗаказы[#Data],MATCH(B$7,ТабЗаказы[#Headers],0),0),"")</f>
        <v>45446</v>
      </c>
      <c r="C468" t="str">
        <f>MONTH(ТабПозиции[[#This Row],[date]])&amp;"/"&amp;YEAR(ТабПозиции[[#This Row],[date]])</f>
        <v>6/2024</v>
      </c>
      <c r="D468" s="1" t="str">
        <f>IFERROR(VLOOKUP(ТабПозиции[[#This Row],[orderNum]],ТабЗаказы[#Data],MATCH(D$7,ТабЗаказы[#Headers],0),0),"")</f>
        <v>Митрофанов Евгений</v>
      </c>
      <c r="E468" s="32" t="s">
        <v>976</v>
      </c>
      <c r="F468" s="56" t="s">
        <v>3061</v>
      </c>
      <c r="H468" s="34">
        <v>45453</v>
      </c>
      <c r="I468" s="26">
        <v>1</v>
      </c>
      <c r="J468" s="26">
        <v>260</v>
      </c>
      <c r="K468">
        <v>260</v>
      </c>
      <c r="L468" s="26">
        <v>265</v>
      </c>
      <c r="M468">
        <f t="shared" si="8"/>
        <v>265</v>
      </c>
      <c r="O46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Row],[orderNum]],ТабПозиции[orderSumm])&gt;1500),ABS(M468*VLOOKUP(ТабПозиции[[#This Row],[orderNum]],ТабЗаказы[#Data],MATCH("Percent",ТабЗаказы[#Headers],0),0))/100,200/COUNTIF(ТабПозиции[orderNum],ТабПозиции[[#This Row],[orderNum]])),0),"")</f>
        <v>40</v>
      </c>
      <c r="P468">
        <f>IF(OR(ТабПозиции[[#This Row],[item]]="По штрихкоду",ТабПозиции[[#This Row],[item]]="Посылка"),ТабПозиции[[#This Row],[deliverySumm]]+ТабПозиции[[#This Row],[deliveryPost]],SUM(M468:O468))</f>
        <v>305</v>
      </c>
      <c r="Q468" s="57">
        <v>305</v>
      </c>
      <c r="R468" s="62">
        <f>ТабПозиции[[#This Row],[totalSumm]]-ТабПозиции[[#This Row],[payment]]</f>
        <v>0</v>
      </c>
      <c r="S468" s="34" t="s">
        <v>955</v>
      </c>
      <c r="T468" s="56" t="s">
        <v>3061</v>
      </c>
      <c r="U468" s="56" t="s">
        <v>3061</v>
      </c>
      <c r="V468" s="56" t="s">
        <v>3061</v>
      </c>
      <c r="W468" s="7"/>
      <c r="X468"/>
    </row>
    <row r="469" spans="1:24" x14ac:dyDescent="0.25">
      <c r="A469" s="26">
        <v>120</v>
      </c>
      <c r="B469" s="1">
        <f>IFERROR(VLOOKUP(ТабПозиции[[#This Row],[orderNum]],ТабЗаказы[#Data],MATCH(B$7,ТабЗаказы[#Headers],0),0),"")</f>
        <v>45446</v>
      </c>
      <c r="C469" t="str">
        <f>MONTH(ТабПозиции[[#This Row],[date]])&amp;"/"&amp;YEAR(ТабПозиции[[#This Row],[date]])</f>
        <v>6/2024</v>
      </c>
      <c r="D469" s="1" t="str">
        <f>IFERROR(VLOOKUP(ТабПозиции[[#This Row],[orderNum]],ТабЗаказы[#Data],MATCH(D$7,ТабЗаказы[#Headers],0),0),"")</f>
        <v>Митрофанов Евгений</v>
      </c>
      <c r="E469" s="32" t="s">
        <v>977</v>
      </c>
      <c r="F469" s="56" t="s">
        <v>3061</v>
      </c>
      <c r="H469" s="34">
        <v>45451</v>
      </c>
      <c r="I469" s="26">
        <v>1</v>
      </c>
      <c r="J469" s="26">
        <v>563</v>
      </c>
      <c r="K469">
        <v>563</v>
      </c>
      <c r="L469" s="26">
        <v>607</v>
      </c>
      <c r="M469">
        <f t="shared" si="8"/>
        <v>607</v>
      </c>
      <c r="O46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Row],[orderNum]],ТабПозиции[orderSumm])&gt;1500),ABS(M469*VLOOKUP(ТабПозиции[[#This Row],[orderNum]],ТабЗаказы[#Data],MATCH("Percent",ТабЗаказы[#Headers],0),0))/100,200/COUNTIF(ТабПозиции[orderNum],ТабПозиции[[#This Row],[orderNum]])),0),"")</f>
        <v>91</v>
      </c>
      <c r="P469">
        <f>IF(OR(ТабПозиции[[#This Row],[item]]="По штрихкоду",ТабПозиции[[#This Row],[item]]="Посылка"),ТабПозиции[[#This Row],[deliverySumm]]+ТабПозиции[[#This Row],[deliveryPost]],SUM(M469:O469))</f>
        <v>698</v>
      </c>
      <c r="Q469" s="57">
        <v>698</v>
      </c>
      <c r="R469" s="62">
        <f>ТабПозиции[[#This Row],[totalSumm]]-ТабПозиции[[#This Row],[payment]]</f>
        <v>0</v>
      </c>
      <c r="S469" s="34" t="s">
        <v>955</v>
      </c>
      <c r="T469" s="56" t="s">
        <v>3061</v>
      </c>
      <c r="U469" s="56" t="s">
        <v>3061</v>
      </c>
      <c r="V469" s="56" t="s">
        <v>3061</v>
      </c>
      <c r="W469" s="7"/>
      <c r="X469"/>
    </row>
    <row r="470" spans="1:24" x14ac:dyDescent="0.25">
      <c r="A470" s="26">
        <v>122</v>
      </c>
      <c r="B470" s="1">
        <f>IFERROR(VLOOKUP(ТабПозиции[[#This Row],[orderNum]],ТабЗаказы[#Data],MATCH(B$7,ТабЗаказы[#Headers],0),0),"")</f>
        <v>45448</v>
      </c>
      <c r="C470" t="str">
        <f>MONTH(ТабПозиции[[#This Row],[date]])&amp;"/"&amp;YEAR(ТабПозиции[[#This Row],[date]])</f>
        <v>6/2024</v>
      </c>
      <c r="D470" s="1" t="str">
        <f>IFERROR(VLOOKUP(ТабПозиции[[#This Row],[orderNum]],ТабЗаказы[#Data],MATCH(D$7,ТабЗаказы[#Headers],0),0),"")</f>
        <v>Юля Ларисына</v>
      </c>
      <c r="E470" s="32" t="s">
        <v>978</v>
      </c>
      <c r="F470" s="56" t="s">
        <v>3061</v>
      </c>
      <c r="H470" s="34">
        <v>45451</v>
      </c>
      <c r="I470" s="26">
        <v>1</v>
      </c>
      <c r="J470" s="26">
        <v>490</v>
      </c>
      <c r="K470">
        <v>490</v>
      </c>
      <c r="L470" s="26">
        <v>516</v>
      </c>
      <c r="M470">
        <f t="shared" si="8"/>
        <v>516</v>
      </c>
      <c r="O47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Row],[orderNum]],ТабПозиции[orderSumm])&gt;1500),ABS(M470*VLOOKUP(ТабПозиции[[#This Row],[orderNum]],ТабЗаказы[#Data],MATCH("Percent",ТабЗаказы[#Headers],0),0))/100,200/COUNTIF(ТабПозиции[orderNum],ТабПозиции[[#This Row],[orderNum]])),0),"")</f>
        <v>77</v>
      </c>
      <c r="P470">
        <f>IF(OR(ТабПозиции[[#This Row],[item]]="По штрихкоду",ТабПозиции[[#This Row],[item]]="Посылка"),ТабПозиции[[#This Row],[deliverySumm]]+ТабПозиции[[#This Row],[deliveryPost]],SUM(M470:O470))</f>
        <v>593</v>
      </c>
      <c r="Q470" s="57">
        <v>593</v>
      </c>
      <c r="R470" s="62">
        <f>ТабПозиции[[#This Row],[totalSumm]]-ТабПозиции[[#This Row],[payment]]</f>
        <v>0</v>
      </c>
      <c r="S470" s="34" t="s">
        <v>965</v>
      </c>
      <c r="T470" s="56" t="s">
        <v>3061</v>
      </c>
      <c r="U470" s="56" t="s">
        <v>3061</v>
      </c>
      <c r="V470" s="56" t="s">
        <v>3061</v>
      </c>
      <c r="W470" s="7"/>
      <c r="X470"/>
    </row>
    <row r="471" spans="1:24" x14ac:dyDescent="0.25">
      <c r="A471" s="26">
        <v>122</v>
      </c>
      <c r="B471" s="1">
        <f>IFERROR(VLOOKUP(ТабПозиции[[#This Row],[orderNum]],ТабЗаказы[#Data],MATCH(B$7,ТабЗаказы[#Headers],0),0),"")</f>
        <v>45448</v>
      </c>
      <c r="C471" t="str">
        <f>MONTH(ТабПозиции[[#This Row],[date]])&amp;"/"&amp;YEAR(ТабПозиции[[#This Row],[date]])</f>
        <v>6/2024</v>
      </c>
      <c r="D471" s="1" t="str">
        <f>IFERROR(VLOOKUP(ТабПозиции[[#This Row],[orderNum]],ТабЗаказы[#Data],MATCH(D$7,ТабЗаказы[#Headers],0),0),"")</f>
        <v>Юля Ларисына</v>
      </c>
      <c r="E471" s="32" t="s">
        <v>979</v>
      </c>
      <c r="F471" s="56" t="s">
        <v>3061</v>
      </c>
      <c r="H471" s="34">
        <v>45451</v>
      </c>
      <c r="I471" s="26">
        <v>1</v>
      </c>
      <c r="J471" s="26">
        <v>469</v>
      </c>
      <c r="K471">
        <v>469</v>
      </c>
      <c r="L471" s="26">
        <v>494</v>
      </c>
      <c r="M471">
        <f t="shared" si="8"/>
        <v>494</v>
      </c>
      <c r="O47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Row],[orderNum]],ТабПозиции[orderSumm])&gt;1500),ABS(M471*VLOOKUP(ТабПозиции[[#This Row],[orderNum]],ТабЗаказы[#Data],MATCH("Percent",ТабЗаказы[#Headers],0),0))/100,200/COUNTIF(ТабПозиции[orderNum],ТабПозиции[[#This Row],[orderNum]])),0),"")</f>
        <v>74</v>
      </c>
      <c r="P471">
        <f>IF(OR(ТабПозиции[[#This Row],[item]]="По штрихкоду",ТабПозиции[[#This Row],[item]]="Посылка"),ТабПозиции[[#This Row],[deliverySumm]]+ТабПозиции[[#This Row],[deliveryPost]],SUM(M471:O471))</f>
        <v>568</v>
      </c>
      <c r="Q471" s="57">
        <v>568</v>
      </c>
      <c r="R471" s="62">
        <f>ТабПозиции[[#This Row],[totalSumm]]-ТабПозиции[[#This Row],[payment]]</f>
        <v>0</v>
      </c>
      <c r="S471" s="34" t="s">
        <v>965</v>
      </c>
      <c r="T471" s="56" t="s">
        <v>3061</v>
      </c>
      <c r="U471" s="56" t="s">
        <v>3061</v>
      </c>
      <c r="V471" s="56" t="s">
        <v>3061</v>
      </c>
      <c r="W471" s="7"/>
      <c r="X471"/>
    </row>
    <row r="472" spans="1:24" x14ac:dyDescent="0.25">
      <c r="A472" s="26">
        <v>122</v>
      </c>
      <c r="B472" s="1">
        <f>IFERROR(VLOOKUP(ТабПозиции[[#This Row],[orderNum]],ТабЗаказы[#Data],MATCH(B$7,ТабЗаказы[#Headers],0),0),"")</f>
        <v>45448</v>
      </c>
      <c r="C472" t="str">
        <f>MONTH(ТабПозиции[[#This Row],[date]])&amp;"/"&amp;YEAR(ТабПозиции[[#This Row],[date]])</f>
        <v>6/2024</v>
      </c>
      <c r="D472" s="1" t="str">
        <f>IFERROR(VLOOKUP(ТабПозиции[[#This Row],[orderNum]],ТабЗаказы[#Data],MATCH(D$7,ТабЗаказы[#Headers],0),0),"")</f>
        <v>Юля Ларисына</v>
      </c>
      <c r="E472" s="32" t="s">
        <v>980</v>
      </c>
      <c r="F472" s="56" t="s">
        <v>3061</v>
      </c>
      <c r="H472" s="34">
        <v>45451</v>
      </c>
      <c r="I472" s="26">
        <v>1</v>
      </c>
      <c r="J472" s="26">
        <v>976</v>
      </c>
      <c r="K472">
        <v>976</v>
      </c>
      <c r="L472" s="26">
        <v>1028</v>
      </c>
      <c r="M472">
        <f t="shared" si="8"/>
        <v>1028</v>
      </c>
      <c r="O47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Row],[orderNum]],ТабПозиции[orderSumm])&gt;1500),ABS(M472*VLOOKUP(ТабПозиции[[#This Row],[orderNum]],ТабЗаказы[#Data],MATCH("Percent",ТабЗаказы[#Headers],0),0))/100,200/COUNTIF(ТабПозиции[orderNum],ТабПозиции[[#This Row],[orderNum]])),0),"")</f>
        <v>154</v>
      </c>
      <c r="P472">
        <f>IF(OR(ТабПозиции[[#This Row],[item]]="По штрихкоду",ТабПозиции[[#This Row],[item]]="Посылка"),ТабПозиции[[#This Row],[deliverySumm]]+ТабПозиции[[#This Row],[deliveryPost]],SUM(M472:O472))</f>
        <v>1182</v>
      </c>
      <c r="Q472" s="57">
        <v>1182</v>
      </c>
      <c r="R472" s="62">
        <f>ТабПозиции[[#This Row],[totalSumm]]-ТабПозиции[[#This Row],[payment]]</f>
        <v>0</v>
      </c>
      <c r="S472" s="34" t="s">
        <v>965</v>
      </c>
      <c r="T472" s="56" t="s">
        <v>3061</v>
      </c>
      <c r="U472" s="56" t="s">
        <v>3061</v>
      </c>
      <c r="V472" s="56" t="s">
        <v>3061</v>
      </c>
      <c r="W472" s="7"/>
      <c r="X472"/>
    </row>
    <row r="473" spans="1:24" x14ac:dyDescent="0.25">
      <c r="A473" s="26">
        <v>122</v>
      </c>
      <c r="B473" s="1">
        <f>IFERROR(VLOOKUP(ТабПозиции[[#This Row],[orderNum]],ТабЗаказы[#Data],MATCH(B$7,ТабЗаказы[#Headers],0),0),"")</f>
        <v>45448</v>
      </c>
      <c r="C473" t="str">
        <f>MONTH(ТабПозиции[[#This Row],[date]])&amp;"/"&amp;YEAR(ТабПозиции[[#This Row],[date]])</f>
        <v>6/2024</v>
      </c>
      <c r="D473" s="1" t="str">
        <f>IFERROR(VLOOKUP(ТабПозиции[[#This Row],[orderNum]],ТабЗаказы[#Data],MATCH(D$7,ТабЗаказы[#Headers],0),0),"")</f>
        <v>Юля Ларисына</v>
      </c>
      <c r="E473" s="32" t="s">
        <v>981</v>
      </c>
      <c r="F473" s="56" t="s">
        <v>3061</v>
      </c>
      <c r="H473" s="34">
        <v>45450</v>
      </c>
      <c r="I473" s="26">
        <v>1</v>
      </c>
      <c r="J473" s="26">
        <v>492</v>
      </c>
      <c r="K473">
        <v>492</v>
      </c>
      <c r="L473" s="26">
        <v>518</v>
      </c>
      <c r="M473">
        <f t="shared" si="8"/>
        <v>518</v>
      </c>
      <c r="O47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Row],[orderNum]],ТабПозиции[orderSumm])&gt;1500),ABS(M473*VLOOKUP(ТабПозиции[[#This Row],[orderNum]],ТабЗаказы[#Data],MATCH("Percent",ТабЗаказы[#Headers],0),0))/100,200/COUNTIF(ТабПозиции[orderNum],ТабПозиции[[#This Row],[orderNum]])),0),"")</f>
        <v>78</v>
      </c>
      <c r="P473">
        <f>IF(OR(ТабПозиции[[#This Row],[item]]="По штрихкоду",ТабПозиции[[#This Row],[item]]="Посылка"),ТабПозиции[[#This Row],[deliverySumm]]+ТабПозиции[[#This Row],[deliveryPost]],SUM(M473:O473))</f>
        <v>596</v>
      </c>
      <c r="Q473" s="57">
        <v>596</v>
      </c>
      <c r="R473" s="62">
        <f>ТабПозиции[[#This Row],[totalSumm]]-ТабПозиции[[#This Row],[payment]]</f>
        <v>0</v>
      </c>
      <c r="S473" s="34" t="s">
        <v>965</v>
      </c>
      <c r="T473" s="56" t="s">
        <v>3061</v>
      </c>
      <c r="U473" s="56" t="s">
        <v>3061</v>
      </c>
      <c r="V473" s="56" t="s">
        <v>3061</v>
      </c>
      <c r="W473" s="7"/>
      <c r="X473"/>
    </row>
    <row r="474" spans="1:24" x14ac:dyDescent="0.25">
      <c r="A474" s="26">
        <v>123</v>
      </c>
      <c r="B474" s="1">
        <f>IFERROR(VLOOKUP(ТабПозиции[[#This Row],[orderNum]],ТабЗаказы[#Data],MATCH(B$7,ТабЗаказы[#Headers],0),0),"")</f>
        <v>45450</v>
      </c>
      <c r="C474" t="str">
        <f>MONTH(ТабПозиции[[#This Row],[date]])&amp;"/"&amp;YEAR(ТабПозиции[[#This Row],[date]])</f>
        <v>6/2024</v>
      </c>
      <c r="D474" s="1" t="str">
        <f>IFERROR(VLOOKUP(ТабПозиции[[#This Row],[orderNum]],ТабЗаказы[#Data],MATCH(D$7,ТабЗаказы[#Headers],0),0),"")</f>
        <v>Лариса Кирова</v>
      </c>
      <c r="E474" s="32" t="s">
        <v>982</v>
      </c>
      <c r="F474" s="56" t="s">
        <v>3061</v>
      </c>
      <c r="H474" s="34">
        <v>45453</v>
      </c>
      <c r="I474" s="26">
        <v>1</v>
      </c>
      <c r="J474" s="26">
        <v>264</v>
      </c>
      <c r="K474">
        <v>264</v>
      </c>
      <c r="L474" s="26">
        <v>278</v>
      </c>
      <c r="M474">
        <f t="shared" si="8"/>
        <v>278</v>
      </c>
      <c r="O47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Row],[orderNum]],ТабПозиции[orderSumm])&gt;1500),ABS(M474*VLOOKUP(ТабПозиции[[#This Row],[orderNum]],ТабЗаказы[#Data],MATCH("Percent",ТабЗаказы[#Headers],0),0))/100,200/COUNTIF(ТабПозиции[orderNum],ТабПозиции[[#This Row],[orderNum]])),0),"")</f>
        <v>33</v>
      </c>
      <c r="P474">
        <f>IF(OR(ТабПозиции[[#This Row],[item]]="По штрихкоду",ТабПозиции[[#This Row],[item]]="Посылка"),ТабПозиции[[#This Row],[deliverySumm]]+ТабПозиции[[#This Row],[deliveryPost]],SUM(M474:O474))</f>
        <v>311</v>
      </c>
      <c r="Q474" s="57">
        <v>311</v>
      </c>
      <c r="R474" s="62">
        <f>ТабПозиции[[#This Row],[totalSumm]]-ТабПозиции[[#This Row],[payment]]</f>
        <v>0</v>
      </c>
      <c r="S474" s="34" t="s">
        <v>965</v>
      </c>
      <c r="T474" s="56" t="s">
        <v>3061</v>
      </c>
      <c r="U474" s="56" t="s">
        <v>3061</v>
      </c>
      <c r="V474" s="56" t="s">
        <v>3061</v>
      </c>
      <c r="W474" s="7"/>
      <c r="X474"/>
    </row>
    <row r="475" spans="1:24" x14ac:dyDescent="0.25">
      <c r="A475" s="26">
        <v>123</v>
      </c>
      <c r="B475" s="1">
        <f>IFERROR(VLOOKUP(ТабПозиции[[#This Row],[orderNum]],ТабЗаказы[#Data],MATCH(B$7,ТабЗаказы[#Headers],0),0),"")</f>
        <v>45450</v>
      </c>
      <c r="C475" t="str">
        <f>MONTH(ТабПозиции[[#This Row],[date]])&amp;"/"&amp;YEAR(ТабПозиции[[#This Row],[date]])</f>
        <v>6/2024</v>
      </c>
      <c r="D475" s="1" t="str">
        <f>IFERROR(VLOOKUP(ТабПозиции[[#This Row],[orderNum]],ТабЗаказы[#Data],MATCH(D$7,ТабЗаказы[#Headers],0),0),"")</f>
        <v>Лариса Кирова</v>
      </c>
      <c r="E475" s="32" t="s">
        <v>983</v>
      </c>
      <c r="F475" s="56" t="s">
        <v>3061</v>
      </c>
      <c r="H475" s="34">
        <v>45454</v>
      </c>
      <c r="I475" s="26">
        <v>1</v>
      </c>
      <c r="J475" s="26">
        <v>99</v>
      </c>
      <c r="K475">
        <v>99</v>
      </c>
      <c r="L475" s="26">
        <v>105</v>
      </c>
      <c r="M475">
        <f t="shared" si="8"/>
        <v>105</v>
      </c>
      <c r="O47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Row],[orderNum]],ТабПозиции[orderSumm])&gt;1500),ABS(M475*VLOOKUP(ТабПозиции[[#This Row],[orderNum]],ТабЗаказы[#Data],MATCH("Percent",ТабЗаказы[#Headers],0),0))/100,200/COUNTIF(ТабПозиции[orderNum],ТабПозиции[[#This Row],[orderNum]])),0),"")</f>
        <v>33</v>
      </c>
      <c r="P475">
        <f>IF(OR(ТабПозиции[[#This Row],[item]]="По штрихкоду",ТабПозиции[[#This Row],[item]]="Посылка"),ТабПозиции[[#This Row],[deliverySumm]]+ТабПозиции[[#This Row],[deliveryPost]],SUM(M475:O475))</f>
        <v>138</v>
      </c>
      <c r="Q475" s="57">
        <v>138</v>
      </c>
      <c r="R475" s="62">
        <f>ТабПозиции[[#This Row],[totalSumm]]-ТабПозиции[[#This Row],[payment]]</f>
        <v>0</v>
      </c>
      <c r="S475" s="34" t="s">
        <v>965</v>
      </c>
      <c r="T475" s="56" t="s">
        <v>3061</v>
      </c>
      <c r="U475" s="56" t="s">
        <v>3061</v>
      </c>
      <c r="V475" s="56" t="s">
        <v>3061</v>
      </c>
      <c r="W475" s="7"/>
      <c r="X475"/>
    </row>
    <row r="476" spans="1:24" x14ac:dyDescent="0.25">
      <c r="A476" s="26">
        <v>123</v>
      </c>
      <c r="B476" s="1">
        <f>IFERROR(VLOOKUP(ТабПозиции[[#This Row],[orderNum]],ТабЗаказы[#Data],MATCH(B$7,ТабЗаказы[#Headers],0),0),"")</f>
        <v>45450</v>
      </c>
      <c r="C476" t="str">
        <f>MONTH(ТабПозиции[[#This Row],[date]])&amp;"/"&amp;YEAR(ТабПозиции[[#This Row],[date]])</f>
        <v>6/2024</v>
      </c>
      <c r="D476" s="1" t="str">
        <f>IFERROR(VLOOKUP(ТабПозиции[[#This Row],[orderNum]],ТабЗаказы[#Data],MATCH(D$7,ТабЗаказы[#Headers],0),0),"")</f>
        <v>Лариса Кирова</v>
      </c>
      <c r="E476" s="32" t="s">
        <v>574</v>
      </c>
      <c r="F476" s="56" t="s">
        <v>3061</v>
      </c>
      <c r="H476" s="34">
        <v>45453</v>
      </c>
      <c r="I476" s="26">
        <v>1</v>
      </c>
      <c r="J476" s="26">
        <v>247</v>
      </c>
      <c r="K476">
        <v>247</v>
      </c>
      <c r="L476" s="26">
        <v>261</v>
      </c>
      <c r="M476">
        <f t="shared" si="8"/>
        <v>261</v>
      </c>
      <c r="O47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Row],[orderNum]],ТабПозиции[orderSumm])&gt;1500),ABS(M476*VLOOKUP(ТабПозиции[[#This Row],[orderNum]],ТабЗаказы[#Data],MATCH("Percent",ТабЗаказы[#Headers],0),0))/100,200/COUNTIF(ТабПозиции[orderNum],ТабПозиции[[#This Row],[orderNum]])),0),"")</f>
        <v>33</v>
      </c>
      <c r="P476">
        <f>IF(OR(ТабПозиции[[#This Row],[item]]="По штрихкоду",ТабПозиции[[#This Row],[item]]="Посылка"),ТабПозиции[[#This Row],[deliverySumm]]+ТабПозиции[[#This Row],[deliveryPost]],SUM(M476:O476))</f>
        <v>294</v>
      </c>
      <c r="Q476" s="57">
        <v>294</v>
      </c>
      <c r="R476" s="62">
        <f>ТабПозиции[[#This Row],[totalSumm]]-ТабПозиции[[#This Row],[payment]]</f>
        <v>0</v>
      </c>
      <c r="S476" s="34" t="s">
        <v>965</v>
      </c>
      <c r="T476" s="56" t="s">
        <v>3061</v>
      </c>
      <c r="U476" s="56" t="s">
        <v>3061</v>
      </c>
      <c r="V476" s="56" t="s">
        <v>3061</v>
      </c>
      <c r="W476" s="7"/>
      <c r="X476"/>
    </row>
    <row r="477" spans="1:24" x14ac:dyDescent="0.25">
      <c r="A477" s="26">
        <v>123</v>
      </c>
      <c r="B477" s="1">
        <f>IFERROR(VLOOKUP(ТабПозиции[[#This Row],[orderNum]],ТабЗаказы[#Data],MATCH(B$7,ТабЗаказы[#Headers],0),0),"")</f>
        <v>45450</v>
      </c>
      <c r="C477" t="str">
        <f>MONTH(ТабПозиции[[#This Row],[date]])&amp;"/"&amp;YEAR(ТабПозиции[[#This Row],[date]])</f>
        <v>6/2024</v>
      </c>
      <c r="D477" s="1" t="str">
        <f>IFERROR(VLOOKUP(ТабПозиции[[#This Row],[orderNum]],ТабЗаказы[#Data],MATCH(D$7,ТабЗаказы[#Headers],0),0),"")</f>
        <v>Лариса Кирова</v>
      </c>
      <c r="E477" s="32" t="s">
        <v>984</v>
      </c>
      <c r="F477" s="56" t="s">
        <v>3061</v>
      </c>
      <c r="H477" s="34">
        <v>45453</v>
      </c>
      <c r="I477" s="26">
        <v>1</v>
      </c>
      <c r="J477" s="26">
        <v>293</v>
      </c>
      <c r="K477">
        <v>293</v>
      </c>
      <c r="L477" s="26">
        <v>299</v>
      </c>
      <c r="M477">
        <f t="shared" si="8"/>
        <v>299</v>
      </c>
      <c r="O47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Row],[orderNum]],ТабПозиции[orderSumm])&gt;1500),ABS(M477*VLOOKUP(ТабПозиции[[#This Row],[orderNum]],ТабЗаказы[#Data],MATCH("Percent",ТабЗаказы[#Headers],0),0))/100,200/COUNTIF(ТабПозиции[orderNum],ТабПозиции[[#This Row],[orderNum]])),0),"")</f>
        <v>33</v>
      </c>
      <c r="P477">
        <f>IF(OR(ТабПозиции[[#This Row],[item]]="По штрихкоду",ТабПозиции[[#This Row],[item]]="Посылка"),ТабПозиции[[#This Row],[deliverySumm]]+ТабПозиции[[#This Row],[deliveryPost]],SUM(M477:O477))</f>
        <v>332</v>
      </c>
      <c r="Q477" s="57">
        <v>332</v>
      </c>
      <c r="R477" s="62">
        <f>ТабПозиции[[#This Row],[totalSumm]]-ТабПозиции[[#This Row],[payment]]</f>
        <v>0</v>
      </c>
      <c r="S477" s="34" t="s">
        <v>955</v>
      </c>
      <c r="T477" s="56" t="s">
        <v>3061</v>
      </c>
      <c r="U477" s="56" t="s">
        <v>3061</v>
      </c>
      <c r="V477" s="56" t="s">
        <v>3061</v>
      </c>
      <c r="W477" s="7"/>
      <c r="X477"/>
    </row>
    <row r="478" spans="1:24" x14ac:dyDescent="0.25">
      <c r="A478" s="26">
        <v>123</v>
      </c>
      <c r="B478" s="1">
        <f>IFERROR(VLOOKUP(ТабПозиции[[#This Row],[orderNum]],ТабЗаказы[#Data],MATCH(B$7,ТабЗаказы[#Headers],0),0),"")</f>
        <v>45450</v>
      </c>
      <c r="C478" t="str">
        <f>MONTH(ТабПозиции[[#This Row],[date]])&amp;"/"&amp;YEAR(ТабПозиции[[#This Row],[date]])</f>
        <v>6/2024</v>
      </c>
      <c r="D478" s="1" t="str">
        <f>IFERROR(VLOOKUP(ТабПозиции[[#This Row],[orderNum]],ТабЗаказы[#Data],MATCH(D$7,ТабЗаказы[#Headers],0),0),"")</f>
        <v>Лариса Кирова</v>
      </c>
      <c r="E478" s="32" t="s">
        <v>985</v>
      </c>
      <c r="F478" s="56" t="s">
        <v>3061</v>
      </c>
      <c r="H478" s="34">
        <v>45453</v>
      </c>
      <c r="I478" s="26">
        <v>1</v>
      </c>
      <c r="J478" s="26">
        <v>294</v>
      </c>
      <c r="K478">
        <v>294</v>
      </c>
      <c r="L478" s="26">
        <v>300</v>
      </c>
      <c r="M478">
        <f t="shared" si="8"/>
        <v>300</v>
      </c>
      <c r="O47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Row],[orderNum]],ТабПозиции[orderSumm])&gt;1500),ABS(M478*VLOOKUP(ТабПозиции[[#This Row],[orderNum]],ТабЗаказы[#Data],MATCH("Percent",ТабЗаказы[#Headers],0),0))/100,200/COUNTIF(ТабПозиции[orderNum],ТабПозиции[[#This Row],[orderNum]])),0),"")</f>
        <v>33</v>
      </c>
      <c r="P478">
        <f>IF(OR(ТабПозиции[[#This Row],[item]]="По штрихкоду",ТабПозиции[[#This Row],[item]]="Посылка"),ТабПозиции[[#This Row],[deliverySumm]]+ТабПозиции[[#This Row],[deliveryPost]],SUM(M478:O478))</f>
        <v>333</v>
      </c>
      <c r="Q478" s="57">
        <v>333</v>
      </c>
      <c r="R478" s="62">
        <f>ТабПозиции[[#This Row],[totalSumm]]-ТабПозиции[[#This Row],[payment]]</f>
        <v>0</v>
      </c>
      <c r="S478" s="34" t="s">
        <v>955</v>
      </c>
      <c r="T478" s="56" t="s">
        <v>3061</v>
      </c>
      <c r="U478" s="56" t="s">
        <v>3061</v>
      </c>
      <c r="V478" s="56" t="s">
        <v>3061</v>
      </c>
      <c r="W478" s="7"/>
      <c r="X478"/>
    </row>
    <row r="479" spans="1:24" x14ac:dyDescent="0.25">
      <c r="A479" s="26">
        <v>123</v>
      </c>
      <c r="B479" s="1">
        <f>IFERROR(VLOOKUP(ТабПозиции[[#This Row],[orderNum]],ТабЗаказы[#Data],MATCH(B$7,ТабЗаказы[#Headers],0),0),"")</f>
        <v>45450</v>
      </c>
      <c r="C479" t="str">
        <f>MONTH(ТабПозиции[[#This Row],[date]])&amp;"/"&amp;YEAR(ТабПозиции[[#This Row],[date]])</f>
        <v>6/2024</v>
      </c>
      <c r="D479" s="1" t="str">
        <f>IFERROR(VLOOKUP(ТабПозиции[[#This Row],[orderNum]],ТабЗаказы[#Data],MATCH(D$7,ТабЗаказы[#Headers],0),0),"")</f>
        <v>Лариса Кирова</v>
      </c>
      <c r="E479" s="32" t="s">
        <v>986</v>
      </c>
      <c r="F479" s="56" t="s">
        <v>3061</v>
      </c>
      <c r="H479" s="34">
        <v>45454</v>
      </c>
      <c r="I479" s="26">
        <v>1</v>
      </c>
      <c r="J479" s="26">
        <v>158</v>
      </c>
      <c r="K479">
        <v>158</v>
      </c>
      <c r="L479" s="26">
        <v>161</v>
      </c>
      <c r="M479">
        <f t="shared" si="8"/>
        <v>161</v>
      </c>
      <c r="O47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Row],[orderNum]],ТабПозиции[orderSumm])&gt;1500),ABS(M479*VLOOKUP(ТабПозиции[[#This Row],[orderNum]],ТабЗаказы[#Data],MATCH("Percent",ТабЗаказы[#Headers],0),0))/100,200/COUNTIF(ТабПозиции[orderNum],ТабПозиции[[#This Row],[orderNum]])),0),"")</f>
        <v>33</v>
      </c>
      <c r="P479">
        <f>IF(OR(ТабПозиции[[#This Row],[item]]="По штрихкоду",ТабПозиции[[#This Row],[item]]="Посылка"),ТабПозиции[[#This Row],[deliverySumm]]+ТабПозиции[[#This Row],[deliveryPost]],SUM(M479:O479))</f>
        <v>194</v>
      </c>
      <c r="Q479" s="57">
        <v>194</v>
      </c>
      <c r="R479" s="62">
        <f>ТабПозиции[[#This Row],[totalSumm]]-ТабПозиции[[#This Row],[payment]]</f>
        <v>0</v>
      </c>
      <c r="S479" s="34" t="s">
        <v>955</v>
      </c>
      <c r="T479" s="56" t="s">
        <v>3061</v>
      </c>
      <c r="U479" s="56" t="s">
        <v>3061</v>
      </c>
      <c r="V479" s="56" t="s">
        <v>3061</v>
      </c>
      <c r="W479" s="7"/>
      <c r="X479"/>
    </row>
    <row r="480" spans="1:24" x14ac:dyDescent="0.25">
      <c r="A480" s="26">
        <v>124</v>
      </c>
      <c r="B480" s="1">
        <f>IFERROR(VLOOKUP(ТабПозиции[[#This Row],[orderNum]],ТабЗаказы[#Data],MATCH(B$7,ТабЗаказы[#Headers],0),0),"")</f>
        <v>45450</v>
      </c>
      <c r="C480" t="str">
        <f>MONTH(ТабПозиции[[#This Row],[date]])&amp;"/"&amp;YEAR(ТабПозиции[[#This Row],[date]])</f>
        <v>6/2024</v>
      </c>
      <c r="D480" s="1" t="str">
        <f>IFERROR(VLOOKUP(ТабПозиции[[#This Row],[orderNum]],ТабЗаказы[#Data],MATCH(D$7,ТабЗаказы[#Headers],0),0),"")</f>
        <v>Юля Ларисына</v>
      </c>
      <c r="E480" s="32" t="s">
        <v>987</v>
      </c>
      <c r="F480" s="56" t="s">
        <v>3061</v>
      </c>
      <c r="H480" s="34">
        <v>45453</v>
      </c>
      <c r="I480" s="26">
        <v>1</v>
      </c>
      <c r="J480" s="26">
        <v>608</v>
      </c>
      <c r="K480">
        <v>608</v>
      </c>
      <c r="L480" s="26">
        <v>641</v>
      </c>
      <c r="M480">
        <f t="shared" si="8"/>
        <v>641</v>
      </c>
      <c r="O48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Row],[orderNum]],ТабПозиции[orderSumm])&gt;1500),ABS(M480*VLOOKUP(ТабПозиции[[#This Row],[orderNum]],ТабЗаказы[#Data],MATCH("Percent",ТабЗаказы[#Headers],0),0))/100,200/COUNTIF(ТабПозиции[orderNum],ТабПозиции[[#This Row],[orderNum]])),0),"")</f>
        <v>50</v>
      </c>
      <c r="P480">
        <f>IF(OR(ТабПозиции[[#This Row],[item]]="По штрихкоду",ТабПозиции[[#This Row],[item]]="Посылка"),ТабПозиции[[#This Row],[deliverySumm]]+ТабПозиции[[#This Row],[deliveryPost]],SUM(M480:O480))</f>
        <v>691</v>
      </c>
      <c r="Q480" s="57">
        <v>691</v>
      </c>
      <c r="R480" s="62">
        <f>ТабПозиции[[#This Row],[totalSumm]]-ТабПозиции[[#This Row],[payment]]</f>
        <v>0</v>
      </c>
      <c r="S480" s="34" t="s">
        <v>965</v>
      </c>
      <c r="T480" s="56" t="s">
        <v>3061</v>
      </c>
      <c r="U480" s="56" t="s">
        <v>3061</v>
      </c>
      <c r="V480" s="56" t="s">
        <v>3061</v>
      </c>
      <c r="W480" s="7"/>
      <c r="X480"/>
    </row>
    <row r="481" spans="1:24" x14ac:dyDescent="0.25">
      <c r="A481" s="26">
        <v>124</v>
      </c>
      <c r="B481" s="1">
        <f>IFERROR(VLOOKUP(ТабПозиции[[#This Row],[orderNum]],ТабЗаказы[#Data],MATCH(B$7,ТабЗаказы[#Headers],0),0),"")</f>
        <v>45450</v>
      </c>
      <c r="C481" t="str">
        <f>MONTH(ТабПозиции[[#This Row],[date]])&amp;"/"&amp;YEAR(ТабПозиции[[#This Row],[date]])</f>
        <v>6/2024</v>
      </c>
      <c r="D481" s="1" t="str">
        <f>IFERROR(VLOOKUP(ТабПозиции[[#This Row],[orderNum]],ТабЗаказы[#Data],MATCH(D$7,ТабЗаказы[#Headers],0),0),"")</f>
        <v>Юля Ларисына</v>
      </c>
      <c r="E481" s="32" t="s">
        <v>988</v>
      </c>
      <c r="F481" s="56" t="s">
        <v>3061</v>
      </c>
      <c r="H481" s="34">
        <v>45453</v>
      </c>
      <c r="I481" s="26">
        <v>1</v>
      </c>
      <c r="J481" s="26">
        <v>412</v>
      </c>
      <c r="K481">
        <v>412</v>
      </c>
      <c r="L481" s="26">
        <v>434</v>
      </c>
      <c r="M481">
        <f t="shared" ref="M481:M544" si="9">L481*I481</f>
        <v>434</v>
      </c>
      <c r="O48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Row],[orderNum]],ТабПозиции[orderSumm])&gt;1500),ABS(M481*VLOOKUP(ТабПозиции[[#This Row],[orderNum]],ТабЗаказы[#Data],MATCH("Percent",ТабЗаказы[#Headers],0),0))/100,200/COUNTIF(ТабПозиции[orderNum],ТабПозиции[[#This Row],[orderNum]])),0),"")</f>
        <v>50</v>
      </c>
      <c r="P481">
        <f>IF(OR(ТабПозиции[[#This Row],[item]]="По штрихкоду",ТабПозиции[[#This Row],[item]]="Посылка"),ТабПозиции[[#This Row],[deliverySumm]]+ТабПозиции[[#This Row],[deliveryPost]],SUM(M481:O481))</f>
        <v>484</v>
      </c>
      <c r="Q481" s="57">
        <v>484</v>
      </c>
      <c r="R481" s="62">
        <f>ТабПозиции[[#This Row],[totalSumm]]-ТабПозиции[[#This Row],[payment]]</f>
        <v>0</v>
      </c>
      <c r="S481" s="34" t="s">
        <v>965</v>
      </c>
      <c r="T481" s="56" t="s">
        <v>3061</v>
      </c>
      <c r="U481" s="56" t="s">
        <v>3061</v>
      </c>
      <c r="V481" s="56" t="s">
        <v>3061</v>
      </c>
      <c r="W481" s="7"/>
      <c r="X481"/>
    </row>
    <row r="482" spans="1:24" x14ac:dyDescent="0.25">
      <c r="A482" s="26">
        <v>124</v>
      </c>
      <c r="B482" s="1">
        <f>IFERROR(VLOOKUP(ТабПозиции[[#This Row],[orderNum]],ТабЗаказы[#Data],MATCH(B$7,ТабЗаказы[#Headers],0),0),"")</f>
        <v>45450</v>
      </c>
      <c r="C482" t="str">
        <f>MONTH(ТабПозиции[[#This Row],[date]])&amp;"/"&amp;YEAR(ТабПозиции[[#This Row],[date]])</f>
        <v>6/2024</v>
      </c>
      <c r="D482" s="1" t="str">
        <f>IFERROR(VLOOKUP(ТабПозиции[[#This Row],[orderNum]],ТабЗаказы[#Data],MATCH(D$7,ТабЗаказы[#Headers],0),0),"")</f>
        <v>Юля Ларисына</v>
      </c>
      <c r="E482" s="32" t="s">
        <v>989</v>
      </c>
      <c r="F482" s="56" t="s">
        <v>3061</v>
      </c>
      <c r="H482" s="34">
        <v>45453</v>
      </c>
      <c r="I482" s="26">
        <v>1</v>
      </c>
      <c r="J482" s="26">
        <v>151</v>
      </c>
      <c r="K482">
        <v>151</v>
      </c>
      <c r="L482" s="26">
        <v>159</v>
      </c>
      <c r="M482">
        <f t="shared" si="9"/>
        <v>159</v>
      </c>
      <c r="O48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Row],[orderNum]],ТабПозиции[orderSumm])&gt;1500),ABS(M482*VLOOKUP(ТабПозиции[[#This Row],[orderNum]],ТабЗаказы[#Data],MATCH("Percent",ТабЗаказы[#Headers],0),0))/100,200/COUNTIF(ТабПозиции[orderNum],ТабПозиции[[#This Row],[orderNum]])),0),"")</f>
        <v>50</v>
      </c>
      <c r="P482">
        <f>IF(OR(ТабПозиции[[#This Row],[item]]="По штрихкоду",ТабПозиции[[#This Row],[item]]="Посылка"),ТабПозиции[[#This Row],[deliverySumm]]+ТабПозиции[[#This Row],[deliveryPost]],SUM(M482:O482))</f>
        <v>209</v>
      </c>
      <c r="Q482" s="57">
        <v>209</v>
      </c>
      <c r="R482" s="62">
        <f>ТабПозиции[[#This Row],[totalSumm]]-ТабПозиции[[#This Row],[payment]]</f>
        <v>0</v>
      </c>
      <c r="S482" s="34" t="s">
        <v>965</v>
      </c>
      <c r="T482" s="56" t="s">
        <v>3061</v>
      </c>
      <c r="U482" s="56" t="s">
        <v>3061</v>
      </c>
      <c r="V482" s="56" t="s">
        <v>3061</v>
      </c>
      <c r="W482" s="7"/>
      <c r="X482"/>
    </row>
    <row r="483" spans="1:24" x14ac:dyDescent="0.25">
      <c r="A483" s="26">
        <v>124</v>
      </c>
      <c r="B483" s="1">
        <f>IFERROR(VLOOKUP(ТабПозиции[[#This Row],[orderNum]],ТабЗаказы[#Data],MATCH(B$7,ТабЗаказы[#Headers],0),0),"")</f>
        <v>45450</v>
      </c>
      <c r="C483" t="str">
        <f>MONTH(ТабПозиции[[#This Row],[date]])&amp;"/"&amp;YEAR(ТабПозиции[[#This Row],[date]])</f>
        <v>6/2024</v>
      </c>
      <c r="D483" s="1" t="str">
        <f>IFERROR(VLOOKUP(ТабПозиции[[#This Row],[orderNum]],ТабЗаказы[#Data],MATCH(D$7,ТабЗаказы[#Headers],0),0),"")</f>
        <v>Юля Ларисына</v>
      </c>
      <c r="E483" s="32" t="s">
        <v>990</v>
      </c>
      <c r="F483" s="56" t="s">
        <v>3061</v>
      </c>
      <c r="H483" s="34">
        <v>45453</v>
      </c>
      <c r="I483" s="26">
        <v>1</v>
      </c>
      <c r="J483" s="26">
        <v>125</v>
      </c>
      <c r="K483">
        <v>125</v>
      </c>
      <c r="L483" s="26">
        <v>132</v>
      </c>
      <c r="M483">
        <f t="shared" si="9"/>
        <v>132</v>
      </c>
      <c r="O48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Row],[orderNum]],ТабПозиции[orderSumm])&gt;1500),ABS(M483*VLOOKUP(ТабПозиции[[#This Row],[orderNum]],ТабЗаказы[#Data],MATCH("Percent",ТабЗаказы[#Headers],0),0))/100,200/COUNTIF(ТабПозиции[orderNum],ТабПозиции[[#This Row],[orderNum]])),0),"")</f>
        <v>50</v>
      </c>
      <c r="P483">
        <f>IF(OR(ТабПозиции[[#This Row],[item]]="По штрихкоду",ТабПозиции[[#This Row],[item]]="Посылка"),ТабПозиции[[#This Row],[deliverySumm]]+ТабПозиции[[#This Row],[deliveryPost]],SUM(M483:O483))</f>
        <v>182</v>
      </c>
      <c r="Q483" s="57">
        <v>182</v>
      </c>
      <c r="R483" s="62">
        <f>ТабПозиции[[#This Row],[totalSumm]]-ТабПозиции[[#This Row],[payment]]</f>
        <v>0</v>
      </c>
      <c r="S483" s="34" t="s">
        <v>965</v>
      </c>
      <c r="T483" s="56" t="s">
        <v>3061</v>
      </c>
      <c r="U483" s="56" t="s">
        <v>3061</v>
      </c>
      <c r="V483" s="56" t="s">
        <v>3061</v>
      </c>
      <c r="W483" s="7"/>
      <c r="X483"/>
    </row>
    <row r="484" spans="1:24" x14ac:dyDescent="0.25">
      <c r="A484" s="26">
        <v>118</v>
      </c>
      <c r="B484" s="1">
        <f>IFERROR(VLOOKUP(ТабПозиции[[#This Row],[orderNum]],ТабЗаказы[#Data],MATCH(B$7,ТабЗаказы[#Headers],0),0),"")</f>
        <v>45451</v>
      </c>
      <c r="C484" t="str">
        <f>MONTH(ТабПозиции[[#This Row],[date]])&amp;"/"&amp;YEAR(ТабПозиции[[#This Row],[date]])</f>
        <v>6/2024</v>
      </c>
      <c r="D484" s="1" t="str">
        <f>IFERROR(VLOOKUP(ТабПозиции[[#This Row],[orderNum]],ТабЗаказы[#Data],MATCH(D$7,ТабЗаказы[#Headers],0),0),"")</f>
        <v>Алена шмалко</v>
      </c>
      <c r="E484" s="32" t="s">
        <v>991</v>
      </c>
      <c r="F484" s="56" t="s">
        <v>3061</v>
      </c>
      <c r="H484" s="34">
        <v>45454</v>
      </c>
      <c r="I484" s="26">
        <v>1</v>
      </c>
      <c r="J484" s="26">
        <v>1496</v>
      </c>
      <c r="K484">
        <v>1496</v>
      </c>
      <c r="L484" s="26">
        <v>1575</v>
      </c>
      <c r="M484">
        <f t="shared" si="9"/>
        <v>1575</v>
      </c>
      <c r="O48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Row],[orderNum]],ТабПозиции[orderSumm])&gt;1500),ABS(M484*VLOOKUP(ТабПозиции[[#This Row],[orderNum]],ТабЗаказы[#Data],MATCH("Percent",ТабЗаказы[#Headers],0),0))/100,200/COUNTIF(ТабПозиции[orderNum],ТабПозиции[[#This Row],[orderNum]])),0),"")</f>
        <v>236</v>
      </c>
      <c r="P484">
        <f>IF(OR(ТабПозиции[[#This Row],[item]]="По штрихкоду",ТабПозиции[[#This Row],[item]]="Посылка"),ТабПозиции[[#This Row],[deliverySumm]]+ТабПозиции[[#This Row],[deliveryPost]],SUM(M484:O484))</f>
        <v>1811</v>
      </c>
      <c r="Q484" s="57">
        <v>1811</v>
      </c>
      <c r="R484" s="62">
        <f>ТабПозиции[[#This Row],[totalSumm]]-ТабПозиции[[#This Row],[payment]]</f>
        <v>0</v>
      </c>
      <c r="S484" s="34" t="s">
        <v>965</v>
      </c>
      <c r="T484" s="56" t="s">
        <v>3061</v>
      </c>
      <c r="U484" s="56" t="s">
        <v>3061</v>
      </c>
      <c r="V484" s="56" t="s">
        <v>3061</v>
      </c>
      <c r="W484" s="7"/>
      <c r="X484"/>
    </row>
    <row r="485" spans="1:24" x14ac:dyDescent="0.25">
      <c r="A485" s="26">
        <v>118</v>
      </c>
      <c r="B485" s="1">
        <f>IFERROR(VLOOKUP(ТабПозиции[[#This Row],[orderNum]],ТабЗаказы[#Data],MATCH(B$7,ТабЗаказы[#Headers],0),0),"")</f>
        <v>45451</v>
      </c>
      <c r="C485" t="str">
        <f>MONTH(ТабПозиции[[#This Row],[date]])&amp;"/"&amp;YEAR(ТабПозиции[[#This Row],[date]])</f>
        <v>6/2024</v>
      </c>
      <c r="D485" s="1" t="str">
        <f>IFERROR(VLOOKUP(ТабПозиции[[#This Row],[orderNum]],ТабЗаказы[#Data],MATCH(D$7,ТабЗаказы[#Headers],0),0),"")</f>
        <v>Алена шмалко</v>
      </c>
      <c r="E485" s="32" t="s">
        <v>992</v>
      </c>
      <c r="F485" s="56" t="s">
        <v>3061</v>
      </c>
      <c r="H485" s="34">
        <v>45454</v>
      </c>
      <c r="I485" s="26">
        <v>1</v>
      </c>
      <c r="J485" s="26">
        <v>228</v>
      </c>
      <c r="K485">
        <v>228</v>
      </c>
      <c r="L485" s="26">
        <v>240</v>
      </c>
      <c r="M485">
        <f t="shared" si="9"/>
        <v>240</v>
      </c>
      <c r="O48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Row],[orderNum]],ТабПозиции[orderSumm])&gt;1500),ABS(M485*VLOOKUP(ТабПозиции[[#This Row],[orderNum]],ТабЗаказы[#Data],MATCH("Percent",ТабЗаказы[#Headers],0),0))/100,200/COUNTIF(ТабПозиции[orderNum],ТабПозиции[[#This Row],[orderNum]])),0),"")</f>
        <v>36</v>
      </c>
      <c r="P485">
        <f>IF(OR(ТабПозиции[[#This Row],[item]]="По штрихкоду",ТабПозиции[[#This Row],[item]]="Посылка"),ТабПозиции[[#This Row],[deliverySumm]]+ТабПозиции[[#This Row],[deliveryPost]],SUM(M485:O485))</f>
        <v>276</v>
      </c>
      <c r="Q485" s="57">
        <v>276</v>
      </c>
      <c r="R485" s="62">
        <f>ТабПозиции[[#This Row],[totalSumm]]-ТабПозиции[[#This Row],[payment]]</f>
        <v>0</v>
      </c>
      <c r="S485" s="34" t="s">
        <v>965</v>
      </c>
      <c r="T485" s="56" t="s">
        <v>3061</v>
      </c>
      <c r="U485" s="56" t="s">
        <v>3061</v>
      </c>
      <c r="V485" s="56" t="s">
        <v>3061</v>
      </c>
      <c r="W485" s="7"/>
      <c r="X485"/>
    </row>
    <row r="486" spans="1:24" x14ac:dyDescent="0.25">
      <c r="A486" s="26">
        <v>118</v>
      </c>
      <c r="B486" s="1">
        <f>IFERROR(VLOOKUP(ТабПозиции[[#This Row],[orderNum]],ТабЗаказы[#Data],MATCH(B$7,ТабЗаказы[#Headers],0),0),"")</f>
        <v>45451</v>
      </c>
      <c r="C486" t="str">
        <f>MONTH(ТабПозиции[[#This Row],[date]])&amp;"/"&amp;YEAR(ТабПозиции[[#This Row],[date]])</f>
        <v>6/2024</v>
      </c>
      <c r="D486" s="1" t="str">
        <f>IFERROR(VLOOKUP(ТабПозиции[[#This Row],[orderNum]],ТабЗаказы[#Data],MATCH(D$7,ТабЗаказы[#Headers],0),0),"")</f>
        <v>Алена шмалко</v>
      </c>
      <c r="E486" s="32" t="s">
        <v>993</v>
      </c>
      <c r="F486" s="56" t="s">
        <v>3061</v>
      </c>
      <c r="H486" s="34">
        <v>45454</v>
      </c>
      <c r="I486" s="26">
        <v>1</v>
      </c>
      <c r="J486" s="26">
        <v>400</v>
      </c>
      <c r="K486">
        <v>400</v>
      </c>
      <c r="L486" s="26">
        <v>422</v>
      </c>
      <c r="M486">
        <f t="shared" si="9"/>
        <v>422</v>
      </c>
      <c r="O48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Row],[orderNum]],ТабПозиции[orderSumm])&gt;1500),ABS(M486*VLOOKUP(ТабПозиции[[#This Row],[orderNum]],ТабЗаказы[#Data],MATCH("Percent",ТабЗаказы[#Headers],0),0))/100,200/COUNTIF(ТабПозиции[orderNum],ТабПозиции[[#This Row],[orderNum]])),0),"")</f>
        <v>63</v>
      </c>
      <c r="P486">
        <f>IF(OR(ТабПозиции[[#This Row],[item]]="По штрихкоду",ТабПозиции[[#This Row],[item]]="Посылка"),ТабПозиции[[#This Row],[deliverySumm]]+ТабПозиции[[#This Row],[deliveryPost]],SUM(M486:O486))</f>
        <v>485</v>
      </c>
      <c r="Q486" s="57">
        <v>485</v>
      </c>
      <c r="R486" s="62">
        <f>ТабПозиции[[#This Row],[totalSumm]]-ТабПозиции[[#This Row],[payment]]</f>
        <v>0</v>
      </c>
      <c r="S486" s="34" t="s">
        <v>965</v>
      </c>
      <c r="T486" s="56" t="s">
        <v>3061</v>
      </c>
      <c r="U486" s="56" t="s">
        <v>3061</v>
      </c>
      <c r="V486" s="56" t="s">
        <v>3061</v>
      </c>
      <c r="W486" s="7"/>
      <c r="X486"/>
    </row>
    <row r="487" spans="1:24" x14ac:dyDescent="0.25">
      <c r="A487" s="26">
        <v>118</v>
      </c>
      <c r="B487" s="1">
        <f>IFERROR(VLOOKUP(ТабПозиции[[#This Row],[orderNum]],ТабЗаказы[#Data],MATCH(B$7,ТабЗаказы[#Headers],0),0),"")</f>
        <v>45451</v>
      </c>
      <c r="C487" t="str">
        <f>MONTH(ТабПозиции[[#This Row],[date]])&amp;"/"&amp;YEAR(ТабПозиции[[#This Row],[date]])</f>
        <v>6/2024</v>
      </c>
      <c r="D487" s="1" t="str">
        <f>IFERROR(VLOOKUP(ТабПозиции[[#This Row],[orderNum]],ТабЗаказы[#Data],MATCH(D$7,ТабЗаказы[#Headers],0),0),"")</f>
        <v>Алена шмалко</v>
      </c>
      <c r="E487" s="32" t="s">
        <v>994</v>
      </c>
      <c r="F487" s="56" t="s">
        <v>3061</v>
      </c>
      <c r="H487" s="34">
        <v>45454</v>
      </c>
      <c r="I487" s="26">
        <v>1</v>
      </c>
      <c r="J487" s="26">
        <v>1189</v>
      </c>
      <c r="K487">
        <v>1189</v>
      </c>
      <c r="L487" s="26">
        <v>1252</v>
      </c>
      <c r="M487">
        <f t="shared" si="9"/>
        <v>1252</v>
      </c>
      <c r="O48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Row],[orderNum]],ТабПозиции[orderSumm])&gt;1500),ABS(M487*VLOOKUP(ТабПозиции[[#This Row],[orderNum]],ТабЗаказы[#Data],MATCH("Percent",ТабЗаказы[#Headers],0),0))/100,200/COUNTIF(ТабПозиции[orderNum],ТабПозиции[[#This Row],[orderNum]])),0),"")</f>
        <v>188</v>
      </c>
      <c r="P487">
        <f>IF(OR(ТабПозиции[[#This Row],[item]]="По штрихкоду",ТабПозиции[[#This Row],[item]]="Посылка"),ТабПозиции[[#This Row],[deliverySumm]]+ТабПозиции[[#This Row],[deliveryPost]],SUM(M487:O487))</f>
        <v>1440</v>
      </c>
      <c r="Q487" s="57">
        <v>1440</v>
      </c>
      <c r="R487" s="62">
        <f>ТабПозиции[[#This Row],[totalSumm]]-ТабПозиции[[#This Row],[payment]]</f>
        <v>0</v>
      </c>
      <c r="S487" s="34" t="s">
        <v>965</v>
      </c>
      <c r="T487" s="56" t="s">
        <v>3061</v>
      </c>
      <c r="U487" s="56" t="s">
        <v>3061</v>
      </c>
      <c r="V487" s="56" t="s">
        <v>3061</v>
      </c>
      <c r="W487" s="7"/>
      <c r="X487"/>
    </row>
    <row r="488" spans="1:24" x14ac:dyDescent="0.25">
      <c r="A488" s="26">
        <v>118</v>
      </c>
      <c r="B488" s="1">
        <f>IFERROR(VLOOKUP(ТабПозиции[[#This Row],[orderNum]],ТабЗаказы[#Data],MATCH(B$7,ТабЗаказы[#Headers],0),0),"")</f>
        <v>45451</v>
      </c>
      <c r="C488" t="str">
        <f>MONTH(ТабПозиции[[#This Row],[date]])&amp;"/"&amp;YEAR(ТабПозиции[[#This Row],[date]])</f>
        <v>6/2024</v>
      </c>
      <c r="D488" s="1" t="str">
        <f>IFERROR(VLOOKUP(ТабПозиции[[#This Row],[orderNum]],ТабЗаказы[#Data],MATCH(D$7,ТабЗаказы[#Headers],0),0),"")</f>
        <v>Алена шмалко</v>
      </c>
      <c r="E488" s="32" t="s">
        <v>995</v>
      </c>
      <c r="F488" s="56" t="s">
        <v>3061</v>
      </c>
      <c r="H488" s="34">
        <v>45454</v>
      </c>
      <c r="I488" s="26">
        <v>1</v>
      </c>
      <c r="J488" s="26">
        <v>1786</v>
      </c>
      <c r="K488">
        <v>1786</v>
      </c>
      <c r="L488" s="26">
        <v>1880</v>
      </c>
      <c r="M488">
        <f t="shared" si="9"/>
        <v>1880</v>
      </c>
      <c r="O48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Row],[orderNum]],ТабПозиции[orderSumm])&gt;1500),ABS(M488*VLOOKUP(ТабПозиции[[#This Row],[orderNum]],ТабЗаказы[#Data],MATCH("Percent",ТабЗаказы[#Headers],0),0))/100,200/COUNTIF(ТабПозиции[orderNum],ТабПозиции[[#This Row],[orderNum]])),0),"")</f>
        <v>282</v>
      </c>
      <c r="P488">
        <f>IF(OR(ТабПозиции[[#This Row],[item]]="По штрихкоду",ТабПозиции[[#This Row],[item]]="Посылка"),ТабПозиции[[#This Row],[deliverySumm]]+ТабПозиции[[#This Row],[deliveryPost]],SUM(M488:O488))</f>
        <v>2162</v>
      </c>
      <c r="Q488" s="57">
        <v>2162</v>
      </c>
      <c r="R488" s="62">
        <f>ТабПозиции[[#This Row],[totalSumm]]-ТабПозиции[[#This Row],[payment]]</f>
        <v>0</v>
      </c>
      <c r="S488" s="34" t="s">
        <v>965</v>
      </c>
      <c r="T488" s="56" t="s">
        <v>3061</v>
      </c>
      <c r="U488" s="56" t="s">
        <v>3061</v>
      </c>
      <c r="V488" s="56" t="s">
        <v>3061</v>
      </c>
      <c r="W488" s="7"/>
      <c r="X488"/>
    </row>
    <row r="489" spans="1:24" x14ac:dyDescent="0.25">
      <c r="A489" s="26">
        <v>125</v>
      </c>
      <c r="B489" s="1">
        <f>IFERROR(VLOOKUP(ТабПозиции[[#This Row],[orderNum]],ТабЗаказы[#Data],MATCH(B$7,ТабЗаказы[#Headers],0),0),"")</f>
        <v>45452</v>
      </c>
      <c r="C489" t="str">
        <f>MONTH(ТабПозиции[[#This Row],[date]])&amp;"/"&amp;YEAR(ТабПозиции[[#This Row],[date]])</f>
        <v>6/2024</v>
      </c>
      <c r="D489" s="1" t="str">
        <f>IFERROR(VLOOKUP(ТабПозиции[[#This Row],[orderNum]],ТабЗаказы[#Data],MATCH(D$7,ТабЗаказы[#Headers],0),0),"")</f>
        <v>алекса фиери</v>
      </c>
      <c r="E489" s="32" t="s">
        <v>996</v>
      </c>
      <c r="F489" s="56" t="s">
        <v>3061</v>
      </c>
      <c r="H489" s="34">
        <v>45454</v>
      </c>
      <c r="I489" s="26">
        <v>2</v>
      </c>
      <c r="J489" s="26">
        <v>1455</v>
      </c>
      <c r="K489">
        <v>2910</v>
      </c>
      <c r="L489" s="26">
        <v>1532</v>
      </c>
      <c r="M489">
        <f t="shared" si="9"/>
        <v>3064</v>
      </c>
      <c r="O48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Row],[orderNum]],ТабПозиции[orderSumm])&gt;1500),ABS(M489*VLOOKUP(ТабПозиции[[#This Row],[orderNum]],ТабЗаказы[#Data],MATCH("Percent",ТабЗаказы[#Headers],0),0))/100,200/COUNTIF(ТабПозиции[orderNum],ТабПозиции[[#This Row],[orderNum]])),0),"")</f>
        <v>460</v>
      </c>
      <c r="P489">
        <f>IF(OR(ТабПозиции[[#This Row],[item]]="По штрихкоду",ТабПозиции[[#This Row],[item]]="Посылка"),ТабПозиции[[#This Row],[deliverySumm]]+ТабПозиции[[#This Row],[deliveryPost]],SUM(M489:O489))</f>
        <v>3524</v>
      </c>
      <c r="Q489" s="57">
        <v>3524</v>
      </c>
      <c r="R489" s="62">
        <f>ТабПозиции[[#This Row],[totalSumm]]-ТабПозиции[[#This Row],[payment]]</f>
        <v>0</v>
      </c>
      <c r="S489" s="34" t="s">
        <v>965</v>
      </c>
      <c r="T489" s="56" t="s">
        <v>3061</v>
      </c>
      <c r="U489" s="56" t="s">
        <v>3061</v>
      </c>
      <c r="V489" s="56" t="s">
        <v>3061</v>
      </c>
      <c r="W489" s="7"/>
      <c r="X489"/>
    </row>
    <row r="490" spans="1:24" x14ac:dyDescent="0.25">
      <c r="A490" s="26">
        <v>125</v>
      </c>
      <c r="B490" s="1">
        <f>IFERROR(VLOOKUP(ТабПозиции[[#This Row],[orderNum]],ТабЗаказы[#Data],MATCH(B$7,ТабЗаказы[#Headers],0),0),"")</f>
        <v>45452</v>
      </c>
      <c r="C490" t="str">
        <f>MONTH(ТабПозиции[[#This Row],[date]])&amp;"/"&amp;YEAR(ТабПозиции[[#This Row],[date]])</f>
        <v>6/2024</v>
      </c>
      <c r="D490" s="1" t="str">
        <f>IFERROR(VLOOKUP(ТабПозиции[[#This Row],[orderNum]],ТабЗаказы[#Data],MATCH(D$7,ТабЗаказы[#Headers],0),0),"")</f>
        <v>алекса фиери</v>
      </c>
      <c r="E490" s="32" t="s">
        <v>997</v>
      </c>
      <c r="F490" s="56" t="s">
        <v>3061</v>
      </c>
      <c r="H490" s="34">
        <v>45454</v>
      </c>
      <c r="I490" s="26">
        <v>1</v>
      </c>
      <c r="J490" s="26">
        <v>1827</v>
      </c>
      <c r="K490">
        <v>1827</v>
      </c>
      <c r="L490" s="26">
        <v>1924</v>
      </c>
      <c r="M490">
        <f t="shared" si="9"/>
        <v>1924</v>
      </c>
      <c r="O49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Row],[orderNum]],ТабПозиции[orderSumm])&gt;1500),ABS(M490*VLOOKUP(ТабПозиции[[#This Row],[orderNum]],ТабЗаказы[#Data],MATCH("Percent",ТабЗаказы[#Headers],0),0))/100,200/COUNTIF(ТабПозиции[orderNum],ТабПозиции[[#This Row],[orderNum]])),0),"")</f>
        <v>289</v>
      </c>
      <c r="P490">
        <f>IF(OR(ТабПозиции[[#This Row],[item]]="По штрихкоду",ТабПозиции[[#This Row],[item]]="Посылка"),ТабПозиции[[#This Row],[deliverySumm]]+ТабПозиции[[#This Row],[deliveryPost]],SUM(M490:O490))</f>
        <v>2213</v>
      </c>
      <c r="Q490" s="57">
        <v>2213</v>
      </c>
      <c r="R490" s="62">
        <f>ТабПозиции[[#This Row],[totalSumm]]-ТабПозиции[[#This Row],[payment]]</f>
        <v>0</v>
      </c>
      <c r="S490" s="34" t="s">
        <v>965</v>
      </c>
      <c r="T490" s="56" t="s">
        <v>3061</v>
      </c>
      <c r="U490" s="56" t="s">
        <v>3061</v>
      </c>
      <c r="V490" s="56" t="s">
        <v>3061</v>
      </c>
      <c r="W490" s="7"/>
      <c r="X490"/>
    </row>
    <row r="491" spans="1:24" x14ac:dyDescent="0.25">
      <c r="A491" s="26">
        <v>118</v>
      </c>
      <c r="B491" s="1">
        <f>IFERROR(VLOOKUP(ТабПозиции[[#This Row],[orderNum]],ТабЗаказы[#Data],MATCH(B$7,ТабЗаказы[#Headers],0),0),"")</f>
        <v>45451</v>
      </c>
      <c r="C491" t="str">
        <f>MONTH(ТабПозиции[[#This Row],[date]])&amp;"/"&amp;YEAR(ТабПозиции[[#This Row],[date]])</f>
        <v>6/2024</v>
      </c>
      <c r="D491" s="1" t="str">
        <f>IFERROR(VLOOKUP(ТабПозиции[[#This Row],[orderNum]],ТабЗаказы[#Data],MATCH(D$7,ТабЗаказы[#Headers],0),0),"")</f>
        <v>Алена шмалко</v>
      </c>
      <c r="E491" s="32" t="s">
        <v>641</v>
      </c>
      <c r="F491" s="56" t="s">
        <v>3061</v>
      </c>
      <c r="H491" s="34">
        <v>45455</v>
      </c>
      <c r="I491" s="26">
        <v>1</v>
      </c>
      <c r="J491" s="26">
        <v>161</v>
      </c>
      <c r="K491">
        <v>161</v>
      </c>
      <c r="L491" s="26">
        <v>170</v>
      </c>
      <c r="M491">
        <f t="shared" si="9"/>
        <v>170</v>
      </c>
      <c r="O49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Row],[orderNum]],ТабПозиции[orderSumm])&gt;1500),ABS(M491*VLOOKUP(ТабПозиции[[#This Row],[orderNum]],ТабЗаказы[#Data],MATCH("Percent",ТабЗаказы[#Headers],0),0))/100,200/COUNTIF(ТабПозиции[orderNum],ТабПозиции[[#This Row],[orderNum]])),0),"")</f>
        <v>26</v>
      </c>
      <c r="P491">
        <f>IF(OR(ТабПозиции[[#This Row],[item]]="По штрихкоду",ТабПозиции[[#This Row],[item]]="Посылка"),ТабПозиции[[#This Row],[deliverySumm]]+ТабПозиции[[#This Row],[deliveryPost]],SUM(M491:O491))</f>
        <v>196</v>
      </c>
      <c r="Q491" s="57">
        <v>196</v>
      </c>
      <c r="R491" s="62">
        <f>ТабПозиции[[#This Row],[totalSumm]]-ТабПозиции[[#This Row],[payment]]</f>
        <v>0</v>
      </c>
      <c r="S491" s="34" t="s">
        <v>965</v>
      </c>
      <c r="T491" s="56" t="s">
        <v>3061</v>
      </c>
      <c r="U491" s="56" t="s">
        <v>3061</v>
      </c>
      <c r="V491" s="56" t="s">
        <v>3061</v>
      </c>
      <c r="W491" s="7"/>
      <c r="X491"/>
    </row>
    <row r="492" spans="1:24" x14ac:dyDescent="0.25">
      <c r="A492" s="26">
        <v>118</v>
      </c>
      <c r="B492" s="1">
        <f>IFERROR(VLOOKUP(ТабПозиции[[#This Row],[orderNum]],ТабЗаказы[#Data],MATCH(B$7,ТабЗаказы[#Headers],0),0),"")</f>
        <v>45451</v>
      </c>
      <c r="C492" t="str">
        <f>MONTH(ТабПозиции[[#This Row],[date]])&amp;"/"&amp;YEAR(ТабПозиции[[#This Row],[date]])</f>
        <v>6/2024</v>
      </c>
      <c r="D492" s="1" t="str">
        <f>IFERROR(VLOOKUP(ТабПозиции[[#This Row],[orderNum]],ТабЗаказы[#Data],MATCH(D$7,ТабЗаказы[#Headers],0),0),"")</f>
        <v>Алена шмалко</v>
      </c>
      <c r="E492" s="32" t="s">
        <v>998</v>
      </c>
      <c r="F492" s="56" t="s">
        <v>3061</v>
      </c>
      <c r="H492" s="34">
        <v>45455</v>
      </c>
      <c r="I492" s="26">
        <v>1</v>
      </c>
      <c r="J492" s="26">
        <v>307</v>
      </c>
      <c r="K492">
        <v>307</v>
      </c>
      <c r="L492" s="26">
        <v>324</v>
      </c>
      <c r="M492">
        <f t="shared" si="9"/>
        <v>324</v>
      </c>
      <c r="O49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Row],[orderNum]],ТабПозиции[orderSumm])&gt;1500),ABS(M492*VLOOKUP(ТабПозиции[[#This Row],[orderNum]],ТабЗаказы[#Data],MATCH("Percent",ТабЗаказы[#Headers],0),0))/100,200/COUNTIF(ТабПозиции[orderNum],ТабПозиции[[#This Row],[orderNum]])),0),"")</f>
        <v>49</v>
      </c>
      <c r="P492">
        <f>IF(OR(ТабПозиции[[#This Row],[item]]="По штрихкоду",ТабПозиции[[#This Row],[item]]="Посылка"),ТабПозиции[[#This Row],[deliverySumm]]+ТабПозиции[[#This Row],[deliveryPost]],SUM(M492:O492))</f>
        <v>373</v>
      </c>
      <c r="Q492" s="57">
        <v>373</v>
      </c>
      <c r="R492" s="62">
        <f>ТабПозиции[[#This Row],[totalSumm]]-ТабПозиции[[#This Row],[payment]]</f>
        <v>0</v>
      </c>
      <c r="S492" s="34" t="s">
        <v>965</v>
      </c>
      <c r="T492" s="56" t="s">
        <v>3061</v>
      </c>
      <c r="U492" s="56" t="s">
        <v>3061</v>
      </c>
      <c r="V492" s="56" t="s">
        <v>3061</v>
      </c>
      <c r="W492" s="7"/>
      <c r="X492"/>
    </row>
    <row r="493" spans="1:24" x14ac:dyDescent="0.25">
      <c r="A493" s="26">
        <v>118</v>
      </c>
      <c r="B493" s="1">
        <f>IFERROR(VLOOKUP(ТабПозиции[[#This Row],[orderNum]],ТабЗаказы[#Data],MATCH(B$7,ТабЗаказы[#Headers],0),0),"")</f>
        <v>45451</v>
      </c>
      <c r="C493" t="str">
        <f>MONTH(ТабПозиции[[#This Row],[date]])&amp;"/"&amp;YEAR(ТабПозиции[[#This Row],[date]])</f>
        <v>6/2024</v>
      </c>
      <c r="D493" s="1" t="str">
        <f>IFERROR(VLOOKUP(ТабПозиции[[#This Row],[orderNum]],ТабЗаказы[#Data],MATCH(D$7,ТабЗаказы[#Headers],0),0),"")</f>
        <v>Алена шмалко</v>
      </c>
      <c r="E493" s="32" t="s">
        <v>628</v>
      </c>
      <c r="F493" s="56" t="s">
        <v>3061</v>
      </c>
      <c r="H493" s="34">
        <v>45456</v>
      </c>
      <c r="I493" s="26">
        <v>1</v>
      </c>
      <c r="J493" s="26">
        <v>925</v>
      </c>
      <c r="K493">
        <v>925</v>
      </c>
      <c r="L493" s="26">
        <v>974</v>
      </c>
      <c r="M493">
        <f t="shared" si="9"/>
        <v>974</v>
      </c>
      <c r="O49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Row],[orderNum]],ТабПозиции[orderSumm])&gt;1500),ABS(M493*VLOOKUP(ТабПозиции[[#This Row],[orderNum]],ТабЗаказы[#Data],MATCH("Percent",ТабЗаказы[#Headers],0),0))/100,200/COUNTIF(ТабПозиции[orderNum],ТабПозиции[[#This Row],[orderNum]])),0),"")</f>
        <v>146</v>
      </c>
      <c r="P493">
        <f>IF(OR(ТабПозиции[[#This Row],[item]]="По штрихкоду",ТабПозиции[[#This Row],[item]]="Посылка"),ТабПозиции[[#This Row],[deliverySumm]]+ТабПозиции[[#This Row],[deliveryPost]],SUM(M493:O493))</f>
        <v>1120</v>
      </c>
      <c r="Q493" s="57">
        <v>1120</v>
      </c>
      <c r="R493" s="62">
        <f>ТабПозиции[[#This Row],[totalSumm]]-ТабПозиции[[#This Row],[payment]]</f>
        <v>0</v>
      </c>
      <c r="S493" s="34" t="s">
        <v>965</v>
      </c>
      <c r="T493" s="56" t="s">
        <v>3061</v>
      </c>
      <c r="U493" s="56" t="s">
        <v>3061</v>
      </c>
      <c r="V493" s="56" t="s">
        <v>3061</v>
      </c>
      <c r="W493" s="7"/>
      <c r="X493"/>
    </row>
    <row r="494" spans="1:24" x14ac:dyDescent="0.25">
      <c r="A494" s="26">
        <v>126</v>
      </c>
      <c r="B494" s="1">
        <f>IFERROR(VLOOKUP(ТабПозиции[[#This Row],[orderNum]],ТабЗаказы[#Data],MATCH(B$7,ТабЗаказы[#Headers],0),0),"")</f>
        <v>45453</v>
      </c>
      <c r="C494" t="str">
        <f>MONTH(ТабПозиции[[#This Row],[date]])&amp;"/"&amp;YEAR(ТабПозиции[[#This Row],[date]])</f>
        <v>6/2024</v>
      </c>
      <c r="D494" s="1" t="str">
        <f>IFERROR(VLOOKUP(ТабПозиции[[#This Row],[orderNum]],ТабЗаказы[#Data],MATCH(D$7,ТабЗаказы[#Headers],0),0),"")</f>
        <v>Дмитрий Виноградная 29</v>
      </c>
      <c r="E494" s="32" t="s">
        <v>999</v>
      </c>
      <c r="F494" s="56" t="s">
        <v>3061</v>
      </c>
      <c r="H494" s="34">
        <v>45459</v>
      </c>
      <c r="I494" s="26">
        <v>1</v>
      </c>
      <c r="J494" s="26">
        <v>4612</v>
      </c>
      <c r="K494">
        <v>4612</v>
      </c>
      <c r="L494" s="26">
        <v>5490</v>
      </c>
      <c r="M494">
        <f t="shared" si="9"/>
        <v>5490</v>
      </c>
      <c r="O49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Row],[orderNum]],ТабПозиции[orderSumm])&gt;1500),ABS(M494*VLOOKUP(ТабПозиции[[#This Row],[orderNum]],ТабЗаказы[#Data],MATCH("Percent",ТабЗаказы[#Headers],0),0))/100,200/COUNTIF(ТабПозиции[orderNum],ТабПозиции[[#This Row],[orderNum]])),0),"")</f>
        <v>824</v>
      </c>
      <c r="P494">
        <f>IF(OR(ТабПозиции[[#This Row],[item]]="По штрихкоду",ТабПозиции[[#This Row],[item]]="Посылка"),ТабПозиции[[#This Row],[deliverySumm]]+ТабПозиции[[#This Row],[deliveryPost]],SUM(M494:O494))</f>
        <v>6314</v>
      </c>
      <c r="Q494" s="57">
        <v>6314</v>
      </c>
      <c r="R494" s="62">
        <f>ТабПозиции[[#This Row],[totalSumm]]-ТабПозиции[[#This Row],[payment]]</f>
        <v>0</v>
      </c>
      <c r="S494" s="34" t="s">
        <v>1000</v>
      </c>
      <c r="T494" s="56" t="s">
        <v>3061</v>
      </c>
      <c r="U494" s="56" t="s">
        <v>3061</v>
      </c>
      <c r="V494" s="56" t="s">
        <v>3061</v>
      </c>
      <c r="W494" s="7"/>
      <c r="X494"/>
    </row>
    <row r="495" spans="1:24" x14ac:dyDescent="0.25">
      <c r="A495" s="26">
        <v>127</v>
      </c>
      <c r="B495" s="1">
        <f>IFERROR(VLOOKUP(ТабПозиции[[#This Row],[orderNum]],ТабЗаказы[#Data],MATCH(B$7,ТабЗаказы[#Headers],0),0),"")</f>
        <v>45454</v>
      </c>
      <c r="C495" t="str">
        <f>MONTH(ТабПозиции[[#This Row],[date]])&amp;"/"&amp;YEAR(ТабПозиции[[#This Row],[date]])</f>
        <v>6/2024</v>
      </c>
      <c r="D495" s="1" t="str">
        <f>IFERROR(VLOOKUP(ТабПозиции[[#This Row],[orderNum]],ТабЗаказы[#Data],MATCH(D$7,ТабЗаказы[#Headers],0),0),"")</f>
        <v>Людмила Эдельвейс</v>
      </c>
      <c r="E495" s="32" t="s">
        <v>1001</v>
      </c>
      <c r="F495" s="56" t="s">
        <v>3061</v>
      </c>
      <c r="H495" s="34">
        <v>45460</v>
      </c>
      <c r="I495" s="26">
        <v>1</v>
      </c>
      <c r="J495" s="26">
        <v>1619</v>
      </c>
      <c r="K495">
        <v>1619</v>
      </c>
      <c r="L495" s="26">
        <v>1705</v>
      </c>
      <c r="M495">
        <f t="shared" si="9"/>
        <v>1705</v>
      </c>
      <c r="O49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Row],[orderNum]],ТабПозиции[orderSumm])&gt;1500),ABS(M495*VLOOKUP(ТабПозиции[[#This Row],[orderNum]],ТабЗаказы[#Data],MATCH("Percent",ТабЗаказы[#Headers],0),0))/100,200/COUNTIF(ТабПозиции[orderNum],ТабПозиции[[#This Row],[orderNum]])),0),"")</f>
        <v>256</v>
      </c>
      <c r="P495">
        <f>IF(OR(ТабПозиции[[#This Row],[item]]="По штрихкоду",ТабПозиции[[#This Row],[item]]="Посылка"),ТабПозиции[[#This Row],[deliverySumm]]+ТабПозиции[[#This Row],[deliveryPost]],SUM(M495:O495))</f>
        <v>1961</v>
      </c>
      <c r="Q495" s="57">
        <v>1961</v>
      </c>
      <c r="R495" s="62">
        <f>ТабПозиции[[#This Row],[totalSumm]]-ТабПозиции[[#This Row],[payment]]</f>
        <v>0</v>
      </c>
      <c r="S495" s="34" t="s">
        <v>965</v>
      </c>
      <c r="T495" s="56" t="s">
        <v>3061</v>
      </c>
      <c r="U495" s="56" t="s">
        <v>3061</v>
      </c>
      <c r="V495" s="56" t="s">
        <v>3061</v>
      </c>
      <c r="W495" s="7"/>
      <c r="X495"/>
    </row>
    <row r="496" spans="1:24" x14ac:dyDescent="0.25">
      <c r="A496" s="26">
        <v>127</v>
      </c>
      <c r="B496" s="1">
        <f>IFERROR(VLOOKUP(ТабПозиции[[#This Row],[orderNum]],ТабЗаказы[#Data],MATCH(B$7,ТабЗаказы[#Headers],0),0),"")</f>
        <v>45454</v>
      </c>
      <c r="C496" t="str">
        <f>MONTH(ТабПозиции[[#This Row],[date]])&amp;"/"&amp;YEAR(ТабПозиции[[#This Row],[date]])</f>
        <v>6/2024</v>
      </c>
      <c r="D496" s="1" t="str">
        <f>IFERROR(VLOOKUP(ТабПозиции[[#This Row],[orderNum]],ТабЗаказы[#Data],MATCH(D$7,ТабЗаказы[#Headers],0),0),"")</f>
        <v>Людмила Эдельвейс</v>
      </c>
      <c r="E496" s="32" t="s">
        <v>1002</v>
      </c>
      <c r="F496" s="56" t="s">
        <v>3061</v>
      </c>
      <c r="H496" s="34">
        <v>45456</v>
      </c>
      <c r="I496" s="26">
        <v>1</v>
      </c>
      <c r="J496" s="26">
        <v>529</v>
      </c>
      <c r="K496">
        <v>529</v>
      </c>
      <c r="L496" s="26">
        <v>557</v>
      </c>
      <c r="M496">
        <f t="shared" si="9"/>
        <v>557</v>
      </c>
      <c r="O49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Row],[orderNum]],ТабПозиции[orderSumm])&gt;1500),ABS(M496*VLOOKUP(ТабПозиции[[#This Row],[orderNum]],ТабЗаказы[#Data],MATCH("Percent",ТабЗаказы[#Headers],0),0))/100,200/COUNTIF(ТабПозиции[orderNum],ТабПозиции[[#This Row],[orderNum]])),0),"")</f>
        <v>84</v>
      </c>
      <c r="P496">
        <f>IF(OR(ТабПозиции[[#This Row],[item]]="По штрихкоду",ТабПозиции[[#This Row],[item]]="Посылка"),ТабПозиции[[#This Row],[deliverySumm]]+ТабПозиции[[#This Row],[deliveryPost]],SUM(M496:O496))</f>
        <v>641</v>
      </c>
      <c r="Q496" s="57">
        <v>641</v>
      </c>
      <c r="R496" s="62">
        <f>ТабПозиции[[#This Row],[totalSumm]]-ТабПозиции[[#This Row],[payment]]</f>
        <v>0</v>
      </c>
      <c r="S496" s="34" t="s">
        <v>965</v>
      </c>
      <c r="T496" s="56" t="s">
        <v>3061</v>
      </c>
      <c r="U496" s="56" t="s">
        <v>3061</v>
      </c>
      <c r="V496" s="56" t="s">
        <v>3061</v>
      </c>
      <c r="W496" s="7"/>
      <c r="X496"/>
    </row>
    <row r="497" spans="1:24" x14ac:dyDescent="0.25">
      <c r="A497" s="26">
        <v>127</v>
      </c>
      <c r="B497" s="1">
        <f>IFERROR(VLOOKUP(ТабПозиции[[#This Row],[orderNum]],ТабЗаказы[#Data],MATCH(B$7,ТабЗаказы[#Headers],0),0),"")</f>
        <v>45454</v>
      </c>
      <c r="C497" t="str">
        <f>MONTH(ТабПозиции[[#This Row],[date]])&amp;"/"&amp;YEAR(ТабПозиции[[#This Row],[date]])</f>
        <v>6/2024</v>
      </c>
      <c r="D497" s="1" t="str">
        <f>IFERROR(VLOOKUP(ТабПозиции[[#This Row],[orderNum]],ТабЗаказы[#Data],MATCH(D$7,ТабЗаказы[#Headers],0),0),"")</f>
        <v>Людмила Эдельвейс</v>
      </c>
      <c r="E497" s="32" t="s">
        <v>1003</v>
      </c>
      <c r="F497" s="56" t="s">
        <v>3061</v>
      </c>
      <c r="H497" s="34">
        <v>45456</v>
      </c>
      <c r="I497" s="26">
        <v>1</v>
      </c>
      <c r="J497" s="26">
        <v>391</v>
      </c>
      <c r="K497">
        <v>391</v>
      </c>
      <c r="L497" s="26">
        <v>412</v>
      </c>
      <c r="M497">
        <f t="shared" si="9"/>
        <v>412</v>
      </c>
      <c r="O49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Row],[orderNum]],ТабПозиции[orderSumm])&gt;1500),ABS(M497*VLOOKUP(ТабПозиции[[#This Row],[orderNum]],ТабЗаказы[#Data],MATCH("Percent",ТабЗаказы[#Headers],0),0))/100,200/COUNTIF(ТабПозиции[orderNum],ТабПозиции[[#This Row],[orderNum]])),0),"")</f>
        <v>62</v>
      </c>
      <c r="P497">
        <f>IF(OR(ТабПозиции[[#This Row],[item]]="По штрихкоду",ТабПозиции[[#This Row],[item]]="Посылка"),ТабПозиции[[#This Row],[deliverySumm]]+ТабПозиции[[#This Row],[deliveryPost]],SUM(M497:O497))</f>
        <v>474</v>
      </c>
      <c r="Q497" s="57">
        <v>474</v>
      </c>
      <c r="R497" s="62">
        <f>ТабПозиции[[#This Row],[totalSumm]]-ТабПозиции[[#This Row],[payment]]</f>
        <v>0</v>
      </c>
      <c r="S497" s="34" t="s">
        <v>965</v>
      </c>
      <c r="T497" s="56" t="s">
        <v>3061</v>
      </c>
      <c r="U497" s="56" t="s">
        <v>3061</v>
      </c>
      <c r="V497" s="56" t="s">
        <v>3061</v>
      </c>
      <c r="W497" s="7"/>
      <c r="X497"/>
    </row>
    <row r="498" spans="1:24" x14ac:dyDescent="0.25">
      <c r="A498" s="26">
        <v>127</v>
      </c>
      <c r="B498" s="1">
        <f>IFERROR(VLOOKUP(ТабПозиции[[#This Row],[orderNum]],ТабЗаказы[#Data],MATCH(B$7,ТабЗаказы[#Headers],0),0),"")</f>
        <v>45454</v>
      </c>
      <c r="C498" t="str">
        <f>MONTH(ТабПозиции[[#This Row],[date]])&amp;"/"&amp;YEAR(ТабПозиции[[#This Row],[date]])</f>
        <v>6/2024</v>
      </c>
      <c r="D498" s="1" t="str">
        <f>IFERROR(VLOOKUP(ТабПозиции[[#This Row],[orderNum]],ТабЗаказы[#Data],MATCH(D$7,ТабЗаказы[#Headers],0),0),"")</f>
        <v>Людмила Эдельвейс</v>
      </c>
      <c r="E498" s="32" t="s">
        <v>1004</v>
      </c>
      <c r="F498" s="56" t="s">
        <v>3061</v>
      </c>
      <c r="H498" s="34">
        <v>45457</v>
      </c>
      <c r="I498" s="26">
        <v>1</v>
      </c>
      <c r="J498" s="26">
        <v>398</v>
      </c>
      <c r="K498">
        <v>398</v>
      </c>
      <c r="L498" s="26">
        <v>419</v>
      </c>
      <c r="M498">
        <f t="shared" si="9"/>
        <v>419</v>
      </c>
      <c r="O49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Row],[orderNum]],ТабПозиции[orderSumm])&gt;1500),ABS(M498*VLOOKUP(ТабПозиции[[#This Row],[orderNum]],ТабЗаказы[#Data],MATCH("Percent",ТабЗаказы[#Headers],0),0))/100,200/COUNTIF(ТабПозиции[orderNum],ТабПозиции[[#This Row],[orderNum]])),0),"")</f>
        <v>63</v>
      </c>
      <c r="P498">
        <f>IF(OR(ТабПозиции[[#This Row],[item]]="По штрихкоду",ТабПозиции[[#This Row],[item]]="Посылка"),ТабПозиции[[#This Row],[deliverySumm]]+ТабПозиции[[#This Row],[deliveryPost]],SUM(M498:O498))</f>
        <v>482</v>
      </c>
      <c r="Q498" s="57">
        <v>482</v>
      </c>
      <c r="R498" s="62">
        <f>ТабПозиции[[#This Row],[totalSumm]]-ТабПозиции[[#This Row],[payment]]</f>
        <v>0</v>
      </c>
      <c r="S498" s="34" t="s">
        <v>965</v>
      </c>
      <c r="T498" s="56" t="s">
        <v>3061</v>
      </c>
      <c r="U498" s="56" t="s">
        <v>3061</v>
      </c>
      <c r="V498" s="56" t="s">
        <v>3061</v>
      </c>
      <c r="W498" s="7"/>
      <c r="X498"/>
    </row>
    <row r="499" spans="1:24" x14ac:dyDescent="0.25">
      <c r="A499" s="26">
        <v>127</v>
      </c>
      <c r="B499" s="1">
        <f>IFERROR(VLOOKUP(ТабПозиции[[#This Row],[orderNum]],ТабЗаказы[#Data],MATCH(B$7,ТабЗаказы[#Headers],0),0),"")</f>
        <v>45454</v>
      </c>
      <c r="C499" t="str">
        <f>MONTH(ТабПозиции[[#This Row],[date]])&amp;"/"&amp;YEAR(ТабПозиции[[#This Row],[date]])</f>
        <v>6/2024</v>
      </c>
      <c r="D499" s="1" t="str">
        <f>IFERROR(VLOOKUP(ТабПозиции[[#This Row],[orderNum]],ТабЗаказы[#Data],MATCH(D$7,ТабЗаказы[#Headers],0),0),"")</f>
        <v>Людмила Эдельвейс</v>
      </c>
      <c r="E499" s="32" t="s">
        <v>1005</v>
      </c>
      <c r="F499" s="56" t="s">
        <v>3061</v>
      </c>
      <c r="H499" s="34">
        <v>45456</v>
      </c>
      <c r="I499" s="26">
        <v>1</v>
      </c>
      <c r="J499" s="26">
        <v>440</v>
      </c>
      <c r="K499">
        <v>440</v>
      </c>
      <c r="L499" s="26">
        <v>464</v>
      </c>
      <c r="M499">
        <f t="shared" si="9"/>
        <v>464</v>
      </c>
      <c r="O49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Row],[orderNum]],ТабПозиции[orderSumm])&gt;1500),ABS(M499*VLOOKUP(ТабПозиции[[#This Row],[orderNum]],ТабЗаказы[#Data],MATCH("Percent",ТабЗаказы[#Headers],0),0))/100,200/COUNTIF(ТабПозиции[orderNum],ТабПозиции[[#This Row],[orderNum]])),0),"")</f>
        <v>70</v>
      </c>
      <c r="P499">
        <f>IF(OR(ТабПозиции[[#This Row],[item]]="По штрихкоду",ТабПозиции[[#This Row],[item]]="Посылка"),ТабПозиции[[#This Row],[deliverySumm]]+ТабПозиции[[#This Row],[deliveryPost]],SUM(M499:O499))</f>
        <v>534</v>
      </c>
      <c r="Q499" s="57">
        <v>534</v>
      </c>
      <c r="R499" s="62">
        <f>ТабПозиции[[#This Row],[totalSumm]]-ТабПозиции[[#This Row],[payment]]</f>
        <v>0</v>
      </c>
      <c r="S499" s="34" t="s">
        <v>965</v>
      </c>
      <c r="T499" s="56" t="s">
        <v>3061</v>
      </c>
      <c r="U499" s="56" t="s">
        <v>3061</v>
      </c>
      <c r="V499" s="56" t="s">
        <v>3061</v>
      </c>
      <c r="W499" s="7"/>
      <c r="X499"/>
    </row>
    <row r="500" spans="1:24" x14ac:dyDescent="0.25">
      <c r="A500" s="26">
        <v>128</v>
      </c>
      <c r="B500" s="1">
        <f>IFERROR(VLOOKUP(ТабПозиции[[#This Row],[orderNum]],ТабЗаказы[#Data],MATCH(B$7,ТабЗаказы[#Headers],0),0),"")</f>
        <v>45454</v>
      </c>
      <c r="C500" t="str">
        <f>MONTH(ТабПозиции[[#This Row],[date]])&amp;"/"&amp;YEAR(ТабПозиции[[#This Row],[date]])</f>
        <v>6/2024</v>
      </c>
      <c r="D500" s="1" t="str">
        <f>IFERROR(VLOOKUP(ТабПозиции[[#This Row],[orderNum]],ТабЗаказы[#Data],MATCH(D$7,ТабЗаказы[#Headers],0),0),"")</f>
        <v>Александр Каскад</v>
      </c>
      <c r="E500" s="32" t="s">
        <v>1006</v>
      </c>
      <c r="F500" s="56" t="s">
        <v>3061</v>
      </c>
      <c r="H500" s="34">
        <v>45458</v>
      </c>
      <c r="I500" s="26">
        <v>1</v>
      </c>
      <c r="J500" s="26">
        <v>8896</v>
      </c>
      <c r="K500">
        <v>8896</v>
      </c>
      <c r="L500" s="26">
        <v>9356</v>
      </c>
      <c r="M500">
        <f t="shared" si="9"/>
        <v>9356</v>
      </c>
      <c r="O50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Row],[orderNum]],ТабПозиции[orderSumm])&gt;1500),ABS(M500*VLOOKUP(ТабПозиции[[#This Row],[orderNum]],ТабЗаказы[#Data],MATCH("Percent",ТабЗаказы[#Headers],0),0))/100,200/COUNTIF(ТабПозиции[orderNum],ТабПозиции[[#This Row],[orderNum]])),0),"")</f>
        <v>936</v>
      </c>
      <c r="P500">
        <f>IF(OR(ТабПозиции[[#This Row],[item]]="По штрихкоду",ТабПозиции[[#This Row],[item]]="Посылка"),ТабПозиции[[#This Row],[deliverySumm]]+ТабПозиции[[#This Row],[deliveryPost]],SUM(M500:O500))</f>
        <v>10292</v>
      </c>
      <c r="Q500" s="57">
        <v>10292</v>
      </c>
      <c r="R500" s="62">
        <f>ТабПозиции[[#This Row],[totalSumm]]-ТабПозиции[[#This Row],[payment]]</f>
        <v>0</v>
      </c>
      <c r="S500" s="34" t="s">
        <v>955</v>
      </c>
      <c r="T500" s="56" t="s">
        <v>3061</v>
      </c>
      <c r="U500" s="56" t="s">
        <v>3061</v>
      </c>
      <c r="V500" s="56" t="s">
        <v>3061</v>
      </c>
      <c r="W500" s="7"/>
      <c r="X500"/>
    </row>
    <row r="501" spans="1:24" x14ac:dyDescent="0.25">
      <c r="A501" s="26">
        <v>128</v>
      </c>
      <c r="B501" s="1">
        <f>IFERROR(VLOOKUP(ТабПозиции[[#This Row],[orderNum]],ТабЗаказы[#Data],MATCH(B$7,ТабЗаказы[#Headers],0),0),"")</f>
        <v>45454</v>
      </c>
      <c r="C501" t="str">
        <f>MONTH(ТабПозиции[[#This Row],[date]])&amp;"/"&amp;YEAR(ТабПозиции[[#This Row],[date]])</f>
        <v>6/2024</v>
      </c>
      <c r="D501" s="1" t="str">
        <f>IFERROR(VLOOKUP(ТабПозиции[[#This Row],[orderNum]],ТабЗаказы[#Data],MATCH(D$7,ТабЗаказы[#Headers],0),0),"")</f>
        <v>Александр Каскад</v>
      </c>
      <c r="E501" s="32" t="s">
        <v>1007</v>
      </c>
      <c r="F501" s="56" t="s">
        <v>3061</v>
      </c>
      <c r="H501" s="34">
        <v>45456</v>
      </c>
      <c r="I501" s="26">
        <v>1</v>
      </c>
      <c r="J501" s="26">
        <v>1590</v>
      </c>
      <c r="K501">
        <v>1590</v>
      </c>
      <c r="L501" s="26">
        <v>1711</v>
      </c>
      <c r="M501">
        <f t="shared" si="9"/>
        <v>1711</v>
      </c>
      <c r="O50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Row],[orderNum]],ТабПозиции[orderSumm])&gt;1500),ABS(M501*VLOOKUP(ТабПозиции[[#This Row],[orderNum]],ТабЗаказы[#Data],MATCH("Percent",ТабЗаказы[#Headers],0),0))/100,200/COUNTIF(ТабПозиции[orderNum],ТабПозиции[[#This Row],[orderNum]])),0),"")</f>
        <v>171</v>
      </c>
      <c r="P501">
        <f>IF(OR(ТабПозиции[[#This Row],[item]]="По штрихкоду",ТабПозиции[[#This Row],[item]]="Посылка"),ТабПозиции[[#This Row],[deliverySumm]]+ТабПозиции[[#This Row],[deliveryPost]],SUM(M501:O501))</f>
        <v>1882</v>
      </c>
      <c r="Q501" s="57">
        <v>1882</v>
      </c>
      <c r="R501" s="62">
        <f>ТабПозиции[[#This Row],[totalSumm]]-ТабПозиции[[#This Row],[payment]]</f>
        <v>0</v>
      </c>
      <c r="S501" s="34" t="s">
        <v>955</v>
      </c>
      <c r="T501" s="56" t="s">
        <v>3061</v>
      </c>
      <c r="U501" s="56" t="s">
        <v>3061</v>
      </c>
      <c r="V501" s="56" t="s">
        <v>3061</v>
      </c>
      <c r="W501" s="7"/>
      <c r="X501"/>
    </row>
    <row r="502" spans="1:24" x14ac:dyDescent="0.25">
      <c r="A502" s="26">
        <v>128</v>
      </c>
      <c r="B502" s="1">
        <f>IFERROR(VLOOKUP(ТабПозиции[[#This Row],[orderNum]],ТабЗаказы[#Data],MATCH(B$7,ТабЗаказы[#Headers],0),0),"")</f>
        <v>45454</v>
      </c>
      <c r="C502" t="str">
        <f>MONTH(ТабПозиции[[#This Row],[date]])&amp;"/"&amp;YEAR(ТабПозиции[[#This Row],[date]])</f>
        <v>6/2024</v>
      </c>
      <c r="D502" s="1" t="str">
        <f>IFERROR(VLOOKUP(ТабПозиции[[#This Row],[orderNum]],ТабЗаказы[#Data],MATCH(D$7,ТабЗаказы[#Headers],0),0),"")</f>
        <v>Александр Каскад</v>
      </c>
      <c r="E502" s="32" t="s">
        <v>1008</v>
      </c>
      <c r="F502" s="56" t="s">
        <v>3061</v>
      </c>
      <c r="H502" s="34">
        <v>45458</v>
      </c>
      <c r="I502" s="26">
        <v>1</v>
      </c>
      <c r="J502" s="26">
        <v>471</v>
      </c>
      <c r="K502">
        <v>471</v>
      </c>
      <c r="L502" s="26">
        <v>508</v>
      </c>
      <c r="M502">
        <f t="shared" si="9"/>
        <v>508</v>
      </c>
      <c r="O50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Row],[orderNum]],ТабПозиции[orderSumm])&gt;1500),ABS(M502*VLOOKUP(ТабПозиции[[#This Row],[orderNum]],ТабЗаказы[#Data],MATCH("Percent",ТабЗаказы[#Headers],0),0))/100,200/COUNTIF(ТабПозиции[orderNum],ТабПозиции[[#This Row],[orderNum]])),0),"")</f>
        <v>51</v>
      </c>
      <c r="P502">
        <f>IF(OR(ТабПозиции[[#This Row],[item]]="По штрихкоду",ТабПозиции[[#This Row],[item]]="Посылка"),ТабПозиции[[#This Row],[deliverySumm]]+ТабПозиции[[#This Row],[deliveryPost]],SUM(M502:O502))</f>
        <v>559</v>
      </c>
      <c r="Q502" s="57">
        <v>559</v>
      </c>
      <c r="R502" s="62">
        <f>ТабПозиции[[#This Row],[totalSumm]]-ТабПозиции[[#This Row],[payment]]</f>
        <v>0</v>
      </c>
      <c r="S502" s="34" t="s">
        <v>955</v>
      </c>
      <c r="T502" s="56" t="s">
        <v>3061</v>
      </c>
      <c r="U502" s="56" t="s">
        <v>3061</v>
      </c>
      <c r="V502" s="56" t="s">
        <v>3061</v>
      </c>
      <c r="W502" s="7"/>
      <c r="X502"/>
    </row>
    <row r="503" spans="1:24" x14ac:dyDescent="0.25">
      <c r="A503" s="26">
        <v>128</v>
      </c>
      <c r="B503" s="1">
        <f>IFERROR(VLOOKUP(ТабПозиции[[#This Row],[orderNum]],ТабЗаказы[#Data],MATCH(B$7,ТабЗаказы[#Headers],0),0),"")</f>
        <v>45454</v>
      </c>
      <c r="C503" t="str">
        <f>MONTH(ТабПозиции[[#This Row],[date]])&amp;"/"&amp;YEAR(ТабПозиции[[#This Row],[date]])</f>
        <v>6/2024</v>
      </c>
      <c r="D503" s="1" t="str">
        <f>IFERROR(VLOOKUP(ТабПозиции[[#This Row],[orderNum]],ТабЗаказы[#Data],MATCH(D$7,ТабЗаказы[#Headers],0),0),"")</f>
        <v>Александр Каскад</v>
      </c>
      <c r="E503" s="35" t="s">
        <v>1009</v>
      </c>
      <c r="F503" s="56" t="s">
        <v>3061</v>
      </c>
      <c r="H503" s="34">
        <v>45456</v>
      </c>
      <c r="I503" s="26">
        <v>1</v>
      </c>
      <c r="J503" s="26">
        <v>1849</v>
      </c>
      <c r="K503">
        <v>1849</v>
      </c>
      <c r="L503" s="26">
        <v>1991</v>
      </c>
      <c r="M503">
        <f t="shared" si="9"/>
        <v>1991</v>
      </c>
      <c r="O50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Row],[orderNum]],ТабПозиции[orderSumm])&gt;1500),ABS(M503*VLOOKUP(ТабПозиции[[#This Row],[orderNum]],ТабЗаказы[#Data],MATCH("Percent",ТабЗаказы[#Headers],0),0))/100,200/COUNTIF(ТабПозиции[orderNum],ТабПозиции[[#This Row],[orderNum]])),0),"")</f>
        <v>199</v>
      </c>
      <c r="P503">
        <f>IF(OR(ТабПозиции[[#This Row],[item]]="По штрихкоду",ТабПозиции[[#This Row],[item]]="Посылка"),ТабПозиции[[#This Row],[deliverySumm]]+ТабПозиции[[#This Row],[deliveryPost]],SUM(M503:O503))</f>
        <v>2190</v>
      </c>
      <c r="Q503" s="57">
        <v>2190</v>
      </c>
      <c r="R503" s="62">
        <f>ТабПозиции[[#This Row],[totalSumm]]-ТабПозиции[[#This Row],[payment]]</f>
        <v>0</v>
      </c>
      <c r="S503" s="34" t="s">
        <v>955</v>
      </c>
      <c r="T503" s="56" t="s">
        <v>3061</v>
      </c>
      <c r="U503" s="56" t="s">
        <v>3061</v>
      </c>
      <c r="V503" s="56" t="s">
        <v>3061</v>
      </c>
      <c r="W503" s="7"/>
      <c r="X503"/>
    </row>
    <row r="504" spans="1:24" x14ac:dyDescent="0.25">
      <c r="A504" s="26">
        <v>129</v>
      </c>
      <c r="B504" s="1">
        <f>IFERROR(VLOOKUP(ТабПозиции[[#This Row],[orderNum]],ТабЗаказы[#Data],MATCH(B$7,ТабЗаказы[#Headers],0),0),"")</f>
        <v>45456</v>
      </c>
      <c r="C504" t="str">
        <f>MONTH(ТабПозиции[[#This Row],[date]])&amp;"/"&amp;YEAR(ТабПозиции[[#This Row],[date]])</f>
        <v>6/2024</v>
      </c>
      <c r="D504" s="1" t="str">
        <f>IFERROR(VLOOKUP(ТабПозиции[[#This Row],[orderNum]],ТабЗаказы[#Data],MATCH(D$7,ТабЗаказы[#Headers],0),0),"")</f>
        <v>Максим телевизор</v>
      </c>
      <c r="E504" s="26" t="s">
        <v>815</v>
      </c>
      <c r="F504" s="56" t="s">
        <v>3061</v>
      </c>
      <c r="G504" s="28" t="s">
        <v>1010</v>
      </c>
      <c r="H504" s="34">
        <v>45459</v>
      </c>
      <c r="I504" s="26">
        <v>1</v>
      </c>
      <c r="J504" s="26">
        <v>4200</v>
      </c>
      <c r="K504">
        <v>4200</v>
      </c>
      <c r="L504" s="26">
        <v>4200</v>
      </c>
      <c r="M504">
        <f t="shared" si="9"/>
        <v>4200</v>
      </c>
      <c r="O50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Row],[orderNum]],ТабПозиции[orderSumm])&gt;1500),ABS(M504*VLOOKUP(ТабПозиции[[#This Row],[orderNum]],ТабЗаказы[#Data],MATCH("Percent",ТабЗаказы[#Headers],0),0))/100,200/COUNTIF(ТабПозиции[orderNum],ТабПозиции[[#This Row],[orderNum]])),0),"")</f>
        <v>420</v>
      </c>
      <c r="P504">
        <f>IF(OR(ТабПозиции[[#This Row],[item]]="По штрихкоду",ТабПозиции[[#This Row],[item]]="Посылка"),ТабПозиции[[#This Row],[deliverySumm]]+ТабПозиции[[#This Row],[deliveryPost]],SUM(M504:O504))</f>
        <v>420</v>
      </c>
      <c r="Q504" s="57">
        <v>420</v>
      </c>
      <c r="R504" s="62">
        <f>ТабПозиции[[#This Row],[totalSumm]]-ТабПозиции[[#This Row],[payment]]</f>
        <v>0</v>
      </c>
      <c r="S504" s="34" t="s">
        <v>1011</v>
      </c>
      <c r="T504" s="56" t="s">
        <v>3061</v>
      </c>
      <c r="U504" s="56" t="s">
        <v>3061</v>
      </c>
      <c r="V504" s="56" t="s">
        <v>3061</v>
      </c>
      <c r="W504" s="7"/>
      <c r="X504"/>
    </row>
    <row r="505" spans="1:24" x14ac:dyDescent="0.25">
      <c r="A505" s="26">
        <v>129</v>
      </c>
      <c r="B505" s="1">
        <f>IFERROR(VLOOKUP(ТабПозиции[[#This Row],[orderNum]],ТабЗаказы[#Data],MATCH(B$7,ТабЗаказы[#Headers],0),0),"")</f>
        <v>45456</v>
      </c>
      <c r="C505" t="str">
        <f>MONTH(ТабПозиции[[#This Row],[date]])&amp;"/"&amp;YEAR(ТабПозиции[[#This Row],[date]])</f>
        <v>6/2024</v>
      </c>
      <c r="D505" s="1" t="str">
        <f>IFERROR(VLOOKUP(ТабПозиции[[#This Row],[orderNum]],ТабЗаказы[#Data],MATCH(D$7,ТабЗаказы[#Headers],0),0),"")</f>
        <v>Максим телевизор</v>
      </c>
      <c r="E505" s="26" t="s">
        <v>815</v>
      </c>
      <c r="F505" s="56" t="s">
        <v>3061</v>
      </c>
      <c r="G505" s="28" t="s">
        <v>1012</v>
      </c>
      <c r="H505" s="34">
        <v>45457</v>
      </c>
      <c r="I505" s="26">
        <v>1</v>
      </c>
      <c r="J505" s="26">
        <v>8500</v>
      </c>
      <c r="K505">
        <v>8500</v>
      </c>
      <c r="L505" s="26">
        <v>8500</v>
      </c>
      <c r="M505">
        <f t="shared" si="9"/>
        <v>8500</v>
      </c>
      <c r="O50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Row],[orderNum]],ТабПозиции[orderSumm])&gt;1500),ABS(M505*VLOOKUP(ТабПозиции[[#This Row],[orderNum]],ТабЗаказы[#Data],MATCH("Percent",ТабЗаказы[#Headers],0),0))/100,200/COUNTIF(ТабПозиции[orderNum],ТабПозиции[[#This Row],[orderNum]])),0),"")</f>
        <v>850</v>
      </c>
      <c r="P505">
        <f>IF(OR(ТабПозиции[[#This Row],[item]]="По штрихкоду",ТабПозиции[[#This Row],[item]]="Посылка"),ТабПозиции[[#This Row],[deliverySumm]]+ТабПозиции[[#This Row],[deliveryPost]],SUM(M505:O505))</f>
        <v>850</v>
      </c>
      <c r="Q505" s="57">
        <v>850</v>
      </c>
      <c r="R505" s="62">
        <f>ТабПозиции[[#This Row],[totalSumm]]-ТабПозиции[[#This Row],[payment]]</f>
        <v>0</v>
      </c>
      <c r="S505" s="34" t="s">
        <v>671</v>
      </c>
      <c r="T505" s="56" t="s">
        <v>3061</v>
      </c>
      <c r="U505" s="56" t="s">
        <v>3061</v>
      </c>
      <c r="V505" s="56" t="s">
        <v>3061</v>
      </c>
      <c r="W505" s="7"/>
      <c r="X505"/>
    </row>
    <row r="506" spans="1:24" x14ac:dyDescent="0.25">
      <c r="A506" s="26">
        <v>129</v>
      </c>
      <c r="B506" s="1">
        <f>IFERROR(VLOOKUP(ТабПозиции[[#This Row],[orderNum]],ТабЗаказы[#Data],MATCH(B$7,ТабЗаказы[#Headers],0),0),"")</f>
        <v>45456</v>
      </c>
      <c r="C506" t="str">
        <f>MONTH(ТабПозиции[[#This Row],[date]])&amp;"/"&amp;YEAR(ТабПозиции[[#This Row],[date]])</f>
        <v>6/2024</v>
      </c>
      <c r="D506" s="1" t="str">
        <f>IFERROR(VLOOKUP(ТабПозиции[[#This Row],[orderNum]],ТабЗаказы[#Data],MATCH(D$7,ТабЗаказы[#Headers],0),0),"")</f>
        <v>Максим телевизор</v>
      </c>
      <c r="E506" s="26" t="s">
        <v>815</v>
      </c>
      <c r="F506" s="56" t="s">
        <v>3061</v>
      </c>
      <c r="G506" s="28" t="s">
        <v>1013</v>
      </c>
      <c r="H506" s="34">
        <v>45457</v>
      </c>
      <c r="I506" s="26">
        <v>1</v>
      </c>
      <c r="J506" s="26">
        <v>4490</v>
      </c>
      <c r="K506">
        <v>4490</v>
      </c>
      <c r="L506" s="26">
        <v>4490</v>
      </c>
      <c r="M506">
        <f t="shared" si="9"/>
        <v>4490</v>
      </c>
      <c r="O50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Row],[orderNum]],ТабПозиции[orderSumm])&gt;1500),ABS(M506*VLOOKUP(ТабПозиции[[#This Row],[orderNum]],ТабЗаказы[#Data],MATCH("Percent",ТабЗаказы[#Headers],0),0))/100,200/COUNTIF(ТабПозиции[orderNum],ТабПозиции[[#This Row],[orderNum]])),0),"")</f>
        <v>449</v>
      </c>
      <c r="P506">
        <f>IF(OR(ТабПозиции[[#This Row],[item]]="По штрихкоду",ТабПозиции[[#This Row],[item]]="Посылка"),ТабПозиции[[#This Row],[deliverySumm]]+ТабПозиции[[#This Row],[deliveryPost]],SUM(M506:O506))</f>
        <v>449</v>
      </c>
      <c r="Q506" s="57">
        <v>449</v>
      </c>
      <c r="R506" s="62">
        <f>ТабПозиции[[#This Row],[totalSumm]]-ТабПозиции[[#This Row],[payment]]</f>
        <v>0</v>
      </c>
      <c r="S506" s="34" t="s">
        <v>671</v>
      </c>
      <c r="T506" s="56" t="s">
        <v>3061</v>
      </c>
      <c r="U506" s="56" t="s">
        <v>3061</v>
      </c>
      <c r="V506" s="56" t="s">
        <v>3061</v>
      </c>
      <c r="W506" s="7"/>
      <c r="X506"/>
    </row>
    <row r="507" spans="1:24" x14ac:dyDescent="0.25">
      <c r="A507" s="26">
        <v>130</v>
      </c>
      <c r="B507" s="1">
        <f>IFERROR(VLOOKUP(ТабПозиции[[#This Row],[orderNum]],ТабЗаказы[#Data],MATCH(B$7,ТабЗаказы[#Headers],0),0),"")</f>
        <v>45456</v>
      </c>
      <c r="C507" t="str">
        <f>MONTH(ТабПозиции[[#This Row],[date]])&amp;"/"&amp;YEAR(ТабПозиции[[#This Row],[date]])</f>
        <v>6/2024</v>
      </c>
      <c r="D507" s="1" t="str">
        <f>IFERROR(VLOOKUP(ТабПозиции[[#This Row],[orderNum]],ТабЗаказы[#Data],MATCH(D$7,ТабЗаказы[#Headers],0),0),"")</f>
        <v>Вадим</v>
      </c>
      <c r="E507" s="26" t="s">
        <v>815</v>
      </c>
      <c r="F507" s="56" t="s">
        <v>3061</v>
      </c>
      <c r="G507" s="28" t="s">
        <v>1014</v>
      </c>
      <c r="H507" s="34">
        <v>45457</v>
      </c>
      <c r="I507" s="26">
        <v>1</v>
      </c>
      <c r="J507" s="26">
        <v>3000</v>
      </c>
      <c r="K507">
        <v>3000</v>
      </c>
      <c r="L507" s="26">
        <v>3000</v>
      </c>
      <c r="M507">
        <f t="shared" si="9"/>
        <v>3000</v>
      </c>
      <c r="N507" s="26">
        <v>402.06</v>
      </c>
      <c r="O50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Row],[orderNum]],ТабПозиции[orderSumm])&gt;1500),ABS(M507*VLOOKUP(ТабПозиции[[#This Row],[orderNum]],ТабЗаказы[#Data],MATCH("Percent",ТабЗаказы[#Headers],0),0))/100,200/COUNTIF(ТабПозиции[orderNum],ТабПозиции[[#This Row],[orderNum]])),0),"")</f>
        <v>450</v>
      </c>
      <c r="P507">
        <f>IF(OR(ТабПозиции[[#This Row],[item]]="По штрихкоду",ТабПозиции[[#This Row],[item]]="Посылка"),ТабПозиции[[#This Row],[deliverySumm]]+ТабПозиции[[#This Row],[deliveryPost]],SUM(M507:O507))</f>
        <v>852.06</v>
      </c>
      <c r="Q507" s="57">
        <v>852.06</v>
      </c>
      <c r="R507" s="62">
        <f>ТабПозиции[[#This Row],[totalSumm]]-ТабПозиции[[#This Row],[payment]]</f>
        <v>0</v>
      </c>
      <c r="S507" s="34" t="s">
        <v>610</v>
      </c>
      <c r="T507" s="56" t="s">
        <v>3061</v>
      </c>
      <c r="U507" s="56" t="s">
        <v>3061</v>
      </c>
      <c r="V507" s="56" t="s">
        <v>3061</v>
      </c>
      <c r="W507" s="7"/>
      <c r="X507"/>
    </row>
    <row r="508" spans="1:24" x14ac:dyDescent="0.25">
      <c r="A508" s="26">
        <v>131</v>
      </c>
      <c r="B508" s="1">
        <f>IFERROR(VLOOKUP(ТабПозиции[[#This Row],[orderNum]],ТабЗаказы[#Data],MATCH(B$7,ТабЗаказы[#Headers],0),0),"")</f>
        <v>45456</v>
      </c>
      <c r="C508" t="str">
        <f>MONTH(ТабПозиции[[#This Row],[date]])&amp;"/"&amp;YEAR(ТабПозиции[[#This Row],[date]])</f>
        <v>6/2024</v>
      </c>
      <c r="D508" s="1" t="str">
        <f>IFERROR(VLOOKUP(ТабПозиции[[#This Row],[orderNum]],ТабЗаказы[#Data],MATCH(D$7,ТабЗаказы[#Headers],0),0),"")</f>
        <v>Алена запчасти</v>
      </c>
      <c r="E508" s="26" t="s">
        <v>815</v>
      </c>
      <c r="F508" s="56" t="s">
        <v>3061</v>
      </c>
      <c r="G508" s="28" t="s">
        <v>1015</v>
      </c>
      <c r="H508" s="34">
        <v>45457</v>
      </c>
      <c r="I508" s="26">
        <v>1</v>
      </c>
      <c r="J508" s="26">
        <v>4500</v>
      </c>
      <c r="K508">
        <v>4500</v>
      </c>
      <c r="L508" s="26">
        <v>4500</v>
      </c>
      <c r="M508">
        <f t="shared" si="9"/>
        <v>4500</v>
      </c>
      <c r="N508" s="26">
        <v>671</v>
      </c>
      <c r="O50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Row],[orderNum]],ТабПозиции[orderSumm])&gt;1500),ABS(M508*VLOOKUP(ТабПозиции[[#This Row],[orderNum]],ТабЗаказы[#Data],MATCH("Percent",ТабЗаказы[#Headers],0),0))/100,200/COUNTIF(ТабПозиции[orderNum],ТабПозиции[[#This Row],[orderNum]])),0),"")</f>
        <v>675</v>
      </c>
      <c r="P508">
        <f>IF(OR(ТабПозиции[[#This Row],[item]]="По штрихкоду",ТабПозиции[[#This Row],[item]]="Посылка"),ТабПозиции[[#This Row],[deliverySumm]]+ТабПозиции[[#This Row],[deliveryPost]],SUM(M508:O508))</f>
        <v>1346</v>
      </c>
      <c r="Q508" s="57">
        <v>1346</v>
      </c>
      <c r="R508" s="62">
        <f>ТабПозиции[[#This Row],[totalSumm]]-ТабПозиции[[#This Row],[payment]]</f>
        <v>0</v>
      </c>
      <c r="S508" s="34" t="s">
        <v>1016</v>
      </c>
      <c r="T508" s="56" t="s">
        <v>3061</v>
      </c>
      <c r="U508" s="56" t="s">
        <v>3061</v>
      </c>
      <c r="V508" s="56" t="s">
        <v>3061</v>
      </c>
      <c r="W508" s="7"/>
      <c r="X508"/>
    </row>
    <row r="509" spans="1:24" x14ac:dyDescent="0.25">
      <c r="A509" s="26">
        <v>132</v>
      </c>
      <c r="B509" s="1">
        <f>IFERROR(VLOOKUP(ТабПозиции[[#This Row],[orderNum]],ТабЗаказы[#Data],MATCH(B$7,ТабЗаказы[#Headers],0),0),"")</f>
        <v>45456</v>
      </c>
      <c r="C509" t="str">
        <f>MONTH(ТабПозиции[[#This Row],[date]])&amp;"/"&amp;YEAR(ТабПозиции[[#This Row],[date]])</f>
        <v>6/2024</v>
      </c>
      <c r="D509" s="1" t="str">
        <f>IFERROR(VLOOKUP(ТабПозиции[[#This Row],[orderNum]],ТабЗаказы[#Data],MATCH(D$7,ТабЗаказы[#Headers],0),0),"")</f>
        <v>Геннадий Генерал</v>
      </c>
      <c r="E509" s="26" t="s">
        <v>32</v>
      </c>
      <c r="F509" s="56" t="s">
        <v>3061</v>
      </c>
      <c r="H509" s="34">
        <v>45457</v>
      </c>
      <c r="I509" s="26">
        <v>1</v>
      </c>
      <c r="J509" s="26">
        <f>2500+1159</f>
        <v>3659</v>
      </c>
      <c r="K509">
        <v>3659</v>
      </c>
      <c r="L509" s="26">
        <v>3659</v>
      </c>
      <c r="M509">
        <f t="shared" si="9"/>
        <v>3659</v>
      </c>
      <c r="O50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Row],[orderNum]],ТабПозиции[orderSumm])&gt;1500),ABS(M509*VLOOKUP(ТабПозиции[[#This Row],[orderNum]],ТабЗаказы[#Data],MATCH("Percent",ТабЗаказы[#Headers],0),0))/100,200/COUNTIF(ТабПозиции[orderNum],ТабПозиции[[#This Row],[orderNum]])),0),"")</f>
        <v>366</v>
      </c>
      <c r="P509">
        <f>IF(OR(ТабПозиции[[#This Row],[item]]="По штрихкоду",ТабПозиции[[#This Row],[item]]="Посылка"),ТабПозиции[[#This Row],[deliverySumm]]+ТабПозиции[[#This Row],[deliveryPost]],SUM(M509:O509))</f>
        <v>366</v>
      </c>
      <c r="Q509" s="57">
        <v>366</v>
      </c>
      <c r="R509" s="62">
        <f>ТабПозиции[[#This Row],[totalSumm]]-ТабПозиции[[#This Row],[payment]]</f>
        <v>0</v>
      </c>
      <c r="S509" s="34" t="s">
        <v>575</v>
      </c>
      <c r="T509" s="56" t="s">
        <v>3061</v>
      </c>
      <c r="U509" s="56" t="s">
        <v>3061</v>
      </c>
      <c r="V509" s="56" t="s">
        <v>3061</v>
      </c>
      <c r="W509" s="7"/>
      <c r="X509"/>
    </row>
    <row r="510" spans="1:24" x14ac:dyDescent="0.25">
      <c r="A510" s="26">
        <v>133</v>
      </c>
      <c r="B510" s="1">
        <f>IFERROR(VLOOKUP(ТабПозиции[[#This Row],[orderNum]],ТабЗаказы[#Data],MATCH(B$7,ТабЗаказы[#Headers],0),0),"")</f>
        <v>45457</v>
      </c>
      <c r="C510" t="str">
        <f>MONTH(ТабПозиции[[#This Row],[date]])&amp;"/"&amp;YEAR(ТабПозиции[[#This Row],[date]])</f>
        <v>6/2024</v>
      </c>
      <c r="D510" s="1" t="str">
        <f>IFERROR(VLOOKUP(ТабПозиции[[#This Row],[orderNum]],ТабЗаказы[#Data],MATCH(D$7,ТабЗаказы[#Headers],0),0),"")</f>
        <v>Алена Бондаренко</v>
      </c>
      <c r="E510" s="26" t="s">
        <v>32</v>
      </c>
      <c r="F510" s="56" t="s">
        <v>3061</v>
      </c>
      <c r="H510" s="34">
        <v>45457</v>
      </c>
      <c r="I510" s="26">
        <v>1</v>
      </c>
      <c r="J510" s="26">
        <f>1617+3202</f>
        <v>4819</v>
      </c>
      <c r="K510">
        <v>4819</v>
      </c>
      <c r="L510" s="26">
        <f>1617+3202</f>
        <v>4819</v>
      </c>
      <c r="M510">
        <f t="shared" si="9"/>
        <v>4819</v>
      </c>
      <c r="O51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Row],[orderNum]],ТабПозиции[orderSumm])&gt;1500),ABS(M510*VLOOKUP(ТабПозиции[[#This Row],[orderNum]],ТабЗаказы[#Data],MATCH("Percent",ТабЗаказы[#Headers],0),0))/100,200/COUNTIF(ТабПозиции[orderNum],ТабПозиции[[#This Row],[orderNum]])),0),"")</f>
        <v>482</v>
      </c>
      <c r="P510">
        <f>IF(OR(ТабПозиции[[#This Row],[item]]="По штрихкоду",ТабПозиции[[#This Row],[item]]="Посылка"),ТабПозиции[[#This Row],[deliverySumm]]+ТабПозиции[[#This Row],[deliveryPost]],SUM(M510:O510))</f>
        <v>482</v>
      </c>
      <c r="Q510" s="57">
        <v>482</v>
      </c>
      <c r="R510" s="62">
        <f>ТабПозиции[[#This Row],[totalSumm]]-ТабПозиции[[#This Row],[payment]]</f>
        <v>0</v>
      </c>
      <c r="S510" s="34" t="s">
        <v>575</v>
      </c>
      <c r="T510" s="56" t="s">
        <v>3061</v>
      </c>
      <c r="U510" s="56" t="s">
        <v>3061</v>
      </c>
      <c r="V510" s="56" t="s">
        <v>3061</v>
      </c>
      <c r="W510" s="7"/>
      <c r="X510"/>
    </row>
    <row r="511" spans="1:24" x14ac:dyDescent="0.25">
      <c r="A511" s="26">
        <v>134</v>
      </c>
      <c r="B511" s="1">
        <f>IFERROR(VLOOKUP(ТабПозиции[[#This Row],[orderNum]],ТабЗаказы[#Data],MATCH(B$7,ТабЗаказы[#Headers],0),0),"")</f>
        <v>45455</v>
      </c>
      <c r="C511" t="str">
        <f>MONTH(ТабПозиции[[#This Row],[date]])&amp;"/"&amp;YEAR(ТабПозиции[[#This Row],[date]])</f>
        <v>6/2024</v>
      </c>
      <c r="D511" s="1" t="str">
        <f>IFERROR(VLOOKUP(ТабПозиции[[#This Row],[orderNum]],ТабЗаказы[#Data],MATCH(D$7,ТабЗаказы[#Headers],0),0),"")</f>
        <v>Руденко Юля</v>
      </c>
      <c r="E511" s="32" t="s">
        <v>1017</v>
      </c>
      <c r="F511" s="56" t="s">
        <v>3061</v>
      </c>
      <c r="H511" s="34">
        <v>45457</v>
      </c>
      <c r="I511" s="26">
        <v>1</v>
      </c>
      <c r="J511" s="26">
        <v>449</v>
      </c>
      <c r="K511">
        <v>449</v>
      </c>
      <c r="L511" s="26">
        <v>473</v>
      </c>
      <c r="M511">
        <f t="shared" si="9"/>
        <v>473</v>
      </c>
      <c r="O51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Row],[orderNum]],ТабПозиции[orderSumm])&gt;1500),ABS(M511*VLOOKUP(ТабПозиции[[#This Row],[orderNum]],ТабЗаказы[#Data],MATCH("Percent",ТабЗаказы[#Headers],0),0))/100,200/COUNTIF(ТабПозиции[orderNum],ТабПозиции[[#This Row],[orderNum]])),0),"")</f>
        <v>47</v>
      </c>
      <c r="P511">
        <f>IF(OR(ТабПозиции[[#This Row],[item]]="По штрихкоду",ТабПозиции[[#This Row],[item]]="Посылка"),ТабПозиции[[#This Row],[deliverySumm]]+ТабПозиции[[#This Row],[deliveryPost]],SUM(M511:O511))</f>
        <v>520</v>
      </c>
      <c r="Q511" s="57">
        <v>520</v>
      </c>
      <c r="R511" s="62">
        <f>ТабПозиции[[#This Row],[totalSumm]]-ТабПозиции[[#This Row],[payment]]</f>
        <v>0</v>
      </c>
      <c r="S511" s="34" t="s">
        <v>955</v>
      </c>
      <c r="T511" s="56" t="s">
        <v>3061</v>
      </c>
      <c r="U511" s="56" t="s">
        <v>3061</v>
      </c>
      <c r="V511" s="56" t="s">
        <v>3061</v>
      </c>
      <c r="W511" s="7"/>
      <c r="X511"/>
    </row>
    <row r="512" spans="1:24" x14ac:dyDescent="0.25">
      <c r="A512" s="26">
        <v>134</v>
      </c>
      <c r="B512" s="1">
        <f>IFERROR(VLOOKUP(ТабПозиции[[#This Row],[orderNum]],ТабЗаказы[#Data],MATCH(B$7,ТабЗаказы[#Headers],0),0),"")</f>
        <v>45455</v>
      </c>
      <c r="C512" t="str">
        <f>MONTH(ТабПозиции[[#This Row],[date]])&amp;"/"&amp;YEAR(ТабПозиции[[#This Row],[date]])</f>
        <v>6/2024</v>
      </c>
      <c r="D512" s="1" t="str">
        <f>IFERROR(VLOOKUP(ТабПозиции[[#This Row],[orderNum]],ТабЗаказы[#Data],MATCH(D$7,ТабЗаказы[#Headers],0),0),"")</f>
        <v>Руденко Юля</v>
      </c>
      <c r="E512" s="32" t="s">
        <v>1018</v>
      </c>
      <c r="F512" s="56" t="s">
        <v>3061</v>
      </c>
      <c r="H512" s="34">
        <v>45457</v>
      </c>
      <c r="I512" s="26">
        <v>2</v>
      </c>
      <c r="J512" s="26">
        <v>305</v>
      </c>
      <c r="K512">
        <v>610</v>
      </c>
      <c r="L512" s="26">
        <v>322</v>
      </c>
      <c r="M512">
        <f t="shared" si="9"/>
        <v>644</v>
      </c>
      <c r="O51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Row],[orderNum]],ТабПозиции[orderSumm])&gt;1500),ABS(M512*VLOOKUP(ТабПозиции[[#This Row],[orderNum]],ТабЗаказы[#Data],MATCH("Percent",ТабЗаказы[#Headers],0),0))/100,200/COUNTIF(ТабПозиции[orderNum],ТабПозиции[[#This Row],[orderNum]])),0),"")</f>
        <v>64</v>
      </c>
      <c r="P512">
        <f>IF(OR(ТабПозиции[[#This Row],[item]]="По штрихкоду",ТабПозиции[[#This Row],[item]]="Посылка"),ТабПозиции[[#This Row],[deliverySumm]]+ТабПозиции[[#This Row],[deliveryPost]],SUM(M512:O512))</f>
        <v>708</v>
      </c>
      <c r="Q512" s="57">
        <v>708</v>
      </c>
      <c r="R512" s="62">
        <f>ТабПозиции[[#This Row],[totalSumm]]-ТабПозиции[[#This Row],[payment]]</f>
        <v>0</v>
      </c>
      <c r="S512" s="34" t="s">
        <v>965</v>
      </c>
      <c r="T512" s="56" t="s">
        <v>3061</v>
      </c>
      <c r="U512" s="56" t="s">
        <v>3061</v>
      </c>
      <c r="V512" s="56" t="s">
        <v>3061</v>
      </c>
      <c r="W512" s="7"/>
      <c r="X512"/>
    </row>
    <row r="513" spans="1:24" x14ac:dyDescent="0.25">
      <c r="A513" s="26">
        <v>134</v>
      </c>
      <c r="B513" s="1">
        <f>IFERROR(VLOOKUP(ТабПозиции[[#This Row],[orderNum]],ТабЗаказы[#Data],MATCH(B$7,ТабЗаказы[#Headers],0),0),"")</f>
        <v>45455</v>
      </c>
      <c r="C513" t="str">
        <f>MONTH(ТабПозиции[[#This Row],[date]])&amp;"/"&amp;YEAR(ТабПозиции[[#This Row],[date]])</f>
        <v>6/2024</v>
      </c>
      <c r="D513" s="1" t="str">
        <f>IFERROR(VLOOKUP(ТабПозиции[[#This Row],[orderNum]],ТабЗаказы[#Data],MATCH(D$7,ТабЗаказы[#Headers],0),0),"")</f>
        <v>Руденко Юля</v>
      </c>
      <c r="E513" s="32" t="s">
        <v>1019</v>
      </c>
      <c r="F513" s="56" t="s">
        <v>3061</v>
      </c>
      <c r="H513" s="34">
        <v>45457</v>
      </c>
      <c r="I513" s="26">
        <v>1</v>
      </c>
      <c r="J513" s="26">
        <v>946</v>
      </c>
      <c r="K513">
        <v>946</v>
      </c>
      <c r="L513" s="26">
        <v>996</v>
      </c>
      <c r="M513">
        <f t="shared" si="9"/>
        <v>996</v>
      </c>
      <c r="O51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Row],[orderNum]],ТабПозиции[orderSumm])&gt;1500),ABS(M513*VLOOKUP(ТабПозиции[[#This Row],[orderNum]],ТабЗаказы[#Data],MATCH("Percent",ТабЗаказы[#Headers],0),0))/100,200/COUNTIF(ТабПозиции[orderNum],ТабПозиции[[#This Row],[orderNum]])),0),"")</f>
        <v>100</v>
      </c>
      <c r="P513">
        <f>IF(OR(ТабПозиции[[#This Row],[item]]="По штрихкоду",ТабПозиции[[#This Row],[item]]="Посылка"),ТабПозиции[[#This Row],[deliverySumm]]+ТабПозиции[[#This Row],[deliveryPost]],SUM(M513:O513))</f>
        <v>1096</v>
      </c>
      <c r="Q513" s="57">
        <v>1096</v>
      </c>
      <c r="R513" s="62">
        <f>ТабПозиции[[#This Row],[totalSumm]]-ТабПозиции[[#This Row],[payment]]</f>
        <v>0</v>
      </c>
      <c r="S513" s="34" t="s">
        <v>955</v>
      </c>
      <c r="T513" s="56" t="s">
        <v>3061</v>
      </c>
      <c r="U513" s="56" t="s">
        <v>3061</v>
      </c>
      <c r="V513" s="56" t="s">
        <v>3061</v>
      </c>
      <c r="W513" s="7"/>
      <c r="X513"/>
    </row>
    <row r="514" spans="1:24" x14ac:dyDescent="0.25">
      <c r="A514" s="26">
        <v>135</v>
      </c>
      <c r="B514" s="1">
        <f>IFERROR(VLOOKUP(ТабПозиции[[#This Row],[orderNum]],ТабЗаказы[#Data],MATCH(B$7,ТабЗаказы[#Headers],0),0),"")</f>
        <v>45457</v>
      </c>
      <c r="C514" t="str">
        <f>MONTH(ТабПозиции[[#This Row],[date]])&amp;"/"&amp;YEAR(ТабПозиции[[#This Row],[date]])</f>
        <v>6/2024</v>
      </c>
      <c r="D514" s="1" t="str">
        <f>IFERROR(VLOOKUP(ТабПозиции[[#This Row],[orderNum]],ТабЗаказы[#Data],MATCH(D$7,ТабЗаказы[#Headers],0),0),"")</f>
        <v>Руденко Юля</v>
      </c>
      <c r="E514" s="32" t="s">
        <v>1020</v>
      </c>
      <c r="F514" s="56" t="s">
        <v>3061</v>
      </c>
      <c r="H514" s="34">
        <v>45471</v>
      </c>
      <c r="I514" s="39"/>
      <c r="J514" s="26">
        <v>627</v>
      </c>
      <c r="K514">
        <v>0</v>
      </c>
      <c r="L514" s="26">
        <v>660</v>
      </c>
      <c r="M514">
        <f t="shared" si="9"/>
        <v>0</v>
      </c>
      <c r="O51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Row],[orderNum]],ТабПозиции[orderSumm])&gt;1500),ABS(M514*VLOOKUP(ТабПозиции[[#This Row],[orderNum]],ТабЗаказы[#Data],MATCH("Percent",ТабЗаказы[#Headers],0),0))/100,200/COUNTIF(ТабПозиции[orderNum],ТабПозиции[[#This Row],[orderNum]])),0),"")</f>
        <v>100</v>
      </c>
      <c r="P514">
        <f>IF(OR(ТабПозиции[[#This Row],[item]]="По штрихкоду",ТабПозиции[[#This Row],[item]]="Посылка"),ТабПозиции[[#This Row],[deliverySumm]]+ТабПозиции[[#This Row],[deliveryPost]],SUM(M514:O514))</f>
        <v>100</v>
      </c>
      <c r="Q514" s="57">
        <v>100</v>
      </c>
      <c r="R514" s="62">
        <f>ТабПозиции[[#This Row],[totalSumm]]-ТабПозиции[[#This Row],[payment]]</f>
        <v>0</v>
      </c>
      <c r="S514" s="34" t="s">
        <v>965</v>
      </c>
      <c r="T514" s="56" t="s">
        <v>3061</v>
      </c>
      <c r="U514" s="56" t="str">
        <f>IF(AND(ТабПозиции[[#This Row],[Остаток]]=0,ТабПозиции[[#This Row],[ord]]="true"),"true","false")</f>
        <v>true</v>
      </c>
      <c r="V514" s="56" t="s">
        <v>3061</v>
      </c>
      <c r="W514" s="7"/>
      <c r="X514"/>
    </row>
    <row r="515" spans="1:24" x14ac:dyDescent="0.25">
      <c r="A515" s="26">
        <v>135</v>
      </c>
      <c r="B515" s="1">
        <f>IFERROR(VLOOKUP(ТабПозиции[[#This Row],[orderNum]],ТабЗаказы[#Data],MATCH(B$7,ТабЗаказы[#Headers],0),0),"")</f>
        <v>45457</v>
      </c>
      <c r="C515" t="str">
        <f>MONTH(ТабПозиции[[#This Row],[date]])&amp;"/"&amp;YEAR(ТабПозиции[[#This Row],[date]])</f>
        <v>6/2024</v>
      </c>
      <c r="D515" s="1" t="str">
        <f>IFERROR(VLOOKUP(ТабПозиции[[#This Row],[orderNum]],ТабЗаказы[#Data],MATCH(D$7,ТабЗаказы[#Headers],0),0),"")</f>
        <v>Руденко Юля</v>
      </c>
      <c r="E515" s="32" t="s">
        <v>1021</v>
      </c>
      <c r="F515" s="56" t="s">
        <v>3061</v>
      </c>
      <c r="H515" s="34">
        <v>45459</v>
      </c>
      <c r="I515" s="26">
        <v>1</v>
      </c>
      <c r="J515" s="26">
        <v>673</v>
      </c>
      <c r="K515">
        <v>673</v>
      </c>
      <c r="L515" s="26">
        <v>709</v>
      </c>
      <c r="M515">
        <f t="shared" si="9"/>
        <v>709</v>
      </c>
      <c r="O51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Row],[orderNum]],ТабПозиции[orderSumm])&gt;1500),ABS(M515*VLOOKUP(ТабПозиции[[#This Row],[orderNum]],ТабЗаказы[#Data],MATCH("Percent",ТабЗаказы[#Headers],0),0))/100,200/COUNTIF(ТабПозиции[orderNum],ТабПозиции[[#This Row],[orderNum]])),0),"")</f>
        <v>100</v>
      </c>
      <c r="P515">
        <f>IF(OR(ТабПозиции[[#This Row],[item]]="По штрихкоду",ТабПозиции[[#This Row],[item]]="Посылка"),ТабПозиции[[#This Row],[deliverySumm]]+ТабПозиции[[#This Row],[deliveryPost]],SUM(M515:O515))</f>
        <v>809</v>
      </c>
      <c r="Q515" s="57">
        <v>809</v>
      </c>
      <c r="R515" s="62">
        <f>ТабПозиции[[#This Row],[totalSumm]]-ТабПозиции[[#This Row],[payment]]</f>
        <v>0</v>
      </c>
      <c r="S515" s="34" t="s">
        <v>965</v>
      </c>
      <c r="T515" s="56" t="s">
        <v>3061</v>
      </c>
      <c r="U515" s="56" t="s">
        <v>3061</v>
      </c>
      <c r="V515" s="56" t="s">
        <v>3061</v>
      </c>
      <c r="W515" s="7"/>
      <c r="X515"/>
    </row>
    <row r="516" spans="1:24" x14ac:dyDescent="0.25">
      <c r="A516" s="26">
        <v>136</v>
      </c>
      <c r="B516" s="1">
        <f>IFERROR(VLOOKUP(ТабПозиции[[#This Row],[orderNum]],ТабЗаказы[#Data],MATCH(B$7,ТабЗаказы[#Headers],0),0),"")</f>
        <v>45458</v>
      </c>
      <c r="C516" t="str">
        <f>MONTH(ТабПозиции[[#This Row],[date]])&amp;"/"&amp;YEAR(ТабПозиции[[#This Row],[date]])</f>
        <v>6/2024</v>
      </c>
      <c r="D516" s="1" t="str">
        <f>IFERROR(VLOOKUP(ТабПозиции[[#This Row],[orderNum]],ТабЗаказы[#Data],MATCH(D$7,ТабЗаказы[#Headers],0),0),"")</f>
        <v>Александр электростанция</v>
      </c>
      <c r="E516" s="32" t="s">
        <v>761</v>
      </c>
      <c r="F516" s="56" t="s">
        <v>3061</v>
      </c>
      <c r="H516" s="34">
        <v>45462</v>
      </c>
      <c r="I516" s="26">
        <v>1</v>
      </c>
      <c r="J516" s="26">
        <v>6094</v>
      </c>
      <c r="K516">
        <v>6094</v>
      </c>
      <c r="L516" s="26">
        <v>6415</v>
      </c>
      <c r="M516">
        <f t="shared" si="9"/>
        <v>6415</v>
      </c>
      <c r="O51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Row],[orderNum]],ТабПозиции[orderSumm])&gt;1500),ABS(M516*VLOOKUP(ТабПозиции[[#This Row],[orderNum]],ТабЗаказы[#Data],MATCH("Percent",ТабЗаказы[#Headers],0),0))/100,200/COUNTIF(ТабПозиции[orderNum],ТабПозиции[[#This Row],[orderNum]])),0),"")</f>
        <v>962</v>
      </c>
      <c r="P516">
        <f>IF(OR(ТабПозиции[[#This Row],[item]]="По штрихкоду",ТабПозиции[[#This Row],[item]]="Посылка"),ТабПозиции[[#This Row],[deliverySumm]]+ТабПозиции[[#This Row],[deliveryPost]],SUM(M516:O516))</f>
        <v>7377</v>
      </c>
      <c r="Q516" s="57">
        <v>7377</v>
      </c>
      <c r="R516" s="62">
        <f>ТабПозиции[[#This Row],[totalSumm]]-ТабПозиции[[#This Row],[payment]]</f>
        <v>0</v>
      </c>
      <c r="S516" s="34" t="s">
        <v>965</v>
      </c>
      <c r="T516" s="56" t="s">
        <v>3061</v>
      </c>
      <c r="U516" s="56" t="s">
        <v>3061</v>
      </c>
      <c r="V516" s="56" t="s">
        <v>3061</v>
      </c>
      <c r="W516" s="7"/>
      <c r="X516"/>
    </row>
    <row r="517" spans="1:24" x14ac:dyDescent="0.25">
      <c r="A517" s="26">
        <v>137</v>
      </c>
      <c r="B517" s="1">
        <f>IFERROR(VLOOKUP(ТабПозиции[[#This Row],[orderNum]],ТабЗаказы[#Data],MATCH(B$7,ТабЗаказы[#Headers],0),0),"")</f>
        <v>45461</v>
      </c>
      <c r="C517" t="str">
        <f>MONTH(ТабПозиции[[#This Row],[date]])&amp;"/"&amp;YEAR(ТабПозиции[[#This Row],[date]])</f>
        <v>6/2024</v>
      </c>
      <c r="D517" s="1" t="str">
        <f>IFERROR(VLOOKUP(ТабПозиции[[#This Row],[orderNum]],ТабЗаказы[#Data],MATCH(D$7,ТабЗаказы[#Headers],0),0),"")</f>
        <v>Юля Ларисына</v>
      </c>
      <c r="E517" s="32" t="s">
        <v>1022</v>
      </c>
      <c r="F517" s="56" t="s">
        <v>3061</v>
      </c>
      <c r="H517" s="34">
        <v>45464</v>
      </c>
      <c r="I517" s="26">
        <v>1</v>
      </c>
      <c r="J517" s="26">
        <v>757</v>
      </c>
      <c r="K517">
        <v>757</v>
      </c>
      <c r="L517" s="26">
        <v>797</v>
      </c>
      <c r="M517">
        <f t="shared" si="9"/>
        <v>797</v>
      </c>
      <c r="O51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Row],[orderNum]],ТабПозиции[orderSumm])&gt;1500),ABS(M517*VLOOKUP(ТабПозиции[[#This Row],[orderNum]],ТабЗаказы[#Data],MATCH("Percent",ТабЗаказы[#Headers],0),0))/100,200/COUNTIF(ТабПозиции[orderNum],ТабПозиции[[#This Row],[orderNum]])),0),"")</f>
        <v>120</v>
      </c>
      <c r="P517">
        <f>IF(OR(ТабПозиции[[#This Row],[item]]="По штрихкоду",ТабПозиции[[#This Row],[item]]="Посылка"),ТабПозиции[[#This Row],[deliverySumm]]+ТабПозиции[[#This Row],[deliveryPost]],SUM(M517:O517))</f>
        <v>917</v>
      </c>
      <c r="Q517" s="57">
        <v>917</v>
      </c>
      <c r="R517" s="62">
        <f>ТабПозиции[[#This Row],[totalSumm]]-ТабПозиции[[#This Row],[payment]]</f>
        <v>0</v>
      </c>
      <c r="S517" s="34" t="s">
        <v>965</v>
      </c>
      <c r="T517" s="56" t="s">
        <v>3061</v>
      </c>
      <c r="U517" s="56" t="s">
        <v>3061</v>
      </c>
      <c r="V517" s="56" t="s">
        <v>3061</v>
      </c>
      <c r="W517" s="7"/>
      <c r="X517"/>
    </row>
    <row r="518" spans="1:24" x14ac:dyDescent="0.25">
      <c r="A518" s="26">
        <v>137</v>
      </c>
      <c r="B518" s="1">
        <f>IFERROR(VLOOKUP(ТабПозиции[[#This Row],[orderNum]],ТабЗаказы[#Data],MATCH(B$7,ТабЗаказы[#Headers],0),0),"")</f>
        <v>45461</v>
      </c>
      <c r="C518" t="str">
        <f>MONTH(ТабПозиции[[#This Row],[date]])&amp;"/"&amp;YEAR(ТабПозиции[[#This Row],[date]])</f>
        <v>6/2024</v>
      </c>
      <c r="D518" s="1" t="str">
        <f>IFERROR(VLOOKUP(ТабПозиции[[#This Row],[orderNum]],ТабЗаказы[#Data],MATCH(D$7,ТабЗаказы[#Headers],0),0),"")</f>
        <v>Юля Ларисына</v>
      </c>
      <c r="E518" s="32" t="s">
        <v>1023</v>
      </c>
      <c r="F518" s="56" t="s">
        <v>3061</v>
      </c>
      <c r="H518" s="34">
        <v>45463</v>
      </c>
      <c r="I518" s="26">
        <v>1</v>
      </c>
      <c r="J518" s="26">
        <v>1716</v>
      </c>
      <c r="K518">
        <v>1716</v>
      </c>
      <c r="L518" s="26">
        <v>1807</v>
      </c>
      <c r="M518">
        <f t="shared" si="9"/>
        <v>1807</v>
      </c>
      <c r="O51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Row],[orderNum]],ТабПозиции[orderSumm])&gt;1500),ABS(M518*VLOOKUP(ТабПозиции[[#This Row],[orderNum]],ТабЗаказы[#Data],MATCH("Percent",ТабЗаказы[#Headers],0),0))/100,200/COUNTIF(ТабПозиции[orderNum],ТабПозиции[[#This Row],[orderNum]])),0),"")</f>
        <v>271</v>
      </c>
      <c r="P518">
        <f>IF(OR(ТабПозиции[[#This Row],[item]]="По штрихкоду",ТабПозиции[[#This Row],[item]]="Посылка"),ТабПозиции[[#This Row],[deliverySumm]]+ТабПозиции[[#This Row],[deliveryPost]],SUM(M518:O518))</f>
        <v>2078</v>
      </c>
      <c r="Q518" s="57">
        <v>2078</v>
      </c>
      <c r="R518" s="62">
        <f>ТабПозиции[[#This Row],[totalSumm]]-ТабПозиции[[#This Row],[payment]]</f>
        <v>0</v>
      </c>
      <c r="S518" s="34" t="s">
        <v>965</v>
      </c>
      <c r="T518" s="56" t="s">
        <v>3061</v>
      </c>
      <c r="U518" s="56" t="s">
        <v>3061</v>
      </c>
      <c r="V518" s="56" t="s">
        <v>3061</v>
      </c>
      <c r="W518" s="7"/>
      <c r="X518"/>
    </row>
    <row r="519" spans="1:24" x14ac:dyDescent="0.25">
      <c r="A519" s="26">
        <v>137</v>
      </c>
      <c r="B519" s="1">
        <f>IFERROR(VLOOKUP(ТабПозиции[[#This Row],[orderNum]],ТабЗаказы[#Data],MATCH(B$7,ТабЗаказы[#Headers],0),0),"")</f>
        <v>45461</v>
      </c>
      <c r="C519" t="str">
        <f>MONTH(ТабПозиции[[#This Row],[date]])&amp;"/"&amp;YEAR(ТабПозиции[[#This Row],[date]])</f>
        <v>6/2024</v>
      </c>
      <c r="D519" s="1" t="str">
        <f>IFERROR(VLOOKUP(ТабПозиции[[#This Row],[orderNum]],ТабЗаказы[#Data],MATCH(D$7,ТабЗаказы[#Headers],0),0),"")</f>
        <v>Юля Ларисына</v>
      </c>
      <c r="E519" s="32" t="s">
        <v>1024</v>
      </c>
      <c r="F519" s="56" t="s">
        <v>3061</v>
      </c>
      <c r="H519" s="34">
        <v>45464</v>
      </c>
      <c r="I519" s="26">
        <v>1</v>
      </c>
      <c r="J519" s="26">
        <v>319</v>
      </c>
      <c r="K519">
        <v>319</v>
      </c>
      <c r="L519" s="26">
        <v>336</v>
      </c>
      <c r="M519">
        <f t="shared" si="9"/>
        <v>336</v>
      </c>
      <c r="O51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Row],[orderNum]],ТабПозиции[orderSumm])&gt;1500),ABS(M519*VLOOKUP(ТабПозиции[[#This Row],[orderNum]],ТабЗаказы[#Data],MATCH("Percent",ТабЗаказы[#Headers],0),0))/100,200/COUNTIF(ТабПозиции[orderNum],ТабПозиции[[#This Row],[orderNum]])),0),"")</f>
        <v>50</v>
      </c>
      <c r="P519">
        <f>IF(OR(ТабПозиции[[#This Row],[item]]="По штрихкоду",ТабПозиции[[#This Row],[item]]="Посылка"),ТабПозиции[[#This Row],[deliverySumm]]+ТабПозиции[[#This Row],[deliveryPost]],SUM(M519:O519))</f>
        <v>386</v>
      </c>
      <c r="Q519" s="57">
        <v>386</v>
      </c>
      <c r="R519" s="62">
        <f>ТабПозиции[[#This Row],[totalSumm]]-ТабПозиции[[#This Row],[payment]]</f>
        <v>0</v>
      </c>
      <c r="S519" s="34" t="s">
        <v>965</v>
      </c>
      <c r="T519" s="56" t="s">
        <v>3061</v>
      </c>
      <c r="U519" s="56" t="s">
        <v>3061</v>
      </c>
      <c r="V519" s="56" t="s">
        <v>3061</v>
      </c>
      <c r="W519" s="7"/>
      <c r="X519"/>
    </row>
    <row r="520" spans="1:24" x14ac:dyDescent="0.25">
      <c r="A520" s="26">
        <v>137</v>
      </c>
      <c r="B520" s="1">
        <f>IFERROR(VLOOKUP(ТабПозиции[[#This Row],[orderNum]],ТабЗаказы[#Data],MATCH(B$7,ТабЗаказы[#Headers],0),0),"")</f>
        <v>45461</v>
      </c>
      <c r="C520" t="str">
        <f>MONTH(ТабПозиции[[#This Row],[date]])&amp;"/"&amp;YEAR(ТабПозиции[[#This Row],[date]])</f>
        <v>6/2024</v>
      </c>
      <c r="D520" s="1" t="str">
        <f>IFERROR(VLOOKUP(ТабПозиции[[#This Row],[orderNum]],ТабЗаказы[#Data],MATCH(D$7,ТабЗаказы[#Headers],0),0),"")</f>
        <v>Юля Ларисына</v>
      </c>
      <c r="E520" s="32" t="s">
        <v>1025</v>
      </c>
      <c r="F520" s="56" t="s">
        <v>3061</v>
      </c>
      <c r="H520" s="34">
        <v>45464</v>
      </c>
      <c r="I520" s="26">
        <v>1</v>
      </c>
      <c r="J520" s="26">
        <v>740</v>
      </c>
      <c r="K520">
        <v>740</v>
      </c>
      <c r="L520" s="26">
        <v>779</v>
      </c>
      <c r="M520">
        <f t="shared" si="9"/>
        <v>779</v>
      </c>
      <c r="O52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Row],[orderNum]],ТабПозиции[orderSumm])&gt;1500),ABS(M520*VLOOKUP(ТабПозиции[[#This Row],[orderNum]],ТабЗаказы[#Data],MATCH("Percent",ТабЗаказы[#Headers],0),0))/100,200/COUNTIF(ТабПозиции[orderNum],ТабПозиции[[#This Row],[orderNum]])),0),"")</f>
        <v>117</v>
      </c>
      <c r="P520">
        <f>IF(OR(ТабПозиции[[#This Row],[item]]="По штрихкоду",ТабПозиции[[#This Row],[item]]="Посылка"),ТабПозиции[[#This Row],[deliverySumm]]+ТабПозиции[[#This Row],[deliveryPost]],SUM(M520:O520))</f>
        <v>896</v>
      </c>
      <c r="Q520" s="57">
        <v>896</v>
      </c>
      <c r="R520" s="62">
        <f>ТабПозиции[[#This Row],[totalSumm]]-ТабПозиции[[#This Row],[payment]]</f>
        <v>0</v>
      </c>
      <c r="S520" s="34" t="s">
        <v>965</v>
      </c>
      <c r="T520" s="56" t="s">
        <v>3061</v>
      </c>
      <c r="U520" s="56" t="s">
        <v>3061</v>
      </c>
      <c r="V520" s="56" t="s">
        <v>3061</v>
      </c>
      <c r="W520" s="7"/>
      <c r="X520"/>
    </row>
    <row r="521" spans="1:24" x14ac:dyDescent="0.25">
      <c r="A521" s="26">
        <v>137</v>
      </c>
      <c r="B521" s="1">
        <f>IFERROR(VLOOKUP(ТабПозиции[[#This Row],[orderNum]],ТабЗаказы[#Data],MATCH(B$7,ТабЗаказы[#Headers],0),0),"")</f>
        <v>45461</v>
      </c>
      <c r="C521" t="str">
        <f>MONTH(ТабПозиции[[#This Row],[date]])&amp;"/"&amp;YEAR(ТабПозиции[[#This Row],[date]])</f>
        <v>6/2024</v>
      </c>
      <c r="D521" s="1" t="str">
        <f>IFERROR(VLOOKUP(ТабПозиции[[#This Row],[orderNum]],ТабЗаказы[#Data],MATCH(D$7,ТабЗаказы[#Headers],0),0),"")</f>
        <v>Юля Ларисына</v>
      </c>
      <c r="E521" s="32" t="s">
        <v>1026</v>
      </c>
      <c r="F521" s="56" t="s">
        <v>3061</v>
      </c>
      <c r="H521" s="34">
        <v>45465</v>
      </c>
      <c r="I521" s="26">
        <v>1</v>
      </c>
      <c r="J521" s="26">
        <v>160</v>
      </c>
      <c r="K521">
        <v>160</v>
      </c>
      <c r="L521" s="26">
        <v>169</v>
      </c>
      <c r="M521">
        <f t="shared" si="9"/>
        <v>169</v>
      </c>
      <c r="O52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Row],[orderNum]],ТабПозиции[orderSumm])&gt;1500),ABS(M521*VLOOKUP(ТабПозиции[[#This Row],[orderNum]],ТабЗаказы[#Data],MATCH("Percent",ТабЗаказы[#Headers],0),0))/100,200/COUNTIF(ТабПозиции[orderNum],ТабПозиции[[#This Row],[orderNum]])),0),"")</f>
        <v>25</v>
      </c>
      <c r="P521">
        <f>IF(OR(ТабПозиции[[#This Row],[item]]="По штрихкоду",ТабПозиции[[#This Row],[item]]="Посылка"),ТабПозиции[[#This Row],[deliverySumm]]+ТабПозиции[[#This Row],[deliveryPost]],SUM(M521:O521))</f>
        <v>194</v>
      </c>
      <c r="Q521" s="57">
        <v>194</v>
      </c>
      <c r="R521" s="62">
        <f>ТабПозиции[[#This Row],[totalSumm]]-ТабПозиции[[#This Row],[payment]]</f>
        <v>0</v>
      </c>
      <c r="S521" s="34" t="s">
        <v>965</v>
      </c>
      <c r="T521" s="56" t="s">
        <v>3061</v>
      </c>
      <c r="U521" s="56" t="s">
        <v>3061</v>
      </c>
      <c r="V521" s="56" t="s">
        <v>3061</v>
      </c>
      <c r="W521" s="7"/>
      <c r="X521"/>
    </row>
    <row r="522" spans="1:24" x14ac:dyDescent="0.25">
      <c r="A522" s="26">
        <v>138</v>
      </c>
      <c r="B522" s="1">
        <f>IFERROR(VLOOKUP(ТабПозиции[[#This Row],[orderNum]],ТабЗаказы[#Data],MATCH(B$7,ТабЗаказы[#Headers],0),0),"")</f>
        <v>45461</v>
      </c>
      <c r="C522" t="str">
        <f>MONTH(ТабПозиции[[#This Row],[date]])&amp;"/"&amp;YEAR(ТабПозиции[[#This Row],[date]])</f>
        <v>6/2024</v>
      </c>
      <c r="D522" s="1" t="str">
        <f>IFERROR(VLOOKUP(ТабПозиции[[#This Row],[orderNum]],ТабЗаказы[#Data],MATCH(D$7,ТабЗаказы[#Headers],0),0),"")</f>
        <v>Алена запчасти</v>
      </c>
      <c r="E522" s="26" t="s">
        <v>815</v>
      </c>
      <c r="F522" s="56" t="s">
        <v>3061</v>
      </c>
      <c r="G522" s="28" t="s">
        <v>1027</v>
      </c>
      <c r="H522" s="34">
        <v>45467</v>
      </c>
      <c r="I522" s="26">
        <v>1</v>
      </c>
      <c r="J522" s="26">
        <v>3500</v>
      </c>
      <c r="K522">
        <v>3500</v>
      </c>
      <c r="L522" s="26">
        <v>3500</v>
      </c>
      <c r="M522">
        <f t="shared" si="9"/>
        <v>3500</v>
      </c>
      <c r="N522" s="26">
        <v>700</v>
      </c>
      <c r="O52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Row],[orderNum]],ТабПозиции[orderSumm])&gt;1500),ABS(M522*VLOOKUP(ТабПозиции[[#This Row],[orderNum]],ТабЗаказы[#Data],MATCH("Percent",ТабЗаказы[#Headers],0),0))/100,200/COUNTIF(ТабПозиции[orderNum],ТабПозиции[[#This Row],[orderNum]])),0),"")</f>
        <v>525</v>
      </c>
      <c r="P522">
        <f>IF(OR(ТабПозиции[[#This Row],[item]]="По штрихкоду",ТабПозиции[[#This Row],[item]]="Посылка"),ТабПозиции[[#This Row],[deliverySumm]]+ТабПозиции[[#This Row],[deliveryPost]],SUM(M522:O522))</f>
        <v>1225</v>
      </c>
      <c r="Q522" s="57">
        <v>1225</v>
      </c>
      <c r="R522" s="62">
        <f>ТабПозиции[[#This Row],[totalSumm]]-ТабПозиции[[#This Row],[payment]]</f>
        <v>0</v>
      </c>
      <c r="S522" s="34" t="s">
        <v>1016</v>
      </c>
      <c r="T522" s="56" t="s">
        <v>3061</v>
      </c>
      <c r="U522" s="56" t="s">
        <v>3061</v>
      </c>
      <c r="V522" s="56" t="s">
        <v>3061</v>
      </c>
      <c r="W522" s="7"/>
      <c r="X522"/>
    </row>
    <row r="523" spans="1:24" x14ac:dyDescent="0.25">
      <c r="A523" s="26">
        <v>138</v>
      </c>
      <c r="B523" s="1">
        <f>IFERROR(VLOOKUP(ТабПозиции[[#This Row],[orderNum]],ТабЗаказы[#Data],MATCH(B$7,ТабЗаказы[#Headers],0),0),"")</f>
        <v>45461</v>
      </c>
      <c r="C523" t="str">
        <f>MONTH(ТабПозиции[[#This Row],[date]])&amp;"/"&amp;YEAR(ТабПозиции[[#This Row],[date]])</f>
        <v>6/2024</v>
      </c>
      <c r="D523" s="1" t="str">
        <f>IFERROR(VLOOKUP(ТабПозиции[[#This Row],[orderNum]],ТабЗаказы[#Data],MATCH(D$7,ТабЗаказы[#Headers],0),0),"")</f>
        <v>Алена запчасти</v>
      </c>
      <c r="E523" s="26" t="s">
        <v>815</v>
      </c>
      <c r="F523" s="56" t="s">
        <v>3061</v>
      </c>
      <c r="G523" s="28" t="s">
        <v>1028</v>
      </c>
      <c r="H523" s="34">
        <v>45466</v>
      </c>
      <c r="I523" s="26">
        <v>1</v>
      </c>
      <c r="J523" s="26">
        <v>537</v>
      </c>
      <c r="K523">
        <v>537</v>
      </c>
      <c r="L523" s="26">
        <v>537</v>
      </c>
      <c r="M523">
        <f t="shared" si="9"/>
        <v>537</v>
      </c>
      <c r="O52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Row],[orderNum]],ТабПозиции[orderSumm])&gt;1500),ABS(M523*VLOOKUP(ТабПозиции[[#This Row],[orderNum]],ТабЗаказы[#Data],MATCH("Percent",ТабЗаказы[#Headers],0),0))/100,200/COUNTIF(ТабПозиции[orderNum],ТабПозиции[[#This Row],[orderNum]])),0),"")</f>
        <v>81</v>
      </c>
      <c r="P523">
        <f>IF(OR(ТабПозиции[[#This Row],[item]]="По штрихкоду",ТабПозиции[[#This Row],[item]]="Посылка"),ТабПозиции[[#This Row],[deliverySumm]]+ТабПозиции[[#This Row],[deliveryPost]],SUM(M523:O523))</f>
        <v>81</v>
      </c>
      <c r="Q523" s="57">
        <v>81</v>
      </c>
      <c r="R523" s="62">
        <f>ТабПозиции[[#This Row],[totalSumm]]-ТабПозиции[[#This Row],[payment]]</f>
        <v>0</v>
      </c>
      <c r="S523" s="34" t="s">
        <v>579</v>
      </c>
      <c r="T523" s="56" t="s">
        <v>3061</v>
      </c>
      <c r="U523" s="56" t="s">
        <v>3061</v>
      </c>
      <c r="V523" s="56" t="s">
        <v>3061</v>
      </c>
      <c r="W523" s="7"/>
      <c r="X523"/>
    </row>
    <row r="524" spans="1:24" x14ac:dyDescent="0.25">
      <c r="A524" s="26">
        <v>139</v>
      </c>
      <c r="B524" s="1">
        <f>IFERROR(VLOOKUP(ТабПозиции[[#This Row],[orderNum]],ТабЗаказы[#Data],MATCH(B$7,ТабЗаказы[#Headers],0),0),"")</f>
        <v>45460</v>
      </c>
      <c r="C524" t="str">
        <f>MONTH(ТабПозиции[[#This Row],[date]])&amp;"/"&amp;YEAR(ТабПозиции[[#This Row],[date]])</f>
        <v>6/2024</v>
      </c>
      <c r="D524" s="1" t="str">
        <f>IFERROR(VLOOKUP(ТабПозиции[[#This Row],[orderNum]],ТабЗаказы[#Data],MATCH(D$7,ТабЗаказы[#Headers],0),0),"")</f>
        <v>Максим телевизор</v>
      </c>
      <c r="E524" s="26" t="s">
        <v>815</v>
      </c>
      <c r="F524" s="56" t="s">
        <v>3061</v>
      </c>
      <c r="G524" s="28" t="s">
        <v>1029</v>
      </c>
      <c r="H524" s="34">
        <v>45462</v>
      </c>
      <c r="I524" s="26">
        <v>1</v>
      </c>
      <c r="J524" s="26">
        <v>6500</v>
      </c>
      <c r="K524">
        <v>6500</v>
      </c>
      <c r="L524" s="26">
        <v>6500</v>
      </c>
      <c r="M524">
        <f t="shared" si="9"/>
        <v>6500</v>
      </c>
      <c r="O52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Row],[orderNum]],ТабПозиции[orderSumm])&gt;1500),ABS(M524*VLOOKUP(ТабПозиции[[#This Row],[orderNum]],ТабЗаказы[#Data],MATCH("Percent",ТабЗаказы[#Headers],0),0))/100,200/COUNTIF(ТабПозиции[orderNum],ТабПозиции[[#This Row],[orderNum]])),0),"")</f>
        <v>650</v>
      </c>
      <c r="P524">
        <f>IF(OR(ТабПозиции[[#This Row],[item]]="По штрихкоду",ТабПозиции[[#This Row],[item]]="Посылка"),ТабПозиции[[#This Row],[deliverySumm]]+ТабПозиции[[#This Row],[deliveryPost]],SUM(M524:O524))</f>
        <v>650</v>
      </c>
      <c r="Q524" s="57">
        <v>650</v>
      </c>
      <c r="R524" s="62">
        <f>ТабПозиции[[#This Row],[totalSumm]]-ТабПозиции[[#This Row],[payment]]</f>
        <v>0</v>
      </c>
      <c r="S524" s="34" t="s">
        <v>671</v>
      </c>
      <c r="T524" s="56" t="s">
        <v>3061</v>
      </c>
      <c r="U524" s="56" t="s">
        <v>3061</v>
      </c>
      <c r="V524" s="56" t="s">
        <v>3061</v>
      </c>
      <c r="W524" s="7"/>
      <c r="X524"/>
    </row>
    <row r="525" spans="1:24" x14ac:dyDescent="0.25">
      <c r="A525" s="26">
        <v>139</v>
      </c>
      <c r="B525" s="1">
        <f>IFERROR(VLOOKUP(ТабПозиции[[#This Row],[orderNum]],ТабЗаказы[#Data],MATCH(B$7,ТабЗаказы[#Headers],0),0),"")</f>
        <v>45460</v>
      </c>
      <c r="C525" t="str">
        <f>MONTH(ТабПозиции[[#This Row],[date]])&amp;"/"&amp;YEAR(ТабПозиции[[#This Row],[date]])</f>
        <v>6/2024</v>
      </c>
      <c r="D525" s="1" t="str">
        <f>IFERROR(VLOOKUP(ТабПозиции[[#This Row],[orderNum]],ТабЗаказы[#Data],MATCH(D$7,ТабЗаказы[#Headers],0),0),"")</f>
        <v>Максим телевизор</v>
      </c>
      <c r="E525" s="26" t="s">
        <v>815</v>
      </c>
      <c r="F525" s="56" t="s">
        <v>3061</v>
      </c>
      <c r="G525" s="28" t="s">
        <v>1030</v>
      </c>
      <c r="H525" s="34">
        <v>45461</v>
      </c>
      <c r="I525" s="26">
        <v>1</v>
      </c>
      <c r="J525" s="26">
        <v>5200</v>
      </c>
      <c r="K525">
        <v>5200</v>
      </c>
      <c r="L525" s="26">
        <v>5200</v>
      </c>
      <c r="M525">
        <f t="shared" si="9"/>
        <v>5200</v>
      </c>
      <c r="N525" s="26">
        <v>442.6</v>
      </c>
      <c r="O52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Row],[orderNum]],ТабПозиции[orderSumm])&gt;1500),ABS(M525*VLOOKUP(ТабПозиции[[#This Row],[orderNum]],ТабЗаказы[#Data],MATCH("Percent",ТабЗаказы[#Headers],0),0))/100,200/COUNTIF(ТабПозиции[orderNum],ТабПозиции[[#This Row],[orderNum]])),0),"")</f>
        <v>520</v>
      </c>
      <c r="P525">
        <f>IF(OR(ТабПозиции[[#This Row],[item]]="По штрихкоду",ТабПозиции[[#This Row],[item]]="Посылка"),ТабПозиции[[#This Row],[deliverySumm]]+ТабПозиции[[#This Row],[deliveryPost]],SUM(M525:O525))</f>
        <v>962.6</v>
      </c>
      <c r="Q525" s="57">
        <v>962.6</v>
      </c>
      <c r="R525" s="62">
        <f>ТабПозиции[[#This Row],[totalSumm]]-ТабПозиции[[#This Row],[payment]]</f>
        <v>0</v>
      </c>
      <c r="S525" s="34" t="s">
        <v>671</v>
      </c>
      <c r="T525" s="56" t="s">
        <v>3061</v>
      </c>
      <c r="U525" s="56" t="s">
        <v>3061</v>
      </c>
      <c r="V525" s="56" t="s">
        <v>3061</v>
      </c>
      <c r="W525" s="7"/>
      <c r="X525"/>
    </row>
    <row r="526" spans="1:24" x14ac:dyDescent="0.25">
      <c r="A526" s="26">
        <v>140</v>
      </c>
      <c r="B526" s="1">
        <f>IFERROR(VLOOKUP(ТабПозиции[[#This Row],[orderNum]],ТабЗаказы[#Data],MATCH(B$7,ТабЗаказы[#Headers],0),0),"")</f>
        <v>45464</v>
      </c>
      <c r="C526" t="str">
        <f>MONTH(ТабПозиции[[#This Row],[date]])&amp;"/"&amp;YEAR(ТабПозиции[[#This Row],[date]])</f>
        <v>6/2024</v>
      </c>
      <c r="D526" s="1" t="str">
        <f>IFERROR(VLOOKUP(ТабПозиции[[#This Row],[orderNum]],ТабЗаказы[#Data],MATCH(D$7,ТабЗаказы[#Headers],0),0),"")</f>
        <v>Максим рюкзак</v>
      </c>
      <c r="E526" s="32" t="s">
        <v>1031</v>
      </c>
      <c r="F526" s="56" t="s">
        <v>3061</v>
      </c>
      <c r="H526" s="34">
        <v>45464</v>
      </c>
      <c r="I526" s="26">
        <v>1</v>
      </c>
      <c r="J526" s="26">
        <v>349</v>
      </c>
      <c r="K526">
        <v>349</v>
      </c>
      <c r="L526" s="26">
        <v>400</v>
      </c>
      <c r="M526">
        <f t="shared" si="9"/>
        <v>400</v>
      </c>
      <c r="O52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Row],[orderNum]],ТабПозиции[orderSumm])&gt;1500),ABS(M526*VLOOKUP(ТабПозиции[[#This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526">
        <f>IF(OR(ТабПозиции[[#This Row],[item]]="По штрихкоду",ТабПозиции[[#This Row],[item]]="Посылка"),ТабПозиции[[#This Row],[deliverySumm]]+ТабПозиции[[#This Row],[deliveryPost]],SUM(M526:O526))</f>
        <v>600</v>
      </c>
      <c r="Q526" s="57">
        <v>600</v>
      </c>
      <c r="R526" s="62">
        <f>ТабПозиции[[#This Row],[totalSumm]]-ТабПозиции[[#This Row],[payment]]</f>
        <v>0</v>
      </c>
      <c r="S526" s="34" t="s">
        <v>955</v>
      </c>
      <c r="T526" s="56" t="s">
        <v>3061</v>
      </c>
      <c r="U526" s="56" t="s">
        <v>3061</v>
      </c>
      <c r="V526" s="56" t="s">
        <v>3061</v>
      </c>
      <c r="W526" s="7"/>
      <c r="X526"/>
    </row>
    <row r="527" spans="1:24" x14ac:dyDescent="0.25">
      <c r="A527" s="26">
        <v>141</v>
      </c>
      <c r="B527" s="1">
        <f>IFERROR(VLOOKUP(ТабПозиции[[#This Row],[orderNum]],ТабЗаказы[#Data],MATCH(B$7,ТабЗаказы[#Headers],0),0),"")</f>
        <v>45464</v>
      </c>
      <c r="C527" t="str">
        <f>MONTH(ТабПозиции[[#This Row],[date]])&amp;"/"&amp;YEAR(ТабПозиции[[#This Row],[date]])</f>
        <v>6/2024</v>
      </c>
      <c r="D527" s="1" t="str">
        <f>IFERROR(VLOOKUP(ТабПозиции[[#This Row],[orderNum]],ТабЗаказы[#Data],MATCH(D$7,ТабЗаказы[#Headers],0),0),"")</f>
        <v>Геннадий Генерал</v>
      </c>
      <c r="E527" s="26" t="s">
        <v>32</v>
      </c>
      <c r="F527" s="56" t="s">
        <v>3061</v>
      </c>
      <c r="H527" s="34">
        <v>45464</v>
      </c>
      <c r="I527" s="26">
        <v>1</v>
      </c>
      <c r="J527" s="26">
        <v>3091</v>
      </c>
      <c r="K527">
        <v>3091</v>
      </c>
      <c r="L527" s="26">
        <v>3091</v>
      </c>
      <c r="M527">
        <f t="shared" si="9"/>
        <v>3091</v>
      </c>
      <c r="O52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Row],[orderNum]],ТабПозиции[orderSumm])&gt;1500),ABS(M527*VLOOKUP(ТабПозиции[[#This Row],[orderNum]],ТабЗаказы[#Data],MATCH("Percent",ТабЗаказы[#Headers],0),0))/100,200/COUNTIF(ТабПозиции[orderNum],ТабПозиции[[#This Row],[orderNum]])),0),"")</f>
        <v>309</v>
      </c>
      <c r="P527">
        <f>IF(OR(ТабПозиции[[#This Row],[item]]="По штрихкоду",ТабПозиции[[#This Row],[item]]="Посылка"),ТабПозиции[[#This Row],[deliverySumm]]+ТабПозиции[[#This Row],[deliveryPost]],SUM(M527:O527))</f>
        <v>309</v>
      </c>
      <c r="Q527" s="57">
        <v>309</v>
      </c>
      <c r="R527" s="62">
        <f>ТабПозиции[[#This Row],[totalSumm]]-ТабПозиции[[#This Row],[payment]]</f>
        <v>0</v>
      </c>
      <c r="S527" s="34" t="s">
        <v>575</v>
      </c>
      <c r="T527" s="56" t="s">
        <v>3061</v>
      </c>
      <c r="U527" s="56" t="s">
        <v>3061</v>
      </c>
      <c r="V527" s="56" t="s">
        <v>3061</v>
      </c>
      <c r="W527" s="7"/>
      <c r="X527"/>
    </row>
    <row r="528" spans="1:24" x14ac:dyDescent="0.25">
      <c r="A528" s="26">
        <v>142</v>
      </c>
      <c r="B528" s="1">
        <f>IFERROR(VLOOKUP(ТабПозиции[[#This Row],[orderNum]],ТабЗаказы[#Data],MATCH(B$7,ТабЗаказы[#Headers],0),0),"")</f>
        <v>45465</v>
      </c>
      <c r="C528" t="str">
        <f>MONTH(ТабПозиции[[#This Row],[date]])&amp;"/"&amp;YEAR(ТабПозиции[[#This Row],[date]])</f>
        <v>6/2024</v>
      </c>
      <c r="D528" s="1" t="str">
        <f>IFERROR(VLOOKUP(ТабПозиции[[#This Row],[orderNum]],ТабЗаказы[#Data],MATCH(D$7,ТабЗаказы[#Headers],0),0),"")</f>
        <v>Александр Каскад</v>
      </c>
      <c r="E528" s="32" t="s">
        <v>1032</v>
      </c>
      <c r="F528" s="56" t="s">
        <v>3061</v>
      </c>
      <c r="H528" s="34">
        <v>45472</v>
      </c>
      <c r="I528" s="26">
        <v>2</v>
      </c>
      <c r="J528" s="26">
        <v>556</v>
      </c>
      <c r="K528">
        <v>1112</v>
      </c>
      <c r="L528" s="26">
        <v>618</v>
      </c>
      <c r="M528">
        <f t="shared" si="9"/>
        <v>1236</v>
      </c>
      <c r="O52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Row],[orderNum]],ТабПозиции[orderSumm])&gt;1500),ABS(M528*VLOOKUP(ТабПозиции[[#This Row],[orderNum]],ТабЗаказы[#Data],MATCH("Percent",ТабЗаказы[#Headers],0),0))/100,200/COUNTIF(ТабПозиции[orderNum],ТабПозиции[[#This Row],[orderNum]])),0),"")</f>
        <v>185</v>
      </c>
      <c r="P528">
        <f>IF(OR(ТабПозиции[[#This Row],[item]]="По штрихкоду",ТабПозиции[[#This Row],[item]]="Посылка"),ТабПозиции[[#This Row],[deliverySumm]]+ТабПозиции[[#This Row],[deliveryPost]],SUM(M528:O528))</f>
        <v>1421</v>
      </c>
      <c r="Q528" s="57">
        <v>1421</v>
      </c>
      <c r="R528" s="62">
        <f>ТабПозиции[[#This Row],[totalSumm]]-ТабПозиции[[#This Row],[payment]]</f>
        <v>0</v>
      </c>
      <c r="S528" s="34" t="s">
        <v>955</v>
      </c>
      <c r="T528" s="56" t="s">
        <v>3061</v>
      </c>
      <c r="U528" s="56" t="s">
        <v>3061</v>
      </c>
      <c r="V528" s="56" t="s">
        <v>3061</v>
      </c>
      <c r="W528" s="7"/>
      <c r="X528"/>
    </row>
    <row r="529" spans="1:24" x14ac:dyDescent="0.25">
      <c r="A529" s="26">
        <v>142</v>
      </c>
      <c r="B529" s="1">
        <f>IFERROR(VLOOKUP(ТабПозиции[[#This Row],[orderNum]],ТабЗаказы[#Data],MATCH(B$7,ТабЗаказы[#Headers],0),0),"")</f>
        <v>45465</v>
      </c>
      <c r="C529" t="str">
        <f>MONTH(ТабПозиции[[#This Row],[date]])&amp;"/"&amp;YEAR(ТабПозиции[[#This Row],[date]])</f>
        <v>6/2024</v>
      </c>
      <c r="D529" s="1" t="str">
        <f>IFERROR(VLOOKUP(ТабПозиции[[#This Row],[orderNum]],ТабЗаказы[#Data],MATCH(D$7,ТабЗаказы[#Headers],0),0),"")</f>
        <v>Александр Каскад</v>
      </c>
      <c r="E529" s="32" t="s">
        <v>1033</v>
      </c>
      <c r="F529" s="56" t="s">
        <v>3061</v>
      </c>
      <c r="H529" s="34">
        <v>45468</v>
      </c>
      <c r="I529" s="26">
        <v>1</v>
      </c>
      <c r="J529" s="26">
        <v>1407</v>
      </c>
      <c r="K529">
        <v>1407</v>
      </c>
      <c r="L529" s="26">
        <v>1823</v>
      </c>
      <c r="M529">
        <f t="shared" si="9"/>
        <v>1823</v>
      </c>
      <c r="O52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Row],[orderNum]],ТабПозиции[orderSumm])&gt;1500),ABS(M529*VLOOKUP(ТабПозиции[[#This Row],[orderNum]],ТабЗаказы[#Data],MATCH("Percent",ТабЗаказы[#Headers],0),0))/100,200/COUNTIF(ТабПозиции[orderNum],ТабПозиции[[#This Row],[orderNum]])),0),"")</f>
        <v>273</v>
      </c>
      <c r="P529">
        <f>IF(OR(ТабПозиции[[#This Row],[item]]="По штрихкоду",ТабПозиции[[#This Row],[item]]="Посылка"),ТабПозиции[[#This Row],[deliverySumm]]+ТабПозиции[[#This Row],[deliveryPost]],SUM(M529:O529))</f>
        <v>2096</v>
      </c>
      <c r="Q529" s="57">
        <v>2096</v>
      </c>
      <c r="R529" s="62">
        <f>ТабПозиции[[#This Row],[totalSumm]]-ТабПозиции[[#This Row],[payment]]</f>
        <v>0</v>
      </c>
      <c r="S529" s="34" t="s">
        <v>955</v>
      </c>
      <c r="T529" s="56" t="s">
        <v>3061</v>
      </c>
      <c r="U529" s="56" t="s">
        <v>3061</v>
      </c>
      <c r="V529" s="56" t="s">
        <v>3061</v>
      </c>
      <c r="W529" s="7"/>
      <c r="X529"/>
    </row>
    <row r="530" spans="1:24" x14ac:dyDescent="0.25">
      <c r="A530" s="26">
        <v>144</v>
      </c>
      <c r="B530" s="1">
        <f>IFERROR(VLOOKUP(ТабПозиции[[#This Row],[orderNum]],ТабЗаказы[#Data],MATCH(B$7,ТабЗаказы[#Headers],0),0),"")</f>
        <v>45465</v>
      </c>
      <c r="C530" t="str">
        <f>MONTH(ТабПозиции[[#This Row],[date]])&amp;"/"&amp;YEAR(ТабПозиции[[#This Row],[date]])</f>
        <v>6/2024</v>
      </c>
      <c r="D530" s="1" t="str">
        <f>IFERROR(VLOOKUP(ТабПозиции[[#This Row],[orderNum]],ТабЗаказы[#Data],MATCH(D$7,ТабЗаказы[#Headers],0),0),"")</f>
        <v>Дмитрий Виноградная 29</v>
      </c>
      <c r="E530" s="26" t="s">
        <v>32</v>
      </c>
      <c r="F530" s="56" t="s">
        <v>3061</v>
      </c>
      <c r="H530" s="34">
        <v>45475</v>
      </c>
      <c r="I530" s="26">
        <v>1</v>
      </c>
      <c r="J530" s="26">
        <v>2753</v>
      </c>
      <c r="K530">
        <v>2753</v>
      </c>
      <c r="L530" s="26">
        <v>2753</v>
      </c>
      <c r="M530">
        <f t="shared" si="9"/>
        <v>2753</v>
      </c>
      <c r="O53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Row],[orderNum]],ТабПозиции[orderSumm])&gt;1500),ABS(M530*VLOOKUP(ТабПозиции[[#This Row],[orderNum]],ТабЗаказы[#Data],MATCH("Percent",ТабЗаказы[#Headers],0),0))/100,200/COUNTIF(ТабПозиции[orderNum],ТабПозиции[[#This Row],[orderNum]])),0),"")</f>
        <v>413</v>
      </c>
      <c r="P530">
        <f>IF(OR(ТабПозиции[[#This Row],[item]]="По штрихкоду",ТабПозиции[[#This Row],[item]]="Посылка"),ТабПозиции[[#This Row],[deliverySumm]]+ТабПозиции[[#This Row],[deliveryPost]],SUM(M530:O530))</f>
        <v>413</v>
      </c>
      <c r="Q530" s="57">
        <v>413</v>
      </c>
      <c r="R530" s="62">
        <f>ТабПозиции[[#This Row],[totalSumm]]-ТабПозиции[[#This Row],[payment]]</f>
        <v>0</v>
      </c>
      <c r="S530" s="34" t="s">
        <v>1000</v>
      </c>
      <c r="T530" s="56" t="s">
        <v>3061</v>
      </c>
      <c r="U530" s="56" t="s">
        <v>3061</v>
      </c>
      <c r="V530" s="56" t="s">
        <v>3061</v>
      </c>
      <c r="W530" s="7"/>
      <c r="X530"/>
    </row>
    <row r="531" spans="1:24" x14ac:dyDescent="0.25">
      <c r="A531" s="26">
        <v>144</v>
      </c>
      <c r="B531" s="1">
        <f>IFERROR(VLOOKUP(ТабПозиции[[#This Row],[orderNum]],ТабЗаказы[#Data],MATCH(B$7,ТабЗаказы[#Headers],0),0),"")</f>
        <v>45465</v>
      </c>
      <c r="C531" t="str">
        <f>MONTH(ТабПозиции[[#This Row],[date]])&amp;"/"&amp;YEAR(ТабПозиции[[#This Row],[date]])</f>
        <v>6/2024</v>
      </c>
      <c r="D531" s="1" t="str">
        <f>IFERROR(VLOOKUP(ТабПозиции[[#This Row],[orderNum]],ТабЗаказы[#Data],MATCH(D$7,ТабЗаказы[#Headers],0),0),"")</f>
        <v>Дмитрий Виноградная 29</v>
      </c>
      <c r="E531" s="26" t="s">
        <v>32</v>
      </c>
      <c r="F531" s="56" t="s">
        <v>3061</v>
      </c>
      <c r="H531" s="34">
        <v>45472</v>
      </c>
      <c r="I531" s="26">
        <v>1</v>
      </c>
      <c r="J531" s="26">
        <v>1375</v>
      </c>
      <c r="K531">
        <v>1375</v>
      </c>
      <c r="L531" s="26">
        <v>1375</v>
      </c>
      <c r="M531">
        <f t="shared" si="9"/>
        <v>1375</v>
      </c>
      <c r="O53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Row],[orderNum]],ТабПозиции[orderSumm])&gt;1500),ABS(M531*VLOOKUP(ТабПозиции[[#This Row],[orderNum]],ТабЗаказы[#Data],MATCH("Percent",ТабЗаказы[#Headers],0),0))/100,200/COUNTIF(ТабПозиции[orderNum],ТабПозиции[[#This Row],[orderNum]])),0),"")</f>
        <v>206</v>
      </c>
      <c r="P531">
        <f>IF(OR(ТабПозиции[[#This Row],[item]]="По штрихкоду",ТабПозиции[[#This Row],[item]]="Посылка"),ТабПозиции[[#This Row],[deliverySumm]]+ТабПозиции[[#This Row],[deliveryPost]],SUM(M531:O531))</f>
        <v>206</v>
      </c>
      <c r="Q531" s="57">
        <v>206</v>
      </c>
      <c r="R531" s="62">
        <f>ТабПозиции[[#This Row],[totalSumm]]-ТабПозиции[[#This Row],[payment]]</f>
        <v>0</v>
      </c>
      <c r="S531" s="34" t="s">
        <v>1000</v>
      </c>
      <c r="T531" s="56" t="s">
        <v>3061</v>
      </c>
      <c r="U531" s="56" t="s">
        <v>3061</v>
      </c>
      <c r="V531" s="56" t="s">
        <v>3061</v>
      </c>
      <c r="W531" s="7"/>
      <c r="X531"/>
    </row>
    <row r="532" spans="1:24" x14ac:dyDescent="0.25">
      <c r="A532" s="26">
        <v>143</v>
      </c>
      <c r="B532" s="1">
        <f>IFERROR(VLOOKUP(ТабПозиции[[#This Row],[orderNum]],ТабЗаказы[#Data],MATCH(B$7,ТабЗаказы[#Headers],0),0),"")</f>
        <v>45465</v>
      </c>
      <c r="C532" t="str">
        <f>MONTH(ТабПозиции[[#This Row],[date]])&amp;"/"&amp;YEAR(ТабПозиции[[#This Row],[date]])</f>
        <v>6/2024</v>
      </c>
      <c r="D532" s="1" t="str">
        <f>IFERROR(VLOOKUP(ТабПозиции[[#This Row],[orderNum]],ТабЗаказы[#Data],MATCH(D$7,ТабЗаказы[#Headers],0),0),"")</f>
        <v>Дмитрий Виноградная 29</v>
      </c>
      <c r="E532" s="26" t="s">
        <v>32</v>
      </c>
      <c r="F532" s="56" t="s">
        <v>3061</v>
      </c>
      <c r="H532" s="34">
        <v>45469</v>
      </c>
      <c r="I532" s="26">
        <v>1</v>
      </c>
      <c r="J532" s="26">
        <v>4374</v>
      </c>
      <c r="K532">
        <v>4374</v>
      </c>
      <c r="L532" s="26">
        <v>4374</v>
      </c>
      <c r="M532">
        <f t="shared" si="9"/>
        <v>4374</v>
      </c>
      <c r="O53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Row],[orderNum]],ТабПозиции[orderSumm])&gt;1500),ABS(M532*VLOOKUP(ТабПозиции[[#This Row],[orderNum]],ТабЗаказы[#Data],MATCH("Percent",ТабЗаказы[#Headers],0),0))/100,200/COUNTIF(ТабПозиции[orderNum],ТабПозиции[[#This Row],[orderNum]])),0),"")</f>
        <v>656</v>
      </c>
      <c r="P532">
        <f>IF(OR(ТабПозиции[[#This Row],[item]]="По штрихкоду",ТабПозиции[[#This Row],[item]]="Посылка"),ТабПозиции[[#This Row],[deliverySumm]]+ТабПозиции[[#This Row],[deliveryPost]],SUM(M532:O532))</f>
        <v>656</v>
      </c>
      <c r="Q532" s="57">
        <v>656</v>
      </c>
      <c r="R532" s="62">
        <f>ТабПозиции[[#This Row],[totalSumm]]-ТабПозиции[[#This Row],[payment]]</f>
        <v>0</v>
      </c>
      <c r="S532" s="34" t="s">
        <v>1000</v>
      </c>
      <c r="T532" s="56" t="s">
        <v>3061</v>
      </c>
      <c r="U532" s="56" t="s">
        <v>3061</v>
      </c>
      <c r="V532" s="56" t="s">
        <v>3061</v>
      </c>
      <c r="W532" s="7"/>
      <c r="X532"/>
    </row>
    <row r="533" spans="1:24" x14ac:dyDescent="0.25">
      <c r="A533" s="26">
        <v>145</v>
      </c>
      <c r="B533" s="1">
        <f>IFERROR(VLOOKUP(ТабПозиции[[#This Row],[orderNum]],ТабЗаказы[#Data],MATCH(B$7,ТабЗаказы[#Headers],0),0),"")</f>
        <v>45466</v>
      </c>
      <c r="C533" t="str">
        <f>MONTH(ТабПозиции[[#This Row],[date]])&amp;"/"&amp;YEAR(ТабПозиции[[#This Row],[date]])</f>
        <v>6/2024</v>
      </c>
      <c r="D533" s="1" t="str">
        <f>IFERROR(VLOOKUP(ТабПозиции[[#This Row],[orderNum]],ТабЗаказы[#Data],MATCH(D$7,ТабЗаказы[#Headers],0),0),"")</f>
        <v>Юля Ларисына</v>
      </c>
      <c r="E533" s="32" t="s">
        <v>1034</v>
      </c>
      <c r="F533" s="56" t="s">
        <v>3061</v>
      </c>
      <c r="H533" s="34">
        <v>45473</v>
      </c>
      <c r="I533" s="26">
        <v>2</v>
      </c>
      <c r="J533" s="26">
        <v>534</v>
      </c>
      <c r="K533">
        <v>1068</v>
      </c>
      <c r="L533" s="26">
        <v>592</v>
      </c>
      <c r="M533">
        <f t="shared" si="9"/>
        <v>1184</v>
      </c>
      <c r="O53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Row],[orderNum]],ТабПозиции[orderSumm])&gt;1500),ABS(M533*VLOOKUP(ТабПозиции[[#This Row],[orderNum]],ТабЗаказы[#Data],MATCH("Percent",ТабЗаказы[#Headers],0),0))/100,200/COUNTIF(ТабПозиции[orderNum],ТабПозиции[[#This Row],[orderNum]])),0),"")</f>
        <v>178</v>
      </c>
      <c r="P533">
        <f>IF(OR(ТабПозиции[[#This Row],[item]]="По штрихкоду",ТабПозиции[[#This Row],[item]]="Посылка"),ТабПозиции[[#This Row],[deliverySumm]]+ТабПозиции[[#This Row],[deliveryPost]],SUM(M533:O533))</f>
        <v>1362</v>
      </c>
      <c r="Q533" s="57">
        <v>1362</v>
      </c>
      <c r="R533" s="62">
        <f>ТабПозиции[[#This Row],[totalSumm]]-ТабПозиции[[#This Row],[payment]]</f>
        <v>0</v>
      </c>
      <c r="S533" s="34" t="s">
        <v>955</v>
      </c>
      <c r="T533" s="56" t="s">
        <v>3061</v>
      </c>
      <c r="U533" s="56" t="s">
        <v>3061</v>
      </c>
      <c r="V533" s="56" t="s">
        <v>3061</v>
      </c>
      <c r="W533" s="7"/>
      <c r="X533"/>
    </row>
    <row r="534" spans="1:24" x14ac:dyDescent="0.25">
      <c r="A534" s="26">
        <v>145</v>
      </c>
      <c r="B534" s="1">
        <f>IFERROR(VLOOKUP(ТабПозиции[[#This Row],[orderNum]],ТабЗаказы[#Data],MATCH(B$7,ТабЗаказы[#Headers],0),0),"")</f>
        <v>45466</v>
      </c>
      <c r="C534" t="str">
        <f>MONTH(ТабПозиции[[#This Row],[date]])&amp;"/"&amp;YEAR(ТабПозиции[[#This Row],[date]])</f>
        <v>6/2024</v>
      </c>
      <c r="D534" s="1" t="str">
        <f>IFERROR(VLOOKUP(ТабПозиции[[#This Row],[orderNum]],ТабЗаказы[#Data],MATCH(D$7,ТабЗаказы[#Headers],0),0),"")</f>
        <v>Юля Ларисына</v>
      </c>
      <c r="E534" s="32" t="s">
        <v>695</v>
      </c>
      <c r="F534" s="56" t="s">
        <v>3061</v>
      </c>
      <c r="H534" s="34">
        <v>45468</v>
      </c>
      <c r="I534" s="26">
        <v>1</v>
      </c>
      <c r="J534" s="26">
        <v>501</v>
      </c>
      <c r="K534">
        <v>501</v>
      </c>
      <c r="L534" s="26">
        <v>528</v>
      </c>
      <c r="M534">
        <f t="shared" si="9"/>
        <v>528</v>
      </c>
      <c r="O53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Row],[orderNum]],ТабПозиции[orderSumm])&gt;1500),ABS(M534*VLOOKUP(ТабПозиции[[#This Row],[orderNum]],ТабЗаказы[#Data],MATCH("Percent",ТабЗаказы[#Headers],0),0))/100,200/COUNTIF(ТабПозиции[orderNum],ТабПозиции[[#This Row],[orderNum]])),0),"")</f>
        <v>79</v>
      </c>
      <c r="P534">
        <f>IF(OR(ТабПозиции[[#This Row],[item]]="По штрихкоду",ТабПозиции[[#This Row],[item]]="Посылка"),ТабПозиции[[#This Row],[deliverySumm]]+ТабПозиции[[#This Row],[deliveryPost]],SUM(M534:O534))</f>
        <v>607</v>
      </c>
      <c r="Q534" s="57">
        <v>607</v>
      </c>
      <c r="R534" s="62">
        <f>ТабПозиции[[#This Row],[totalSumm]]-ТабПозиции[[#This Row],[payment]]</f>
        <v>0</v>
      </c>
      <c r="S534" s="34" t="s">
        <v>955</v>
      </c>
      <c r="T534" s="56" t="s">
        <v>3061</v>
      </c>
      <c r="U534" s="56" t="s">
        <v>3061</v>
      </c>
      <c r="V534" s="56" t="s">
        <v>3061</v>
      </c>
      <c r="W534" s="7"/>
      <c r="X534"/>
    </row>
    <row r="535" spans="1:24" x14ac:dyDescent="0.25">
      <c r="A535" s="26">
        <v>146</v>
      </c>
      <c r="B535" s="1">
        <f>IFERROR(VLOOKUP(ТабПозиции[[#This Row],[orderNum]],ТабЗаказы[#Data],MATCH(B$7,ТабЗаказы[#Headers],0),0),"")</f>
        <v>45467</v>
      </c>
      <c r="C535" t="str">
        <f>MONTH(ТабПозиции[[#This Row],[date]])&amp;"/"&amp;YEAR(ТабПозиции[[#This Row],[date]])</f>
        <v>6/2024</v>
      </c>
      <c r="D535" s="1" t="str">
        <f>IFERROR(VLOOKUP(ТабПозиции[[#This Row],[orderNum]],ТабЗаказы[#Data],MATCH(D$7,ТабЗаказы[#Headers],0),0),"")</f>
        <v>Елена Гайдар</v>
      </c>
      <c r="E535" s="32" t="s">
        <v>1035</v>
      </c>
      <c r="F535" s="56" t="s">
        <v>3061</v>
      </c>
      <c r="H535" s="34">
        <v>45469</v>
      </c>
      <c r="I535" s="26">
        <v>1</v>
      </c>
      <c r="J535" s="26">
        <v>653</v>
      </c>
      <c r="K535">
        <v>653</v>
      </c>
      <c r="L535" s="26">
        <v>688</v>
      </c>
      <c r="M535">
        <f t="shared" si="9"/>
        <v>688</v>
      </c>
      <c r="O53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Row],[orderNum]],ТабПозиции[orderSumm])&gt;1500),ABS(M535*VLOOKUP(ТабПозиции[[#This Row],[orderNum]],ТабЗаказы[#Data],MATCH("Percent",ТабЗаказы[#Headers],0),0))/100,200/COUNTIF(ТабПозиции[orderNum],ТабПозиции[[#This Row],[orderNum]])),0),"")</f>
        <v>103</v>
      </c>
      <c r="P535">
        <f>IF(OR(ТабПозиции[[#This Row],[item]]="По штрихкоду",ТабПозиции[[#This Row],[item]]="Посылка"),ТабПозиции[[#This Row],[deliverySumm]]+ТабПозиции[[#This Row],[deliveryPost]],SUM(M535:O535))</f>
        <v>791</v>
      </c>
      <c r="Q535" s="57">
        <v>791</v>
      </c>
      <c r="R535" s="62">
        <f>ТабПозиции[[#This Row],[totalSumm]]-ТабПозиции[[#This Row],[payment]]</f>
        <v>0</v>
      </c>
      <c r="S535" s="34" t="s">
        <v>965</v>
      </c>
      <c r="T535" s="56" t="s">
        <v>3061</v>
      </c>
      <c r="U535" s="56" t="s">
        <v>3061</v>
      </c>
      <c r="V535" s="56" t="s">
        <v>3061</v>
      </c>
      <c r="W535" s="7"/>
      <c r="X535"/>
    </row>
    <row r="536" spans="1:24" x14ac:dyDescent="0.25">
      <c r="A536" s="26">
        <v>146</v>
      </c>
      <c r="B536" s="1">
        <f>IFERROR(VLOOKUP(ТабПозиции[[#This Row],[orderNum]],ТабЗаказы[#Data],MATCH(B$7,ТабЗаказы[#Headers],0),0),"")</f>
        <v>45467</v>
      </c>
      <c r="C536" t="str">
        <f>MONTH(ТабПозиции[[#This Row],[date]])&amp;"/"&amp;YEAR(ТабПозиции[[#This Row],[date]])</f>
        <v>6/2024</v>
      </c>
      <c r="D536" s="1" t="str">
        <f>IFERROR(VLOOKUP(ТабПозиции[[#This Row],[orderNum]],ТабЗаказы[#Data],MATCH(D$7,ТабЗаказы[#Headers],0),0),"")</f>
        <v>Елена Гайдар</v>
      </c>
      <c r="E536" s="32" t="s">
        <v>1036</v>
      </c>
      <c r="F536" s="56" t="s">
        <v>3061</v>
      </c>
      <c r="H536" s="34">
        <v>45469</v>
      </c>
      <c r="I536" s="26">
        <v>1</v>
      </c>
      <c r="J536" s="26">
        <v>1150</v>
      </c>
      <c r="K536">
        <v>1150</v>
      </c>
      <c r="L536" s="26">
        <v>1211</v>
      </c>
      <c r="M536">
        <f t="shared" si="9"/>
        <v>1211</v>
      </c>
      <c r="O53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Row],[orderNum]],ТабПозиции[orderSumm])&gt;1500),ABS(M536*VLOOKUP(ТабПозиции[[#This Row],[orderNum]],ТабЗаказы[#Data],MATCH("Percent",ТабЗаказы[#Headers],0),0))/100,200/COUNTIF(ТабПозиции[orderNum],ТабПозиции[[#This Row],[orderNum]])),0),"")</f>
        <v>182</v>
      </c>
      <c r="P536">
        <f>IF(OR(ТабПозиции[[#This Row],[item]]="По штрихкоду",ТабПозиции[[#This Row],[item]]="Посылка"),ТабПозиции[[#This Row],[deliverySumm]]+ТабПозиции[[#This Row],[deliveryPost]],SUM(M536:O536))</f>
        <v>1393</v>
      </c>
      <c r="Q536" s="57">
        <v>1393</v>
      </c>
      <c r="R536" s="62">
        <f>ТабПозиции[[#This Row],[totalSumm]]-ТабПозиции[[#This Row],[payment]]</f>
        <v>0</v>
      </c>
      <c r="S536" s="34" t="s">
        <v>965</v>
      </c>
      <c r="T536" s="56" t="s">
        <v>3061</v>
      </c>
      <c r="U536" s="56" t="s">
        <v>3061</v>
      </c>
      <c r="V536" s="56" t="s">
        <v>3061</v>
      </c>
      <c r="W536" s="7"/>
      <c r="X536"/>
    </row>
    <row r="537" spans="1:24" x14ac:dyDescent="0.25">
      <c r="A537" s="26">
        <v>146</v>
      </c>
      <c r="B537" s="1">
        <f>IFERROR(VLOOKUP(ТабПозиции[[#This Row],[orderNum]],ТабЗаказы[#Data],MATCH(B$7,ТабЗаказы[#Headers],0),0),"")</f>
        <v>45467</v>
      </c>
      <c r="C537" t="str">
        <f>MONTH(ТабПозиции[[#This Row],[date]])&amp;"/"&amp;YEAR(ТабПозиции[[#This Row],[date]])</f>
        <v>6/2024</v>
      </c>
      <c r="D537" s="1" t="str">
        <f>IFERROR(VLOOKUP(ТабПозиции[[#This Row],[orderNum]],ТабЗаказы[#Data],MATCH(D$7,ТабЗаказы[#Headers],0),0),"")</f>
        <v>Елена Гайдар</v>
      </c>
      <c r="E537" s="32" t="s">
        <v>1037</v>
      </c>
      <c r="F537" s="56" t="s">
        <v>3061</v>
      </c>
      <c r="H537" s="34">
        <v>45469</v>
      </c>
      <c r="I537" s="26">
        <v>1</v>
      </c>
      <c r="J537" s="26">
        <v>1892</v>
      </c>
      <c r="K537">
        <v>1892</v>
      </c>
      <c r="L537" s="26">
        <v>1992</v>
      </c>
      <c r="M537">
        <f t="shared" si="9"/>
        <v>1992</v>
      </c>
      <c r="O53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Row],[orderNum]],ТабПозиции[orderSumm])&gt;1500),ABS(M537*VLOOKUP(ТабПозиции[[#This Row],[orderNum]],ТабЗаказы[#Data],MATCH("Percent",ТабЗаказы[#Headers],0),0))/100,200/COUNTIF(ТабПозиции[orderNum],ТабПозиции[[#This Row],[orderNum]])),0),"")</f>
        <v>299</v>
      </c>
      <c r="P537">
        <f>IF(OR(ТабПозиции[[#This Row],[item]]="По штрихкоду",ТабПозиции[[#This Row],[item]]="Посылка"),ТабПозиции[[#This Row],[deliverySumm]]+ТабПозиции[[#This Row],[deliveryPost]],SUM(M537:O537))</f>
        <v>2291</v>
      </c>
      <c r="Q537" s="57">
        <v>2291</v>
      </c>
      <c r="R537" s="62">
        <f>ТабПозиции[[#This Row],[totalSumm]]-ТабПозиции[[#This Row],[payment]]</f>
        <v>0</v>
      </c>
      <c r="S537" s="34" t="s">
        <v>965</v>
      </c>
      <c r="T537" s="56" t="s">
        <v>3061</v>
      </c>
      <c r="U537" s="56" t="s">
        <v>3061</v>
      </c>
      <c r="V537" s="56" t="s">
        <v>3061</v>
      </c>
      <c r="W537" s="7"/>
      <c r="X537"/>
    </row>
    <row r="538" spans="1:24" x14ac:dyDescent="0.25">
      <c r="A538" s="26">
        <v>147</v>
      </c>
      <c r="B538" s="1">
        <f>IFERROR(VLOOKUP(ТабПозиции[[#This Row],[orderNum]],ТабЗаказы[#Data],MATCH(B$7,ТабЗаказы[#Headers],0),0),"")</f>
        <v>45469</v>
      </c>
      <c r="C538" t="str">
        <f>MONTH(ТабПозиции[[#This Row],[date]])&amp;"/"&amp;YEAR(ТабПозиции[[#This Row],[date]])</f>
        <v>6/2024</v>
      </c>
      <c r="D538" s="1" t="str">
        <f>IFERROR(VLOOKUP(ТабПозиции[[#This Row],[orderNum]],ТабЗаказы[#Data],MATCH(D$7,ТабЗаказы[#Headers],0),0),"")</f>
        <v>Лариса Кирова</v>
      </c>
      <c r="E538" s="32" t="s">
        <v>1038</v>
      </c>
      <c r="F538" s="56" t="s">
        <v>3061</v>
      </c>
      <c r="H538" s="34">
        <v>45492</v>
      </c>
      <c r="I538" s="26">
        <v>1</v>
      </c>
      <c r="J538" s="26">
        <v>2070</v>
      </c>
      <c r="K538">
        <v>2070</v>
      </c>
      <c r="L538" s="26">
        <v>2160</v>
      </c>
      <c r="M538">
        <f t="shared" si="9"/>
        <v>2160</v>
      </c>
      <c r="O53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Row],[orderNum]],ТабПозиции[orderSumm])&gt;1500),ABS(M538*VLOOKUP(ТабПозиции[[#This Row],[orderNum]],ТабЗаказы[#Data],MATCH("Percent",ТабЗаказы[#Headers],0),0))/100,200/COUNTIF(ТабПозиции[orderNum],ТабПозиции[[#This Row],[orderNum]])),0),"")</f>
        <v>324</v>
      </c>
      <c r="P538">
        <f>IF(OR(ТабПозиции[[#This Row],[item]]="По штрихкоду",ТабПозиции[[#This Row],[item]]="Посылка"),ТабПозиции[[#This Row],[deliverySumm]]+ТабПозиции[[#This Row],[deliveryPost]],SUM(M538:O538))</f>
        <v>2484</v>
      </c>
      <c r="Q538" s="57">
        <v>2484</v>
      </c>
      <c r="R538" s="62">
        <f>ТабПозиции[[#This Row],[totalSumm]]-ТабПозиции[[#This Row],[payment]]</f>
        <v>0</v>
      </c>
      <c r="S538" s="34" t="s">
        <v>955</v>
      </c>
      <c r="T538" s="56" t="s">
        <v>3061</v>
      </c>
      <c r="U538" s="56" t="s">
        <v>3061</v>
      </c>
      <c r="V538" s="56" t="s">
        <v>3061</v>
      </c>
      <c r="W538" s="7"/>
      <c r="X538"/>
    </row>
    <row r="539" spans="1:24" x14ac:dyDescent="0.25">
      <c r="A539" s="26">
        <v>147</v>
      </c>
      <c r="B539" s="1">
        <f>IFERROR(VLOOKUP(ТабПозиции[[#This Row],[orderNum]],ТабЗаказы[#Data],MATCH(B$7,ТабЗаказы[#Headers],0),0),"")</f>
        <v>45469</v>
      </c>
      <c r="C539" t="str">
        <f>MONTH(ТабПозиции[[#This Row],[date]])&amp;"/"&amp;YEAR(ТабПозиции[[#This Row],[date]])</f>
        <v>6/2024</v>
      </c>
      <c r="D539" s="1" t="str">
        <f>IFERROR(VLOOKUP(ТабПозиции[[#This Row],[orderNum]],ТабЗаказы[#Data],MATCH(D$7,ТабЗаказы[#Headers],0),0),"")</f>
        <v>Лариса Кирова</v>
      </c>
      <c r="E539" s="32" t="s">
        <v>1039</v>
      </c>
      <c r="F539" s="56" t="s">
        <v>3061</v>
      </c>
      <c r="H539" s="34">
        <v>45470</v>
      </c>
      <c r="I539" s="26">
        <v>1</v>
      </c>
      <c r="J539" s="26">
        <v>2961</v>
      </c>
      <c r="K539">
        <v>2961</v>
      </c>
      <c r="L539" s="26">
        <v>3220</v>
      </c>
      <c r="M539">
        <f t="shared" si="9"/>
        <v>3220</v>
      </c>
      <c r="O53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Row],[orderNum]],ТабПозиции[orderSumm])&gt;1500),ABS(M539*VLOOKUP(ТабПозиции[[#This Row],[orderNum]],ТабЗаказы[#Data],MATCH("Percent",ТабЗаказы[#Headers],0),0))/100,200/COUNTIF(ТабПозиции[orderNum],ТабПозиции[[#This Row],[orderNum]])),0),"")</f>
        <v>483</v>
      </c>
      <c r="P539">
        <f>IF(OR(ТабПозиции[[#This Row],[item]]="По штрихкоду",ТабПозиции[[#This Row],[item]]="Посылка"),ТабПозиции[[#This Row],[deliverySumm]]+ТабПозиции[[#This Row],[deliveryPost]],SUM(M539:O539))</f>
        <v>3703</v>
      </c>
      <c r="Q539" s="57">
        <v>3703</v>
      </c>
      <c r="R539" s="62">
        <f>ТабПозиции[[#This Row],[totalSumm]]-ТабПозиции[[#This Row],[payment]]</f>
        <v>0</v>
      </c>
      <c r="S539" s="34" t="s">
        <v>955</v>
      </c>
      <c r="T539" s="56" t="s">
        <v>3061</v>
      </c>
      <c r="U539" s="56" t="s">
        <v>3061</v>
      </c>
      <c r="V539" s="56" t="s">
        <v>3061</v>
      </c>
      <c r="W539" s="7"/>
      <c r="X539"/>
    </row>
    <row r="540" spans="1:24" x14ac:dyDescent="0.25">
      <c r="A540" s="26">
        <v>147</v>
      </c>
      <c r="B540" s="1">
        <f>IFERROR(VLOOKUP(ТабПозиции[[#This Row],[orderNum]],ТабЗаказы[#Data],MATCH(B$7,ТабЗаказы[#Headers],0),0),"")</f>
        <v>45469</v>
      </c>
      <c r="C540" t="str">
        <f>MONTH(ТабПозиции[[#This Row],[date]])&amp;"/"&amp;YEAR(ТабПозиции[[#This Row],[date]])</f>
        <v>6/2024</v>
      </c>
      <c r="D540" s="1" t="str">
        <f>IFERROR(VLOOKUP(ТабПозиции[[#This Row],[orderNum]],ТабЗаказы[#Data],MATCH(D$7,ТабЗаказы[#Headers],0),0),"")</f>
        <v>Лариса Кирова</v>
      </c>
      <c r="E540" s="32" t="s">
        <v>905</v>
      </c>
      <c r="F540" s="56" t="s">
        <v>3061</v>
      </c>
      <c r="H540" s="34">
        <v>45471</v>
      </c>
      <c r="I540" s="26">
        <v>1</v>
      </c>
      <c r="J540" s="26">
        <v>981</v>
      </c>
      <c r="K540">
        <v>981</v>
      </c>
      <c r="L540" s="26">
        <v>1085</v>
      </c>
      <c r="M540">
        <f t="shared" si="9"/>
        <v>1085</v>
      </c>
      <c r="O54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Row],[orderNum]],ТабПозиции[orderSumm])&gt;1500),ABS(M540*VLOOKUP(ТабПозиции[[#This Row],[orderNum]],ТабЗаказы[#Data],MATCH("Percent",ТабЗаказы[#Headers],0),0))/100,200/COUNTIF(ТабПозиции[orderNum],ТабПозиции[[#This Row],[orderNum]])),0),"")</f>
        <v>163</v>
      </c>
      <c r="P540">
        <f>IF(OR(ТабПозиции[[#This Row],[item]]="По штрихкоду",ТабПозиции[[#This Row],[item]]="Посылка"),ТабПозиции[[#This Row],[deliverySumm]]+ТабПозиции[[#This Row],[deliveryPost]],SUM(M540:O540))</f>
        <v>1248</v>
      </c>
      <c r="Q540" s="57">
        <v>1248</v>
      </c>
      <c r="R540" s="62">
        <f>ТабПозиции[[#This Row],[totalSumm]]-ТабПозиции[[#This Row],[payment]]</f>
        <v>0</v>
      </c>
      <c r="S540" s="34" t="s">
        <v>955</v>
      </c>
      <c r="T540" s="56" t="s">
        <v>3061</v>
      </c>
      <c r="U540" s="56" t="s">
        <v>3061</v>
      </c>
      <c r="V540" s="56" t="s">
        <v>3061</v>
      </c>
      <c r="W540" s="7"/>
      <c r="X540"/>
    </row>
    <row r="541" spans="1:24" x14ac:dyDescent="0.25">
      <c r="A541" s="26">
        <v>147</v>
      </c>
      <c r="B541" s="1">
        <f>IFERROR(VLOOKUP(ТабПозиции[[#This Row],[orderNum]],ТабЗаказы[#Data],MATCH(B$7,ТабЗаказы[#Headers],0),0),"")</f>
        <v>45469</v>
      </c>
      <c r="C541" t="str">
        <f>MONTH(ТабПозиции[[#This Row],[date]])&amp;"/"&amp;YEAR(ТабПозиции[[#This Row],[date]])</f>
        <v>6/2024</v>
      </c>
      <c r="D541" s="1" t="str">
        <f>IFERROR(VLOOKUP(ТабПозиции[[#This Row],[orderNum]],ТабЗаказы[#Data],MATCH(D$7,ТабЗаказы[#Headers],0),0),"")</f>
        <v>Лариса Кирова</v>
      </c>
      <c r="E541" s="32" t="s">
        <v>1040</v>
      </c>
      <c r="F541" s="56" t="s">
        <v>3061</v>
      </c>
      <c r="H541" s="34">
        <v>45472</v>
      </c>
      <c r="I541" s="26">
        <v>1</v>
      </c>
      <c r="J541" s="26">
        <v>280</v>
      </c>
      <c r="K541">
        <v>280</v>
      </c>
      <c r="L541" s="26">
        <v>295</v>
      </c>
      <c r="M541">
        <f t="shared" si="9"/>
        <v>295</v>
      </c>
      <c r="O54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Row],[orderNum]],ТабПозиции[orderSumm])&gt;1500),ABS(M541*VLOOKUP(ТабПозиции[[#This Row],[orderNum]],ТабЗаказы[#Data],MATCH("Percent",ТабЗаказы[#Headers],0),0))/100,200/COUNTIF(ТабПозиции[orderNum],ТабПозиции[[#This Row],[orderNum]])),0),"")</f>
        <v>44</v>
      </c>
      <c r="P541">
        <f>IF(OR(ТабПозиции[[#This Row],[item]]="По штрихкоду",ТабПозиции[[#This Row],[item]]="Посылка"),ТабПозиции[[#This Row],[deliverySumm]]+ТабПозиции[[#This Row],[deliveryPost]],SUM(M541:O541))</f>
        <v>339</v>
      </c>
      <c r="Q541" s="57">
        <v>339</v>
      </c>
      <c r="R541" s="62">
        <f>ТабПозиции[[#This Row],[totalSumm]]-ТабПозиции[[#This Row],[payment]]</f>
        <v>0</v>
      </c>
      <c r="S541" s="34" t="s">
        <v>965</v>
      </c>
      <c r="T541" s="56" t="s">
        <v>3061</v>
      </c>
      <c r="U541" s="56" t="s">
        <v>3061</v>
      </c>
      <c r="V541" s="56" t="s">
        <v>3061</v>
      </c>
      <c r="W541" s="7"/>
      <c r="X541"/>
    </row>
    <row r="542" spans="1:24" x14ac:dyDescent="0.25">
      <c r="A542" s="26">
        <v>147</v>
      </c>
      <c r="B542" s="1">
        <f>IFERROR(VLOOKUP(ТабПозиции[[#This Row],[orderNum]],ТабЗаказы[#Data],MATCH(B$7,ТабЗаказы[#Headers],0),0),"")</f>
        <v>45469</v>
      </c>
      <c r="C542" t="str">
        <f>MONTH(ТабПозиции[[#This Row],[date]])&amp;"/"&amp;YEAR(ТабПозиции[[#This Row],[date]])</f>
        <v>6/2024</v>
      </c>
      <c r="D542" s="1" t="str">
        <f>IFERROR(VLOOKUP(ТабПозиции[[#This Row],[orderNum]],ТабЗаказы[#Data],MATCH(D$7,ТабЗаказы[#Headers],0),0),"")</f>
        <v>Лариса Кирова</v>
      </c>
      <c r="E542" s="32" t="s">
        <v>1041</v>
      </c>
      <c r="F542" s="56" t="s">
        <v>3061</v>
      </c>
      <c r="H542" s="34">
        <v>45471</v>
      </c>
      <c r="I542" s="26">
        <v>2</v>
      </c>
      <c r="J542" s="26">
        <v>191</v>
      </c>
      <c r="K542">
        <v>382</v>
      </c>
      <c r="L542" s="26">
        <v>195</v>
      </c>
      <c r="M542">
        <f t="shared" si="9"/>
        <v>390</v>
      </c>
      <c r="O54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Row],[orderNum]],ТабПозиции[orderSumm])&gt;1500),ABS(M542*VLOOKUP(ТабПозиции[[#This Row],[orderNum]],ТабЗаказы[#Data],MATCH("Percent",ТабЗаказы[#Headers],0),0))/100,200/COUNTIF(ТабПозиции[orderNum],ТабПозиции[[#This Row],[orderNum]])),0),"")</f>
        <v>59</v>
      </c>
      <c r="P542">
        <f>IF(OR(ТабПозиции[[#This Row],[item]]="По штрихкоду",ТабПозиции[[#This Row],[item]]="Посылка"),ТабПозиции[[#This Row],[deliverySumm]]+ТабПозиции[[#This Row],[deliveryPost]],SUM(M542:O542))</f>
        <v>449</v>
      </c>
      <c r="Q542" s="57">
        <v>449</v>
      </c>
      <c r="R542" s="62">
        <f>ТабПозиции[[#This Row],[totalSumm]]-ТабПозиции[[#This Row],[payment]]</f>
        <v>0</v>
      </c>
      <c r="S542" s="34" t="s">
        <v>955</v>
      </c>
      <c r="T542" s="56" t="s">
        <v>3061</v>
      </c>
      <c r="U542" s="56" t="s">
        <v>3061</v>
      </c>
      <c r="V542" s="56" t="s">
        <v>3061</v>
      </c>
      <c r="W542" s="7"/>
      <c r="X542"/>
    </row>
    <row r="543" spans="1:24" x14ac:dyDescent="0.25">
      <c r="A543" s="26">
        <v>147</v>
      </c>
      <c r="B543" s="1">
        <f>IFERROR(VLOOKUP(ТабПозиции[[#This Row],[orderNum]],ТабЗаказы[#Data],MATCH(B$7,ТабЗаказы[#Headers],0),0),"")</f>
        <v>45469</v>
      </c>
      <c r="C543" t="str">
        <f>MONTH(ТабПозиции[[#This Row],[date]])&amp;"/"&amp;YEAR(ТабПозиции[[#This Row],[date]])</f>
        <v>6/2024</v>
      </c>
      <c r="D543" s="1" t="str">
        <f>IFERROR(VLOOKUP(ТабПозиции[[#This Row],[orderNum]],ТабЗаказы[#Data],MATCH(D$7,ТабЗаказы[#Headers],0),0),"")</f>
        <v>Лариса Кирова</v>
      </c>
      <c r="E543" s="32" t="s">
        <v>1041</v>
      </c>
      <c r="F543" s="56" t="s">
        <v>3061</v>
      </c>
      <c r="H543" s="34">
        <v>45471</v>
      </c>
      <c r="I543" s="26">
        <v>1</v>
      </c>
      <c r="J543" s="26">
        <v>191</v>
      </c>
      <c r="K543">
        <v>191</v>
      </c>
      <c r="L543" s="26">
        <v>195</v>
      </c>
      <c r="M543">
        <f t="shared" si="9"/>
        <v>195</v>
      </c>
      <c r="O54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Row],[orderNum]],ТабПозиции[orderSumm])&gt;1500),ABS(M543*VLOOKUP(ТабПозиции[[#This Row],[orderNum]],ТабЗаказы[#Data],MATCH("Percent",ТабЗаказы[#Headers],0),0))/100,200/COUNTIF(ТабПозиции[orderNum],ТабПозиции[[#This Row],[orderNum]])),0),"")</f>
        <v>29</v>
      </c>
      <c r="P543">
        <f>IF(OR(ТабПозиции[[#This Row],[item]]="По штрихкоду",ТабПозиции[[#This Row],[item]]="Посылка"),ТабПозиции[[#This Row],[deliverySumm]]+ТабПозиции[[#This Row],[deliveryPost]],SUM(M543:O543))</f>
        <v>224</v>
      </c>
      <c r="Q543" s="57">
        <v>224</v>
      </c>
      <c r="R543" s="62">
        <f>ТабПозиции[[#This Row],[totalSumm]]-ТабПозиции[[#This Row],[payment]]</f>
        <v>0</v>
      </c>
      <c r="S543" s="34" t="s">
        <v>955</v>
      </c>
      <c r="T543" s="56" t="s">
        <v>3061</v>
      </c>
      <c r="U543" s="56" t="s">
        <v>3061</v>
      </c>
      <c r="V543" s="56" t="s">
        <v>3061</v>
      </c>
      <c r="W543" s="7"/>
      <c r="X543"/>
    </row>
    <row r="544" spans="1:24" x14ac:dyDescent="0.25">
      <c r="A544" s="26">
        <v>148</v>
      </c>
      <c r="B544" s="1">
        <f>IFERROR(VLOOKUP(ТабПозиции[[#This Row],[orderNum]],ТабЗаказы[#Data],MATCH(B$7,ТабЗаказы[#Headers],0),0),"")</f>
        <v>45470</v>
      </c>
      <c r="C544" t="str">
        <f>MONTH(ТабПозиции[[#This Row],[date]])&amp;"/"&amp;YEAR(ТабПозиции[[#This Row],[date]])</f>
        <v>6/2024</v>
      </c>
      <c r="D544" s="1" t="str">
        <f>IFERROR(VLOOKUP(ТабПозиции[[#This Row],[orderNum]],ТабЗаказы[#Data],MATCH(D$7,ТабЗаказы[#Headers],0),0),"")</f>
        <v>Сергей Кононенко</v>
      </c>
      <c r="E544" s="32" t="s">
        <v>1042</v>
      </c>
      <c r="F544" s="56" t="s">
        <v>3061</v>
      </c>
      <c r="H544" s="34">
        <v>45476</v>
      </c>
      <c r="I544" s="26">
        <v>1</v>
      </c>
      <c r="J544" s="26">
        <v>1100</v>
      </c>
      <c r="K544">
        <v>1100</v>
      </c>
      <c r="L544" s="26">
        <v>1253</v>
      </c>
      <c r="M544">
        <f t="shared" si="9"/>
        <v>1253</v>
      </c>
      <c r="O54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Row],[orderNum]],ТабПозиции[orderSumm])&gt;1500),ABS(M544*VLOOKUP(ТабПозиции[[#This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544">
        <f>IF(OR(ТабПозиции[[#This Row],[item]]="По штрихкоду",ТабПозиции[[#This Row],[item]]="Посылка"),ТабПозиции[[#This Row],[deliverySumm]]+ТабПозиции[[#This Row],[deliveryPost]],SUM(M544:O544))</f>
        <v>1453</v>
      </c>
      <c r="Q544" s="57">
        <v>1453</v>
      </c>
      <c r="R544" s="62">
        <f>ТабПозиции[[#This Row],[totalSumm]]-ТабПозиции[[#This Row],[payment]]</f>
        <v>0</v>
      </c>
      <c r="S544" s="34" t="s">
        <v>955</v>
      </c>
      <c r="T544" s="56" t="s">
        <v>3061</v>
      </c>
      <c r="U544" s="56" t="s">
        <v>3061</v>
      </c>
      <c r="V544" s="56" t="s">
        <v>3061</v>
      </c>
      <c r="W544" s="7"/>
      <c r="X544"/>
    </row>
    <row r="545" spans="1:24" x14ac:dyDescent="0.25">
      <c r="A545" s="26">
        <v>149</v>
      </c>
      <c r="B545" s="1">
        <f>IFERROR(VLOOKUP(ТабПозиции[[#This Row],[orderNum]],ТабЗаказы[#Data],MATCH(B$7,ТабЗаказы[#Headers],0),0),"")</f>
        <v>45469</v>
      </c>
      <c r="C545" t="str">
        <f>MONTH(ТабПозиции[[#This Row],[date]])&amp;"/"&amp;YEAR(ТабПозиции[[#This Row],[date]])</f>
        <v>6/2024</v>
      </c>
      <c r="D545" s="1" t="str">
        <f>IFERROR(VLOOKUP(ТабПозиции[[#This Row],[orderNum]],ТабЗаказы[#Data],MATCH(D$7,ТабЗаказы[#Headers],0),0),"")</f>
        <v>Митрофанов Евгений</v>
      </c>
      <c r="E545" s="32" t="s">
        <v>1043</v>
      </c>
      <c r="F545" s="56" t="s">
        <v>3061</v>
      </c>
      <c r="H545" s="34">
        <v>45471</v>
      </c>
      <c r="I545" s="26">
        <v>1</v>
      </c>
      <c r="J545" s="26">
        <v>7937</v>
      </c>
      <c r="K545">
        <v>7937</v>
      </c>
      <c r="L545" s="26">
        <v>8671</v>
      </c>
      <c r="M545">
        <f t="shared" ref="M545:M608" si="10">L545*I545</f>
        <v>8671</v>
      </c>
      <c r="N545" s="26">
        <v>200</v>
      </c>
      <c r="O54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Row],[orderNum]],ТабПозиции[orderSumm])&gt;1500),ABS(M545*VLOOKUP(ТабПозиции[[#This Row],[orderNum]],ТабЗаказы[#Data],MATCH("Percent",ТабЗаказы[#Headers],0),0))/100,200/COUNTIF(ТабПозиции[orderNum],ТабПозиции[[#This Row],[orderNum]])),0),"")</f>
        <v>1301</v>
      </c>
      <c r="P545">
        <f>IF(OR(ТабПозиции[[#This Row],[item]]="По штрихкоду",ТабПозиции[[#This Row],[item]]="Посылка"),ТабПозиции[[#This Row],[deliverySumm]]+ТабПозиции[[#This Row],[deliveryPost]],SUM(M545:O545))</f>
        <v>10172</v>
      </c>
      <c r="Q545" s="57">
        <v>10172</v>
      </c>
      <c r="R545" s="62">
        <f>ТабПозиции[[#This Row],[totalSumm]]-ТабПозиции[[#This Row],[payment]]</f>
        <v>0</v>
      </c>
      <c r="S545" s="34" t="s">
        <v>955</v>
      </c>
      <c r="T545" s="56" t="s">
        <v>3061</v>
      </c>
      <c r="U545" s="56" t="s">
        <v>3061</v>
      </c>
      <c r="V545" s="56" t="s">
        <v>3061</v>
      </c>
      <c r="W545" s="7"/>
      <c r="X545"/>
    </row>
    <row r="546" spans="1:24" x14ac:dyDescent="0.25">
      <c r="A546" s="26">
        <v>150</v>
      </c>
      <c r="B546" s="1">
        <f>IFERROR(VLOOKUP(ТабПозиции[[#This Row],[orderNum]],ТабЗаказы[#Data],MATCH(B$7,ТабЗаказы[#Headers],0),0),"")</f>
        <v>45471</v>
      </c>
      <c r="C546" t="str">
        <f>MONTH(ТабПозиции[[#This Row],[date]])&amp;"/"&amp;YEAR(ТабПозиции[[#This Row],[date]])</f>
        <v>6/2024</v>
      </c>
      <c r="D546" s="1" t="str">
        <f>IFERROR(VLOOKUP(ТабПозиции[[#This Row],[orderNum]],ТабЗаказы[#Data],MATCH(D$7,ТабЗаказы[#Headers],0),0),"")</f>
        <v>Екатерина Сартана</v>
      </c>
      <c r="E546" s="26" t="s">
        <v>32</v>
      </c>
      <c r="F546" s="56" t="s">
        <v>3061</v>
      </c>
      <c r="H546" s="34">
        <v>45471</v>
      </c>
      <c r="I546" s="26">
        <v>1</v>
      </c>
      <c r="J546" s="26">
        <v>9015</v>
      </c>
      <c r="K546">
        <v>9015</v>
      </c>
      <c r="L546" s="26">
        <v>9015</v>
      </c>
      <c r="M546">
        <f t="shared" si="10"/>
        <v>9015</v>
      </c>
      <c r="N546" s="26">
        <v>200</v>
      </c>
      <c r="O54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Row],[orderNum]],ТабПозиции[orderSumm])&gt;1500),ABS(M546*VLOOKUP(ТабПозиции[[#This Row],[orderNum]],ТабЗаказы[#Data],MATCH("Percent",ТабЗаказы[#Headers],0),0))/100,200/COUNTIF(ТабПозиции[orderNum],ТабПозиции[[#This Row],[orderNum]])),0),"")</f>
        <v>1352</v>
      </c>
      <c r="P546">
        <f>IF(OR(ТабПозиции[[#This Row],[item]]="По штрихкоду",ТабПозиции[[#This Row],[item]]="Посылка"),ТабПозиции[[#This Row],[deliverySumm]]+ТабПозиции[[#This Row],[deliveryPost]],SUM(M546:O546))</f>
        <v>1552</v>
      </c>
      <c r="Q546" s="57">
        <v>1552</v>
      </c>
      <c r="R546" s="62">
        <f>ТабПозиции[[#This Row],[totalSumm]]-ТабПозиции[[#This Row],[payment]]</f>
        <v>0</v>
      </c>
      <c r="S546" s="34" t="s">
        <v>955</v>
      </c>
      <c r="T546" s="56" t="s">
        <v>3061</v>
      </c>
      <c r="U546" s="56" t="s">
        <v>3061</v>
      </c>
      <c r="V546" s="56" t="s">
        <v>3061</v>
      </c>
      <c r="W546" s="7"/>
      <c r="X546"/>
    </row>
    <row r="547" spans="1:24" x14ac:dyDescent="0.25">
      <c r="A547" s="26">
        <v>151</v>
      </c>
      <c r="B547" s="1">
        <f>IFERROR(VLOOKUP(ТабПозиции[[#This Row],[orderNum]],ТабЗаказы[#Data],MATCH(B$7,ТабЗаказы[#Headers],0),0),"")</f>
        <v>45471</v>
      </c>
      <c r="C547" t="str">
        <f>MONTH(ТабПозиции[[#This Row],[date]])&amp;"/"&amp;YEAR(ТабПозиции[[#This Row],[date]])</f>
        <v>6/2024</v>
      </c>
      <c r="D547" s="1" t="str">
        <f>IFERROR(VLOOKUP(ТабПозиции[[#This Row],[orderNum]],ТабЗаказы[#Data],MATCH(D$7,ТабЗаказы[#Headers],0),0),"")</f>
        <v>Алена Бондаренко</v>
      </c>
      <c r="E547" s="26" t="s">
        <v>32</v>
      </c>
      <c r="F547" s="56" t="s">
        <v>3061</v>
      </c>
      <c r="H547" s="34">
        <v>45471</v>
      </c>
      <c r="I547" s="26">
        <v>1</v>
      </c>
      <c r="J547" s="26">
        <v>1300</v>
      </c>
      <c r="K547">
        <v>1300</v>
      </c>
      <c r="L547" s="26">
        <v>1300</v>
      </c>
      <c r="M547">
        <f t="shared" si="10"/>
        <v>1300</v>
      </c>
      <c r="O54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Row],[orderNum]],ТабПозиции[orderSumm])&gt;1500),ABS(M547*VLOOKUP(ТабПозиции[[#This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547">
        <f>IF(OR(ТабПозиции[[#This Row],[item]]="По штрихкоду",ТабПозиции[[#This Row],[item]]="Посылка"),ТабПозиции[[#This Row],[deliverySumm]]+ТабПозиции[[#This Row],[deliveryPost]],SUM(M547:O547))</f>
        <v>200</v>
      </c>
      <c r="Q547" s="57">
        <v>200</v>
      </c>
      <c r="R547" s="62">
        <f>ТабПозиции[[#This Row],[totalSumm]]-ТабПозиции[[#This Row],[payment]]</f>
        <v>0</v>
      </c>
      <c r="S547" s="34" t="s">
        <v>965</v>
      </c>
      <c r="T547" s="56" t="s">
        <v>3061</v>
      </c>
      <c r="U547" s="56" t="s">
        <v>3061</v>
      </c>
      <c r="V547" s="56" t="s">
        <v>3061</v>
      </c>
      <c r="W547" s="7"/>
      <c r="X547"/>
    </row>
    <row r="548" spans="1:24" x14ac:dyDescent="0.25">
      <c r="A548" s="26">
        <v>152</v>
      </c>
      <c r="B548" s="1">
        <f>IFERROR(VLOOKUP(ТабПозиции[[#This Row],[orderNum]],ТабЗаказы[#Data],MATCH(B$7,ТабЗаказы[#Headers],0),0),"")</f>
        <v>45472</v>
      </c>
      <c r="C548" t="str">
        <f>MONTH(ТабПозиции[[#This Row],[date]])&amp;"/"&amp;YEAR(ТабПозиции[[#This Row],[date]])</f>
        <v>6/2024</v>
      </c>
      <c r="D548" s="1" t="str">
        <f>IFERROR(VLOOKUP(ТабПозиции[[#This Row],[orderNum]],ТабЗаказы[#Data],MATCH(D$7,ТабЗаказы[#Headers],0),0),"")</f>
        <v>Юля Ларисына</v>
      </c>
      <c r="E548" s="32" t="s">
        <v>1044</v>
      </c>
      <c r="F548" s="56" t="s">
        <v>3061</v>
      </c>
      <c r="H548" s="34">
        <v>45474</v>
      </c>
      <c r="I548" s="26">
        <v>1</v>
      </c>
      <c r="J548" s="26">
        <v>513</v>
      </c>
      <c r="K548">
        <v>513</v>
      </c>
      <c r="L548" s="26">
        <v>540</v>
      </c>
      <c r="M548">
        <f t="shared" si="10"/>
        <v>540</v>
      </c>
      <c r="O54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Row],[orderNum]],ТабПозиции[orderSumm])&gt;1500),ABS(M548*VLOOKUP(ТабПозиции[[#This Row],[orderNum]],ТабЗаказы[#Data],MATCH("Percent",ТабЗаказы[#Headers],0),0))/100,200/COUNTIF(ТабПозиции[orderNum],ТабПозиции[[#This Row],[orderNum]])),0),"")</f>
        <v>81</v>
      </c>
      <c r="P548">
        <f>IF(OR(ТабПозиции[[#This Row],[item]]="По штрихкоду",ТабПозиции[[#This Row],[item]]="Посылка"),ТабПозиции[[#This Row],[deliverySumm]]+ТабПозиции[[#This Row],[deliveryPost]],SUM(M548:O548))</f>
        <v>621</v>
      </c>
      <c r="Q548" s="57">
        <v>621</v>
      </c>
      <c r="R548" s="62">
        <f>ТабПозиции[[#This Row],[totalSumm]]-ТабПозиции[[#This Row],[payment]]</f>
        <v>0</v>
      </c>
      <c r="S548" s="34" t="s">
        <v>965</v>
      </c>
      <c r="T548" s="56" t="s">
        <v>3061</v>
      </c>
      <c r="U548" s="56" t="s">
        <v>3061</v>
      </c>
      <c r="V548" s="56" t="s">
        <v>3061</v>
      </c>
      <c r="W548" s="7"/>
      <c r="X548"/>
    </row>
    <row r="549" spans="1:24" x14ac:dyDescent="0.25">
      <c r="A549" s="26">
        <v>152</v>
      </c>
      <c r="B549" s="1">
        <f>IFERROR(VLOOKUP(ТабПозиции[[#This Row],[orderNum]],ТабЗаказы[#Data],MATCH(B$7,ТабЗаказы[#Headers],0),0),"")</f>
        <v>45472</v>
      </c>
      <c r="C549" t="str">
        <f>MONTH(ТабПозиции[[#This Row],[date]])&amp;"/"&amp;YEAR(ТабПозиции[[#This Row],[date]])</f>
        <v>6/2024</v>
      </c>
      <c r="D549" s="1" t="str">
        <f>IFERROR(VLOOKUP(ТабПозиции[[#This Row],[orderNum]],ТабЗаказы[#Data],MATCH(D$7,ТабЗаказы[#Headers],0),0),"")</f>
        <v>Юля Ларисына</v>
      </c>
      <c r="E549" s="32" t="s">
        <v>1045</v>
      </c>
      <c r="F549" s="56" t="s">
        <v>3061</v>
      </c>
      <c r="H549" s="34">
        <v>45474</v>
      </c>
      <c r="I549" s="26">
        <v>1</v>
      </c>
      <c r="J549" s="26">
        <v>223</v>
      </c>
      <c r="K549">
        <v>223</v>
      </c>
      <c r="L549" s="26">
        <v>235</v>
      </c>
      <c r="M549">
        <f t="shared" si="10"/>
        <v>235</v>
      </c>
      <c r="O54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Row],[orderNum]],ТабПозиции[orderSumm])&gt;1500),ABS(M549*VLOOKUP(ТабПозиции[[#This Row],[orderNum]],ТабЗаказы[#Data],MATCH("Percent",ТабЗаказы[#Headers],0),0))/100,200/COUNTIF(ТабПозиции[orderNum],ТабПозиции[[#This Row],[orderNum]])),0),"")</f>
        <v>35</v>
      </c>
      <c r="P549">
        <f>IF(OR(ТабПозиции[[#This Row],[item]]="По штрихкоду",ТабПозиции[[#This Row],[item]]="Посылка"),ТабПозиции[[#This Row],[deliverySumm]]+ТабПозиции[[#This Row],[deliveryPost]],SUM(M549:O549))</f>
        <v>270</v>
      </c>
      <c r="Q549" s="57">
        <v>270</v>
      </c>
      <c r="R549" s="62">
        <f>ТабПозиции[[#This Row],[totalSumm]]-ТабПозиции[[#This Row],[payment]]</f>
        <v>0</v>
      </c>
      <c r="S549" s="34" t="s">
        <v>965</v>
      </c>
      <c r="T549" s="56" t="s">
        <v>3061</v>
      </c>
      <c r="U549" s="56" t="s">
        <v>3061</v>
      </c>
      <c r="V549" s="56" t="s">
        <v>3061</v>
      </c>
      <c r="W549" s="7"/>
      <c r="X549"/>
    </row>
    <row r="550" spans="1:24" x14ac:dyDescent="0.25">
      <c r="A550" s="26">
        <v>152</v>
      </c>
      <c r="B550" s="1">
        <f>IFERROR(VLOOKUP(ТабПозиции[[#This Row],[orderNum]],ТабЗаказы[#Data],MATCH(B$7,ТабЗаказы[#Headers],0),0),"")</f>
        <v>45472</v>
      </c>
      <c r="C550" t="str">
        <f>MONTH(ТабПозиции[[#This Row],[date]])&amp;"/"&amp;YEAR(ТабПозиции[[#This Row],[date]])</f>
        <v>6/2024</v>
      </c>
      <c r="D550" s="1" t="str">
        <f>IFERROR(VLOOKUP(ТабПозиции[[#This Row],[orderNum]],ТабЗаказы[#Data],MATCH(D$7,ТабЗаказы[#Headers],0),0),"")</f>
        <v>Юля Ларисына</v>
      </c>
      <c r="E550" s="32" t="s">
        <v>1046</v>
      </c>
      <c r="F550" s="56" t="s">
        <v>3061</v>
      </c>
      <c r="H550" s="34">
        <v>45474</v>
      </c>
      <c r="I550" s="26">
        <v>1</v>
      </c>
      <c r="J550" s="26">
        <v>1071</v>
      </c>
      <c r="K550">
        <v>1071</v>
      </c>
      <c r="L550" s="26">
        <v>1128</v>
      </c>
      <c r="M550">
        <f t="shared" si="10"/>
        <v>1128</v>
      </c>
      <c r="O55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Row],[orderNum]],ТабПозиции[orderSumm])&gt;1500),ABS(M550*VLOOKUP(ТабПозиции[[#This Row],[orderNum]],ТабЗаказы[#Data],MATCH("Percent",ТабЗаказы[#Headers],0),0))/100,200/COUNTIF(ТабПозиции[orderNum],ТабПозиции[[#This Row],[orderNum]])),0),"")</f>
        <v>169</v>
      </c>
      <c r="P550">
        <f>IF(OR(ТабПозиции[[#This Row],[item]]="По штрихкоду",ТабПозиции[[#This Row],[item]]="Посылка"),ТабПозиции[[#This Row],[deliverySumm]]+ТабПозиции[[#This Row],[deliveryPost]],SUM(M550:O550))</f>
        <v>1297</v>
      </c>
      <c r="Q550" s="57">
        <v>1297</v>
      </c>
      <c r="R550" s="62">
        <f>ТабПозиции[[#This Row],[totalSumm]]-ТабПозиции[[#This Row],[payment]]</f>
        <v>0</v>
      </c>
      <c r="S550" s="34" t="s">
        <v>965</v>
      </c>
      <c r="T550" s="56" t="s">
        <v>3061</v>
      </c>
      <c r="U550" s="56" t="s">
        <v>3061</v>
      </c>
      <c r="V550" s="56" t="s">
        <v>3061</v>
      </c>
      <c r="W550" s="7"/>
      <c r="X550"/>
    </row>
    <row r="551" spans="1:24" x14ac:dyDescent="0.25">
      <c r="A551" s="26">
        <v>152</v>
      </c>
      <c r="B551" s="1">
        <f>IFERROR(VLOOKUP(ТабПозиции[[#This Row],[orderNum]],ТабЗаказы[#Data],MATCH(B$7,ТабЗаказы[#Headers],0),0),"")</f>
        <v>45472</v>
      </c>
      <c r="C551" t="str">
        <f>MONTH(ТабПозиции[[#This Row],[date]])&amp;"/"&amp;YEAR(ТабПозиции[[#This Row],[date]])</f>
        <v>6/2024</v>
      </c>
      <c r="D551" s="1" t="str">
        <f>IFERROR(VLOOKUP(ТабПозиции[[#This Row],[orderNum]],ТабЗаказы[#Data],MATCH(D$7,ТабЗаказы[#Headers],0),0),"")</f>
        <v>Юля Ларисына</v>
      </c>
      <c r="E551" s="32" t="s">
        <v>1047</v>
      </c>
      <c r="F551" s="56" t="s">
        <v>3061</v>
      </c>
      <c r="H551" s="34">
        <v>45474</v>
      </c>
      <c r="I551" s="26">
        <v>1</v>
      </c>
      <c r="J551" s="26">
        <v>236</v>
      </c>
      <c r="K551">
        <v>236</v>
      </c>
      <c r="L551" s="26">
        <v>249</v>
      </c>
      <c r="M551">
        <f t="shared" si="10"/>
        <v>249</v>
      </c>
      <c r="O55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Row],[orderNum]],ТабПозиции[orderSumm])&gt;1500),ABS(M551*VLOOKUP(ТабПозиции[[#This Row],[orderNum]],ТабЗаказы[#Data],MATCH("Percent",ТабЗаказы[#Headers],0),0))/100,200/COUNTIF(ТабПозиции[orderNum],ТабПозиции[[#This Row],[orderNum]])),0),"")</f>
        <v>37</v>
      </c>
      <c r="P551">
        <f>IF(OR(ТабПозиции[[#This Row],[item]]="По штрихкоду",ТабПозиции[[#This Row],[item]]="Посылка"),ТабПозиции[[#This Row],[deliverySumm]]+ТабПозиции[[#This Row],[deliveryPost]],SUM(M551:O551))</f>
        <v>286</v>
      </c>
      <c r="Q551" s="57">
        <v>286</v>
      </c>
      <c r="R551" s="62">
        <f>ТабПозиции[[#This Row],[totalSumm]]-ТабПозиции[[#This Row],[payment]]</f>
        <v>0</v>
      </c>
      <c r="S551" s="34" t="s">
        <v>965</v>
      </c>
      <c r="T551" s="56" t="s">
        <v>3061</v>
      </c>
      <c r="U551" s="56" t="s">
        <v>3061</v>
      </c>
      <c r="V551" s="56" t="s">
        <v>3061</v>
      </c>
      <c r="W551" s="7"/>
      <c r="X551"/>
    </row>
    <row r="552" spans="1:24" x14ac:dyDescent="0.25">
      <c r="A552" s="26">
        <v>152</v>
      </c>
      <c r="B552" s="1">
        <f>IFERROR(VLOOKUP(ТабПозиции[[#This Row],[orderNum]],ТабЗаказы[#Data],MATCH(B$7,ТабЗаказы[#Headers],0),0),"")</f>
        <v>45472</v>
      </c>
      <c r="C552" t="str">
        <f>MONTH(ТабПозиции[[#This Row],[date]])&amp;"/"&amp;YEAR(ТабПозиции[[#This Row],[date]])</f>
        <v>6/2024</v>
      </c>
      <c r="D552" s="1" t="str">
        <f>IFERROR(VLOOKUP(ТабПозиции[[#This Row],[orderNum]],ТабЗаказы[#Data],MATCH(D$7,ТабЗаказы[#Headers],0),0),"")</f>
        <v>Юля Ларисына</v>
      </c>
      <c r="E552" s="32" t="s">
        <v>650</v>
      </c>
      <c r="F552" s="56" t="s">
        <v>3061</v>
      </c>
      <c r="H552" s="34">
        <v>45474</v>
      </c>
      <c r="I552" s="26">
        <v>1</v>
      </c>
      <c r="J552" s="26">
        <v>189</v>
      </c>
      <c r="K552">
        <v>189</v>
      </c>
      <c r="L552" s="26">
        <v>199</v>
      </c>
      <c r="M552">
        <f t="shared" si="10"/>
        <v>199</v>
      </c>
      <c r="O55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Row],[orderNum]],ТабПозиции[orderSumm])&gt;1500),ABS(M552*VLOOKUP(ТабПозиции[[#This Row],[orderNum]],ТабЗаказы[#Data],MATCH("Percent",ТабЗаказы[#Headers],0),0))/100,200/COUNTIF(ТабПозиции[orderNum],ТабПозиции[[#This Row],[orderNum]])),0),"")</f>
        <v>30</v>
      </c>
      <c r="P552">
        <f>IF(OR(ТабПозиции[[#This Row],[item]]="По штрихкоду",ТабПозиции[[#This Row],[item]]="Посылка"),ТабПозиции[[#This Row],[deliverySumm]]+ТабПозиции[[#This Row],[deliveryPost]],SUM(M552:O552))</f>
        <v>229</v>
      </c>
      <c r="Q552" s="57">
        <v>229</v>
      </c>
      <c r="R552" s="62">
        <f>ТабПозиции[[#This Row],[totalSumm]]-ТабПозиции[[#This Row],[payment]]</f>
        <v>0</v>
      </c>
      <c r="S552" s="34" t="s">
        <v>965</v>
      </c>
      <c r="T552" s="56" t="s">
        <v>3061</v>
      </c>
      <c r="U552" s="56" t="s">
        <v>3061</v>
      </c>
      <c r="V552" s="56" t="s">
        <v>3061</v>
      </c>
      <c r="W552" s="7"/>
      <c r="X552"/>
    </row>
    <row r="553" spans="1:24" x14ac:dyDescent="0.25">
      <c r="A553" s="26">
        <v>152</v>
      </c>
      <c r="B553" s="1">
        <f>IFERROR(VLOOKUP(ТабПозиции[[#This Row],[orderNum]],ТабЗаказы[#Data],MATCH(B$7,ТабЗаказы[#Headers],0),0),"")</f>
        <v>45472</v>
      </c>
      <c r="C553" t="str">
        <f>MONTH(ТабПозиции[[#This Row],[date]])&amp;"/"&amp;YEAR(ТабПозиции[[#This Row],[date]])</f>
        <v>6/2024</v>
      </c>
      <c r="D553" s="1" t="str">
        <f>IFERROR(VLOOKUP(ТабПозиции[[#This Row],[orderNum]],ТабЗаказы[#Data],MATCH(D$7,ТабЗаказы[#Headers],0),0),"")</f>
        <v>Юля Ларисына</v>
      </c>
      <c r="E553" s="32" t="s">
        <v>1048</v>
      </c>
      <c r="F553" s="56" t="s">
        <v>3061</v>
      </c>
      <c r="H553" s="34">
        <v>45474</v>
      </c>
      <c r="I553" s="26">
        <v>1</v>
      </c>
      <c r="J553" s="26">
        <v>522</v>
      </c>
      <c r="K553">
        <v>522</v>
      </c>
      <c r="L553" s="26">
        <v>550</v>
      </c>
      <c r="M553">
        <f t="shared" si="10"/>
        <v>550</v>
      </c>
      <c r="O55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Row],[orderNum]],ТабПозиции[orderSumm])&gt;1500),ABS(M553*VLOOKUP(ТабПозиции[[#This Row],[orderNum]],ТабЗаказы[#Data],MATCH("Percent",ТабЗаказы[#Headers],0),0))/100,200/COUNTIF(ТабПозиции[orderNum],ТабПозиции[[#This Row],[orderNum]])),0),"")</f>
        <v>83</v>
      </c>
      <c r="P553">
        <f>IF(OR(ТабПозиции[[#This Row],[item]]="По штрихкоду",ТабПозиции[[#This Row],[item]]="Посылка"),ТабПозиции[[#This Row],[deliverySumm]]+ТабПозиции[[#This Row],[deliveryPost]],SUM(M553:O553))</f>
        <v>633</v>
      </c>
      <c r="Q553" s="57">
        <v>633</v>
      </c>
      <c r="R553" s="62">
        <f>ТабПозиции[[#This Row],[totalSumm]]-ТабПозиции[[#This Row],[payment]]</f>
        <v>0</v>
      </c>
      <c r="S553" s="34" t="s">
        <v>965</v>
      </c>
      <c r="T553" s="56" t="s">
        <v>3061</v>
      </c>
      <c r="U553" s="56" t="s">
        <v>3061</v>
      </c>
      <c r="V553" s="56" t="s">
        <v>3061</v>
      </c>
      <c r="W553" s="7"/>
      <c r="X553"/>
    </row>
    <row r="554" spans="1:24" x14ac:dyDescent="0.25">
      <c r="A554" s="26">
        <v>152</v>
      </c>
      <c r="B554" s="1">
        <f>IFERROR(VLOOKUP(ТабПозиции[[#This Row],[orderNum]],ТабЗаказы[#Data],MATCH(B$7,ТабЗаказы[#Headers],0),0),"")</f>
        <v>45472</v>
      </c>
      <c r="C554" t="str">
        <f>MONTH(ТабПозиции[[#This Row],[date]])&amp;"/"&amp;YEAR(ТабПозиции[[#This Row],[date]])</f>
        <v>6/2024</v>
      </c>
      <c r="D554" s="1" t="str">
        <f>IFERROR(VLOOKUP(ТабПозиции[[#This Row],[orderNum]],ТабЗаказы[#Data],MATCH(D$7,ТабЗаказы[#Headers],0),0),"")</f>
        <v>Юля Ларисына</v>
      </c>
      <c r="E554" s="32" t="s">
        <v>1049</v>
      </c>
      <c r="F554" s="56" t="s">
        <v>3061</v>
      </c>
      <c r="H554" s="34">
        <v>45475</v>
      </c>
      <c r="I554" s="26">
        <v>1</v>
      </c>
      <c r="J554" s="26">
        <v>245</v>
      </c>
      <c r="K554">
        <v>245</v>
      </c>
      <c r="L554" s="26">
        <v>258</v>
      </c>
      <c r="M554">
        <f t="shared" si="10"/>
        <v>258</v>
      </c>
      <c r="O55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Row],[orderNum]],ТабПозиции[orderSumm])&gt;1500),ABS(M554*VLOOKUP(ТабПозиции[[#This Row],[orderNum]],ТабЗаказы[#Data],MATCH("Percent",ТабЗаказы[#Headers],0),0))/100,200/COUNTIF(ТабПозиции[orderNum],ТабПозиции[[#This Row],[orderNum]])),0),"")</f>
        <v>39</v>
      </c>
      <c r="P554">
        <f>IF(OR(ТабПозиции[[#This Row],[item]]="По штрихкоду",ТабПозиции[[#This Row],[item]]="Посылка"),ТабПозиции[[#This Row],[deliverySumm]]+ТабПозиции[[#This Row],[deliveryPost]],SUM(M554:O554))</f>
        <v>297</v>
      </c>
      <c r="Q554" s="57">
        <v>297</v>
      </c>
      <c r="R554" s="62">
        <f>ТабПозиции[[#This Row],[totalSumm]]-ТабПозиции[[#This Row],[payment]]</f>
        <v>0</v>
      </c>
      <c r="S554" s="34" t="s">
        <v>965</v>
      </c>
      <c r="T554" s="56" t="s">
        <v>3061</v>
      </c>
      <c r="U554" s="56" t="s">
        <v>3061</v>
      </c>
      <c r="V554" s="56" t="s">
        <v>3061</v>
      </c>
      <c r="W554" s="7"/>
      <c r="X554"/>
    </row>
    <row r="555" spans="1:24" x14ac:dyDescent="0.25">
      <c r="A555" s="26">
        <v>152</v>
      </c>
      <c r="B555" s="1">
        <f>IFERROR(VLOOKUP(ТабПозиции[[#This Row],[orderNum]],ТабЗаказы[#Data],MATCH(B$7,ТабЗаказы[#Headers],0),0),"")</f>
        <v>45472</v>
      </c>
      <c r="C555" t="str">
        <f>MONTH(ТабПозиции[[#This Row],[date]])&amp;"/"&amp;YEAR(ТабПозиции[[#This Row],[date]])</f>
        <v>6/2024</v>
      </c>
      <c r="D555" s="1" t="str">
        <f>IFERROR(VLOOKUP(ТабПозиции[[#This Row],[orderNum]],ТабЗаказы[#Data],MATCH(D$7,ТабЗаказы[#Headers],0),0),"")</f>
        <v>Юля Ларисына</v>
      </c>
      <c r="E555" s="32" t="s">
        <v>1050</v>
      </c>
      <c r="F555" s="56" t="s">
        <v>3061</v>
      </c>
      <c r="H555" s="34">
        <v>45475</v>
      </c>
      <c r="I555" s="26">
        <v>1</v>
      </c>
      <c r="J555" s="26">
        <v>432</v>
      </c>
      <c r="K555">
        <v>432</v>
      </c>
      <c r="L555" s="26">
        <v>455</v>
      </c>
      <c r="M555">
        <f t="shared" si="10"/>
        <v>455</v>
      </c>
      <c r="O55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Row],[orderNum]],ТабПозиции[orderSumm])&gt;1500),ABS(M555*VLOOKUP(ТабПозиции[[#This Row],[orderNum]],ТабЗаказы[#Data],MATCH("Percent",ТабЗаказы[#Headers],0),0))/100,200/COUNTIF(ТабПозиции[orderNum],ТабПозиции[[#This Row],[orderNum]])),0),"")</f>
        <v>68</v>
      </c>
      <c r="P555">
        <f>IF(OR(ТабПозиции[[#This Row],[item]]="По штрихкоду",ТабПозиции[[#This Row],[item]]="Посылка"),ТабПозиции[[#This Row],[deliverySumm]]+ТабПозиции[[#This Row],[deliveryPost]],SUM(M555:O555))</f>
        <v>523</v>
      </c>
      <c r="Q555" s="57">
        <v>523</v>
      </c>
      <c r="R555" s="62">
        <f>ТабПозиции[[#This Row],[totalSumm]]-ТабПозиции[[#This Row],[payment]]</f>
        <v>0</v>
      </c>
      <c r="S555" s="34" t="s">
        <v>965</v>
      </c>
      <c r="T555" s="56" t="s">
        <v>3061</v>
      </c>
      <c r="U555" s="56" t="s">
        <v>3061</v>
      </c>
      <c r="V555" s="56" t="s">
        <v>3061</v>
      </c>
      <c r="W555" s="7"/>
      <c r="X555"/>
    </row>
    <row r="556" spans="1:24" x14ac:dyDescent="0.25">
      <c r="A556" s="26">
        <v>152</v>
      </c>
      <c r="B556" s="1">
        <f>IFERROR(VLOOKUP(ТабПозиции[[#This Row],[orderNum]],ТабЗаказы[#Data],MATCH(B$7,ТабЗаказы[#Headers],0),0),"")</f>
        <v>45472</v>
      </c>
      <c r="C556" t="str">
        <f>MONTH(ТабПозиции[[#This Row],[date]])&amp;"/"&amp;YEAR(ТабПозиции[[#This Row],[date]])</f>
        <v>6/2024</v>
      </c>
      <c r="D556" s="1" t="str">
        <f>IFERROR(VLOOKUP(ТабПозиции[[#This Row],[orderNum]],ТабЗаказы[#Data],MATCH(D$7,ТабЗаказы[#Headers],0),0),"")</f>
        <v>Юля Ларисына</v>
      </c>
      <c r="E556" s="32" t="s">
        <v>1051</v>
      </c>
      <c r="F556" s="56" t="s">
        <v>3061</v>
      </c>
      <c r="H556" s="34">
        <v>45475</v>
      </c>
      <c r="I556" s="26">
        <v>1</v>
      </c>
      <c r="J556" s="26">
        <v>255</v>
      </c>
      <c r="K556">
        <v>255</v>
      </c>
      <c r="L556" s="26">
        <v>269</v>
      </c>
      <c r="M556">
        <f t="shared" si="10"/>
        <v>269</v>
      </c>
      <c r="O55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Row],[orderNum]],ТабПозиции[orderSumm])&gt;1500),ABS(M556*VLOOKUP(ТабПозиции[[#This Row],[orderNum]],ТабЗаказы[#Data],MATCH("Percent",ТабЗаказы[#Headers],0),0))/100,200/COUNTIF(ТабПозиции[orderNum],ТабПозиции[[#This Row],[orderNum]])),0),"")</f>
        <v>40</v>
      </c>
      <c r="P556">
        <f>IF(OR(ТабПозиции[[#This Row],[item]]="По штрихкоду",ТабПозиции[[#This Row],[item]]="Посылка"),ТабПозиции[[#This Row],[deliverySumm]]+ТабПозиции[[#This Row],[deliveryPost]],SUM(M556:O556))</f>
        <v>309</v>
      </c>
      <c r="Q556" s="57">
        <v>309</v>
      </c>
      <c r="R556" s="62">
        <f>ТабПозиции[[#This Row],[totalSumm]]-ТабПозиции[[#This Row],[payment]]</f>
        <v>0</v>
      </c>
      <c r="S556" s="34" t="s">
        <v>965</v>
      </c>
      <c r="T556" s="56" t="s">
        <v>3061</v>
      </c>
      <c r="U556" s="56" t="s">
        <v>3061</v>
      </c>
      <c r="V556" s="56" t="s">
        <v>3061</v>
      </c>
      <c r="W556" s="7"/>
      <c r="X556"/>
    </row>
    <row r="557" spans="1:24" x14ac:dyDescent="0.25">
      <c r="A557" s="26">
        <v>153</v>
      </c>
      <c r="B557" s="1">
        <f>IFERROR(VLOOKUP(ТабПозиции[[#This Row],[orderNum]],ТабЗаказы[#Data],MATCH(B$7,ТабЗаказы[#Headers],0),0),"")</f>
        <v>45473</v>
      </c>
      <c r="C557" t="str">
        <f>MONTH(ТабПозиции[[#This Row],[date]])&amp;"/"&amp;YEAR(ТабПозиции[[#This Row],[date]])</f>
        <v>6/2024</v>
      </c>
      <c r="D557" s="1" t="str">
        <f>IFERROR(VLOOKUP(ТабПозиции[[#This Row],[orderNum]],ТабЗаказы[#Data],MATCH(D$7,ТабЗаказы[#Headers],0),0),"")</f>
        <v>Пашок</v>
      </c>
      <c r="E557" s="32" t="s">
        <v>1052</v>
      </c>
      <c r="F557" s="56" t="s">
        <v>3061</v>
      </c>
      <c r="H557" s="34">
        <v>45474</v>
      </c>
      <c r="I557" s="26">
        <v>1</v>
      </c>
      <c r="J557" s="26">
        <v>453</v>
      </c>
      <c r="K557">
        <v>453</v>
      </c>
      <c r="L557" s="26">
        <v>492</v>
      </c>
      <c r="M557">
        <f t="shared" si="10"/>
        <v>492</v>
      </c>
      <c r="O55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Row],[orderNum]],ТабПозиции[orderSumm])&gt;1500),ABS(M557*VLOOKUP(ТабПозиции[[#This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557">
        <f>IF(OR(ТабПозиции[[#This Row],[item]]="По штрихкоду",ТабПозиции[[#This Row],[item]]="Посылка"),ТабПозиции[[#This Row],[deliverySumm]]+ТабПозиции[[#This Row],[deliveryPost]],SUM(M557:O557))</f>
        <v>692</v>
      </c>
      <c r="Q557" s="57">
        <v>692</v>
      </c>
      <c r="R557" s="62">
        <f>ТабПозиции[[#This Row],[totalSumm]]-ТабПозиции[[#This Row],[payment]]</f>
        <v>0</v>
      </c>
      <c r="S557" s="34" t="s">
        <v>955</v>
      </c>
      <c r="T557" s="56" t="s">
        <v>3061</v>
      </c>
      <c r="U557" s="56" t="s">
        <v>3061</v>
      </c>
      <c r="V557" s="56" t="s">
        <v>3061</v>
      </c>
      <c r="W557" s="7"/>
      <c r="X557"/>
    </row>
    <row r="558" spans="1:24" x14ac:dyDescent="0.25">
      <c r="A558" s="26">
        <v>154</v>
      </c>
      <c r="B558" s="1">
        <f>IFERROR(VLOOKUP(ТабПозиции[[#This Row],[orderNum]],ТабЗаказы[#Data],MATCH(B$7,ТабЗаказы[#Headers],0),0),"")</f>
        <v>45473</v>
      </c>
      <c r="C558" t="str">
        <f>MONTH(ТабПозиции[[#This Row],[date]])&amp;"/"&amp;YEAR(ТабПозиции[[#This Row],[date]])</f>
        <v>6/2024</v>
      </c>
      <c r="D558" s="1" t="str">
        <f>IFERROR(VLOOKUP(ТабПозиции[[#This Row],[orderNum]],ТабЗаказы[#Data],MATCH(D$7,ТабЗаказы[#Headers],0),0),"")</f>
        <v>Митрофанов Евгений</v>
      </c>
      <c r="E558" s="32" t="s">
        <v>1053</v>
      </c>
      <c r="F558" s="56" t="s">
        <v>3061</v>
      </c>
      <c r="H558" s="34">
        <v>45474</v>
      </c>
      <c r="I558" s="26">
        <v>1</v>
      </c>
      <c r="J558" s="26">
        <v>637</v>
      </c>
      <c r="K558">
        <v>637</v>
      </c>
      <c r="L558" s="26">
        <v>700</v>
      </c>
      <c r="M558">
        <f t="shared" si="10"/>
        <v>700</v>
      </c>
      <c r="O55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Row],[orderNum]],ТабПозиции[orderSumm])&gt;1500),ABS(M558*VLOOKUP(ТабПозиции[[#This Row],[orderNum]],ТабЗаказы[#Data],MATCH("Percent",ТабЗаказы[#Headers],0),0))/100,200/COUNTIF(ТабПозиции[orderNum],ТабПозиции[[#This Row],[orderNum]])),0),"")</f>
        <v>100</v>
      </c>
      <c r="P558">
        <f>IF(OR(ТабПозиции[[#This Row],[item]]="По штрихкоду",ТабПозиции[[#This Row],[item]]="Посылка"),ТабПозиции[[#This Row],[deliverySumm]]+ТабПозиции[[#This Row],[deliveryPost]],SUM(M558:O558))</f>
        <v>800</v>
      </c>
      <c r="Q558" s="57">
        <v>800</v>
      </c>
      <c r="R558" s="62">
        <f>ТабПозиции[[#This Row],[totalSumm]]-ТабПозиции[[#This Row],[payment]]</f>
        <v>0</v>
      </c>
      <c r="S558" s="34" t="s">
        <v>955</v>
      </c>
      <c r="T558" s="56" t="s">
        <v>3061</v>
      </c>
      <c r="U558" s="56" t="s">
        <v>3061</v>
      </c>
      <c r="V558" s="56" t="s">
        <v>3061</v>
      </c>
      <c r="W558" s="7"/>
      <c r="X558"/>
    </row>
    <row r="559" spans="1:24" x14ac:dyDescent="0.25">
      <c r="A559" s="26">
        <v>154</v>
      </c>
      <c r="B559" s="1">
        <f>IFERROR(VLOOKUP(ТабПозиции[[#This Row],[orderNum]],ТабЗаказы[#Data],MATCH(B$7,ТабЗаказы[#Headers],0),0),"")</f>
        <v>45473</v>
      </c>
      <c r="C559" t="str">
        <f>MONTH(ТабПозиции[[#This Row],[date]])&amp;"/"&amp;YEAR(ТабПозиции[[#This Row],[date]])</f>
        <v>6/2024</v>
      </c>
      <c r="D559" s="1" t="str">
        <f>IFERROR(VLOOKUP(ТабПозиции[[#This Row],[orderNum]],ТабЗаказы[#Data],MATCH(D$7,ТабЗаказы[#Headers],0),0),"")</f>
        <v>Митрофанов Евгений</v>
      </c>
      <c r="E559" s="32" t="s">
        <v>1054</v>
      </c>
      <c r="F559" s="56" t="s">
        <v>3061</v>
      </c>
      <c r="H559" s="34">
        <v>45477</v>
      </c>
      <c r="I559" s="26">
        <v>1</v>
      </c>
      <c r="J559" s="26">
        <v>339</v>
      </c>
      <c r="K559">
        <v>339</v>
      </c>
      <c r="L559" s="26">
        <v>357</v>
      </c>
      <c r="M559">
        <f t="shared" si="10"/>
        <v>357</v>
      </c>
      <c r="O55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Row],[orderNum]],ТабПозиции[orderSumm])&gt;1500),ABS(M559*VLOOKUP(ТабПозиции[[#This Row],[orderNum]],ТабЗаказы[#Data],MATCH("Percent",ТабЗаказы[#Headers],0),0))/100,200/COUNTIF(ТабПозиции[orderNum],ТабПозиции[[#This Row],[orderNum]])),0),"")</f>
        <v>100</v>
      </c>
      <c r="P559">
        <f>IF(OR(ТабПозиции[[#This Row],[item]]="По штрихкоду",ТабПозиции[[#This Row],[item]]="Посылка"),ТабПозиции[[#This Row],[deliverySumm]]+ТабПозиции[[#This Row],[deliveryPost]],SUM(M559:O559))</f>
        <v>457</v>
      </c>
      <c r="Q559" s="57">
        <v>457</v>
      </c>
      <c r="R559" s="62">
        <f>ТабПозиции[[#This Row],[totalSumm]]-ТабПозиции[[#This Row],[payment]]</f>
        <v>0</v>
      </c>
      <c r="S559" s="34" t="s">
        <v>965</v>
      </c>
      <c r="T559" s="56" t="s">
        <v>3061</v>
      </c>
      <c r="U559" s="56" t="s">
        <v>3061</v>
      </c>
      <c r="V559" s="56" t="s">
        <v>3061</v>
      </c>
      <c r="W559" s="7"/>
      <c r="X559"/>
    </row>
    <row r="560" spans="1:24" x14ac:dyDescent="0.25">
      <c r="A560" s="26">
        <v>155</v>
      </c>
      <c r="B560" s="1">
        <f>IFERROR(VLOOKUP(ТабПозиции[[#This Row],[orderNum]],ТабЗаказы[#Data],MATCH(B$7,ТабЗаказы[#Headers],0),0),"")</f>
        <v>45471</v>
      </c>
      <c r="C560" t="str">
        <f>MONTH(ТабПозиции[[#This Row],[date]])&amp;"/"&amp;YEAR(ТабПозиции[[#This Row],[date]])</f>
        <v>6/2024</v>
      </c>
      <c r="D560" s="1" t="str">
        <f>IFERROR(VLOOKUP(ТабПозиции[[#This Row],[orderNum]],ТабЗаказы[#Data],MATCH(D$7,ТабЗаказы[#Headers],0),0),"")</f>
        <v>Александр Каскад</v>
      </c>
      <c r="E560" s="32" t="s">
        <v>1055</v>
      </c>
      <c r="F560" s="56" t="s">
        <v>3061</v>
      </c>
      <c r="H560" s="34">
        <v>45501</v>
      </c>
      <c r="I560" s="26">
        <v>1</v>
      </c>
      <c r="J560" s="26">
        <v>367</v>
      </c>
      <c r="K560">
        <v>367</v>
      </c>
      <c r="L560" s="26">
        <v>400</v>
      </c>
      <c r="M560">
        <f t="shared" si="10"/>
        <v>400</v>
      </c>
      <c r="O56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Row],[orderNum]],ТабПозиции[orderSumm])&gt;1500),ABS(M560*VLOOKUP(ТабПозиции[[#This Row],[orderNum]],ТабЗаказы[#Data],MATCH("Percent",ТабЗаказы[#Headers],0),0))/100,200/COUNTIF(ТабПозиции[orderNum],ТабПозиции[[#This Row],[orderNum]])),0),"")</f>
        <v>60</v>
      </c>
      <c r="P560">
        <f>IF(OR(ТабПозиции[[#This Row],[item]]="По штрихкоду",ТабПозиции[[#This Row],[item]]="Посылка"),ТабПозиции[[#This Row],[deliverySumm]]+ТабПозиции[[#This Row],[deliveryPost]],SUM(M560:O560))</f>
        <v>460</v>
      </c>
      <c r="Q560" s="57">
        <v>460</v>
      </c>
      <c r="R560" s="62">
        <f>ТабПозиции[[#This Row],[totalSumm]]-ТабПозиции[[#This Row],[payment]]</f>
        <v>0</v>
      </c>
      <c r="S560" s="34" t="s">
        <v>955</v>
      </c>
      <c r="T560" s="56" t="s">
        <v>3061</v>
      </c>
      <c r="U560" s="56" t="s">
        <v>3061</v>
      </c>
      <c r="V560" s="56" t="s">
        <v>3061</v>
      </c>
      <c r="W560" s="7"/>
      <c r="X560"/>
    </row>
    <row r="561" spans="1:24" x14ac:dyDescent="0.25">
      <c r="A561" s="26">
        <v>155</v>
      </c>
      <c r="B561" s="1">
        <f>IFERROR(VLOOKUP(ТабПозиции[[#This Row],[orderNum]],ТабЗаказы[#Data],MATCH(B$7,ТабЗаказы[#Headers],0),0),"")</f>
        <v>45471</v>
      </c>
      <c r="C561" t="str">
        <f>MONTH(ТабПозиции[[#This Row],[date]])&amp;"/"&amp;YEAR(ТабПозиции[[#This Row],[date]])</f>
        <v>6/2024</v>
      </c>
      <c r="D561" s="1" t="str">
        <f>IFERROR(VLOOKUP(ТабПозиции[[#This Row],[orderNum]],ТабЗаказы[#Data],MATCH(D$7,ТабЗаказы[#Headers],0),0),"")</f>
        <v>Александр Каскад</v>
      </c>
      <c r="E561" s="32" t="s">
        <v>1056</v>
      </c>
      <c r="F561" s="56" t="s">
        <v>3061</v>
      </c>
      <c r="H561" s="34">
        <v>45477</v>
      </c>
      <c r="I561" s="26">
        <v>3</v>
      </c>
      <c r="J561" s="26">
        <v>418</v>
      </c>
      <c r="K561">
        <v>1254</v>
      </c>
      <c r="L561" s="26">
        <v>464</v>
      </c>
      <c r="M561">
        <v>1397</v>
      </c>
      <c r="O56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Row],[orderNum]],ТабПозиции[orderSumm])&gt;1500),ABS(M561*VLOOKUP(ТабПозиции[[#This Row],[orderNum]],ТабЗаказы[#Data],MATCH("Percent",ТабЗаказы[#Headers],0),0))/100,200/COUNTIF(ТабПозиции[orderNum],ТабПозиции[[#This Row],[orderNum]])),0),"")</f>
        <v>210</v>
      </c>
      <c r="P561">
        <f>IF(OR(ТабПозиции[[#This Row],[item]]="По штрихкоду",ТабПозиции[[#This Row],[item]]="Посылка"),ТабПозиции[[#This Row],[deliverySumm]]+ТабПозиции[[#This Row],[deliveryPost]],SUM(M561:O561))</f>
        <v>1607</v>
      </c>
      <c r="Q561" s="57">
        <v>1607</v>
      </c>
      <c r="R561" s="62">
        <f>ТабПозиции[[#This Row],[totalSumm]]-ТабПозиции[[#This Row],[payment]]</f>
        <v>0</v>
      </c>
      <c r="S561" s="34" t="s">
        <v>955</v>
      </c>
      <c r="T561" s="56" t="s">
        <v>3061</v>
      </c>
      <c r="U561" s="56" t="s">
        <v>3061</v>
      </c>
      <c r="V561" s="56" t="s">
        <v>3061</v>
      </c>
      <c r="W561" s="7"/>
      <c r="X561"/>
    </row>
    <row r="562" spans="1:24" x14ac:dyDescent="0.25">
      <c r="A562" s="26">
        <v>155</v>
      </c>
      <c r="B562" s="1">
        <f>IFERROR(VLOOKUP(ТабПозиции[[#This Row],[orderNum]],ТабЗаказы[#Data],MATCH(B$7,ТабЗаказы[#Headers],0),0),"")</f>
        <v>45471</v>
      </c>
      <c r="C562" t="str">
        <f>MONTH(ТабПозиции[[#This Row],[date]])&amp;"/"&amp;YEAR(ТабПозиции[[#This Row],[date]])</f>
        <v>6/2024</v>
      </c>
      <c r="D562" s="1" t="str">
        <f>IFERROR(VLOOKUP(ТабПозиции[[#This Row],[orderNum]],ТабЗаказы[#Data],MATCH(D$7,ТабЗаказы[#Headers],0),0),"")</f>
        <v>Александр Каскад</v>
      </c>
      <c r="E562" s="32" t="s">
        <v>1057</v>
      </c>
      <c r="F562" s="56" t="s">
        <v>3061</v>
      </c>
      <c r="H562" s="34">
        <v>45473</v>
      </c>
      <c r="I562" s="26">
        <v>2</v>
      </c>
      <c r="J562" s="26">
        <v>1300</v>
      </c>
      <c r="K562">
        <v>2600</v>
      </c>
      <c r="L562" s="26">
        <v>1443</v>
      </c>
      <c r="M562">
        <f t="shared" si="10"/>
        <v>2886</v>
      </c>
      <c r="O56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Row],[orderNum]],ТабПозиции[orderSumm])&gt;1500),ABS(M562*VLOOKUP(ТабПозиции[[#This Row],[orderNum]],ТабЗаказы[#Data],MATCH("Percent",ТабЗаказы[#Headers],0),0))/100,200/COUNTIF(ТабПозиции[orderNum],ТабПозиции[[#This Row],[orderNum]])),0),"")</f>
        <v>433</v>
      </c>
      <c r="P562">
        <f>IF(OR(ТабПозиции[[#This Row],[item]]="По штрихкоду",ТабПозиции[[#This Row],[item]]="Посылка"),ТабПозиции[[#This Row],[deliverySumm]]+ТабПозиции[[#This Row],[deliveryPost]],SUM(M562:O562))</f>
        <v>3319</v>
      </c>
      <c r="Q562" s="57">
        <v>3319</v>
      </c>
      <c r="R562" s="62">
        <f>ТабПозиции[[#This Row],[totalSumm]]-ТабПозиции[[#This Row],[payment]]</f>
        <v>0</v>
      </c>
      <c r="S562" s="34" t="s">
        <v>955</v>
      </c>
      <c r="T562" s="56" t="s">
        <v>3061</v>
      </c>
      <c r="U562" s="56" t="s">
        <v>3061</v>
      </c>
      <c r="V562" s="56" t="s">
        <v>3061</v>
      </c>
      <c r="W562" s="7"/>
      <c r="X562"/>
    </row>
    <row r="563" spans="1:24" x14ac:dyDescent="0.25">
      <c r="A563" s="26">
        <v>155</v>
      </c>
      <c r="B563" s="1">
        <f>IFERROR(VLOOKUP(ТабПозиции[[#This Row],[orderNum]],ТабЗаказы[#Data],MATCH(B$7,ТабЗаказы[#Headers],0),0),"")</f>
        <v>45471</v>
      </c>
      <c r="C563" t="str">
        <f>MONTH(ТабПозиции[[#This Row],[date]])&amp;"/"&amp;YEAR(ТабПозиции[[#This Row],[date]])</f>
        <v>6/2024</v>
      </c>
      <c r="D563" s="1" t="str">
        <f>IFERROR(VLOOKUP(ТабПозиции[[#This Row],[orderNum]],ТабЗаказы[#Data],MATCH(D$7,ТабЗаказы[#Headers],0),0),"")</f>
        <v>Александр Каскад</v>
      </c>
      <c r="E563" s="32" t="s">
        <v>937</v>
      </c>
      <c r="F563" s="56" t="s">
        <v>3061</v>
      </c>
      <c r="H563" s="34">
        <v>45475</v>
      </c>
      <c r="I563" s="26">
        <v>2</v>
      </c>
      <c r="J563" s="26">
        <v>243</v>
      </c>
      <c r="K563">
        <v>486</v>
      </c>
      <c r="L563" s="26">
        <v>248</v>
      </c>
      <c r="M563">
        <f t="shared" si="10"/>
        <v>496</v>
      </c>
      <c r="O56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Row],[orderNum]],ТабПозиции[orderSumm])&gt;1500),ABS(M563*VLOOKUP(ТабПозиции[[#This Row],[orderNum]],ТабЗаказы[#Data],MATCH("Percent",ТабЗаказы[#Headers],0),0))/100,200/COUNTIF(ТабПозиции[orderNum],ТабПозиции[[#This Row],[orderNum]])),0),"")</f>
        <v>74</v>
      </c>
      <c r="P563">
        <f>IF(OR(ТабПозиции[[#This Row],[item]]="По штрихкоду",ТабПозиции[[#This Row],[item]]="Посылка"),ТабПозиции[[#This Row],[deliverySumm]]+ТабПозиции[[#This Row],[deliveryPost]],SUM(M563:O563))</f>
        <v>570</v>
      </c>
      <c r="Q563" s="57">
        <v>570</v>
      </c>
      <c r="R563" s="62">
        <f>ТабПозиции[[#This Row],[totalSumm]]-ТабПозиции[[#This Row],[payment]]</f>
        <v>0</v>
      </c>
      <c r="S563" s="34" t="s">
        <v>955</v>
      </c>
      <c r="T563" s="56" t="s">
        <v>3061</v>
      </c>
      <c r="U563" s="56" t="s">
        <v>3061</v>
      </c>
      <c r="V563" s="56" t="s">
        <v>3061</v>
      </c>
      <c r="W563" s="7"/>
      <c r="X563"/>
    </row>
    <row r="564" spans="1:24" x14ac:dyDescent="0.25">
      <c r="A564" s="26">
        <v>155</v>
      </c>
      <c r="B564" s="1">
        <f>IFERROR(VLOOKUP(ТабПозиции[[#This Row],[orderNum]],ТабЗаказы[#Data],MATCH(B$7,ТабЗаказы[#Headers],0),0),"")</f>
        <v>45471</v>
      </c>
      <c r="C564" t="str">
        <f>MONTH(ТабПозиции[[#This Row],[date]])&amp;"/"&amp;YEAR(ТабПозиции[[#This Row],[date]])</f>
        <v>6/2024</v>
      </c>
      <c r="D564" s="1" t="str">
        <f>IFERROR(VLOOKUP(ТабПозиции[[#This Row],[orderNum]],ТабЗаказы[#Data],MATCH(D$7,ТабЗаказы[#Headers],0),0),"")</f>
        <v>Александр Каскад</v>
      </c>
      <c r="E564" s="32" t="s">
        <v>1058</v>
      </c>
      <c r="F564" s="56" t="s">
        <v>3061</v>
      </c>
      <c r="H564" s="34">
        <v>45475</v>
      </c>
      <c r="I564" s="26">
        <v>2</v>
      </c>
      <c r="J564" s="26">
        <v>640</v>
      </c>
      <c r="K564">
        <v>1280</v>
      </c>
      <c r="L564" s="26">
        <v>814</v>
      </c>
      <c r="M564">
        <f t="shared" si="10"/>
        <v>1628</v>
      </c>
      <c r="O56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Row],[orderNum]],ТабПозиции[orderSumm])&gt;1500),ABS(M564*VLOOKUP(ТабПозиции[[#This Row],[orderNum]],ТабЗаказы[#Data],MATCH("Percent",ТабЗаказы[#Headers],0),0))/100,200/COUNTIF(ТабПозиции[orderNum],ТабПозиции[[#This Row],[orderNum]])),0),"")</f>
        <v>244</v>
      </c>
      <c r="P564">
        <f>IF(OR(ТабПозиции[[#This Row],[item]]="По штрихкоду",ТабПозиции[[#This Row],[item]]="Посылка"),ТабПозиции[[#This Row],[deliverySumm]]+ТабПозиции[[#This Row],[deliveryPost]],SUM(M564:O564))</f>
        <v>1872</v>
      </c>
      <c r="Q564" s="62">
        <v>1872</v>
      </c>
      <c r="R564" s="62">
        <f>ТабПозиции[[#This Row],[totalSumm]]-ТабПозиции[[#This Row],[payment]]</f>
        <v>0</v>
      </c>
      <c r="S564" s="34" t="s">
        <v>955</v>
      </c>
      <c r="T564" s="56" t="s">
        <v>3061</v>
      </c>
      <c r="U564" s="56" t="s">
        <v>3061</v>
      </c>
      <c r="V564" s="56" t="s">
        <v>3061</v>
      </c>
      <c r="W564" s="7"/>
      <c r="X564"/>
    </row>
    <row r="565" spans="1:24" x14ac:dyDescent="0.25">
      <c r="A565" s="26">
        <v>155</v>
      </c>
      <c r="B565" s="1">
        <f>IFERROR(VLOOKUP(ТабПозиции[[#This Row],[orderNum]],ТабЗаказы[#Data],MATCH(B$7,ТабЗаказы[#Headers],0),0),"")</f>
        <v>45471</v>
      </c>
      <c r="C565" t="str">
        <f>MONTH(ТабПозиции[[#This Row],[date]])&amp;"/"&amp;YEAR(ТабПозиции[[#This Row],[date]])</f>
        <v>6/2024</v>
      </c>
      <c r="D565" s="1" t="str">
        <f>IFERROR(VLOOKUP(ТабПозиции[[#This Row],[orderNum]],ТабЗаказы[#Data],MATCH(D$7,ТабЗаказы[#Headers],0),0),"")</f>
        <v>Александр Каскад</v>
      </c>
      <c r="E565" s="37" t="s">
        <v>1059</v>
      </c>
      <c r="F565" s="56" t="s">
        <v>3061</v>
      </c>
      <c r="H565" s="34">
        <v>45477</v>
      </c>
      <c r="I565" s="26">
        <v>2</v>
      </c>
      <c r="J565" s="26">
        <v>496</v>
      </c>
      <c r="K565">
        <v>992</v>
      </c>
      <c r="L565" s="26">
        <v>630</v>
      </c>
      <c r="M565">
        <f t="shared" si="10"/>
        <v>1260</v>
      </c>
      <c r="O56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Row],[orderNum]],ТабПозиции[orderSumm])&gt;1500),ABS(M565*VLOOKUP(ТабПозиции[[#This Row],[orderNum]],ТабЗаказы[#Data],MATCH("Percent",ТабЗаказы[#Headers],0),0))/100,200/COUNTIF(ТабПозиции[orderNum],ТабПозиции[[#This Row],[orderNum]])),0),"")</f>
        <v>189</v>
      </c>
      <c r="P565">
        <f>IF(OR(ТабПозиции[[#This Row],[item]]="По штрихкоду",ТабПозиции[[#This Row],[item]]="Посылка"),ТабПозиции[[#This Row],[deliverySumm]]+ТабПозиции[[#This Row],[deliveryPost]],SUM(M565:O565))</f>
        <v>1449</v>
      </c>
      <c r="Q565" s="62">
        <v>1449</v>
      </c>
      <c r="R565" s="62">
        <f>ТабПозиции[[#This Row],[totalSumm]]-ТабПозиции[[#This Row],[payment]]</f>
        <v>0</v>
      </c>
      <c r="S565" s="34" t="s">
        <v>955</v>
      </c>
      <c r="T565" s="56" t="s">
        <v>3061</v>
      </c>
      <c r="U565" s="56" t="s">
        <v>3061</v>
      </c>
      <c r="V565" s="56" t="s">
        <v>3061</v>
      </c>
      <c r="W565" s="7"/>
      <c r="X565"/>
    </row>
    <row r="566" spans="1:24" x14ac:dyDescent="0.25">
      <c r="A566" s="26">
        <v>155</v>
      </c>
      <c r="B566" s="1">
        <f>IFERROR(VLOOKUP(ТабПозиции[[#This Row],[orderNum]],ТабЗаказы[#Data],MATCH(B$7,ТабЗаказы[#Headers],0),0),"")</f>
        <v>45471</v>
      </c>
      <c r="C566" t="str">
        <f>MONTH(ТабПозиции[[#This Row],[date]])&amp;"/"&amp;YEAR(ТабПозиции[[#This Row],[date]])</f>
        <v>6/2024</v>
      </c>
      <c r="D566" s="1" t="str">
        <f>IFERROR(VLOOKUP(ТабПозиции[[#This Row],[orderNum]],ТабЗаказы[#Data],MATCH(D$7,ТабЗаказы[#Headers],0),0),"")</f>
        <v>Александр Каскад</v>
      </c>
      <c r="E566" s="32" t="s">
        <v>1060</v>
      </c>
      <c r="F566" s="56" t="s">
        <v>3061</v>
      </c>
      <c r="H566" s="34">
        <v>45481</v>
      </c>
      <c r="I566" s="26">
        <v>2</v>
      </c>
      <c r="J566" s="26">
        <v>375</v>
      </c>
      <c r="K566">
        <v>750</v>
      </c>
      <c r="L566" s="26">
        <v>417</v>
      </c>
      <c r="M566">
        <f t="shared" si="10"/>
        <v>834</v>
      </c>
      <c r="O56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Row],[orderNum]],ТабПозиции[orderSumm])&gt;1500),ABS(M566*VLOOKUP(ТабПозиции[[#This Row],[orderNum]],ТабЗаказы[#Data],MATCH("Percent",ТабЗаказы[#Headers],0),0))/100,200/COUNTIF(ТабПозиции[orderNum],ТабПозиции[[#This Row],[orderNum]])),0),"")</f>
        <v>125</v>
      </c>
      <c r="P566">
        <f>IF(OR(ТабПозиции[[#This Row],[item]]="По штрихкоду",ТабПозиции[[#This Row],[item]]="Посылка"),ТабПозиции[[#This Row],[deliverySumm]]+ТабПозиции[[#This Row],[deliveryPost]],SUM(M566:O566))</f>
        <v>959</v>
      </c>
      <c r="Q566" s="62">
        <v>959</v>
      </c>
      <c r="R566" s="62">
        <f>ТабПозиции[[#This Row],[totalSumm]]-ТабПозиции[[#This Row],[payment]]</f>
        <v>0</v>
      </c>
      <c r="S566" s="34" t="s">
        <v>955</v>
      </c>
      <c r="T566" s="56" t="s">
        <v>3061</v>
      </c>
      <c r="U566" s="56" t="s">
        <v>3061</v>
      </c>
      <c r="V566" s="56" t="s">
        <v>3061</v>
      </c>
      <c r="W566" s="7"/>
      <c r="X566"/>
    </row>
    <row r="567" spans="1:24" x14ac:dyDescent="0.25">
      <c r="A567" s="26">
        <v>156</v>
      </c>
      <c r="B567" s="1">
        <f>IFERROR(VLOOKUP(ТабПозиции[[#This Row],[orderNum]],ТабЗаказы[#Data],MATCH(B$7,ТабЗаказы[#Headers],0),0),"")</f>
        <v>45473</v>
      </c>
      <c r="C567" t="str">
        <f>MONTH(ТабПозиции[[#This Row],[date]])&amp;"/"&amp;YEAR(ТабПозиции[[#This Row],[date]])</f>
        <v>6/2024</v>
      </c>
      <c r="D567" s="1" t="str">
        <f>IFERROR(VLOOKUP(ТабПозиции[[#This Row],[orderNum]],ТабЗаказы[#Data],MATCH(D$7,ТабЗаказы[#Headers],0),0),"")</f>
        <v>Вадим</v>
      </c>
      <c r="E567" s="37" t="s">
        <v>1061</v>
      </c>
      <c r="F567" s="56" t="s">
        <v>3061</v>
      </c>
      <c r="H567" s="34">
        <v>45485</v>
      </c>
      <c r="I567" s="26">
        <v>1</v>
      </c>
      <c r="J567" s="26">
        <v>2500</v>
      </c>
      <c r="K567">
        <v>2500</v>
      </c>
      <c r="L567" s="26">
        <v>2500</v>
      </c>
      <c r="M567">
        <f t="shared" si="10"/>
        <v>2500</v>
      </c>
      <c r="N567" s="26">
        <v>539</v>
      </c>
      <c r="O56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Row],[orderNum]],ТабПозиции[orderSumm])&gt;1500),ABS(M567*VLOOKUP(ТабПозиции[[#This Row],[orderNum]],ТабЗаказы[#Data],MATCH("Percent",ТабЗаказы[#Headers],0),0))/100,200/COUNTIF(ТабПозиции[orderNum],ТабПозиции[[#This Row],[orderNum]])),0),"")+586</f>
        <v>961</v>
      </c>
      <c r="P567">
        <f>IF(OR(ТабПозиции[[#This Row],[item]]="По штрихкоду",ТабПозиции[[#This Row],[item]]="Посылка"),ТабПозиции[[#This Row],[deliverySumm]]+ТабПозиции[[#This Row],[deliveryPost]],SUM(M567:O567))</f>
        <v>4000</v>
      </c>
      <c r="Q567" s="57">
        <v>4000</v>
      </c>
      <c r="R567" s="62">
        <f>ТабПозиции[[#This Row],[totalSumm]]-ТабПозиции[[#This Row],[payment]]</f>
        <v>0</v>
      </c>
      <c r="S567" s="34" t="s">
        <v>1062</v>
      </c>
      <c r="T567" s="56" t="s">
        <v>3061</v>
      </c>
      <c r="U567" s="56" t="s">
        <v>3061</v>
      </c>
      <c r="V567" s="56" t="s">
        <v>3061</v>
      </c>
      <c r="W567" s="7"/>
      <c r="X567"/>
    </row>
    <row r="568" spans="1:24" x14ac:dyDescent="0.25">
      <c r="A568" s="26">
        <v>157</v>
      </c>
      <c r="B568" s="1">
        <f>IFERROR(VLOOKUP(ТабПозиции[[#This Row],[orderNum]],ТабЗаказы[#Data],MATCH(B$7,ТабЗаказы[#Headers],0),0),"")</f>
        <v>45473</v>
      </c>
      <c r="C568" t="str">
        <f>MONTH(ТабПозиции[[#This Row],[date]])&amp;"/"&amp;YEAR(ТабПозиции[[#This Row],[date]])</f>
        <v>6/2024</v>
      </c>
      <c r="D568" s="1" t="str">
        <f>IFERROR(VLOOKUP(ТабПозиции[[#This Row],[orderNum]],ТабЗаказы[#Data],MATCH(D$7,ТабЗаказы[#Headers],0),0),"")</f>
        <v>Руденко Юля</v>
      </c>
      <c r="E568" s="32" t="s">
        <v>1063</v>
      </c>
      <c r="F568" s="56" t="s">
        <v>3061</v>
      </c>
      <c r="H568" s="34">
        <v>45476</v>
      </c>
      <c r="I568" s="26">
        <v>1</v>
      </c>
      <c r="J568" s="26">
        <v>446</v>
      </c>
      <c r="K568">
        <v>446</v>
      </c>
      <c r="L568" s="26">
        <v>470</v>
      </c>
      <c r="M568">
        <f t="shared" si="10"/>
        <v>470</v>
      </c>
      <c r="O56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Row],[orderNum]],ТабПозиции[orderSumm])&gt;1500),ABS(M568*VLOOKUP(ТабПозиции[[#This Row],[orderNum]],ТабЗаказы[#Data],MATCH("Percent",ТабЗаказы[#Headers],0),0))/100,200/COUNTIF(ТабПозиции[orderNum],ТабПозиции[[#This Row],[orderNum]])),0),"")</f>
        <v>47</v>
      </c>
      <c r="P568">
        <f>IF(OR(ТабПозиции[[#This Row],[item]]="По штрихкоду",ТабПозиции[[#This Row],[item]]="Посылка"),ТабПозиции[[#This Row],[deliverySumm]]+ТабПозиции[[#This Row],[deliveryPost]],SUM(M568:O568))</f>
        <v>517</v>
      </c>
      <c r="Q568" s="57">
        <v>517</v>
      </c>
      <c r="R568" s="62">
        <f>ТабПозиции[[#This Row],[totalSumm]]-ТабПозиции[[#This Row],[payment]]</f>
        <v>0</v>
      </c>
      <c r="S568" s="34" t="s">
        <v>965</v>
      </c>
      <c r="T568" s="56" t="s">
        <v>3061</v>
      </c>
      <c r="U568" s="56" t="s">
        <v>3061</v>
      </c>
      <c r="V568" s="56" t="s">
        <v>3061</v>
      </c>
      <c r="W568" s="7"/>
      <c r="X568"/>
    </row>
    <row r="569" spans="1:24" x14ac:dyDescent="0.25">
      <c r="A569" s="26">
        <v>157</v>
      </c>
      <c r="B569" s="1">
        <f>IFERROR(VLOOKUP(ТабПозиции[[#This Row],[orderNum]],ТабЗаказы[#Data],MATCH(B$7,ТабЗаказы[#Headers],0),0),"")</f>
        <v>45473</v>
      </c>
      <c r="C569" t="str">
        <f>MONTH(ТабПозиции[[#This Row],[date]])&amp;"/"&amp;YEAR(ТабПозиции[[#This Row],[date]])</f>
        <v>6/2024</v>
      </c>
      <c r="D569" s="1" t="str">
        <f>IFERROR(VLOOKUP(ТабПозиции[[#This Row],[orderNum]],ТабЗаказы[#Data],MATCH(D$7,ТабЗаказы[#Headers],0),0),"")</f>
        <v>Руденко Юля</v>
      </c>
      <c r="E569" s="32" t="s">
        <v>1064</v>
      </c>
      <c r="F569" s="56" t="s">
        <v>3061</v>
      </c>
      <c r="H569" s="34">
        <v>45484</v>
      </c>
      <c r="I569" s="26">
        <v>1</v>
      </c>
      <c r="J569" s="26">
        <v>370</v>
      </c>
      <c r="K569">
        <v>370</v>
      </c>
      <c r="L569" s="26">
        <v>390</v>
      </c>
      <c r="M569">
        <f t="shared" si="10"/>
        <v>390</v>
      </c>
      <c r="O56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Row],[orderNum]],ТабПозиции[orderSumm])&gt;1500),ABS(M569*VLOOKUP(ТабПозиции[[#This Row],[orderNum]],ТабЗаказы[#Data],MATCH("Percent",ТабЗаказы[#Headers],0),0))/100,200/COUNTIF(ТабПозиции[orderNum],ТабПозиции[[#This Row],[orderNum]])),0),"")</f>
        <v>39</v>
      </c>
      <c r="P569">
        <f>IF(OR(ТабПозиции[[#This Row],[item]]="По штрихкоду",ТабПозиции[[#This Row],[item]]="Посылка"),ТабПозиции[[#This Row],[deliverySumm]]+ТабПозиции[[#This Row],[deliveryPost]],SUM(M569:O569))</f>
        <v>429</v>
      </c>
      <c r="Q569" s="57">
        <v>429</v>
      </c>
      <c r="R569" s="62">
        <f>ТабПозиции[[#This Row],[totalSumm]]-ТабПозиции[[#This Row],[payment]]</f>
        <v>0</v>
      </c>
      <c r="S569" s="34" t="s">
        <v>965</v>
      </c>
      <c r="T569" s="56" t="s">
        <v>3061</v>
      </c>
      <c r="U569" s="56" t="s">
        <v>3061</v>
      </c>
      <c r="V569" s="56" t="s">
        <v>3061</v>
      </c>
      <c r="W569" s="7"/>
      <c r="X569"/>
    </row>
    <row r="570" spans="1:24" x14ac:dyDescent="0.25">
      <c r="A570" s="26">
        <v>157</v>
      </c>
      <c r="B570" s="1">
        <f>IFERROR(VLOOKUP(ТабПозиции[[#This Row],[orderNum]],ТабЗаказы[#Data],MATCH(B$7,ТабЗаказы[#Headers],0),0),"")</f>
        <v>45473</v>
      </c>
      <c r="C570" t="str">
        <f>MONTH(ТабПозиции[[#This Row],[date]])&amp;"/"&amp;YEAR(ТабПозиции[[#This Row],[date]])</f>
        <v>6/2024</v>
      </c>
      <c r="D570" s="1" t="str">
        <f>IFERROR(VLOOKUP(ТабПозиции[[#This Row],[orderNum]],ТабЗаказы[#Data],MATCH(D$7,ТабЗаказы[#Headers],0),0),"")</f>
        <v>Руденко Юля</v>
      </c>
      <c r="E570" s="32" t="s">
        <v>1065</v>
      </c>
      <c r="F570" s="56" t="s">
        <v>3061</v>
      </c>
      <c r="H570" s="34">
        <v>45478</v>
      </c>
      <c r="I570" s="26">
        <v>1</v>
      </c>
      <c r="J570" s="26">
        <v>656</v>
      </c>
      <c r="K570">
        <v>656</v>
      </c>
      <c r="L570" s="26">
        <v>691</v>
      </c>
      <c r="M570">
        <f t="shared" si="10"/>
        <v>691</v>
      </c>
      <c r="O57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Row],[orderNum]],ТабПозиции[orderSumm])&gt;1500),ABS(M570*VLOOKUP(ТабПозиции[[#This Row],[orderNum]],ТабЗаказы[#Data],MATCH("Percent",ТабЗаказы[#Headers],0),0))/100,200/COUNTIF(ТабПозиции[orderNum],ТабПозиции[[#This Row],[orderNum]])),0),"")</f>
        <v>69</v>
      </c>
      <c r="P570">
        <f>IF(OR(ТабПозиции[[#This Row],[item]]="По штрихкоду",ТабПозиции[[#This Row],[item]]="Посылка"),ТабПозиции[[#This Row],[deliverySumm]]+ТабПозиции[[#This Row],[deliveryPost]],SUM(M570:O570))</f>
        <v>760</v>
      </c>
      <c r="Q570" s="57">
        <v>760</v>
      </c>
      <c r="R570" s="62">
        <f>ТабПозиции[[#This Row],[totalSumm]]-ТабПозиции[[#This Row],[payment]]</f>
        <v>0</v>
      </c>
      <c r="S570" s="34" t="s">
        <v>965</v>
      </c>
      <c r="T570" s="56" t="s">
        <v>3061</v>
      </c>
      <c r="U570" s="56" t="s">
        <v>3061</v>
      </c>
      <c r="V570" s="56" t="s">
        <v>3061</v>
      </c>
      <c r="W570" s="7"/>
      <c r="X570"/>
    </row>
    <row r="571" spans="1:24" x14ac:dyDescent="0.25">
      <c r="A571" s="26">
        <v>157</v>
      </c>
      <c r="B571" s="1">
        <f>IFERROR(VLOOKUP(ТабПозиции[[#This Row],[orderNum]],ТабЗаказы[#Data],MATCH(B$7,ТабЗаказы[#Headers],0),0),"")</f>
        <v>45473</v>
      </c>
      <c r="C571" t="str">
        <f>MONTH(ТабПозиции[[#This Row],[date]])&amp;"/"&amp;YEAR(ТабПозиции[[#This Row],[date]])</f>
        <v>6/2024</v>
      </c>
      <c r="D571" s="1" t="str">
        <f>IFERROR(VLOOKUP(ТабПозиции[[#This Row],[orderNum]],ТабЗаказы[#Data],MATCH(D$7,ТабЗаказы[#Headers],0),0),"")</f>
        <v>Руденко Юля</v>
      </c>
      <c r="E571" s="32" t="s">
        <v>1066</v>
      </c>
      <c r="F571" s="56" t="s">
        <v>3061</v>
      </c>
      <c r="H571" s="34">
        <v>45476</v>
      </c>
      <c r="I571" s="26">
        <v>1</v>
      </c>
      <c r="J571" s="26">
        <v>830</v>
      </c>
      <c r="K571">
        <v>830</v>
      </c>
      <c r="L571" s="26">
        <v>874</v>
      </c>
      <c r="M571">
        <f t="shared" si="10"/>
        <v>874</v>
      </c>
      <c r="O57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Row],[orderNum]],ТабПозиции[orderSumm])&gt;1500),ABS(M571*VLOOKUP(ТабПозиции[[#This Row],[orderNum]],ТабЗаказы[#Data],MATCH("Percent",ТабЗаказы[#Headers],0),0))/100,200/COUNTIF(ТабПозиции[orderNum],ТабПозиции[[#This Row],[orderNum]])),0),"")</f>
        <v>87</v>
      </c>
      <c r="P571">
        <f>IF(OR(ТабПозиции[[#This Row],[item]]="По штрихкоду",ТабПозиции[[#This Row],[item]]="Посылка"),ТабПозиции[[#This Row],[deliverySumm]]+ТабПозиции[[#This Row],[deliveryPost]],SUM(M571:O571))</f>
        <v>961</v>
      </c>
      <c r="Q571" s="57">
        <v>961</v>
      </c>
      <c r="R571" s="62">
        <f>ТабПозиции[[#This Row],[totalSumm]]-ТабПозиции[[#This Row],[payment]]</f>
        <v>0</v>
      </c>
      <c r="S571" s="34" t="s">
        <v>965</v>
      </c>
      <c r="T571" s="56" t="s">
        <v>3061</v>
      </c>
      <c r="U571" s="56" t="s">
        <v>3061</v>
      </c>
      <c r="V571" s="56" t="s">
        <v>3061</v>
      </c>
      <c r="W571" s="7"/>
      <c r="X571"/>
    </row>
    <row r="572" spans="1:24" x14ac:dyDescent="0.25">
      <c r="A572" s="26">
        <v>158</v>
      </c>
      <c r="B572" s="1">
        <f>IFERROR(VLOOKUP(ТабПозиции[[#This Row],[orderNum]],ТабЗаказы[#Data],MATCH(B$7,ТабЗаказы[#Headers],0),0),"")</f>
        <v>45473</v>
      </c>
      <c r="C572" t="str">
        <f>MONTH(ТабПозиции[[#This Row],[date]])&amp;"/"&amp;YEAR(ТабПозиции[[#This Row],[date]])</f>
        <v>6/2024</v>
      </c>
      <c r="D572" s="1" t="str">
        <f>IFERROR(VLOOKUP(ТабПозиции[[#This Row],[orderNum]],ТабЗаказы[#Data],MATCH(D$7,ТабЗаказы[#Headers],0),0),"")</f>
        <v>Елена Ларисына</v>
      </c>
      <c r="E572" s="32" t="s">
        <v>1067</v>
      </c>
      <c r="F572" s="56" t="s">
        <v>3061</v>
      </c>
      <c r="H572" s="34">
        <v>45477</v>
      </c>
      <c r="I572" s="26">
        <v>1</v>
      </c>
      <c r="J572" s="26">
        <v>381</v>
      </c>
      <c r="K572">
        <v>381</v>
      </c>
      <c r="L572" s="26">
        <v>414</v>
      </c>
      <c r="M572">
        <f t="shared" si="10"/>
        <v>414</v>
      </c>
      <c r="O57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Row],[orderNum]],ТабПозиции[orderSumm])&gt;1500),ABS(M572*VLOOKUP(ТабПозиции[[#This Row],[orderNum]],ТабЗаказы[#Data],MATCH("Percent",ТабЗаказы[#Headers],0),0))/100,200/COUNTIF(ТабПозиции[orderNum],ТабПозиции[[#This Row],[orderNum]])),0),"")</f>
        <v>62</v>
      </c>
      <c r="P572">
        <f>IF(OR(ТабПозиции[[#This Row],[item]]="По штрихкоду",ТабПозиции[[#This Row],[item]]="Посылка"),ТабПозиции[[#This Row],[deliverySumm]]+ТабПозиции[[#This Row],[deliveryPost]],SUM(M572:O572))</f>
        <v>476</v>
      </c>
      <c r="Q572" s="57">
        <v>476</v>
      </c>
      <c r="R572" s="62">
        <f>ТабПозиции[[#This Row],[totalSumm]]-ТабПозиции[[#This Row],[payment]]</f>
        <v>0</v>
      </c>
      <c r="S572" s="34" t="s">
        <v>955</v>
      </c>
      <c r="T572" s="56" t="s">
        <v>3061</v>
      </c>
      <c r="U572" s="56" t="s">
        <v>3061</v>
      </c>
      <c r="V572" s="56" t="s">
        <v>3061</v>
      </c>
      <c r="W572" s="7"/>
      <c r="X572"/>
    </row>
    <row r="573" spans="1:24" x14ac:dyDescent="0.25">
      <c r="A573" s="26">
        <v>158</v>
      </c>
      <c r="B573" s="1">
        <f>IFERROR(VLOOKUP(ТабПозиции[[#This Row],[orderNum]],ТабЗаказы[#Data],MATCH(B$7,ТабЗаказы[#Headers],0),0),"")</f>
        <v>45473</v>
      </c>
      <c r="C573" t="str">
        <f>MONTH(ТабПозиции[[#This Row],[date]])&amp;"/"&amp;YEAR(ТабПозиции[[#This Row],[date]])</f>
        <v>6/2024</v>
      </c>
      <c r="D573" s="1" t="str">
        <f>IFERROR(VLOOKUP(ТабПозиции[[#This Row],[orderNum]],ТабЗаказы[#Data],MATCH(D$7,ТабЗаказы[#Headers],0),0),"")</f>
        <v>Елена Ларисына</v>
      </c>
      <c r="E573" s="32" t="s">
        <v>1068</v>
      </c>
      <c r="F573" s="56" t="s">
        <v>3061</v>
      </c>
      <c r="H573" s="34">
        <v>45475</v>
      </c>
      <c r="I573" s="26">
        <v>1</v>
      </c>
      <c r="J573" s="26">
        <v>165</v>
      </c>
      <c r="K573">
        <v>165</v>
      </c>
      <c r="L573" s="26">
        <v>168</v>
      </c>
      <c r="M573">
        <f t="shared" si="10"/>
        <v>168</v>
      </c>
      <c r="O57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Row],[orderNum]],ТабПозиции[orderSumm])&gt;1500),ABS(M573*VLOOKUP(ТабПозиции[[#This Row],[orderNum]],ТабЗаказы[#Data],MATCH("Percent",ТабЗаказы[#Headers],0),0))/100,200/COUNTIF(ТабПозиции[orderNum],ТабПозиции[[#This Row],[orderNum]])),0),"")</f>
        <v>25</v>
      </c>
      <c r="P573">
        <f>IF(OR(ТабПозиции[[#This Row],[item]]="По штрихкоду",ТабПозиции[[#This Row],[item]]="Посылка"),ТабПозиции[[#This Row],[deliverySumm]]+ТабПозиции[[#This Row],[deliveryPost]],SUM(M573:O573))</f>
        <v>193</v>
      </c>
      <c r="Q573" s="57">
        <v>193</v>
      </c>
      <c r="R573" s="62">
        <f>ТабПозиции[[#This Row],[totalSumm]]-ТабПозиции[[#This Row],[payment]]</f>
        <v>0</v>
      </c>
      <c r="S573" s="34" t="s">
        <v>955</v>
      </c>
      <c r="T573" s="56" t="s">
        <v>3061</v>
      </c>
      <c r="U573" s="56" t="s">
        <v>3061</v>
      </c>
      <c r="V573" s="56" t="s">
        <v>3061</v>
      </c>
      <c r="W573" s="7"/>
      <c r="X573"/>
    </row>
    <row r="574" spans="1:24" x14ac:dyDescent="0.25">
      <c r="A574" s="26">
        <v>158</v>
      </c>
      <c r="B574" s="1">
        <f>IFERROR(VLOOKUP(ТабПозиции[[#This Row],[orderNum]],ТабЗаказы[#Data],MATCH(B$7,ТабЗаказы[#Headers],0),0),"")</f>
        <v>45473</v>
      </c>
      <c r="C574" t="str">
        <f>MONTH(ТабПозиции[[#This Row],[date]])&amp;"/"&amp;YEAR(ТабПозиции[[#This Row],[date]])</f>
        <v>6/2024</v>
      </c>
      <c r="D574" s="1" t="str">
        <f>IFERROR(VLOOKUP(ТабПозиции[[#This Row],[orderNum]],ТабЗаказы[#Data],MATCH(D$7,ТабЗаказы[#Headers],0),0),"")</f>
        <v>Елена Ларисына</v>
      </c>
      <c r="E574" s="32" t="s">
        <v>1069</v>
      </c>
      <c r="F574" s="56" t="s">
        <v>3061</v>
      </c>
      <c r="H574" s="34">
        <v>45475</v>
      </c>
      <c r="I574" s="26">
        <v>1</v>
      </c>
      <c r="J574" s="26">
        <v>1019</v>
      </c>
      <c r="K574">
        <v>1019</v>
      </c>
      <c r="L574" s="26">
        <v>1237</v>
      </c>
      <c r="M574">
        <f t="shared" si="10"/>
        <v>1237</v>
      </c>
      <c r="O57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Row],[orderNum]],ТабПозиции[orderSumm])&gt;1500),ABS(M574*VLOOKUP(ТабПозиции[[#This Row],[orderNum]],ТабЗаказы[#Data],MATCH("Percent",ТабЗаказы[#Headers],0),0))/100,200/COUNTIF(ТабПозиции[orderNum],ТабПозиции[[#This Row],[orderNum]])),0),"")</f>
        <v>186</v>
      </c>
      <c r="P574">
        <f>IF(OR(ТабПозиции[[#This Row],[item]]="По штрихкоду",ТабПозиции[[#This Row],[item]]="Посылка"),ТабПозиции[[#This Row],[deliverySumm]]+ТабПозиции[[#This Row],[deliveryPost]],SUM(M574:O574))</f>
        <v>1423</v>
      </c>
      <c r="Q574" s="57">
        <v>1423</v>
      </c>
      <c r="R574" s="62">
        <f>ТабПозиции[[#This Row],[totalSumm]]-ТабПозиции[[#This Row],[payment]]</f>
        <v>0</v>
      </c>
      <c r="S574" s="34" t="s">
        <v>955</v>
      </c>
      <c r="T574" s="56" t="s">
        <v>3061</v>
      </c>
      <c r="U574" s="56" t="s">
        <v>3061</v>
      </c>
      <c r="V574" s="56" t="s">
        <v>3061</v>
      </c>
      <c r="W574" s="7"/>
      <c r="X574"/>
    </row>
    <row r="575" spans="1:24" x14ac:dyDescent="0.25">
      <c r="A575" s="26">
        <v>158</v>
      </c>
      <c r="B575" s="1">
        <f>IFERROR(VLOOKUP(ТабПозиции[[#This Row],[orderNum]],ТабЗаказы[#Data],MATCH(B$7,ТабЗаказы[#Headers],0),0),"")</f>
        <v>45473</v>
      </c>
      <c r="C575" t="str">
        <f>MONTH(ТабПозиции[[#This Row],[date]])&amp;"/"&amp;YEAR(ТабПозиции[[#This Row],[date]])</f>
        <v>6/2024</v>
      </c>
      <c r="D575" s="1" t="str">
        <f>IFERROR(VLOOKUP(ТабПозиции[[#This Row],[orderNum]],ТабЗаказы[#Data],MATCH(D$7,ТабЗаказы[#Headers],0),0),"")</f>
        <v>Елена Ларисына</v>
      </c>
      <c r="E575" s="32" t="s">
        <v>1070</v>
      </c>
      <c r="F575" s="56" t="s">
        <v>3061</v>
      </c>
      <c r="H575" s="34">
        <v>45477</v>
      </c>
      <c r="I575" s="26">
        <v>1</v>
      </c>
      <c r="J575" s="26">
        <v>156</v>
      </c>
      <c r="K575">
        <v>156</v>
      </c>
      <c r="L575" s="26">
        <v>159</v>
      </c>
      <c r="M575">
        <f t="shared" si="10"/>
        <v>159</v>
      </c>
      <c r="O57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Row],[orderNum]],ТабПозиции[orderSumm])&gt;1500),ABS(M575*VLOOKUP(ТабПозиции[[#This Row],[orderNum]],ТабЗаказы[#Data],MATCH("Percent",ТабЗаказы[#Headers],0),0))/100,200/COUNTIF(ТабПозиции[orderNum],ТабПозиции[[#This Row],[orderNum]])),0),"")</f>
        <v>24</v>
      </c>
      <c r="P575">
        <f>IF(OR(ТабПозиции[[#This Row],[item]]="По штрихкоду",ТабПозиции[[#This Row],[item]]="Посылка"),ТабПозиции[[#This Row],[deliverySumm]]+ТабПозиции[[#This Row],[deliveryPost]],SUM(M575:O575))</f>
        <v>183</v>
      </c>
      <c r="Q575" s="57">
        <v>183</v>
      </c>
      <c r="R575" s="62">
        <f>ТабПозиции[[#This Row],[totalSumm]]-ТабПозиции[[#This Row],[payment]]</f>
        <v>0</v>
      </c>
      <c r="S575" s="34" t="s">
        <v>955</v>
      </c>
      <c r="T575" s="56" t="s">
        <v>3061</v>
      </c>
      <c r="U575" s="56" t="s">
        <v>3061</v>
      </c>
      <c r="V575" s="56" t="s">
        <v>3061</v>
      </c>
      <c r="W575" s="7"/>
      <c r="X575"/>
    </row>
    <row r="576" spans="1:24" x14ac:dyDescent="0.25">
      <c r="A576" s="26">
        <v>158</v>
      </c>
      <c r="B576" s="1">
        <f>IFERROR(VLOOKUP(ТабПозиции[[#This Row],[orderNum]],ТабЗаказы[#Data],MATCH(B$7,ТабЗаказы[#Headers],0),0),"")</f>
        <v>45473</v>
      </c>
      <c r="C576" t="str">
        <f>MONTH(ТабПозиции[[#This Row],[date]])&amp;"/"&amp;YEAR(ТабПозиции[[#This Row],[date]])</f>
        <v>6/2024</v>
      </c>
      <c r="D576" s="1" t="str">
        <f>IFERROR(VLOOKUP(ТабПозиции[[#This Row],[orderNum]],ТабЗаказы[#Data],MATCH(D$7,ТабЗаказы[#Headers],0),0),"")</f>
        <v>Елена Ларисына</v>
      </c>
      <c r="E576" s="32" t="s">
        <v>1039</v>
      </c>
      <c r="F576" s="56" t="s">
        <v>3061</v>
      </c>
      <c r="H576" s="34">
        <v>45475</v>
      </c>
      <c r="I576" s="26">
        <v>1</v>
      </c>
      <c r="J576" s="26">
        <v>2887</v>
      </c>
      <c r="K576">
        <v>2887</v>
      </c>
      <c r="L576" s="26">
        <v>3152</v>
      </c>
      <c r="M576">
        <f t="shared" si="10"/>
        <v>3152</v>
      </c>
      <c r="O57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Row],[orderNum]],ТабПозиции[orderSumm])&gt;1500),ABS(M576*VLOOKUP(ТабПозиции[[#This Row],[orderNum]],ТабЗаказы[#Data],MATCH("Percent",ТабЗаказы[#Headers],0),0))/100,200/COUNTIF(ТабПозиции[orderNum],ТабПозиции[[#This Row],[orderNum]])),0),"")</f>
        <v>473</v>
      </c>
      <c r="P576">
        <f>IF(OR(ТабПозиции[[#This Row],[item]]="По штрихкоду",ТабПозиции[[#This Row],[item]]="Посылка"),ТабПозиции[[#This Row],[deliverySumm]]+ТабПозиции[[#This Row],[deliveryPost]],SUM(M576:O576))</f>
        <v>3625</v>
      </c>
      <c r="Q576" s="57">
        <v>3625</v>
      </c>
      <c r="R576" s="62">
        <f>ТабПозиции[[#This Row],[totalSumm]]-ТабПозиции[[#This Row],[payment]]</f>
        <v>0</v>
      </c>
      <c r="S576" s="34" t="s">
        <v>955</v>
      </c>
      <c r="T576" s="56" t="s">
        <v>3061</v>
      </c>
      <c r="U576" s="56" t="s">
        <v>3061</v>
      </c>
      <c r="V576" s="56" t="s">
        <v>3061</v>
      </c>
      <c r="W576" s="7"/>
      <c r="X576"/>
    </row>
    <row r="577" spans="1:24" x14ac:dyDescent="0.25">
      <c r="A577" s="26">
        <v>158</v>
      </c>
      <c r="B577" s="1">
        <f>IFERROR(VLOOKUP(ТабПозиции[[#This Row],[orderNum]],ТабЗаказы[#Data],MATCH(B$7,ТабЗаказы[#Headers],0),0),"")</f>
        <v>45473</v>
      </c>
      <c r="C577" t="str">
        <f>MONTH(ТабПозиции[[#This Row],[date]])&amp;"/"&amp;YEAR(ТабПозиции[[#This Row],[date]])</f>
        <v>6/2024</v>
      </c>
      <c r="D577" s="1" t="str">
        <f>IFERROR(VLOOKUP(ТабПозиции[[#This Row],[orderNum]],ТабЗаказы[#Data],MATCH(D$7,ТабЗаказы[#Headers],0),0),"")</f>
        <v>Елена Ларисына</v>
      </c>
      <c r="E577" s="32" t="s">
        <v>1071</v>
      </c>
      <c r="F577" s="56" t="s">
        <v>3061</v>
      </c>
      <c r="H577" s="34">
        <v>45477</v>
      </c>
      <c r="I577" s="26">
        <v>1</v>
      </c>
      <c r="J577" s="26">
        <v>377</v>
      </c>
      <c r="K577">
        <v>377</v>
      </c>
      <c r="L577" s="26">
        <v>419</v>
      </c>
      <c r="M577">
        <f t="shared" si="10"/>
        <v>419</v>
      </c>
      <c r="O57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Row],[orderNum]],ТабПозиции[orderSumm])&gt;1500),ABS(M577*VLOOKUP(ТабПозиции[[#This Row],[orderNum]],ТабЗаказы[#Data],MATCH("Percent",ТабЗаказы[#Headers],0),0))/100,200/COUNTIF(ТабПозиции[orderNum],ТабПозиции[[#This Row],[orderNum]])),0),"")</f>
        <v>63</v>
      </c>
      <c r="P577">
        <f>IF(OR(ТабПозиции[[#This Row],[item]]="По штрихкоду",ТабПозиции[[#This Row],[item]]="Посылка"),ТабПозиции[[#This Row],[deliverySumm]]+ТабПозиции[[#This Row],[deliveryPost]],SUM(M577:O577))</f>
        <v>482</v>
      </c>
      <c r="Q577" s="57">
        <v>482</v>
      </c>
      <c r="R577" s="62">
        <f>ТабПозиции[[#This Row],[totalSumm]]-ТабПозиции[[#This Row],[payment]]</f>
        <v>0</v>
      </c>
      <c r="S577" s="34" t="s">
        <v>955</v>
      </c>
      <c r="T577" s="56" t="s">
        <v>3061</v>
      </c>
      <c r="U577" s="56" t="s">
        <v>3061</v>
      </c>
      <c r="V577" s="56" t="s">
        <v>3061</v>
      </c>
      <c r="W577" s="7"/>
      <c r="X577"/>
    </row>
    <row r="578" spans="1:24" x14ac:dyDescent="0.25">
      <c r="A578" s="26">
        <v>158</v>
      </c>
      <c r="B578" s="1">
        <f>IFERROR(VLOOKUP(ТабПозиции[[#This Row],[orderNum]],ТабЗаказы[#Data],MATCH(B$7,ТабЗаказы[#Headers],0),0),"")</f>
        <v>45473</v>
      </c>
      <c r="C578" t="str">
        <f>MONTH(ТабПозиции[[#This Row],[date]])&amp;"/"&amp;YEAR(ТабПозиции[[#This Row],[date]])</f>
        <v>6/2024</v>
      </c>
      <c r="D578" s="1" t="str">
        <f>IFERROR(VLOOKUP(ТабПозиции[[#This Row],[orderNum]],ТабЗаказы[#Data],MATCH(D$7,ТабЗаказы[#Headers],0),0),"")</f>
        <v>Елена Ларисына</v>
      </c>
      <c r="E578" s="32" t="s">
        <v>1072</v>
      </c>
      <c r="F578" s="56" t="s">
        <v>3061</v>
      </c>
      <c r="H578" s="34">
        <v>45478</v>
      </c>
      <c r="I578" s="26">
        <v>1</v>
      </c>
      <c r="J578" s="26">
        <v>318</v>
      </c>
      <c r="K578">
        <v>318</v>
      </c>
      <c r="L578" s="26">
        <v>325</v>
      </c>
      <c r="M578">
        <f t="shared" si="10"/>
        <v>325</v>
      </c>
      <c r="O57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Row],[orderNum]],ТабПозиции[orderSumm])&gt;1500),ABS(M578*VLOOKUP(ТабПозиции[[#This Row],[orderNum]],ТабЗаказы[#Data],MATCH("Percent",ТабЗаказы[#Headers],0),0))/100,200/COUNTIF(ТабПозиции[orderNum],ТабПозиции[[#This Row],[orderNum]])),0),"")</f>
        <v>49</v>
      </c>
      <c r="P578">
        <f>IF(OR(ТабПозиции[[#This Row],[item]]="По штрихкоду",ТабПозиции[[#This Row],[item]]="Посылка"),ТабПозиции[[#This Row],[deliverySumm]]+ТабПозиции[[#This Row],[deliveryPost]],SUM(M578:O578))</f>
        <v>374</v>
      </c>
      <c r="Q578" s="57">
        <v>374</v>
      </c>
      <c r="R578" s="62">
        <f>ТабПозиции[[#This Row],[totalSumm]]-ТабПозиции[[#This Row],[payment]]</f>
        <v>0</v>
      </c>
      <c r="S578" s="34" t="s">
        <v>955</v>
      </c>
      <c r="T578" s="56" t="s">
        <v>3061</v>
      </c>
      <c r="U578" s="56" t="s">
        <v>3061</v>
      </c>
      <c r="V578" s="56" t="s">
        <v>3061</v>
      </c>
      <c r="W578" s="7"/>
      <c r="X578"/>
    </row>
    <row r="579" spans="1:24" x14ac:dyDescent="0.25">
      <c r="A579" s="26">
        <v>158</v>
      </c>
      <c r="B579" s="1">
        <f>IFERROR(VLOOKUP(ТабПозиции[[#This Row],[orderNum]],ТабЗаказы[#Data],MATCH(B$7,ТабЗаказы[#Headers],0),0),"")</f>
        <v>45473</v>
      </c>
      <c r="C579" t="str">
        <f>MONTH(ТабПозиции[[#This Row],[date]])&amp;"/"&amp;YEAR(ТабПозиции[[#This Row],[date]])</f>
        <v>6/2024</v>
      </c>
      <c r="D579" s="1" t="str">
        <f>IFERROR(VLOOKUP(ТабПозиции[[#This Row],[orderNum]],ТабЗаказы[#Data],MATCH(D$7,ТабЗаказы[#Headers],0),0),"")</f>
        <v>Елена Ларисына</v>
      </c>
      <c r="E579" s="32" t="s">
        <v>1073</v>
      </c>
      <c r="F579" s="56" t="s">
        <v>3061</v>
      </c>
      <c r="H579" s="34">
        <v>45475</v>
      </c>
      <c r="I579" s="26">
        <v>1</v>
      </c>
      <c r="J579" s="26">
        <v>143</v>
      </c>
      <c r="K579">
        <v>143</v>
      </c>
      <c r="L579" s="26">
        <v>146</v>
      </c>
      <c r="M579">
        <f t="shared" si="10"/>
        <v>146</v>
      </c>
      <c r="O57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Row],[orderNum]],ТабПозиции[orderSumm])&gt;1500),ABS(M579*VLOOKUP(ТабПозиции[[#This Row],[orderNum]],ТабЗаказы[#Data],MATCH("Percent",ТабЗаказы[#Headers],0),0))/100,200/COUNTIF(ТабПозиции[orderNum],ТабПозиции[[#This Row],[orderNum]])),0),"")</f>
        <v>22</v>
      </c>
      <c r="P579">
        <f>IF(OR(ТабПозиции[[#This Row],[item]]="По штрихкоду",ТабПозиции[[#This Row],[item]]="Посылка"),ТабПозиции[[#This Row],[deliverySumm]]+ТабПозиции[[#This Row],[deliveryPost]],SUM(M579:O579))</f>
        <v>168</v>
      </c>
      <c r="Q579" s="57">
        <v>168</v>
      </c>
      <c r="R579" s="62">
        <f>ТабПозиции[[#This Row],[totalSumm]]-ТабПозиции[[#This Row],[payment]]</f>
        <v>0</v>
      </c>
      <c r="S579" s="34" t="s">
        <v>955</v>
      </c>
      <c r="T579" s="56" t="s">
        <v>3061</v>
      </c>
      <c r="U579" s="56" t="s">
        <v>3061</v>
      </c>
      <c r="V579" s="56" t="s">
        <v>3061</v>
      </c>
      <c r="W579" s="7"/>
      <c r="X579"/>
    </row>
    <row r="580" spans="1:24" x14ac:dyDescent="0.25">
      <c r="A580" s="26">
        <v>158</v>
      </c>
      <c r="B580" s="1">
        <f>IFERROR(VLOOKUP(ТабПозиции[[#This Row],[orderNum]],ТабЗаказы[#Data],MATCH(B$7,ТабЗаказы[#Headers],0),0),"")</f>
        <v>45473</v>
      </c>
      <c r="C580" t="str">
        <f>MONTH(ТабПозиции[[#This Row],[date]])&amp;"/"&amp;YEAR(ТабПозиции[[#This Row],[date]])</f>
        <v>6/2024</v>
      </c>
      <c r="D580" s="1" t="str">
        <f>IFERROR(VLOOKUP(ТабПозиции[[#This Row],[orderNum]],ТабЗаказы[#Data],MATCH(D$7,ТабЗаказы[#Headers],0),0),"")</f>
        <v>Елена Ларисына</v>
      </c>
      <c r="E580" s="32" t="s">
        <v>1074</v>
      </c>
      <c r="F580" s="56" t="s">
        <v>3061</v>
      </c>
      <c r="H580" s="34">
        <v>45480</v>
      </c>
      <c r="I580" s="26">
        <v>1</v>
      </c>
      <c r="J580" s="26">
        <v>1053</v>
      </c>
      <c r="K580">
        <v>1053</v>
      </c>
      <c r="L580" s="26">
        <v>1170</v>
      </c>
      <c r="M580">
        <f t="shared" si="10"/>
        <v>1170</v>
      </c>
      <c r="O58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Row],[orderNum]],ТабПозиции[orderSumm])&gt;1500),ABS(M580*VLOOKUP(ТабПозиции[[#This Row],[orderNum]],ТабЗаказы[#Data],MATCH("Percent",ТабЗаказы[#Headers],0),0))/100,200/COUNTIF(ТабПозиции[orderNum],ТабПозиции[[#This Row],[orderNum]])),0),"")</f>
        <v>176</v>
      </c>
      <c r="P580">
        <f>IF(OR(ТабПозиции[[#This Row],[item]]="По штрихкоду",ТабПозиции[[#This Row],[item]]="Посылка"),ТабПозиции[[#This Row],[deliverySumm]]+ТабПозиции[[#This Row],[deliveryPost]],SUM(M580:O580))</f>
        <v>1346</v>
      </c>
      <c r="Q580" s="57">
        <v>1346</v>
      </c>
      <c r="R580" s="62">
        <f>ТабПозиции[[#This Row],[totalSumm]]-ТабПозиции[[#This Row],[payment]]</f>
        <v>0</v>
      </c>
      <c r="S580" s="34" t="s">
        <v>955</v>
      </c>
      <c r="T580" s="56" t="s">
        <v>3061</v>
      </c>
      <c r="U580" s="56" t="s">
        <v>3061</v>
      </c>
      <c r="V580" s="56" t="s">
        <v>3061</v>
      </c>
      <c r="W580" s="7"/>
      <c r="X580"/>
    </row>
    <row r="581" spans="1:24" x14ac:dyDescent="0.25">
      <c r="A581" s="26">
        <v>158</v>
      </c>
      <c r="B581" s="1">
        <f>IFERROR(VLOOKUP(ТабПозиции[[#This Row],[orderNum]],ТабЗаказы[#Data],MATCH(B$7,ТабЗаказы[#Headers],0),0),"")</f>
        <v>45473</v>
      </c>
      <c r="C581" t="str">
        <f>MONTH(ТабПозиции[[#This Row],[date]])&amp;"/"&amp;YEAR(ТабПозиции[[#This Row],[date]])</f>
        <v>6/2024</v>
      </c>
      <c r="D581" s="1" t="str">
        <f>IFERROR(VLOOKUP(ТабПозиции[[#This Row],[orderNum]],ТабЗаказы[#Data],MATCH(D$7,ТабЗаказы[#Headers],0),0),"")</f>
        <v>Елена Ларисына</v>
      </c>
      <c r="E581" s="32" t="s">
        <v>833</v>
      </c>
      <c r="F581" s="56" t="s">
        <v>3061</v>
      </c>
      <c r="H581" s="34">
        <v>45475</v>
      </c>
      <c r="I581" s="26">
        <v>1</v>
      </c>
      <c r="J581" s="26">
        <v>362</v>
      </c>
      <c r="K581">
        <v>362</v>
      </c>
      <c r="L581" s="26">
        <v>369</v>
      </c>
      <c r="M581">
        <f t="shared" si="10"/>
        <v>369</v>
      </c>
      <c r="O58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Row],[orderNum]],ТабПозиции[orderSumm])&gt;1500),ABS(M581*VLOOKUP(ТабПозиции[[#This Row],[orderNum]],ТабЗаказы[#Data],MATCH("Percent",ТабЗаказы[#Headers],0),0))/100,200/COUNTIF(ТабПозиции[orderNum],ТабПозиции[[#This Row],[orderNum]])),0),"")</f>
        <v>55</v>
      </c>
      <c r="P581">
        <f>IF(OR(ТабПозиции[[#This Row],[item]]="По штрихкоду",ТабПозиции[[#This Row],[item]]="Посылка"),ТабПозиции[[#This Row],[deliverySumm]]+ТабПозиции[[#This Row],[deliveryPost]],SUM(M581:O581))</f>
        <v>424</v>
      </c>
      <c r="Q581" s="57">
        <v>424</v>
      </c>
      <c r="R581" s="62">
        <f>ТабПозиции[[#This Row],[totalSumm]]-ТабПозиции[[#This Row],[payment]]</f>
        <v>0</v>
      </c>
      <c r="S581" s="34" t="s">
        <v>955</v>
      </c>
      <c r="T581" s="56" t="s">
        <v>3061</v>
      </c>
      <c r="U581" s="56" t="s">
        <v>3061</v>
      </c>
      <c r="V581" s="56" t="s">
        <v>3061</v>
      </c>
      <c r="W581" s="7"/>
      <c r="X581"/>
    </row>
    <row r="582" spans="1:24" x14ac:dyDescent="0.25">
      <c r="A582" s="26">
        <v>159</v>
      </c>
      <c r="B582" s="1">
        <f>IFERROR(VLOOKUP(ТабПозиции[[#This Row],[orderNum]],ТабЗаказы[#Data],MATCH(B$7,ТабЗаказы[#Headers],0),0),"")</f>
        <v>45474</v>
      </c>
      <c r="C582" t="str">
        <f>MONTH(ТабПозиции[[#This Row],[date]])&amp;"/"&amp;YEAR(ТабПозиции[[#This Row],[date]])</f>
        <v>7/2024</v>
      </c>
      <c r="D582" s="1" t="str">
        <f>IFERROR(VLOOKUP(ТабПозиции[[#This Row],[orderNum]],ТабЗаказы[#Data],MATCH(D$7,ТабЗаказы[#Headers],0),0),"")</f>
        <v>Артем</v>
      </c>
      <c r="E582" s="32" t="s">
        <v>1075</v>
      </c>
      <c r="F582" s="56" t="s">
        <v>3061</v>
      </c>
      <c r="G582" s="28" t="s">
        <v>1076</v>
      </c>
      <c r="H582" s="34">
        <v>45483</v>
      </c>
      <c r="I582" s="26">
        <v>1</v>
      </c>
      <c r="J582" s="26">
        <v>13000</v>
      </c>
      <c r="K582">
        <v>13000</v>
      </c>
      <c r="L582" s="26">
        <v>13000</v>
      </c>
      <c r="M582">
        <f t="shared" si="10"/>
        <v>13000</v>
      </c>
      <c r="N582" s="26">
        <v>562</v>
      </c>
      <c r="O58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Row],[orderNum]],ТабПозиции[orderSumm])&gt;1500),ABS(M582*VLOOKUP(ТабПозиции[[#This Row],[orderNum]],ТабЗаказы[#Data],MATCH("Percent",ТабЗаказы[#Headers],0),0))/100,200/COUNTIF(ТабПозиции[orderNum],ТабПозиции[[#This Row],[orderNum]])),0),"")</f>
        <v>1300</v>
      </c>
      <c r="P582">
        <f>IF(OR(ТабПозиции[[#This Row],[item]]="По штрихкоду",ТабПозиции[[#This Row],[item]]="Посылка"),ТабПозиции[[#This Row],[deliverySumm]]+ТабПозиции[[#This Row],[deliveryPost]],SUM(M582:O582))</f>
        <v>14862</v>
      </c>
      <c r="Q582" s="26">
        <v>14862</v>
      </c>
      <c r="R582" s="62">
        <f>ТабПозиции[[#This Row],[totalSumm]]-ТабПозиции[[#This Row],[payment]]</f>
        <v>0</v>
      </c>
      <c r="S582" s="34" t="s">
        <v>1016</v>
      </c>
      <c r="T582" s="56" t="s">
        <v>3061</v>
      </c>
      <c r="U582" s="56" t="s">
        <v>3061</v>
      </c>
      <c r="V582" s="56" t="s">
        <v>3061</v>
      </c>
      <c r="W582" s="7"/>
      <c r="X582"/>
    </row>
    <row r="583" spans="1:24" x14ac:dyDescent="0.25">
      <c r="A583" s="26">
        <v>160</v>
      </c>
      <c r="B583" s="1">
        <f>IFERROR(VLOOKUP(ТабПозиции[[#This Row],[orderNum]],ТабЗаказы[#Data],MATCH(B$7,ТабЗаказы[#Headers],0),0),"")</f>
        <v>45474</v>
      </c>
      <c r="C583" t="str">
        <f>MONTH(ТабПозиции[[#This Row],[date]])&amp;"/"&amp;YEAR(ТабПозиции[[#This Row],[date]])</f>
        <v>7/2024</v>
      </c>
      <c r="D583" s="1" t="str">
        <f>IFERROR(VLOOKUP(ТабПозиции[[#This Row],[orderNum]],ТабЗаказы[#Data],MATCH(D$7,ТабЗаказы[#Headers],0),0),"")</f>
        <v>Лариса Кирова</v>
      </c>
      <c r="E583" s="32" t="s">
        <v>1077</v>
      </c>
      <c r="F583" s="56" t="s">
        <v>3061</v>
      </c>
      <c r="H583" s="34">
        <v>45477</v>
      </c>
      <c r="I583" s="26">
        <v>1</v>
      </c>
      <c r="J583" s="26">
        <v>384</v>
      </c>
      <c r="K583">
        <v>384</v>
      </c>
      <c r="L583" s="26">
        <v>405</v>
      </c>
      <c r="M583">
        <f t="shared" si="10"/>
        <v>405</v>
      </c>
      <c r="O58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Row],[orderNum]],ТабПозиции[orderSumm])&gt;1500),ABS(M583*VLOOKUP(ТабПозиции[[#This Row],[orderNum]],ТабЗаказы[#Data],MATCH("Percent",ТабЗаказы[#Headers],0),0))/100,200/COUNTIF(ТабПозиции[orderNum],ТабПозиции[[#This Row],[orderNum]])),0),"")</f>
        <v>61</v>
      </c>
      <c r="P583">
        <f>IF(OR(ТабПозиции[[#This Row],[item]]="По штрихкоду",ТабПозиции[[#This Row],[item]]="Посылка"),ТабПозиции[[#This Row],[deliverySumm]]+ТабПозиции[[#This Row],[deliveryPost]],SUM(M583:O583))</f>
        <v>466</v>
      </c>
      <c r="Q583" s="57">
        <v>466</v>
      </c>
      <c r="R583" s="62">
        <f>ТабПозиции[[#This Row],[totalSumm]]-ТабПозиции[[#This Row],[payment]]</f>
        <v>0</v>
      </c>
      <c r="S583" s="34" t="s">
        <v>965</v>
      </c>
      <c r="T583" s="56" t="s">
        <v>3061</v>
      </c>
      <c r="U583" s="56" t="s">
        <v>3061</v>
      </c>
      <c r="V583" s="56" t="s">
        <v>3061</v>
      </c>
      <c r="W583" s="7"/>
      <c r="X583"/>
    </row>
    <row r="584" spans="1:24" x14ac:dyDescent="0.25">
      <c r="A584" s="26">
        <v>160</v>
      </c>
      <c r="B584" s="1">
        <f>IFERROR(VLOOKUP(ТабПозиции[[#This Row],[orderNum]],ТабЗаказы[#Data],MATCH(B$7,ТабЗаказы[#Headers],0),0),"")</f>
        <v>45474</v>
      </c>
      <c r="C584" t="str">
        <f>MONTH(ТабПозиции[[#This Row],[date]])&amp;"/"&amp;YEAR(ТабПозиции[[#This Row],[date]])</f>
        <v>7/2024</v>
      </c>
      <c r="D584" s="1" t="str">
        <f>IFERROR(VLOOKUP(ТабПозиции[[#This Row],[orderNum]],ТабЗаказы[#Data],MATCH(D$7,ТабЗаказы[#Headers],0),0),"")</f>
        <v>Лариса Кирова</v>
      </c>
      <c r="E584" s="32" t="s">
        <v>1078</v>
      </c>
      <c r="F584" s="56" t="s">
        <v>3061</v>
      </c>
      <c r="H584" s="34">
        <v>45477</v>
      </c>
      <c r="I584" s="26">
        <v>1</v>
      </c>
      <c r="J584" s="26">
        <v>94</v>
      </c>
      <c r="K584">
        <v>94</v>
      </c>
      <c r="L584" s="26">
        <v>96</v>
      </c>
      <c r="M584">
        <f t="shared" si="10"/>
        <v>96</v>
      </c>
      <c r="O58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Row],[orderNum]],ТабПозиции[orderSumm])&gt;1500),ABS(M584*VLOOKUP(ТабПозиции[[#This Row],[orderNum]],ТабЗаказы[#Data],MATCH("Percent",ТабЗаказы[#Headers],0),0))/100,200/COUNTIF(ТабПозиции[orderNum],ТабПозиции[[#This Row],[orderNum]])),0),"")</f>
        <v>14</v>
      </c>
      <c r="P584">
        <f>IF(OR(ТабПозиции[[#This Row],[item]]="По штрихкоду",ТабПозиции[[#This Row],[item]]="Посылка"),ТабПозиции[[#This Row],[deliverySumm]]+ТабПозиции[[#This Row],[deliveryPost]],SUM(M584:O584))</f>
        <v>110</v>
      </c>
      <c r="Q584" s="57">
        <v>110</v>
      </c>
      <c r="R584" s="62">
        <f>ТабПозиции[[#This Row],[totalSumm]]-ТабПозиции[[#This Row],[payment]]</f>
        <v>0</v>
      </c>
      <c r="S584" s="34" t="s">
        <v>955</v>
      </c>
      <c r="T584" s="56" t="s">
        <v>3061</v>
      </c>
      <c r="U584" s="56" t="s">
        <v>3061</v>
      </c>
      <c r="V584" s="56" t="s">
        <v>3061</v>
      </c>
      <c r="W584" s="7"/>
      <c r="X584"/>
    </row>
    <row r="585" spans="1:24" x14ac:dyDescent="0.25">
      <c r="A585" s="26">
        <v>160</v>
      </c>
      <c r="B585" s="1">
        <f>IFERROR(VLOOKUP(ТабПозиции[[#This Row],[orderNum]],ТабЗаказы[#Data],MATCH(B$7,ТабЗаказы[#Headers],0),0),"")</f>
        <v>45474</v>
      </c>
      <c r="C585" t="str">
        <f>MONTH(ТабПозиции[[#This Row],[date]])&amp;"/"&amp;YEAR(ТабПозиции[[#This Row],[date]])</f>
        <v>7/2024</v>
      </c>
      <c r="D585" s="1" t="str">
        <f>IFERROR(VLOOKUP(ТабПозиции[[#This Row],[orderNum]],ТабЗаказы[#Data],MATCH(D$7,ТабЗаказы[#Headers],0),0),"")</f>
        <v>Лариса Кирова</v>
      </c>
      <c r="E585" s="32" t="s">
        <v>1079</v>
      </c>
      <c r="F585" s="56" t="s">
        <v>3061</v>
      </c>
      <c r="H585" s="34">
        <v>45476</v>
      </c>
      <c r="I585" s="26">
        <v>1</v>
      </c>
      <c r="J585" s="26">
        <v>196</v>
      </c>
      <c r="K585">
        <v>196</v>
      </c>
      <c r="L585" s="26">
        <v>200</v>
      </c>
      <c r="M585">
        <f t="shared" si="10"/>
        <v>200</v>
      </c>
      <c r="O58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Row],[orderNum]],ТабПозиции[orderSumm])&gt;1500),ABS(M585*VLOOKUP(ТабПозиции[[#This Row],[orderNum]],ТабЗаказы[#Data],MATCH("Percent",ТабЗаказы[#Headers],0),0))/100,200/COUNTIF(ТабПозиции[orderNum],ТабПозиции[[#This Row],[orderNum]])),0),"")</f>
        <v>30</v>
      </c>
      <c r="P585">
        <f>IF(OR(ТабПозиции[[#This Row],[item]]="По штрихкоду",ТабПозиции[[#This Row],[item]]="Посылка"),ТабПозиции[[#This Row],[deliverySumm]]+ТабПозиции[[#This Row],[deliveryPost]],SUM(M585:O585))</f>
        <v>230</v>
      </c>
      <c r="Q585" s="57">
        <v>230</v>
      </c>
      <c r="R585" s="62">
        <f>ТабПозиции[[#This Row],[totalSumm]]-ТабПозиции[[#This Row],[payment]]</f>
        <v>0</v>
      </c>
      <c r="S585" s="34" t="s">
        <v>955</v>
      </c>
      <c r="T585" s="56" t="s">
        <v>3061</v>
      </c>
      <c r="U585" s="56" t="s">
        <v>3061</v>
      </c>
      <c r="V585" s="56" t="s">
        <v>3061</v>
      </c>
      <c r="W585" s="7"/>
      <c r="X585"/>
    </row>
    <row r="586" spans="1:24" x14ac:dyDescent="0.25">
      <c r="A586" s="26">
        <v>160</v>
      </c>
      <c r="B586" s="1">
        <f>IFERROR(VLOOKUP(ТабПозиции[[#This Row],[orderNum]],ТабЗаказы[#Data],MATCH(B$7,ТабЗаказы[#Headers],0),0),"")</f>
        <v>45474</v>
      </c>
      <c r="C586" t="str">
        <f>MONTH(ТабПозиции[[#This Row],[date]])&amp;"/"&amp;YEAR(ТабПозиции[[#This Row],[date]])</f>
        <v>7/2024</v>
      </c>
      <c r="D586" s="1" t="str">
        <f>IFERROR(VLOOKUP(ТабПозиции[[#This Row],[orderNum]],ТабЗаказы[#Data],MATCH(D$7,ТабЗаказы[#Headers],0),0),"")</f>
        <v>Лариса Кирова</v>
      </c>
      <c r="E586" s="32" t="s">
        <v>1080</v>
      </c>
      <c r="F586" s="56" t="s">
        <v>3061</v>
      </c>
      <c r="H586" s="34">
        <v>45481</v>
      </c>
      <c r="I586" s="26">
        <v>1</v>
      </c>
      <c r="J586" s="26">
        <v>178</v>
      </c>
      <c r="K586">
        <v>178</v>
      </c>
      <c r="L586" s="26">
        <v>182</v>
      </c>
      <c r="M586">
        <f t="shared" si="10"/>
        <v>182</v>
      </c>
      <c r="O58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Row],[orderNum]],ТабПозиции[orderSumm])&gt;1500),ABS(M586*VLOOKUP(ТабПозиции[[#This Row],[orderNum]],ТабЗаказы[#Data],MATCH("Percent",ТабЗаказы[#Headers],0),0))/100,200/COUNTIF(ТабПозиции[orderNum],ТабПозиции[[#This Row],[orderNum]])),0),"")</f>
        <v>27</v>
      </c>
      <c r="P586">
        <f>IF(OR(ТабПозиции[[#This Row],[item]]="По штрихкоду",ТабПозиции[[#This Row],[item]]="Посылка"),ТабПозиции[[#This Row],[deliverySumm]]+ТабПозиции[[#This Row],[deliveryPost]],SUM(M586:O586))</f>
        <v>209</v>
      </c>
      <c r="Q586" s="57">
        <v>209</v>
      </c>
      <c r="R586" s="62">
        <f>ТабПозиции[[#This Row],[totalSumm]]-ТабПозиции[[#This Row],[payment]]</f>
        <v>0</v>
      </c>
      <c r="S586" s="34" t="s">
        <v>955</v>
      </c>
      <c r="T586" s="56" t="s">
        <v>3061</v>
      </c>
      <c r="U586" s="56" t="s">
        <v>3061</v>
      </c>
      <c r="V586" s="56" t="s">
        <v>3061</v>
      </c>
      <c r="W586" s="7"/>
      <c r="X586"/>
    </row>
    <row r="587" spans="1:24" x14ac:dyDescent="0.25">
      <c r="A587" s="26">
        <v>160</v>
      </c>
      <c r="B587" s="1">
        <f>IFERROR(VLOOKUP(ТабПозиции[[#This Row],[orderNum]],ТабЗаказы[#Data],MATCH(B$7,ТабЗаказы[#Headers],0),0),"")</f>
        <v>45474</v>
      </c>
      <c r="C587" t="str">
        <f>MONTH(ТабПозиции[[#This Row],[date]])&amp;"/"&amp;YEAR(ТабПозиции[[#This Row],[date]])</f>
        <v>7/2024</v>
      </c>
      <c r="D587" s="1" t="str">
        <f>IFERROR(VLOOKUP(ТабПозиции[[#This Row],[orderNum]],ТабЗаказы[#Data],MATCH(D$7,ТабЗаказы[#Headers],0),0),"")</f>
        <v>Лариса Кирова</v>
      </c>
      <c r="E587" s="32" t="s">
        <v>1081</v>
      </c>
      <c r="F587" s="56" t="s">
        <v>3061</v>
      </c>
      <c r="H587" s="34">
        <v>45476</v>
      </c>
      <c r="I587" s="26">
        <v>1</v>
      </c>
      <c r="J587" s="26">
        <v>312</v>
      </c>
      <c r="K587">
        <v>312</v>
      </c>
      <c r="L587" s="26">
        <v>318</v>
      </c>
      <c r="M587">
        <f t="shared" si="10"/>
        <v>318</v>
      </c>
      <c r="O58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Row],[orderNum]],ТабПозиции[orderSumm])&gt;1500),ABS(M587*VLOOKUP(ТабПозиции[[#This Row],[orderNum]],ТабЗаказы[#Data],MATCH("Percent",ТабЗаказы[#Headers],0),0))/100,200/COUNTIF(ТабПозиции[orderNum],ТабПозиции[[#This Row],[orderNum]])),0),"")</f>
        <v>48</v>
      </c>
      <c r="P587">
        <f>IF(OR(ТабПозиции[[#This Row],[item]]="По штрихкоду",ТабПозиции[[#This Row],[item]]="Посылка"),ТабПозиции[[#This Row],[deliverySumm]]+ТабПозиции[[#This Row],[deliveryPost]],SUM(M587:O587))</f>
        <v>366</v>
      </c>
      <c r="Q587" s="57">
        <v>366</v>
      </c>
      <c r="R587" s="62">
        <f>ТабПозиции[[#This Row],[totalSumm]]-ТабПозиции[[#This Row],[payment]]</f>
        <v>0</v>
      </c>
      <c r="S587" s="34" t="s">
        <v>955</v>
      </c>
      <c r="T587" s="56" t="s">
        <v>3061</v>
      </c>
      <c r="U587" s="56" t="s">
        <v>3061</v>
      </c>
      <c r="V587" s="56" t="s">
        <v>3061</v>
      </c>
      <c r="W587" s="7"/>
      <c r="X587"/>
    </row>
    <row r="588" spans="1:24" x14ac:dyDescent="0.25">
      <c r="A588" s="26">
        <v>160</v>
      </c>
      <c r="B588" s="1">
        <f>IFERROR(VLOOKUP(ТабПозиции[[#This Row],[orderNum]],ТабЗаказы[#Data],MATCH(B$7,ТабЗаказы[#Headers],0),0),"")</f>
        <v>45474</v>
      </c>
      <c r="C588" t="str">
        <f>MONTH(ТабПозиции[[#This Row],[date]])&amp;"/"&amp;YEAR(ТабПозиции[[#This Row],[date]])</f>
        <v>7/2024</v>
      </c>
      <c r="D588" s="1" t="str">
        <f>IFERROR(VLOOKUP(ТабПозиции[[#This Row],[orderNum]],ТабЗаказы[#Data],MATCH(D$7,ТабЗаказы[#Headers],0),0),"")</f>
        <v>Лариса Кирова</v>
      </c>
      <c r="E588" s="32" t="s">
        <v>1082</v>
      </c>
      <c r="F588" s="56" t="s">
        <v>3061</v>
      </c>
      <c r="H588" s="34">
        <v>45476</v>
      </c>
      <c r="I588" s="26">
        <v>1</v>
      </c>
      <c r="J588" s="26">
        <v>224</v>
      </c>
      <c r="K588">
        <v>224</v>
      </c>
      <c r="L588" s="26">
        <v>229</v>
      </c>
      <c r="M588">
        <f t="shared" si="10"/>
        <v>229</v>
      </c>
      <c r="O58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Row],[orderNum]],ТабПозиции[orderSumm])&gt;1500),ABS(M588*VLOOKUP(ТабПозиции[[#This Row],[orderNum]],ТабЗаказы[#Data],MATCH("Percent",ТабЗаказы[#Headers],0),0))/100,200/COUNTIF(ТабПозиции[orderNum],ТабПозиции[[#This Row],[orderNum]])),0),"")</f>
        <v>34</v>
      </c>
      <c r="P588">
        <f>IF(OR(ТабПозиции[[#This Row],[item]]="По штрихкоду",ТабПозиции[[#This Row],[item]]="Посылка"),ТабПозиции[[#This Row],[deliverySumm]]+ТабПозиции[[#This Row],[deliveryPost]],SUM(M588:O588))</f>
        <v>263</v>
      </c>
      <c r="Q588" s="57">
        <v>263</v>
      </c>
      <c r="R588" s="62">
        <f>ТабПозиции[[#This Row],[totalSumm]]-ТабПозиции[[#This Row],[payment]]</f>
        <v>0</v>
      </c>
      <c r="S588" s="34" t="s">
        <v>955</v>
      </c>
      <c r="T588" s="56" t="s">
        <v>3061</v>
      </c>
      <c r="U588" s="56" t="s">
        <v>3061</v>
      </c>
      <c r="V588" s="56" t="s">
        <v>3061</v>
      </c>
      <c r="W588" s="7"/>
      <c r="X588"/>
    </row>
    <row r="589" spans="1:24" x14ac:dyDescent="0.25">
      <c r="A589" s="26">
        <v>160</v>
      </c>
      <c r="B589" s="1">
        <f>IFERROR(VLOOKUP(ТабПозиции[[#This Row],[orderNum]],ТабЗаказы[#Data],MATCH(B$7,ТабЗаказы[#Headers],0),0),"")</f>
        <v>45474</v>
      </c>
      <c r="C589" t="str">
        <f>MONTH(ТабПозиции[[#This Row],[date]])&amp;"/"&amp;YEAR(ТабПозиции[[#This Row],[date]])</f>
        <v>7/2024</v>
      </c>
      <c r="D589" s="1" t="str">
        <f>IFERROR(VLOOKUP(ТабПозиции[[#This Row],[orderNum]],ТабЗаказы[#Data],MATCH(D$7,ТабЗаказы[#Headers],0),0),"")</f>
        <v>Лариса Кирова</v>
      </c>
      <c r="E589" s="32" t="s">
        <v>1083</v>
      </c>
      <c r="F589" s="56" t="s">
        <v>3061</v>
      </c>
      <c r="G589" s="28" t="s">
        <v>1084</v>
      </c>
      <c r="H589" s="34">
        <v>45503</v>
      </c>
      <c r="I589" s="26">
        <v>1</v>
      </c>
      <c r="J589" s="26">
        <v>237</v>
      </c>
      <c r="K589">
        <v>237</v>
      </c>
      <c r="L589" s="26">
        <v>268</v>
      </c>
      <c r="M589">
        <f t="shared" si="10"/>
        <v>268</v>
      </c>
      <c r="O58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Row],[orderNum]],ТабПозиции[orderSumm])&gt;1500),ABS(M589*VLOOKUP(ТабПозиции[[#This Row],[orderNum]],ТабЗаказы[#Data],MATCH("Percent",ТабЗаказы[#Headers],0),0))/100,200/COUNTIF(ТабПозиции[orderNum],ТабПозиции[[#This Row],[orderNum]])),0),"")</f>
        <v>40</v>
      </c>
      <c r="P589">
        <f>IF(OR(ТабПозиции[[#This Row],[item]]="По штрихкоду",ТабПозиции[[#This Row],[item]]="Посылка"),ТабПозиции[[#This Row],[deliverySumm]]+ТабПозиции[[#This Row],[deliveryPost]],SUM(M589:O589))</f>
        <v>308</v>
      </c>
      <c r="Q589" s="57">
        <v>308</v>
      </c>
      <c r="R589" s="62">
        <f>ТабПозиции[[#This Row],[totalSumm]]-ТабПозиции[[#This Row],[payment]]</f>
        <v>0</v>
      </c>
      <c r="S589" s="34" t="s">
        <v>1011</v>
      </c>
      <c r="T589" s="56" t="s">
        <v>3061</v>
      </c>
      <c r="U589" s="56" t="s">
        <v>3061</v>
      </c>
      <c r="V589" s="56" t="s">
        <v>3061</v>
      </c>
      <c r="W589" s="7"/>
      <c r="X589"/>
    </row>
    <row r="590" spans="1:24" x14ac:dyDescent="0.25">
      <c r="A590" s="26">
        <v>160</v>
      </c>
      <c r="B590" s="1">
        <f>IFERROR(VLOOKUP(ТабПозиции[[#This Row],[orderNum]],ТабЗаказы[#Data],MATCH(B$7,ТабЗаказы[#Headers],0),0),"")</f>
        <v>45474</v>
      </c>
      <c r="C590" t="str">
        <f>MONTH(ТабПозиции[[#This Row],[date]])&amp;"/"&amp;YEAR(ТабПозиции[[#This Row],[date]])</f>
        <v>7/2024</v>
      </c>
      <c r="D590" s="1" t="str">
        <f>IFERROR(VLOOKUP(ТабПозиции[[#This Row],[orderNum]],ТабЗаказы[#Data],MATCH(D$7,ТабЗаказы[#Headers],0),0),"")</f>
        <v>Лариса Кирова</v>
      </c>
      <c r="E590" s="32" t="s">
        <v>1085</v>
      </c>
      <c r="F590" s="56" t="s">
        <v>3061</v>
      </c>
      <c r="H590" s="34">
        <v>45488</v>
      </c>
      <c r="I590" s="26">
        <v>1</v>
      </c>
      <c r="J590" s="26">
        <v>92</v>
      </c>
      <c r="K590">
        <v>92</v>
      </c>
      <c r="L590" s="26">
        <v>105</v>
      </c>
      <c r="M590">
        <f t="shared" si="10"/>
        <v>105</v>
      </c>
      <c r="O59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Row],[orderNum]],ТабПозиции[orderSumm])&gt;1500),ABS(M590*VLOOKUP(ТабПозиции[[#This Row],[orderNum]],ТабЗаказы[#Data],MATCH("Percent",ТабЗаказы[#Headers],0),0))/100,200/COUNTIF(ТабПозиции[orderNum],ТабПозиции[[#This Row],[orderNum]])),0),"")</f>
        <v>16</v>
      </c>
      <c r="P590">
        <f>IF(OR(ТабПозиции[[#This Row],[item]]="По штрихкоду",ТабПозиции[[#This Row],[item]]="Посылка"),ТабПозиции[[#This Row],[deliverySumm]]+ТабПозиции[[#This Row],[deliveryPost]],SUM(M590:O590))</f>
        <v>121</v>
      </c>
      <c r="Q590" s="57">
        <v>121</v>
      </c>
      <c r="R590" s="62">
        <f>ТабПозиции[[#This Row],[totalSumm]]-ТабПозиции[[#This Row],[payment]]</f>
        <v>0</v>
      </c>
      <c r="S590" s="34" t="s">
        <v>955</v>
      </c>
      <c r="T590" s="56" t="s">
        <v>3061</v>
      </c>
      <c r="U590" s="56" t="s">
        <v>3061</v>
      </c>
      <c r="V590" s="56" t="s">
        <v>3061</v>
      </c>
      <c r="W590" s="7"/>
      <c r="X590"/>
    </row>
    <row r="591" spans="1:24" x14ac:dyDescent="0.25">
      <c r="A591" s="26">
        <v>160</v>
      </c>
      <c r="B591" s="1">
        <f>IFERROR(VLOOKUP(ТабПозиции[[#This Row],[orderNum]],ТабЗаказы[#Data],MATCH(B$7,ТабЗаказы[#Headers],0),0),"")</f>
        <v>45474</v>
      </c>
      <c r="C591" t="str">
        <f>MONTH(ТабПозиции[[#This Row],[date]])&amp;"/"&amp;YEAR(ТабПозиции[[#This Row],[date]])</f>
        <v>7/2024</v>
      </c>
      <c r="D591" s="1" t="str">
        <f>IFERROR(VLOOKUP(ТабПозиции[[#This Row],[orderNum]],ТабЗаказы[#Data],MATCH(D$7,ТабЗаказы[#Headers],0),0),"")</f>
        <v>Лариса Кирова</v>
      </c>
      <c r="E591" s="32" t="s">
        <v>1086</v>
      </c>
      <c r="F591" s="56" t="s">
        <v>3061</v>
      </c>
      <c r="H591" s="34">
        <v>45478</v>
      </c>
      <c r="I591" s="26">
        <v>1</v>
      </c>
      <c r="J591" s="26">
        <v>175</v>
      </c>
      <c r="K591">
        <v>175</v>
      </c>
      <c r="L591" s="26">
        <v>179</v>
      </c>
      <c r="M591">
        <f t="shared" si="10"/>
        <v>179</v>
      </c>
      <c r="O59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Row],[orderNum]],ТабПозиции[orderSumm])&gt;1500),ABS(M591*VLOOKUP(ТабПозиции[[#This Row],[orderNum]],ТабЗаказы[#Data],MATCH("Percent",ТабЗаказы[#Headers],0),0))/100,200/COUNTIF(ТабПозиции[orderNum],ТабПозиции[[#This Row],[orderNum]])),0),"")</f>
        <v>27</v>
      </c>
      <c r="P591">
        <f>IF(OR(ТабПозиции[[#This Row],[item]]="По штрихкоду",ТабПозиции[[#This Row],[item]]="Посылка"),ТабПозиции[[#This Row],[deliverySumm]]+ТабПозиции[[#This Row],[deliveryPost]],SUM(M591:O591))</f>
        <v>206</v>
      </c>
      <c r="Q591" s="57">
        <v>206</v>
      </c>
      <c r="R591" s="62">
        <f>ТабПозиции[[#This Row],[totalSumm]]-ТабПозиции[[#This Row],[payment]]</f>
        <v>0</v>
      </c>
      <c r="S591" s="34" t="s">
        <v>955</v>
      </c>
      <c r="T591" s="56" t="s">
        <v>3061</v>
      </c>
      <c r="U591" s="56" t="s">
        <v>3061</v>
      </c>
      <c r="V591" s="56" t="s">
        <v>3061</v>
      </c>
      <c r="W591" s="7"/>
      <c r="X591"/>
    </row>
    <row r="592" spans="1:24" x14ac:dyDescent="0.25">
      <c r="A592" s="26">
        <v>160</v>
      </c>
      <c r="B592" s="1">
        <f>IFERROR(VLOOKUP(ТабПозиции[[#This Row],[orderNum]],ТабЗаказы[#Data],MATCH(B$7,ТабЗаказы[#Headers],0),0),"")</f>
        <v>45474</v>
      </c>
      <c r="C592" t="str">
        <f>MONTH(ТабПозиции[[#This Row],[date]])&amp;"/"&amp;YEAR(ТабПозиции[[#This Row],[date]])</f>
        <v>7/2024</v>
      </c>
      <c r="D592" s="1" t="str">
        <f>IFERROR(VLOOKUP(ТабПозиции[[#This Row],[orderNum]],ТабЗаказы[#Data],MATCH(D$7,ТабЗаказы[#Headers],0),0),"")</f>
        <v>Лариса Кирова</v>
      </c>
      <c r="E592" s="32" t="s">
        <v>1087</v>
      </c>
      <c r="F592" s="56" t="s">
        <v>3061</v>
      </c>
      <c r="H592" s="34">
        <v>45476</v>
      </c>
      <c r="I592" s="26">
        <v>1</v>
      </c>
      <c r="J592" s="26">
        <v>623</v>
      </c>
      <c r="K592">
        <v>623</v>
      </c>
      <c r="L592" s="26">
        <v>656</v>
      </c>
      <c r="M592">
        <f t="shared" si="10"/>
        <v>656</v>
      </c>
      <c r="O59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Row],[orderNum]],ТабПозиции[orderSumm])&gt;1500),ABS(M592*VLOOKUP(ТабПозиции[[#This Row],[orderNum]],ТабЗаказы[#Data],MATCH("Percent",ТабЗаказы[#Headers],0),0))/100,200/COUNTIF(ТабПозиции[orderNum],ТабПозиции[[#This Row],[orderNum]])),0),"")</f>
        <v>98</v>
      </c>
      <c r="P592">
        <f>IF(OR(ТабПозиции[[#This Row],[item]]="По штрихкоду",ТабПозиции[[#This Row],[item]]="Посылка"),ТабПозиции[[#This Row],[deliverySumm]]+ТабПозиции[[#This Row],[deliveryPost]],SUM(M592:O592))</f>
        <v>754</v>
      </c>
      <c r="Q592" s="57">
        <v>754</v>
      </c>
      <c r="R592" s="62">
        <f>ТабПозиции[[#This Row],[totalSumm]]-ТабПозиции[[#This Row],[payment]]</f>
        <v>0</v>
      </c>
      <c r="S592" s="34" t="s">
        <v>965</v>
      </c>
      <c r="T592" s="56" t="s">
        <v>3061</v>
      </c>
      <c r="U592" s="56" t="s">
        <v>3061</v>
      </c>
      <c r="V592" s="56" t="s">
        <v>3061</v>
      </c>
      <c r="W592" s="7"/>
      <c r="X592"/>
    </row>
    <row r="593" spans="1:24" x14ac:dyDescent="0.25">
      <c r="A593" s="26">
        <v>160</v>
      </c>
      <c r="B593" s="1">
        <f>IFERROR(VLOOKUP(ТабПозиции[[#This Row],[orderNum]],ТабЗаказы[#Data],MATCH(B$7,ТабЗаказы[#Headers],0),0),"")</f>
        <v>45474</v>
      </c>
      <c r="C593" t="str">
        <f>MONTH(ТабПозиции[[#This Row],[date]])&amp;"/"&amp;YEAR(ТабПозиции[[#This Row],[date]])</f>
        <v>7/2024</v>
      </c>
      <c r="D593" s="1" t="str">
        <f>IFERROR(VLOOKUP(ТабПозиции[[#This Row],[orderNum]],ТабЗаказы[#Data],MATCH(D$7,ТабЗаказы[#Headers],0),0),"")</f>
        <v>Лариса Кирова</v>
      </c>
      <c r="E593" s="32" t="s">
        <v>1088</v>
      </c>
      <c r="F593" s="56" t="s">
        <v>3061</v>
      </c>
      <c r="H593" s="34">
        <v>45477</v>
      </c>
      <c r="I593" s="26">
        <v>1</v>
      </c>
      <c r="J593" s="26">
        <v>1026</v>
      </c>
      <c r="K593">
        <v>1026</v>
      </c>
      <c r="L593" s="26">
        <v>1140</v>
      </c>
      <c r="M593">
        <f t="shared" si="10"/>
        <v>1140</v>
      </c>
      <c r="O59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Row],[orderNum]],ТабПозиции[orderSumm])&gt;1500),ABS(M593*VLOOKUP(ТабПозиции[[#This Row],[orderNum]],ТабЗаказы[#Data],MATCH("Percent",ТабЗаказы[#Headers],0),0))/100,200/COUNTIF(ТабПозиции[orderNum],ТабПозиции[[#This Row],[orderNum]])),0),"")</f>
        <v>171</v>
      </c>
      <c r="P593">
        <f>IF(OR(ТабПозиции[[#This Row],[item]]="По штрихкоду",ТабПозиции[[#This Row],[item]]="Посылка"),ТабПозиции[[#This Row],[deliverySumm]]+ТабПозиции[[#This Row],[deliveryPost]],SUM(M593:O593))</f>
        <v>1311</v>
      </c>
      <c r="Q593" s="57">
        <v>1311</v>
      </c>
      <c r="R593" s="62">
        <f>ТабПозиции[[#This Row],[totalSumm]]-ТабПозиции[[#This Row],[payment]]</f>
        <v>0</v>
      </c>
      <c r="S593" s="34" t="s">
        <v>955</v>
      </c>
      <c r="T593" s="56" t="s">
        <v>3061</v>
      </c>
      <c r="U593" s="56" t="s">
        <v>3061</v>
      </c>
      <c r="V593" s="56" t="s">
        <v>3061</v>
      </c>
      <c r="W593" s="7"/>
      <c r="X593"/>
    </row>
    <row r="594" spans="1:24" x14ac:dyDescent="0.25">
      <c r="A594" s="26">
        <v>161</v>
      </c>
      <c r="B594" s="1">
        <f>IFERROR(VLOOKUP(ТабПозиции[[#This Row],[orderNum]],ТабЗаказы[#Data],MATCH(B$7,ТабЗаказы[#Headers],0),0),"")</f>
        <v>45475</v>
      </c>
      <c r="C594" t="str">
        <f>MONTH(ТабПозиции[[#This Row],[date]])&amp;"/"&amp;YEAR(ТабПозиции[[#This Row],[date]])</f>
        <v>7/2024</v>
      </c>
      <c r="D594" s="1" t="str">
        <f>IFERROR(VLOOKUP(ТабПозиции[[#This Row],[orderNum]],ТабЗаказы[#Data],MATCH(D$7,ТабЗаказы[#Headers],0),0),"")</f>
        <v>алекса фиери</v>
      </c>
      <c r="E594" s="32" t="s">
        <v>1089</v>
      </c>
      <c r="F594" s="56" t="s">
        <v>3061</v>
      </c>
      <c r="H594" s="34">
        <v>45476</v>
      </c>
      <c r="I594" s="26">
        <v>1</v>
      </c>
      <c r="J594" s="26">
        <v>11222</v>
      </c>
      <c r="K594">
        <v>11222</v>
      </c>
      <c r="L594" s="26">
        <v>12326</v>
      </c>
      <c r="M594">
        <f t="shared" si="10"/>
        <v>12326</v>
      </c>
      <c r="O59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Row],[orderNum]],ТабПозиции[orderSumm])&gt;1500),ABS(M594*VLOOKUP(ТабПозиции[[#This Row],[orderNum]],ТабЗаказы[#Data],MATCH("Percent",ТабЗаказы[#Headers],0),0))/100,200/COUNTIF(ТабПозиции[orderNum],ТабПозиции[[#This Row],[orderNum]])),0),"")</f>
        <v>1233</v>
      </c>
      <c r="P594">
        <f>IF(OR(ТабПозиции[[#This Row],[item]]="По штрихкоду",ТабПозиции[[#This Row],[item]]="Посылка"),ТабПозиции[[#This Row],[deliverySumm]]+ТабПозиции[[#This Row],[deliveryPost]],SUM(M594:O594))</f>
        <v>13559</v>
      </c>
      <c r="Q594" s="57">
        <v>13559</v>
      </c>
      <c r="R594" s="62">
        <f>ТабПозиции[[#This Row],[totalSumm]]-ТабПозиции[[#This Row],[payment]]</f>
        <v>0</v>
      </c>
      <c r="S594" s="34" t="s">
        <v>955</v>
      </c>
      <c r="T594" s="56" t="s">
        <v>3061</v>
      </c>
      <c r="U594" s="56" t="s">
        <v>3061</v>
      </c>
      <c r="V594" s="56" t="s">
        <v>3061</v>
      </c>
      <c r="W594" s="7"/>
      <c r="X594"/>
    </row>
    <row r="595" spans="1:24" x14ac:dyDescent="0.25">
      <c r="A595" s="26">
        <v>158</v>
      </c>
      <c r="B595" s="1">
        <f>IFERROR(VLOOKUP(ТабПозиции[[#This Row],[orderNum]],ТабЗаказы[#Data],MATCH(B$7,ТабЗаказы[#Headers],0),0),"")</f>
        <v>45473</v>
      </c>
      <c r="C595" t="str">
        <f>MONTH(ТабПозиции[[#This Row],[date]])&amp;"/"&amp;YEAR(ТабПозиции[[#This Row],[date]])</f>
        <v>6/2024</v>
      </c>
      <c r="D595" s="1" t="str">
        <f>IFERROR(VLOOKUP(ТабПозиции[[#This Row],[orderNum]],ТабЗаказы[#Data],MATCH(D$7,ТабЗаказы[#Headers],0),0),"")</f>
        <v>Елена Ларисына</v>
      </c>
      <c r="E595" s="32" t="s">
        <v>1090</v>
      </c>
      <c r="F595" s="56" t="s">
        <v>3061</v>
      </c>
      <c r="H595" s="34">
        <v>45479</v>
      </c>
      <c r="I595" s="26">
        <v>1</v>
      </c>
      <c r="J595" s="26">
        <v>370</v>
      </c>
      <c r="K595">
        <v>370</v>
      </c>
      <c r="L595" s="26">
        <v>411</v>
      </c>
      <c r="M595">
        <f t="shared" si="10"/>
        <v>411</v>
      </c>
      <c r="O59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Row],[orderNum]],ТабПозиции[orderSumm])&gt;1500),ABS(M595*VLOOKUP(ТабПозиции[[#This Row],[orderNum]],ТабЗаказы[#Data],MATCH("Percent",ТабЗаказы[#Headers],0),0))/100,200/COUNTIF(ТабПозиции[orderNum],ТабПозиции[[#This Row],[orderNum]])),0),"")</f>
        <v>62</v>
      </c>
      <c r="P595">
        <f>IF(OR(ТабПозиции[[#This Row],[item]]="По штрихкоду",ТабПозиции[[#This Row],[item]]="Посылка"),ТабПозиции[[#This Row],[deliverySumm]]+ТабПозиции[[#This Row],[deliveryPost]],SUM(M595:O595))</f>
        <v>473</v>
      </c>
      <c r="Q595" s="57">
        <v>473</v>
      </c>
      <c r="R595" s="62">
        <f>ТабПозиции[[#This Row],[totalSumm]]-ТабПозиции[[#This Row],[payment]]</f>
        <v>0</v>
      </c>
      <c r="S595" s="34" t="s">
        <v>955</v>
      </c>
      <c r="T595" s="56" t="s">
        <v>3061</v>
      </c>
      <c r="U595" s="56" t="s">
        <v>3061</v>
      </c>
      <c r="V595" s="56" t="s">
        <v>3061</v>
      </c>
      <c r="W595" s="7"/>
      <c r="X595"/>
    </row>
    <row r="596" spans="1:24" x14ac:dyDescent="0.25">
      <c r="A596" s="26">
        <v>162</v>
      </c>
      <c r="B596" s="1">
        <f>IFERROR(VLOOKUP(ТабПозиции[[#This Row],[orderNum]],ТабЗаказы[#Data],MATCH(B$7,ТабЗаказы[#Headers],0),0),"")</f>
        <v>45476</v>
      </c>
      <c r="C596" t="str">
        <f>MONTH(ТабПозиции[[#This Row],[date]])&amp;"/"&amp;YEAR(ТабПозиции[[#This Row],[date]])</f>
        <v>7/2024</v>
      </c>
      <c r="D596" s="1" t="str">
        <f>IFERROR(VLOOKUP(ТабПозиции[[#This Row],[orderNum]],ТабЗаказы[#Data],MATCH(D$7,ТабЗаказы[#Headers],0),0),"")</f>
        <v>Юля Ларисына</v>
      </c>
      <c r="E596" s="32" t="s">
        <v>691</v>
      </c>
      <c r="F596" s="56" t="s">
        <v>3061</v>
      </c>
      <c r="H596" s="34">
        <v>45490</v>
      </c>
      <c r="I596" s="26">
        <v>1</v>
      </c>
      <c r="J596" s="26">
        <v>285</v>
      </c>
      <c r="K596">
        <v>285</v>
      </c>
      <c r="L596" s="26">
        <v>300</v>
      </c>
      <c r="M596">
        <f t="shared" si="10"/>
        <v>300</v>
      </c>
      <c r="O59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Row],[orderNum]],ТабПозиции[orderSumm])&gt;1500),ABS(M596*VLOOKUP(ТабПозиции[[#This Row],[orderNum]],ТабЗаказы[#Data],MATCH("Percent",ТабЗаказы[#Headers],0),0))/100,200/COUNTIF(ТабПозиции[orderNum],ТабПозиции[[#This Row],[orderNum]])),0),"")</f>
        <v>45</v>
      </c>
      <c r="P596">
        <f>IF(OR(ТабПозиции[[#This Row],[item]]="По штрихкоду",ТабПозиции[[#This Row],[item]]="Посылка"),ТабПозиции[[#This Row],[deliverySumm]]+ТабПозиции[[#This Row],[deliveryPost]],SUM(M596:O596))</f>
        <v>345</v>
      </c>
      <c r="Q596" s="57">
        <v>345</v>
      </c>
      <c r="R596" s="62">
        <f>ТабПозиции[[#This Row],[totalSumm]]-ТабПозиции[[#This Row],[payment]]</f>
        <v>0</v>
      </c>
      <c r="S596" s="34" t="s">
        <v>965</v>
      </c>
      <c r="T596" s="56" t="s">
        <v>3061</v>
      </c>
      <c r="U596" s="56" t="s">
        <v>3061</v>
      </c>
      <c r="V596" s="56" t="s">
        <v>3061</v>
      </c>
      <c r="W596" s="7"/>
      <c r="X596"/>
    </row>
    <row r="597" spans="1:24" x14ac:dyDescent="0.25">
      <c r="A597" s="26">
        <v>162</v>
      </c>
      <c r="B597" s="1">
        <f>IFERROR(VLOOKUP(ТабПозиции[[#This Row],[orderNum]],ТабЗаказы[#Data],MATCH(B$7,ТабЗаказы[#Headers],0),0),"")</f>
        <v>45476</v>
      </c>
      <c r="C597" t="str">
        <f>MONTH(ТабПозиции[[#This Row],[date]])&amp;"/"&amp;YEAR(ТабПозиции[[#This Row],[date]])</f>
        <v>7/2024</v>
      </c>
      <c r="D597" s="1" t="str">
        <f>IFERROR(VLOOKUP(ТабПозиции[[#This Row],[orderNum]],ТабЗаказы[#Data],MATCH(D$7,ТабЗаказы[#Headers],0),0),"")</f>
        <v>Юля Ларисына</v>
      </c>
      <c r="E597" s="32" t="s">
        <v>722</v>
      </c>
      <c r="F597" s="56" t="s">
        <v>3061</v>
      </c>
      <c r="H597" s="34">
        <v>45478</v>
      </c>
      <c r="I597" s="26">
        <v>1</v>
      </c>
      <c r="J597" s="26">
        <v>966</v>
      </c>
      <c r="K597">
        <v>966</v>
      </c>
      <c r="L597" s="26">
        <v>1017</v>
      </c>
      <c r="M597">
        <f t="shared" si="10"/>
        <v>1017</v>
      </c>
      <c r="O59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Row],[orderNum]],ТабПозиции[orderSumm])&gt;1500),ABS(M597*VLOOKUP(ТабПозиции[[#This Row],[orderNum]],ТабЗаказы[#Data],MATCH("Percent",ТабЗаказы[#Headers],0),0))/100,200/COUNTIF(ТабПозиции[orderNum],ТабПозиции[[#This Row],[orderNum]])),0),"")</f>
        <v>153</v>
      </c>
      <c r="P597">
        <f>IF(OR(ТабПозиции[[#This Row],[item]]="По штрихкоду",ТабПозиции[[#This Row],[item]]="Посылка"),ТабПозиции[[#This Row],[deliverySumm]]+ТабПозиции[[#This Row],[deliveryPost]],SUM(M597:O597))</f>
        <v>1170</v>
      </c>
      <c r="Q597" s="57">
        <v>1170</v>
      </c>
      <c r="R597" s="62">
        <f>ТабПозиции[[#This Row],[totalSumm]]-ТабПозиции[[#This Row],[payment]]</f>
        <v>0</v>
      </c>
      <c r="S597" s="34" t="s">
        <v>965</v>
      </c>
      <c r="T597" s="56" t="s">
        <v>3061</v>
      </c>
      <c r="U597" s="56" t="s">
        <v>3061</v>
      </c>
      <c r="V597" s="56" t="s">
        <v>3061</v>
      </c>
      <c r="W597" s="7"/>
      <c r="X597"/>
    </row>
    <row r="598" spans="1:24" x14ac:dyDescent="0.25">
      <c r="A598" s="26">
        <v>162</v>
      </c>
      <c r="B598" s="1">
        <f>IFERROR(VLOOKUP(ТабПозиции[[#This Row],[orderNum]],ТабЗаказы[#Data],MATCH(B$7,ТабЗаказы[#Headers],0),0),"")</f>
        <v>45476</v>
      </c>
      <c r="C598" t="str">
        <f>MONTH(ТабПозиции[[#This Row],[date]])&amp;"/"&amp;YEAR(ТабПозиции[[#This Row],[date]])</f>
        <v>7/2024</v>
      </c>
      <c r="D598" s="1" t="str">
        <f>IFERROR(VLOOKUP(ТабПозиции[[#This Row],[orderNum]],ТабЗаказы[#Data],MATCH(D$7,ТабЗаказы[#Headers],0),0),"")</f>
        <v>Юля Ларисына</v>
      </c>
      <c r="E598" s="32" t="s">
        <v>1091</v>
      </c>
      <c r="F598" s="56" t="s">
        <v>3061</v>
      </c>
      <c r="H598" s="34">
        <v>45482</v>
      </c>
      <c r="I598" s="26">
        <v>1</v>
      </c>
      <c r="J598" s="26">
        <v>272</v>
      </c>
      <c r="K598">
        <v>272</v>
      </c>
      <c r="L598" s="26">
        <v>287</v>
      </c>
      <c r="M598">
        <f t="shared" si="10"/>
        <v>287</v>
      </c>
      <c r="O59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Row],[orderNum]],ТабПозиции[orderSumm])&gt;1500),ABS(M598*VLOOKUP(ТабПозиции[[#This Row],[orderNum]],ТабЗаказы[#Data],MATCH("Percent",ТабЗаказы[#Headers],0),0))/100,200/COUNTIF(ТабПозиции[orderNum],ТабПозиции[[#This Row],[orderNum]])),0),"")</f>
        <v>43</v>
      </c>
      <c r="P598">
        <f>IF(OR(ТабПозиции[[#This Row],[item]]="По штрихкоду",ТабПозиции[[#This Row],[item]]="Посылка"),ТабПозиции[[#This Row],[deliverySumm]]+ТабПозиции[[#This Row],[deliveryPost]],SUM(M598:O598))</f>
        <v>330</v>
      </c>
      <c r="Q598" s="57">
        <v>330</v>
      </c>
      <c r="R598" s="62">
        <f>ТабПозиции[[#This Row],[totalSumm]]-ТабПозиции[[#This Row],[payment]]</f>
        <v>0</v>
      </c>
      <c r="S598" s="34" t="s">
        <v>965</v>
      </c>
      <c r="T598" s="56" t="s">
        <v>3061</v>
      </c>
      <c r="U598" s="56" t="s">
        <v>3061</v>
      </c>
      <c r="V598" s="56" t="s">
        <v>3061</v>
      </c>
      <c r="W598" s="7"/>
      <c r="X598"/>
    </row>
    <row r="599" spans="1:24" x14ac:dyDescent="0.25">
      <c r="A599" s="26">
        <v>162</v>
      </c>
      <c r="B599" s="1">
        <f>IFERROR(VLOOKUP(ТабПозиции[[#This Row],[orderNum]],ТабЗаказы[#Data],MATCH(B$7,ТабЗаказы[#Headers],0),0),"")</f>
        <v>45476</v>
      </c>
      <c r="C599" t="str">
        <f>MONTH(ТабПозиции[[#This Row],[date]])&amp;"/"&amp;YEAR(ТабПозиции[[#This Row],[date]])</f>
        <v>7/2024</v>
      </c>
      <c r="D599" s="1" t="str">
        <f>IFERROR(VLOOKUP(ТабПозиции[[#This Row],[orderNum]],ТабЗаказы[#Data],MATCH(D$7,ТабЗаказы[#Headers],0),0),"")</f>
        <v>Юля Ларисына</v>
      </c>
      <c r="E599" s="32" t="s">
        <v>1092</v>
      </c>
      <c r="F599" s="56" t="s">
        <v>3061</v>
      </c>
      <c r="H599" s="34">
        <v>45479</v>
      </c>
      <c r="I599" s="26">
        <v>1</v>
      </c>
      <c r="J599" s="26">
        <v>345</v>
      </c>
      <c r="K599">
        <v>345</v>
      </c>
      <c r="L599" s="26">
        <v>364</v>
      </c>
      <c r="M599">
        <f t="shared" si="10"/>
        <v>364</v>
      </c>
      <c r="O59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Row],[orderNum]],ТабПозиции[orderSumm])&gt;1500),ABS(M599*VLOOKUP(ТабПозиции[[#This Row],[orderNum]],ТабЗаказы[#Data],MATCH("Percent",ТабЗаказы[#Headers],0),0))/100,200/COUNTIF(ТабПозиции[orderNum],ТабПозиции[[#This Row],[orderNum]])),0),"")</f>
        <v>55</v>
      </c>
      <c r="P599">
        <f>IF(OR(ТабПозиции[[#This Row],[item]]="По штрихкоду",ТабПозиции[[#This Row],[item]]="Посылка"),ТабПозиции[[#This Row],[deliverySumm]]+ТабПозиции[[#This Row],[deliveryPost]],SUM(M599:O599))</f>
        <v>419</v>
      </c>
      <c r="Q599" s="57">
        <v>419</v>
      </c>
      <c r="R599" s="62">
        <f>ТабПозиции[[#This Row],[totalSumm]]-ТабПозиции[[#This Row],[payment]]</f>
        <v>0</v>
      </c>
      <c r="S599" s="34" t="s">
        <v>965</v>
      </c>
      <c r="T599" s="56" t="s">
        <v>3061</v>
      </c>
      <c r="U599" s="56" t="s">
        <v>3061</v>
      </c>
      <c r="V599" s="56" t="s">
        <v>3061</v>
      </c>
      <c r="W599" s="7"/>
      <c r="X599"/>
    </row>
    <row r="600" spans="1:24" x14ac:dyDescent="0.25">
      <c r="A600" s="26">
        <v>162</v>
      </c>
      <c r="B600" s="1">
        <f>IFERROR(VLOOKUP(ТабПозиции[[#This Row],[orderNum]],ТабЗаказы[#Data],MATCH(B$7,ТабЗаказы[#Headers],0),0),"")</f>
        <v>45476</v>
      </c>
      <c r="C600" t="str">
        <f>MONTH(ТабПозиции[[#This Row],[date]])&amp;"/"&amp;YEAR(ТабПозиции[[#This Row],[date]])</f>
        <v>7/2024</v>
      </c>
      <c r="D600" s="1" t="str">
        <f>IFERROR(VLOOKUP(ТабПозиции[[#This Row],[orderNum]],ТабЗаказы[#Data],MATCH(D$7,ТабЗаказы[#Headers],0),0),"")</f>
        <v>Юля Ларисына</v>
      </c>
      <c r="E600" s="32" t="s">
        <v>1093</v>
      </c>
      <c r="F600" s="56" t="s">
        <v>3061</v>
      </c>
      <c r="H600" s="34">
        <v>45478</v>
      </c>
      <c r="I600" s="26">
        <v>1</v>
      </c>
      <c r="J600" s="26">
        <v>559</v>
      </c>
      <c r="K600">
        <v>559</v>
      </c>
      <c r="L600" s="26">
        <v>589</v>
      </c>
      <c r="M600">
        <f t="shared" si="10"/>
        <v>589</v>
      </c>
      <c r="O60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Row],[orderNum]],ТабПозиции[orderSumm])&gt;1500),ABS(M600*VLOOKUP(ТабПозиции[[#This Row],[orderNum]],ТабЗаказы[#Data],MATCH("Percent",ТабЗаказы[#Headers],0),0))/100,200/COUNTIF(ТабПозиции[orderNum],ТабПозиции[[#This Row],[orderNum]])),0),"")</f>
        <v>88</v>
      </c>
      <c r="P600">
        <f>IF(OR(ТабПозиции[[#This Row],[item]]="По штрихкоду",ТабПозиции[[#This Row],[item]]="Посылка"),ТабПозиции[[#This Row],[deliverySumm]]+ТабПозиции[[#This Row],[deliveryPost]],SUM(M600:O600))</f>
        <v>677</v>
      </c>
      <c r="Q600" s="57">
        <v>677</v>
      </c>
      <c r="R600" s="62">
        <f>ТабПозиции[[#This Row],[totalSumm]]-ТабПозиции[[#This Row],[payment]]</f>
        <v>0</v>
      </c>
      <c r="S600" s="34" t="s">
        <v>965</v>
      </c>
      <c r="T600" s="56" t="s">
        <v>3061</v>
      </c>
      <c r="U600" s="56" t="s">
        <v>3061</v>
      </c>
      <c r="V600" s="56" t="s">
        <v>3061</v>
      </c>
      <c r="W600" s="7"/>
      <c r="X600"/>
    </row>
    <row r="601" spans="1:24" x14ac:dyDescent="0.25">
      <c r="A601" s="26">
        <v>163</v>
      </c>
      <c r="B601" s="1">
        <f>IFERROR(VLOOKUP(ТабПозиции[[#This Row],[orderNum]],ТабЗаказы[#Data],MATCH(B$7,ТабЗаказы[#Headers],0),0),"")</f>
        <v>45476</v>
      </c>
      <c r="C601" t="str">
        <f>MONTH(ТабПозиции[[#This Row],[date]])&amp;"/"&amp;YEAR(ТабПозиции[[#This Row],[date]])</f>
        <v>7/2024</v>
      </c>
      <c r="D601" s="1" t="str">
        <f>IFERROR(VLOOKUP(ТабПозиции[[#This Row],[orderNum]],ТабЗаказы[#Data],MATCH(D$7,ТабЗаказы[#Headers],0),0),"")</f>
        <v>Галина Агабекова(церковь)</v>
      </c>
      <c r="E601" s="32" t="s">
        <v>1094</v>
      </c>
      <c r="F601" s="56" t="s">
        <v>3061</v>
      </c>
      <c r="H601" s="34">
        <v>45483</v>
      </c>
      <c r="I601" s="26">
        <v>1</v>
      </c>
      <c r="J601" s="26">
        <v>197</v>
      </c>
      <c r="K601">
        <v>197</v>
      </c>
      <c r="L601" s="26">
        <v>201</v>
      </c>
      <c r="M601">
        <f t="shared" si="10"/>
        <v>201</v>
      </c>
      <c r="O60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Row],[orderNum]],ТабПозиции[orderSumm])&gt;1500),ABS(M601*VLOOKUP(ТабПозиции[[#This Row],[orderNum]],ТабЗаказы[#Data],MATCH("Percent",ТабЗаказы[#Headers],0),0))/100,200/COUNTIF(ТабПозиции[orderNum],ТабПозиции[[#This Row],[orderNum]])),0),"")</f>
        <v>30</v>
      </c>
      <c r="P601">
        <f>IF(OR(ТабПозиции[[#This Row],[item]]="По штрихкоду",ТабПозиции[[#This Row],[item]]="Посылка"),ТабПозиции[[#This Row],[deliverySumm]]+ТабПозиции[[#This Row],[deliveryPost]],SUM(M601:O601))</f>
        <v>231</v>
      </c>
      <c r="Q601" s="57">
        <v>231</v>
      </c>
      <c r="R601" s="62">
        <f>ТабПозиции[[#This Row],[totalSumm]]-ТабПозиции[[#This Row],[payment]]</f>
        <v>0</v>
      </c>
      <c r="S601" s="34" t="s">
        <v>955</v>
      </c>
      <c r="T601" s="56" t="s">
        <v>3061</v>
      </c>
      <c r="U601" s="56" t="s">
        <v>3061</v>
      </c>
      <c r="V601" s="56" t="s">
        <v>3061</v>
      </c>
      <c r="W601" s="7"/>
      <c r="X601"/>
    </row>
    <row r="602" spans="1:24" x14ac:dyDescent="0.25">
      <c r="A602" s="26">
        <v>163</v>
      </c>
      <c r="B602" s="1">
        <f>IFERROR(VLOOKUP(ТабПозиции[[#This Row],[orderNum]],ТабЗаказы[#Data],MATCH(B$7,ТабЗаказы[#Headers],0),0),"")</f>
        <v>45476</v>
      </c>
      <c r="C602" t="str">
        <f>MONTH(ТабПозиции[[#This Row],[date]])&amp;"/"&amp;YEAR(ТабПозиции[[#This Row],[date]])</f>
        <v>7/2024</v>
      </c>
      <c r="D602" s="1" t="str">
        <f>IFERROR(VLOOKUP(ТабПозиции[[#This Row],[orderNum]],ТабЗаказы[#Data],MATCH(D$7,ТабЗаказы[#Headers],0),0),"")</f>
        <v>Галина Агабекова(церковь)</v>
      </c>
      <c r="E602" s="32" t="s">
        <v>1095</v>
      </c>
      <c r="F602" s="56" t="s">
        <v>3061</v>
      </c>
      <c r="H602" s="34">
        <v>45480</v>
      </c>
      <c r="I602" s="26">
        <v>1</v>
      </c>
      <c r="J602" s="26">
        <v>636</v>
      </c>
      <c r="K602">
        <v>636</v>
      </c>
      <c r="L602" s="26">
        <v>670</v>
      </c>
      <c r="M602">
        <f t="shared" si="10"/>
        <v>670</v>
      </c>
      <c r="O60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Row],[orderNum]],ТабПозиции[orderSumm])&gt;1500),ABS(M602*VLOOKUP(ТабПозиции[[#This Row],[orderNum]],ТабЗаказы[#Data],MATCH("Percent",ТабЗаказы[#Headers],0),0))/100,200/COUNTIF(ТабПозиции[orderNum],ТабПозиции[[#This Row],[orderNum]])),0),"")</f>
        <v>101</v>
      </c>
      <c r="P602">
        <f>IF(OR(ТабПозиции[[#This Row],[item]]="По штрихкоду",ТабПозиции[[#This Row],[item]]="Посылка"),ТабПозиции[[#This Row],[deliverySumm]]+ТабПозиции[[#This Row],[deliveryPost]],SUM(M602:O602))</f>
        <v>771</v>
      </c>
      <c r="Q602" s="57">
        <v>771</v>
      </c>
      <c r="R602" s="62">
        <f>ТабПозиции[[#This Row],[totalSumm]]-ТабПозиции[[#This Row],[payment]]</f>
        <v>0</v>
      </c>
      <c r="S602" s="34" t="s">
        <v>965</v>
      </c>
      <c r="T602" s="56" t="s">
        <v>3061</v>
      </c>
      <c r="U602" s="56" t="s">
        <v>3061</v>
      </c>
      <c r="V602" s="56" t="s">
        <v>3061</v>
      </c>
      <c r="W602" s="7"/>
      <c r="X602"/>
    </row>
    <row r="603" spans="1:24" x14ac:dyDescent="0.25">
      <c r="A603" s="26">
        <v>163</v>
      </c>
      <c r="B603" s="1">
        <f>IFERROR(VLOOKUP(ТабПозиции[[#This Row],[orderNum]],ТабЗаказы[#Data],MATCH(B$7,ТабЗаказы[#Headers],0),0),"")</f>
        <v>45476</v>
      </c>
      <c r="C603" t="str">
        <f>MONTH(ТабПозиции[[#This Row],[date]])&amp;"/"&amp;YEAR(ТабПозиции[[#This Row],[date]])</f>
        <v>7/2024</v>
      </c>
      <c r="D603" s="1" t="str">
        <f>IFERROR(VLOOKUP(ТабПозиции[[#This Row],[orderNum]],ТабЗаказы[#Data],MATCH(D$7,ТабЗаказы[#Headers],0),0),"")</f>
        <v>Галина Агабекова(церковь)</v>
      </c>
      <c r="E603" s="32" t="s">
        <v>1096</v>
      </c>
      <c r="F603" s="56" t="s">
        <v>3061</v>
      </c>
      <c r="H603" s="34">
        <v>45483</v>
      </c>
      <c r="I603" s="26">
        <v>1</v>
      </c>
      <c r="J603" s="26">
        <v>461</v>
      </c>
      <c r="K603">
        <v>461</v>
      </c>
      <c r="L603" s="26">
        <v>512</v>
      </c>
      <c r="M603">
        <f t="shared" si="10"/>
        <v>512</v>
      </c>
      <c r="O60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Row],[orderNum]],ТабПозиции[orderSumm])&gt;1500),ABS(M603*VLOOKUP(ТабПозиции[[#This Row],[orderNum]],ТабЗаказы[#Data],MATCH("Percent",ТабЗаказы[#Headers],0),0))/100,200/COUNTIF(ТабПозиции[orderNum],ТабПозиции[[#This Row],[orderNum]])),0),"")</f>
        <v>77</v>
      </c>
      <c r="P603">
        <f>IF(OR(ТабПозиции[[#This Row],[item]]="По штрихкоду",ТабПозиции[[#This Row],[item]]="Посылка"),ТабПозиции[[#This Row],[deliverySumm]]+ТабПозиции[[#This Row],[deliveryPost]],SUM(M603:O603))</f>
        <v>589</v>
      </c>
      <c r="Q603" s="57">
        <v>589</v>
      </c>
      <c r="R603" s="62">
        <f>ТабПозиции[[#This Row],[totalSumm]]-ТабПозиции[[#This Row],[payment]]</f>
        <v>0</v>
      </c>
      <c r="S603" s="34" t="s">
        <v>955</v>
      </c>
      <c r="T603" s="56" t="s">
        <v>3061</v>
      </c>
      <c r="U603" s="56" t="s">
        <v>3061</v>
      </c>
      <c r="V603" s="56" t="s">
        <v>3061</v>
      </c>
      <c r="W603" s="7"/>
      <c r="X603"/>
    </row>
    <row r="604" spans="1:24" x14ac:dyDescent="0.25">
      <c r="A604" s="26">
        <v>160</v>
      </c>
      <c r="B604" s="1">
        <f>IFERROR(VLOOKUP(ТабПозиции[[#This Row],[orderNum]],ТабЗаказы[#Data],MATCH(B$7,ТабЗаказы[#Headers],0),0),"")</f>
        <v>45474</v>
      </c>
      <c r="C604" t="str">
        <f>MONTH(ТабПозиции[[#This Row],[date]])&amp;"/"&amp;YEAR(ТабПозиции[[#This Row],[date]])</f>
        <v>7/2024</v>
      </c>
      <c r="D604" s="1" t="str">
        <f>IFERROR(VLOOKUP(ТабПозиции[[#This Row],[orderNum]],ТабЗаказы[#Data],MATCH(D$7,ТабЗаказы[#Headers],0),0),"")</f>
        <v>Лариса Кирова</v>
      </c>
      <c r="E604" s="32" t="s">
        <v>1097</v>
      </c>
      <c r="F604" s="56" t="s">
        <v>3061</v>
      </c>
      <c r="H604" s="34">
        <v>45479</v>
      </c>
      <c r="I604" s="26">
        <v>1</v>
      </c>
      <c r="J604" s="26">
        <v>166</v>
      </c>
      <c r="K604">
        <v>166</v>
      </c>
      <c r="L604" s="26">
        <v>169</v>
      </c>
      <c r="M604">
        <f t="shared" si="10"/>
        <v>169</v>
      </c>
      <c r="O60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Row],[orderNum]],ТабПозиции[orderSumm])&gt;1500),ABS(M604*VLOOKUP(ТабПозиции[[#This Row],[orderNum]],ТабЗаказы[#Data],MATCH("Percent",ТабЗаказы[#Headers],0),0))/100,200/COUNTIF(ТабПозиции[orderNum],ТабПозиции[[#This Row],[orderNum]])),0),"")</f>
        <v>25</v>
      </c>
      <c r="P604">
        <f>IF(OR(ТабПозиции[[#This Row],[item]]="По штрихкоду",ТабПозиции[[#This Row],[item]]="Посылка"),ТабПозиции[[#This Row],[deliverySumm]]+ТабПозиции[[#This Row],[deliveryPost]],SUM(M604:O604))</f>
        <v>194</v>
      </c>
      <c r="Q604" s="57">
        <v>194</v>
      </c>
      <c r="R604" s="62">
        <f>ТабПозиции[[#This Row],[totalSumm]]-ТабПозиции[[#This Row],[payment]]</f>
        <v>0</v>
      </c>
      <c r="S604" s="34" t="s">
        <v>955</v>
      </c>
      <c r="T604" s="56" t="s">
        <v>3061</v>
      </c>
      <c r="U604" s="56" t="s">
        <v>3061</v>
      </c>
      <c r="V604" s="56" t="s">
        <v>3061</v>
      </c>
      <c r="W604" s="7"/>
      <c r="X604"/>
    </row>
    <row r="605" spans="1:24" x14ac:dyDescent="0.25">
      <c r="A605" s="26">
        <v>160</v>
      </c>
      <c r="B605" s="1">
        <f>IFERROR(VLOOKUP(ТабПозиции[[#This Row],[orderNum]],ТабЗаказы[#Data],MATCH(B$7,ТабЗаказы[#Headers],0),0),"")</f>
        <v>45474</v>
      </c>
      <c r="C605" t="str">
        <f>MONTH(ТабПозиции[[#This Row],[date]])&amp;"/"&amp;YEAR(ТабПозиции[[#This Row],[date]])</f>
        <v>7/2024</v>
      </c>
      <c r="D605" s="1" t="str">
        <f>IFERROR(VLOOKUP(ТабПозиции[[#This Row],[orderNum]],ТабЗаказы[#Data],MATCH(D$7,ТабЗаказы[#Headers],0),0),"")</f>
        <v>Лариса Кирова</v>
      </c>
      <c r="E605" s="32" t="s">
        <v>1098</v>
      </c>
      <c r="F605" s="56" t="s">
        <v>3061</v>
      </c>
      <c r="H605" s="34">
        <v>45483</v>
      </c>
      <c r="I605" s="26">
        <v>1</v>
      </c>
      <c r="J605" s="26">
        <v>533</v>
      </c>
      <c r="K605">
        <v>533</v>
      </c>
      <c r="L605" s="26">
        <v>583</v>
      </c>
      <c r="M605">
        <f t="shared" si="10"/>
        <v>583</v>
      </c>
      <c r="O60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Row],[orderNum]],ТабПозиции[orderSumm])&gt;1500),ABS(M605*VLOOKUP(ТабПозиции[[#This Row],[orderNum]],ТабЗаказы[#Data],MATCH("Percent",ТабЗаказы[#Headers],0),0))/100,200/COUNTIF(ТабПозиции[orderNum],ТабПозиции[[#This Row],[orderNum]])),0),"")</f>
        <v>87</v>
      </c>
      <c r="P605">
        <f>IF(OR(ТабПозиции[[#This Row],[item]]="По штрихкоду",ТабПозиции[[#This Row],[item]]="Посылка"),ТабПозиции[[#This Row],[deliverySumm]]+ТабПозиции[[#This Row],[deliveryPost]],SUM(M605:O605))</f>
        <v>670</v>
      </c>
      <c r="Q605" s="57">
        <v>670</v>
      </c>
      <c r="R605" s="62">
        <f>ТабПозиции[[#This Row],[totalSumm]]-ТабПозиции[[#This Row],[payment]]</f>
        <v>0</v>
      </c>
      <c r="S605" s="34" t="s">
        <v>965</v>
      </c>
      <c r="T605" s="56" t="s">
        <v>3061</v>
      </c>
      <c r="U605" s="56" t="s">
        <v>3061</v>
      </c>
      <c r="V605" s="56" t="s">
        <v>3061</v>
      </c>
      <c r="W605" s="7"/>
      <c r="X605"/>
    </row>
    <row r="606" spans="1:24" x14ac:dyDescent="0.25">
      <c r="A606" s="26">
        <v>160</v>
      </c>
      <c r="B606" s="1">
        <f>IFERROR(VLOOKUP(ТабПозиции[[#This Row],[orderNum]],ТабЗаказы[#Data],MATCH(B$7,ТабЗаказы[#Headers],0),0),"")</f>
        <v>45474</v>
      </c>
      <c r="C606" t="str">
        <f>MONTH(ТабПозиции[[#This Row],[date]])&amp;"/"&amp;YEAR(ТабПозиции[[#This Row],[date]])</f>
        <v>7/2024</v>
      </c>
      <c r="D606" s="1" t="str">
        <f>IFERROR(VLOOKUP(ТабПозиции[[#This Row],[orderNum]],ТабЗаказы[#Data],MATCH(D$7,ТабЗаказы[#Headers],0),0),"")</f>
        <v>Лариса Кирова</v>
      </c>
      <c r="E606" s="32" t="s">
        <v>1099</v>
      </c>
      <c r="F606" s="56" t="s">
        <v>3061</v>
      </c>
      <c r="H606" s="34">
        <v>45480</v>
      </c>
      <c r="I606" s="26">
        <v>1</v>
      </c>
      <c r="J606" s="26">
        <v>217</v>
      </c>
      <c r="K606">
        <v>217</v>
      </c>
      <c r="L606" s="26">
        <v>229</v>
      </c>
      <c r="M606">
        <f t="shared" si="10"/>
        <v>229</v>
      </c>
      <c r="O60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Row],[orderNum]],ТабПозиции[orderSumm])&gt;1500),ABS(M606*VLOOKUP(ТабПозиции[[#This Row],[orderNum]],ТабЗаказы[#Data],MATCH("Percent",ТабЗаказы[#Headers],0),0))/100,200/COUNTIF(ТабПозиции[orderNum],ТабПозиции[[#This Row],[orderNum]])),0),"")</f>
        <v>34</v>
      </c>
      <c r="P606">
        <f>IF(OR(ТабПозиции[[#This Row],[item]]="По штрихкоду",ТабПозиции[[#This Row],[item]]="Посылка"),ТабПозиции[[#This Row],[deliverySumm]]+ТабПозиции[[#This Row],[deliveryPost]],SUM(M606:O606))</f>
        <v>263</v>
      </c>
      <c r="Q606" s="57">
        <v>263</v>
      </c>
      <c r="R606" s="62">
        <f>ТабПозиции[[#This Row],[totalSumm]]-ТабПозиции[[#This Row],[payment]]</f>
        <v>0</v>
      </c>
      <c r="S606" s="34" t="s">
        <v>965</v>
      </c>
      <c r="T606" s="56" t="s">
        <v>3061</v>
      </c>
      <c r="U606" s="56" t="s">
        <v>3061</v>
      </c>
      <c r="V606" s="56" t="s">
        <v>3061</v>
      </c>
      <c r="W606" s="7"/>
      <c r="X606"/>
    </row>
    <row r="607" spans="1:24" x14ac:dyDescent="0.25">
      <c r="A607" s="26">
        <v>164</v>
      </c>
      <c r="B607" s="1">
        <f>IFERROR(VLOOKUP(ТабПозиции[[#This Row],[orderNum]],ТабЗаказы[#Data],MATCH(B$7,ТабЗаказы[#Headers],0),0),"")</f>
        <v>45478</v>
      </c>
      <c r="C607" t="str">
        <f>MONTH(ТабПозиции[[#This Row],[date]])&amp;"/"&amp;YEAR(ТабПозиции[[#This Row],[date]])</f>
        <v>7/2024</v>
      </c>
      <c r="D607" s="1" t="str">
        <f>IFERROR(VLOOKUP(ТабПозиции[[#This Row],[orderNum]],ТабЗаказы[#Data],MATCH(D$7,ТабЗаказы[#Headers],0),0),"")</f>
        <v>Лариса Кирова</v>
      </c>
      <c r="E607" s="32" t="s">
        <v>1100</v>
      </c>
      <c r="F607" s="56" t="s">
        <v>3061</v>
      </c>
      <c r="H607" s="34">
        <v>45480</v>
      </c>
      <c r="I607" s="26">
        <v>1</v>
      </c>
      <c r="J607" s="26">
        <v>136</v>
      </c>
      <c r="K607">
        <v>136</v>
      </c>
      <c r="L607" s="26">
        <v>144</v>
      </c>
      <c r="M607">
        <f t="shared" si="10"/>
        <v>144</v>
      </c>
      <c r="O60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Row],[orderNum]],ТабПозиции[orderSumm])&gt;1500),ABS(M607*VLOOKUP(ТабПозиции[[#This Row],[orderNum]],ТабЗаказы[#Data],MATCH("Percent",ТабЗаказы[#Headers],0),0))/100,200/COUNTIF(ТабПозиции[orderNum],ТабПозиции[[#This Row],[orderNum]])),0),"")</f>
        <v>67</v>
      </c>
      <c r="P607">
        <f>IF(OR(ТабПозиции[[#This Row],[item]]="По штрихкоду",ТабПозиции[[#This Row],[item]]="Посылка"),ТабПозиции[[#This Row],[deliverySumm]]+ТабПозиции[[#This Row],[deliveryPost]],SUM(M607:O607))</f>
        <v>211</v>
      </c>
      <c r="Q607" s="57">
        <v>211</v>
      </c>
      <c r="R607" s="62">
        <f>ТабПозиции[[#This Row],[totalSumm]]-ТабПозиции[[#This Row],[payment]]</f>
        <v>0</v>
      </c>
      <c r="S607" s="34" t="s">
        <v>965</v>
      </c>
      <c r="T607" s="56" t="s">
        <v>3061</v>
      </c>
      <c r="U607" s="56" t="s">
        <v>3061</v>
      </c>
      <c r="V607" s="56" t="s">
        <v>3061</v>
      </c>
      <c r="W607" s="7"/>
      <c r="X607"/>
    </row>
    <row r="608" spans="1:24" x14ac:dyDescent="0.25">
      <c r="A608" s="26">
        <v>164</v>
      </c>
      <c r="B608" s="1">
        <f>IFERROR(VLOOKUP(ТабПозиции[[#This Row],[orderNum]],ТабЗаказы[#Data],MATCH(B$7,ТабЗаказы[#Headers],0),0),"")</f>
        <v>45478</v>
      </c>
      <c r="C608" t="str">
        <f>MONTH(ТабПозиции[[#This Row],[date]])&amp;"/"&amp;YEAR(ТабПозиции[[#This Row],[date]])</f>
        <v>7/2024</v>
      </c>
      <c r="D608" s="1" t="str">
        <f>IFERROR(VLOOKUP(ТабПозиции[[#This Row],[orderNum]],ТабЗаказы[#Data],MATCH(D$7,ТабЗаказы[#Headers],0),0),"")</f>
        <v>Лариса Кирова</v>
      </c>
      <c r="E608" s="32" t="s">
        <v>1101</v>
      </c>
      <c r="F608" s="56" t="s">
        <v>3061</v>
      </c>
      <c r="H608" s="34">
        <v>45480</v>
      </c>
      <c r="I608" s="26">
        <v>1</v>
      </c>
      <c r="J608" s="26">
        <v>422</v>
      </c>
      <c r="K608">
        <v>422</v>
      </c>
      <c r="L608" s="26">
        <v>445</v>
      </c>
      <c r="M608">
        <f t="shared" si="10"/>
        <v>445</v>
      </c>
      <c r="O60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Row],[orderNum]],ТабПозиции[orderSumm])&gt;1500),ABS(M608*VLOOKUP(ТабПозиции[[#This Row],[orderNum]],ТабЗаказы[#Data],MATCH("Percent",ТабЗаказы[#Headers],0),0))/100,200/COUNTIF(ТабПозиции[orderNum],ТабПозиции[[#This Row],[orderNum]])),0),"")</f>
        <v>67</v>
      </c>
      <c r="P608">
        <f>IF(OR(ТабПозиции[[#This Row],[item]]="По штрихкоду",ТабПозиции[[#This Row],[item]]="Посылка"),ТабПозиции[[#This Row],[deliverySumm]]+ТабПозиции[[#This Row],[deliveryPost]],SUM(M608:O608))</f>
        <v>512</v>
      </c>
      <c r="Q608" s="57">
        <v>512</v>
      </c>
      <c r="R608" s="62">
        <f>ТабПозиции[[#This Row],[totalSumm]]-ТабПозиции[[#This Row],[payment]]</f>
        <v>0</v>
      </c>
      <c r="S608" s="34" t="s">
        <v>965</v>
      </c>
      <c r="T608" s="56" t="s">
        <v>3061</v>
      </c>
      <c r="U608" s="56" t="s">
        <v>3061</v>
      </c>
      <c r="V608" s="56" t="s">
        <v>3061</v>
      </c>
      <c r="W608" s="7"/>
      <c r="X608"/>
    </row>
    <row r="609" spans="1:24" x14ac:dyDescent="0.25">
      <c r="A609" s="26">
        <v>164</v>
      </c>
      <c r="B609" s="1">
        <f>IFERROR(VLOOKUP(ТабПозиции[[#This Row],[orderNum]],ТабЗаказы[#Data],MATCH(B$7,ТабЗаказы[#Headers],0),0),"")</f>
        <v>45478</v>
      </c>
      <c r="C609" t="str">
        <f>MONTH(ТабПозиции[[#This Row],[date]])&amp;"/"&amp;YEAR(ТабПозиции[[#This Row],[date]])</f>
        <v>7/2024</v>
      </c>
      <c r="D609" s="1" t="str">
        <f>IFERROR(VLOOKUP(ТабПозиции[[#This Row],[orderNum]],ТабЗаказы[#Data],MATCH(D$7,ТабЗаказы[#Headers],0),0),"")</f>
        <v>Лариса Кирова</v>
      </c>
      <c r="E609" s="32" t="s">
        <v>1102</v>
      </c>
      <c r="F609" s="56" t="s">
        <v>3061</v>
      </c>
      <c r="H609" s="34">
        <v>45480</v>
      </c>
      <c r="I609" s="26">
        <v>1</v>
      </c>
      <c r="J609" s="26">
        <v>438</v>
      </c>
      <c r="K609">
        <v>438</v>
      </c>
      <c r="L609" s="26">
        <v>447</v>
      </c>
      <c r="M609">
        <f t="shared" ref="M609:M672" si="11">L609*I609</f>
        <v>447</v>
      </c>
      <c r="O60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Row],[orderNum]],ТабПозиции[orderSumm])&gt;1500),ABS(M609*VLOOKUP(ТабПозиции[[#This Row],[orderNum]],ТабЗаказы[#Data],MATCH("Percent",ТабЗаказы[#Headers],0),0))/100,200/COUNTIF(ТабПозиции[orderNum],ТабПозиции[[#This Row],[orderNum]])),0),"")</f>
        <v>67</v>
      </c>
      <c r="P609">
        <f>IF(OR(ТабПозиции[[#This Row],[item]]="По штрихкоду",ТабПозиции[[#This Row],[item]]="Посылка"),ТабПозиции[[#This Row],[deliverySumm]]+ТабПозиции[[#This Row],[deliveryPost]],SUM(M609:O609))</f>
        <v>514</v>
      </c>
      <c r="Q609" s="57">
        <v>514</v>
      </c>
      <c r="R609" s="62">
        <f>ТабПозиции[[#This Row],[totalSumm]]-ТабПозиции[[#This Row],[payment]]</f>
        <v>0</v>
      </c>
      <c r="S609" s="34" t="s">
        <v>955</v>
      </c>
      <c r="T609" s="56" t="s">
        <v>3061</v>
      </c>
      <c r="U609" s="56" t="s">
        <v>3061</v>
      </c>
      <c r="V609" s="56" t="s">
        <v>3061</v>
      </c>
      <c r="W609" s="7"/>
      <c r="X609"/>
    </row>
    <row r="610" spans="1:24" x14ac:dyDescent="0.25">
      <c r="A610" s="26">
        <v>165</v>
      </c>
      <c r="B610" s="1">
        <f>IFERROR(VLOOKUP(ТабПозиции[[#This Row],[orderNum]],ТабЗаказы[#Data],MATCH(B$7,ТабЗаказы[#Headers],0),0),"")</f>
        <v>45478</v>
      </c>
      <c r="C610" t="str">
        <f>MONTH(ТабПозиции[[#This Row],[date]])&amp;"/"&amp;YEAR(ТабПозиции[[#This Row],[date]])</f>
        <v>7/2024</v>
      </c>
      <c r="D610" s="1" t="str">
        <f>IFERROR(VLOOKUP(ТабПозиции[[#This Row],[orderNum]],ТабЗаказы[#Data],MATCH(D$7,ТабЗаказы[#Headers],0),0),"")</f>
        <v>Елена Ларисына</v>
      </c>
      <c r="E610" s="32" t="s">
        <v>1103</v>
      </c>
      <c r="F610" s="56" t="s">
        <v>3061</v>
      </c>
      <c r="H610" s="34">
        <v>45486</v>
      </c>
      <c r="I610" s="26">
        <v>1</v>
      </c>
      <c r="J610" s="26">
        <v>1494</v>
      </c>
      <c r="K610">
        <v>1494</v>
      </c>
      <c r="L610" s="26">
        <v>1597</v>
      </c>
      <c r="M610">
        <f t="shared" si="11"/>
        <v>1597</v>
      </c>
      <c r="O61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Row],[orderNum]],ТабПозиции[orderSumm])&gt;1500),ABS(M610*VLOOKUP(ТабПозиции[[#This Row],[orderNum]],ТабЗаказы[#Data],MATCH("Percent",ТабЗаказы[#Headers],0),0))/100,200/COUNTIF(ТабПозиции[orderNum],ТабПозиции[[#This Row],[orderNum]])),0),"")</f>
        <v>240</v>
      </c>
      <c r="P610">
        <f>IF(OR(ТабПозиции[[#This Row],[item]]="По штрихкоду",ТабПозиции[[#This Row],[item]]="Посылка"),ТабПозиции[[#This Row],[deliverySumm]]+ТабПозиции[[#This Row],[deliveryPost]],SUM(M610:O610))</f>
        <v>1837</v>
      </c>
      <c r="Q610" s="57">
        <v>1837</v>
      </c>
      <c r="R610" s="62">
        <f>ТабПозиции[[#This Row],[totalSumm]]-ТабПозиции[[#This Row],[payment]]</f>
        <v>0</v>
      </c>
      <c r="S610" s="34" t="s">
        <v>955</v>
      </c>
      <c r="T610" s="56" t="s">
        <v>3061</v>
      </c>
      <c r="U610" s="56" t="s">
        <v>3061</v>
      </c>
      <c r="V610" s="56" t="s">
        <v>3061</v>
      </c>
      <c r="W610" s="7"/>
      <c r="X610"/>
    </row>
    <row r="611" spans="1:24" x14ac:dyDescent="0.25">
      <c r="A611" s="26">
        <v>165</v>
      </c>
      <c r="B611" s="1">
        <f>IFERROR(VLOOKUP(ТабПозиции[[#This Row],[orderNum]],ТабЗаказы[#Data],MATCH(B$7,ТабЗаказы[#Headers],0),0),"")</f>
        <v>45478</v>
      </c>
      <c r="C611" t="str">
        <f>MONTH(ТабПозиции[[#This Row],[date]])&amp;"/"&amp;YEAR(ТабПозиции[[#This Row],[date]])</f>
        <v>7/2024</v>
      </c>
      <c r="D611" s="1" t="str">
        <f>IFERROR(VLOOKUP(ТабПозиции[[#This Row],[orderNum]],ТабЗаказы[#Data],MATCH(D$7,ТабЗаказы[#Headers],0),0),"")</f>
        <v>Елена Ларисына</v>
      </c>
      <c r="E611" s="32" t="s">
        <v>1104</v>
      </c>
      <c r="F611" s="56" t="s">
        <v>3061</v>
      </c>
      <c r="H611" s="34">
        <v>45482</v>
      </c>
      <c r="I611" s="26">
        <v>1</v>
      </c>
      <c r="J611" s="26">
        <v>623</v>
      </c>
      <c r="K611">
        <v>623</v>
      </c>
      <c r="L611" s="26">
        <v>668</v>
      </c>
      <c r="M611">
        <f t="shared" si="11"/>
        <v>668</v>
      </c>
      <c r="O61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Row],[orderNum]],ТабПозиции[orderSumm])&gt;1500),ABS(M611*VLOOKUP(ТабПозиции[[#This Row],[orderNum]],ТабЗаказы[#Data],MATCH("Percent",ТабЗаказы[#Headers],0),0))/100,200/COUNTIF(ТабПозиции[orderNum],ТабПозиции[[#This Row],[orderNum]])),0),"")</f>
        <v>100</v>
      </c>
      <c r="P611">
        <f>IF(OR(ТабПозиции[[#This Row],[item]]="По штрихкоду",ТабПозиции[[#This Row],[item]]="Посылка"),ТабПозиции[[#This Row],[deliverySumm]]+ТабПозиции[[#This Row],[deliveryPost]],SUM(M611:O611))</f>
        <v>768</v>
      </c>
      <c r="Q611" s="57">
        <v>768</v>
      </c>
      <c r="R611" s="62">
        <f>ТабПозиции[[#This Row],[totalSumm]]-ТабПозиции[[#This Row],[payment]]</f>
        <v>0</v>
      </c>
      <c r="S611" s="34" t="s">
        <v>955</v>
      </c>
      <c r="T611" s="56" t="s">
        <v>3061</v>
      </c>
      <c r="U611" s="56" t="s">
        <v>3061</v>
      </c>
      <c r="V611" s="56" t="s">
        <v>3061</v>
      </c>
      <c r="W611" s="7"/>
      <c r="X611"/>
    </row>
    <row r="612" spans="1:24" x14ac:dyDescent="0.25">
      <c r="A612" s="26">
        <v>165</v>
      </c>
      <c r="B612" s="1">
        <f>IFERROR(VLOOKUP(ТабПозиции[[#This Row],[orderNum]],ТабЗаказы[#Data],MATCH(B$7,ТабЗаказы[#Headers],0),0),"")</f>
        <v>45478</v>
      </c>
      <c r="C612" t="str">
        <f>MONTH(ТабПозиции[[#This Row],[date]])&amp;"/"&amp;YEAR(ТабПозиции[[#This Row],[date]])</f>
        <v>7/2024</v>
      </c>
      <c r="D612" s="1" t="str">
        <f>IFERROR(VLOOKUP(ТабПозиции[[#This Row],[orderNum]],ТабЗаказы[#Data],MATCH(D$7,ТабЗаказы[#Headers],0),0),"")</f>
        <v>Елена Ларисына</v>
      </c>
      <c r="E612" s="32" t="s">
        <v>1105</v>
      </c>
      <c r="F612" s="56" t="s">
        <v>3061</v>
      </c>
      <c r="H612" s="34">
        <v>45480</v>
      </c>
      <c r="I612" s="26">
        <v>1</v>
      </c>
      <c r="J612" s="26">
        <v>1352</v>
      </c>
      <c r="K612">
        <v>1352</v>
      </c>
      <c r="L612" s="26">
        <v>1446</v>
      </c>
      <c r="M612">
        <f t="shared" si="11"/>
        <v>1446</v>
      </c>
      <c r="O61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Row],[orderNum]],ТабПозиции[orderSumm])&gt;1500),ABS(M612*VLOOKUP(ТабПозиции[[#This Row],[orderNum]],ТабЗаказы[#Data],MATCH("Percent",ТабЗаказы[#Headers],0),0))/100,200/COUNTIF(ТабПозиции[orderNum],ТабПозиции[[#This Row],[orderNum]])),0),"")</f>
        <v>217</v>
      </c>
      <c r="P612">
        <f>IF(OR(ТабПозиции[[#This Row],[item]]="По штрихкоду",ТабПозиции[[#This Row],[item]]="Посылка"),ТабПозиции[[#This Row],[deliverySumm]]+ТабПозиции[[#This Row],[deliveryPost]],SUM(M612:O612))</f>
        <v>1663</v>
      </c>
      <c r="Q612" s="57">
        <v>1663</v>
      </c>
      <c r="R612" s="62">
        <f>ТабПозиции[[#This Row],[totalSumm]]-ТабПозиции[[#This Row],[payment]]</f>
        <v>0</v>
      </c>
      <c r="S612" s="34" t="s">
        <v>955</v>
      </c>
      <c r="T612" s="56" t="s">
        <v>3061</v>
      </c>
      <c r="U612" s="56" t="s">
        <v>3061</v>
      </c>
      <c r="V612" s="56" t="s">
        <v>3061</v>
      </c>
      <c r="W612" s="7"/>
      <c r="X612"/>
    </row>
    <row r="613" spans="1:24" x14ac:dyDescent="0.25">
      <c r="A613" s="26">
        <v>166</v>
      </c>
      <c r="B613" s="1">
        <f>IFERROR(VLOOKUP(ТабПозиции[[#This Row],[orderNum]],ТабЗаказы[#Data],MATCH(B$7,ТабЗаказы[#Headers],0),0),"")</f>
        <v>45480</v>
      </c>
      <c r="C613" t="str">
        <f>MONTH(ТабПозиции[[#This Row],[date]])&amp;"/"&amp;YEAR(ТабПозиции[[#This Row],[date]])</f>
        <v>7/2024</v>
      </c>
      <c r="D613" s="1" t="str">
        <f>IFERROR(VLOOKUP(ТабПозиции[[#This Row],[orderNum]],ТабЗаказы[#Data],MATCH(D$7,ТабЗаказы[#Headers],0),0),"")</f>
        <v>Людмила Эдельвейс</v>
      </c>
      <c r="E613" s="32" t="s">
        <v>901</v>
      </c>
      <c r="F613" s="56" t="s">
        <v>3061</v>
      </c>
      <c r="H613" s="34">
        <v>45482</v>
      </c>
      <c r="I613" s="26">
        <v>1</v>
      </c>
      <c r="J613" s="26">
        <v>6487</v>
      </c>
      <c r="K613">
        <v>6487</v>
      </c>
      <c r="L613" s="26">
        <v>6829</v>
      </c>
      <c r="M613">
        <f t="shared" si="11"/>
        <v>6829</v>
      </c>
      <c r="O61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Row],[orderNum]],ТабПозиции[orderSumm])&gt;1500),ABS(M613*VLOOKUP(ТабПозиции[[#This Row],[orderNum]],ТабЗаказы[#Data],MATCH("Percent",ТабЗаказы[#Headers],0),0))/100,200/COUNTIF(ТабПозиции[orderNum],ТабПозиции[[#This Row],[orderNum]])),0),"")</f>
        <v>683</v>
      </c>
      <c r="P613">
        <f>IF(OR(ТабПозиции[[#This Row],[item]]="По штрихкоду",ТабПозиции[[#This Row],[item]]="Посылка"),ТабПозиции[[#This Row],[deliverySumm]]+ТабПозиции[[#This Row],[deliveryPost]],SUM(M613:O613))</f>
        <v>7512</v>
      </c>
      <c r="Q613" s="57">
        <v>7512</v>
      </c>
      <c r="R613" s="62">
        <f>ТабПозиции[[#This Row],[totalSumm]]-ТабПозиции[[#This Row],[payment]]</f>
        <v>0</v>
      </c>
      <c r="S613" s="34" t="s">
        <v>965</v>
      </c>
      <c r="T613" s="56" t="s">
        <v>3061</v>
      </c>
      <c r="U613" s="56" t="s">
        <v>3061</v>
      </c>
      <c r="V613" s="56" t="s">
        <v>3061</v>
      </c>
      <c r="W613" s="7"/>
      <c r="X613"/>
    </row>
    <row r="614" spans="1:24" x14ac:dyDescent="0.25">
      <c r="A614" s="26">
        <v>166</v>
      </c>
      <c r="B614" s="1">
        <f>IFERROR(VLOOKUP(ТабПозиции[[#This Row],[orderNum]],ТабЗаказы[#Data],MATCH(B$7,ТабЗаказы[#Headers],0),0),"")</f>
        <v>45480</v>
      </c>
      <c r="C614" t="str">
        <f>MONTH(ТабПозиции[[#This Row],[date]])&amp;"/"&amp;YEAR(ТабПозиции[[#This Row],[date]])</f>
        <v>7/2024</v>
      </c>
      <c r="D614" s="1" t="str">
        <f>IFERROR(VLOOKUP(ТабПозиции[[#This Row],[orderNum]],ТабЗаказы[#Data],MATCH(D$7,ТабЗаказы[#Headers],0),0),"")</f>
        <v>Людмила Эдельвейс</v>
      </c>
      <c r="E614" s="32" t="s">
        <v>1106</v>
      </c>
      <c r="F614" s="56" t="s">
        <v>3061</v>
      </c>
      <c r="H614" s="34">
        <v>45484</v>
      </c>
      <c r="I614" s="26">
        <v>1</v>
      </c>
      <c r="J614" s="26">
        <v>2337</v>
      </c>
      <c r="K614">
        <v>2337</v>
      </c>
      <c r="L614" s="26">
        <v>2460</v>
      </c>
      <c r="M614">
        <f t="shared" si="11"/>
        <v>2460</v>
      </c>
      <c r="O61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Row],[orderNum]],ТабПозиции[orderSumm])&gt;1500),ABS(M614*VLOOKUP(ТабПозиции[[#This Row],[orderNum]],ТабЗаказы[#Data],MATCH("Percent",ТабЗаказы[#Headers],0),0))/100,200/COUNTIF(ТабПозиции[orderNum],ТабПозиции[[#This Row],[orderNum]])),0),"")</f>
        <v>246</v>
      </c>
      <c r="P614">
        <f>IF(OR(ТабПозиции[[#This Row],[item]]="По штрихкоду",ТабПозиции[[#This Row],[item]]="Посылка"),ТабПозиции[[#This Row],[deliverySumm]]+ТабПозиции[[#This Row],[deliveryPost]],SUM(M614:O614))</f>
        <v>2706</v>
      </c>
      <c r="Q614" s="57">
        <v>2706</v>
      </c>
      <c r="R614" s="62">
        <f>ТабПозиции[[#This Row],[totalSumm]]-ТабПозиции[[#This Row],[payment]]</f>
        <v>0</v>
      </c>
      <c r="S614" s="34" t="s">
        <v>965</v>
      </c>
      <c r="T614" s="56" t="s">
        <v>3061</v>
      </c>
      <c r="U614" s="56" t="s">
        <v>3061</v>
      </c>
      <c r="V614" s="56" t="s">
        <v>3061</v>
      </c>
      <c r="W614" s="7"/>
      <c r="X614"/>
    </row>
    <row r="615" spans="1:24" x14ac:dyDescent="0.25">
      <c r="A615" s="26">
        <v>165</v>
      </c>
      <c r="B615" s="1">
        <f>IFERROR(VLOOKUP(ТабПозиции[[#This Row],[orderNum]],ТабЗаказы[#Data],MATCH(B$7,ТабЗаказы[#Headers],0),0),"")</f>
        <v>45478</v>
      </c>
      <c r="C615" t="str">
        <f>MONTH(ТабПозиции[[#This Row],[date]])&amp;"/"&amp;YEAR(ТабПозиции[[#This Row],[date]])</f>
        <v>7/2024</v>
      </c>
      <c r="D615" s="1" t="str">
        <f>IFERROR(VLOOKUP(ТабПозиции[[#This Row],[orderNum]],ТабЗаказы[#Data],MATCH(D$7,ТабЗаказы[#Headers],0),0),"")</f>
        <v>Елена Ларисына</v>
      </c>
      <c r="E615" s="32" t="s">
        <v>1068</v>
      </c>
      <c r="F615" s="56" t="s">
        <v>3061</v>
      </c>
      <c r="H615" s="34">
        <v>45487</v>
      </c>
      <c r="I615" s="26">
        <v>1</v>
      </c>
      <c r="J615" s="26">
        <v>377</v>
      </c>
      <c r="K615">
        <v>377</v>
      </c>
      <c r="L615" s="26">
        <v>385</v>
      </c>
      <c r="M615">
        <f t="shared" si="11"/>
        <v>385</v>
      </c>
      <c r="O61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Row],[orderNum]],ТабПозиции[orderSumm])&gt;1500),ABS(M615*VLOOKUP(ТабПозиции[[#This Row],[orderNum]],ТабЗаказы[#Data],MATCH("Percent",ТабЗаказы[#Headers],0),0))/100,200/COUNTIF(ТабПозиции[orderNum],ТабПозиции[[#This Row],[orderNum]])),0),"")</f>
        <v>58</v>
      </c>
      <c r="P615">
        <f>IF(OR(ТабПозиции[[#This Row],[item]]="По штрихкоду",ТабПозиции[[#This Row],[item]]="Посылка"),ТабПозиции[[#This Row],[deliverySumm]]+ТабПозиции[[#This Row],[deliveryPost]],SUM(M615:O615))</f>
        <v>443</v>
      </c>
      <c r="Q615" s="57">
        <v>443</v>
      </c>
      <c r="R615" s="62">
        <f>ТабПозиции[[#This Row],[totalSumm]]-ТабПозиции[[#This Row],[payment]]</f>
        <v>0</v>
      </c>
      <c r="S615" s="34" t="s">
        <v>955</v>
      </c>
      <c r="T615" s="56" t="s">
        <v>3061</v>
      </c>
      <c r="U615" s="56" t="s">
        <v>3061</v>
      </c>
      <c r="V615" s="56" t="s">
        <v>3061</v>
      </c>
      <c r="W615" s="7"/>
      <c r="X615"/>
    </row>
    <row r="616" spans="1:24" x14ac:dyDescent="0.25">
      <c r="A616" s="26">
        <v>167</v>
      </c>
      <c r="B616" s="1">
        <f>IFERROR(VLOOKUP(ТабПозиции[[#This Row],[orderNum]],ТабЗаказы[#Data],MATCH(B$7,ТабЗаказы[#Headers],0),0),"")</f>
        <v>45479</v>
      </c>
      <c r="C616" t="str">
        <f>MONTH(ТабПозиции[[#This Row],[date]])&amp;"/"&amp;YEAR(ТабПозиции[[#This Row],[date]])</f>
        <v>7/2024</v>
      </c>
      <c r="D616" s="1" t="str">
        <f>IFERROR(VLOOKUP(ТабПозиции[[#This Row],[orderNum]],ТабЗаказы[#Data],MATCH(D$7,ТабЗаказы[#Headers],0),0),"")</f>
        <v>Пашок</v>
      </c>
      <c r="E616" s="32" t="s">
        <v>1052</v>
      </c>
      <c r="F616" s="56" t="s">
        <v>3061</v>
      </c>
      <c r="H616" s="34">
        <v>45481</v>
      </c>
      <c r="I616" s="26">
        <v>1</v>
      </c>
      <c r="J616" s="26">
        <v>341</v>
      </c>
      <c r="K616">
        <v>341</v>
      </c>
      <c r="L616" s="26">
        <v>352</v>
      </c>
      <c r="M616">
        <f t="shared" si="11"/>
        <v>352</v>
      </c>
      <c r="O61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Row],[orderNum]],ТабПозиции[orderSumm])&gt;1500),ABS(M616*VLOOKUP(ТабПозиции[[#This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616">
        <f>IF(OR(ТабПозиции[[#This Row],[item]]="По штрихкоду",ТабПозиции[[#This Row],[item]]="Посылка"),ТабПозиции[[#This Row],[deliverySumm]]+ТабПозиции[[#This Row],[deliveryPost]],SUM(M616:O616))</f>
        <v>552</v>
      </c>
      <c r="Q616" s="57">
        <v>552</v>
      </c>
      <c r="R616" s="62">
        <f>ТабПозиции[[#This Row],[totalSumm]]-ТабПозиции[[#This Row],[payment]]</f>
        <v>0</v>
      </c>
      <c r="S616" s="34" t="s">
        <v>955</v>
      </c>
      <c r="T616" s="56" t="s">
        <v>3061</v>
      </c>
      <c r="U616" s="56" t="s">
        <v>3061</v>
      </c>
      <c r="V616" s="56" t="s">
        <v>3061</v>
      </c>
      <c r="W616" s="7"/>
      <c r="X616"/>
    </row>
    <row r="617" spans="1:24" x14ac:dyDescent="0.25">
      <c r="A617" s="26">
        <v>168</v>
      </c>
      <c r="B617" s="1">
        <f>IFERROR(VLOOKUP(ТабПозиции[[#This Row],[orderNum]],ТабЗаказы[#Data],MATCH(B$7,ТабЗаказы[#Headers],0),0),"")</f>
        <v>45473</v>
      </c>
      <c r="C617" t="str">
        <f>MONTH(ТабПозиции[[#This Row],[date]])&amp;"/"&amp;YEAR(ТабПозиции[[#This Row],[date]])</f>
        <v>6/2024</v>
      </c>
      <c r="D617" s="1" t="str">
        <f>IFERROR(VLOOKUP(ТабПозиции[[#This Row],[orderNum]],ТабЗаказы[#Data],MATCH(D$7,ТабЗаказы[#Headers],0),0),"")</f>
        <v>Клиент от Вадима</v>
      </c>
      <c r="E617" s="26" t="s">
        <v>815</v>
      </c>
      <c r="F617" s="56" t="s">
        <v>3061</v>
      </c>
      <c r="H617" s="34">
        <v>45482</v>
      </c>
      <c r="I617" s="26">
        <v>1</v>
      </c>
      <c r="J617" s="26">
        <v>1000</v>
      </c>
      <c r="K617">
        <v>1000</v>
      </c>
      <c r="L617" s="26">
        <v>1000</v>
      </c>
      <c r="M617">
        <f t="shared" si="11"/>
        <v>1000</v>
      </c>
      <c r="O61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Row],[orderNum]],ТабПозиции[orderSumm])&gt;1500),ABS(M617*VLOOKUP(ТабПозиции[[#This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617">
        <f>IF(OR(ТабПозиции[[#This Row],[item]]="По штрихкоду",ТабПозиции[[#This Row],[item]]="Посылка"),ТабПозиции[[#This Row],[deliverySumm]]+ТабПозиции[[#This Row],[deliveryPost]],SUM(M617:O617))</f>
        <v>200</v>
      </c>
      <c r="Q617" s="57">
        <v>200</v>
      </c>
      <c r="R617" s="62">
        <f>ТабПозиции[[#This Row],[totalSumm]]-ТабПозиции[[#This Row],[payment]]</f>
        <v>0</v>
      </c>
      <c r="S617" s="34" t="s">
        <v>610</v>
      </c>
      <c r="T617" s="56" t="s">
        <v>3061</v>
      </c>
      <c r="U617" s="56" t="s">
        <v>3061</v>
      </c>
      <c r="V617" s="56" t="s">
        <v>3061</v>
      </c>
      <c r="W617" s="7"/>
      <c r="X617"/>
    </row>
    <row r="618" spans="1:24" x14ac:dyDescent="0.25">
      <c r="A618" s="26">
        <v>169</v>
      </c>
      <c r="B618" s="1">
        <f>IFERROR(VLOOKUP(ТабПозиции[[#This Row],[orderNum]],ТабЗаказы[#Data],MATCH(B$7,ТабЗаказы[#Headers],0),0),"")</f>
        <v>45480</v>
      </c>
      <c r="C618" t="str">
        <f>MONTH(ТабПозиции[[#This Row],[date]])&amp;"/"&amp;YEAR(ТабПозиции[[#This Row],[date]])</f>
        <v>7/2024</v>
      </c>
      <c r="D618" s="1" t="str">
        <f>IFERROR(VLOOKUP(ТабПозиции[[#This Row],[orderNum]],ТабЗаказы[#Data],MATCH(D$7,ТабЗаказы[#Headers],0),0),"")</f>
        <v>Александр Каскад</v>
      </c>
      <c r="E618" s="32" t="s">
        <v>1107</v>
      </c>
      <c r="F618" s="56" t="s">
        <v>3061</v>
      </c>
      <c r="H618" s="34">
        <v>45486</v>
      </c>
      <c r="I618" s="26">
        <v>1</v>
      </c>
      <c r="J618" s="26">
        <v>1030</v>
      </c>
      <c r="K618">
        <v>1030</v>
      </c>
      <c r="L618" s="26">
        <v>1106</v>
      </c>
      <c r="M618">
        <f t="shared" si="11"/>
        <v>1106</v>
      </c>
      <c r="O61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Row],[orderNum]],ТабПозиции[orderSumm])&gt;1500),ABS(M618*VLOOKUP(ТабПозиции[[#This Row],[orderNum]],ТабЗаказы[#Data],MATCH("Percent",ТабЗаказы[#Headers],0),0))/100,200/COUNTIF(ТабПозиции[orderNum],ТабПозиции[[#This Row],[orderNum]])),0),"")</f>
        <v>166</v>
      </c>
      <c r="P618">
        <f>IF(OR(ТабПозиции[[#This Row],[item]]="По штрихкоду",ТабПозиции[[#This Row],[item]]="Посылка"),ТабПозиции[[#This Row],[deliverySumm]]+ТабПозиции[[#This Row],[deliveryPost]],SUM(M618:O618))</f>
        <v>1272</v>
      </c>
      <c r="Q618" s="62">
        <v>1272</v>
      </c>
      <c r="R618" s="62">
        <f>ТабПозиции[[#This Row],[totalSumm]]-ТабПозиции[[#This Row],[payment]]</f>
        <v>0</v>
      </c>
      <c r="S618" s="34" t="s">
        <v>955</v>
      </c>
      <c r="T618" s="56" t="s">
        <v>3061</v>
      </c>
      <c r="U618" s="56" t="s">
        <v>3061</v>
      </c>
      <c r="V618" s="56" t="s">
        <v>3061</v>
      </c>
      <c r="W618" s="7"/>
      <c r="X618"/>
    </row>
    <row r="619" spans="1:24" x14ac:dyDescent="0.25">
      <c r="A619" s="26">
        <v>169</v>
      </c>
      <c r="B619" s="1">
        <f>IFERROR(VLOOKUP(ТабПозиции[[#This Row],[orderNum]],ТабЗаказы[#Data],MATCH(B$7,ТабЗаказы[#Headers],0),0),"")</f>
        <v>45480</v>
      </c>
      <c r="C619" t="str">
        <f>MONTH(ТабПозиции[[#This Row],[date]])&amp;"/"&amp;YEAR(ТабПозиции[[#This Row],[date]])</f>
        <v>7/2024</v>
      </c>
      <c r="D619" s="1" t="str">
        <f>IFERROR(VLOOKUP(ТабПозиции[[#This Row],[orderNum]],ТабЗаказы[#Data],MATCH(D$7,ТабЗаказы[#Headers],0),0),"")</f>
        <v>Александр Каскад</v>
      </c>
      <c r="E619" s="32" t="s">
        <v>1108</v>
      </c>
      <c r="F619" s="56" t="s">
        <v>3061</v>
      </c>
      <c r="H619" s="34">
        <v>45487</v>
      </c>
      <c r="I619" s="26">
        <v>1</v>
      </c>
      <c r="J619" s="26">
        <v>651</v>
      </c>
      <c r="K619">
        <v>651</v>
      </c>
      <c r="L619" s="26">
        <v>699</v>
      </c>
      <c r="M619">
        <f t="shared" si="11"/>
        <v>699</v>
      </c>
      <c r="O61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Row],[orderNum]],ТабПозиции[orderSumm])&gt;1500),ABS(M619*VLOOKUP(ТабПозиции[[#This Row],[orderNum]],ТабЗаказы[#Data],MATCH("Percent",ТабЗаказы[#Headers],0),0))/100,200/COUNTIF(ТабПозиции[orderNum],ТабПозиции[[#This Row],[orderNum]])),0),"")</f>
        <v>105</v>
      </c>
      <c r="P619">
        <f>IF(OR(ТабПозиции[[#This Row],[item]]="По штрихкоду",ТабПозиции[[#This Row],[item]]="Посылка"),ТабПозиции[[#This Row],[deliverySumm]]+ТабПозиции[[#This Row],[deliveryPost]],SUM(M619:O619))</f>
        <v>804</v>
      </c>
      <c r="Q619" s="62">
        <v>804</v>
      </c>
      <c r="R619" s="62">
        <f>ТабПозиции[[#This Row],[totalSumm]]-ТабПозиции[[#This Row],[payment]]</f>
        <v>0</v>
      </c>
      <c r="S619" s="34" t="s">
        <v>955</v>
      </c>
      <c r="T619" s="56" t="s">
        <v>3061</v>
      </c>
      <c r="U619" s="56" t="s">
        <v>3061</v>
      </c>
      <c r="V619" s="56" t="s">
        <v>3061</v>
      </c>
      <c r="W619" s="7"/>
      <c r="X619"/>
    </row>
    <row r="620" spans="1:24" x14ac:dyDescent="0.25">
      <c r="A620" s="26">
        <v>170</v>
      </c>
      <c r="B620" s="1">
        <f>IFERROR(VLOOKUP(ТабПозиции[[#This Row],[orderNum]],ТабЗаказы[#Data],MATCH(B$7,ТабЗаказы[#Headers],0),0),"")</f>
        <v>45480</v>
      </c>
      <c r="C620" t="str">
        <f>MONTH(ТабПозиции[[#This Row],[date]])&amp;"/"&amp;YEAR(ТабПозиции[[#This Row],[date]])</f>
        <v>7/2024</v>
      </c>
      <c r="D620" s="1" t="str">
        <f>IFERROR(VLOOKUP(ТабПозиции[[#This Row],[orderNum]],ТабЗаказы[#Data],MATCH(D$7,ТабЗаказы[#Headers],0),0),"")</f>
        <v>алекса фиери</v>
      </c>
      <c r="E620" s="32" t="s">
        <v>1109</v>
      </c>
      <c r="F620" s="56" t="s">
        <v>3061</v>
      </c>
      <c r="H620" s="34">
        <v>45487</v>
      </c>
      <c r="I620" s="26">
        <v>1</v>
      </c>
      <c r="J620" s="26">
        <v>5234</v>
      </c>
      <c r="K620">
        <v>5234</v>
      </c>
      <c r="L620" s="26">
        <v>5554</v>
      </c>
      <c r="M620">
        <f t="shared" si="11"/>
        <v>5554</v>
      </c>
      <c r="O62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Row],[orderNum]],ТабПозиции[orderSumm])&gt;1500),ABS(M620*VLOOKUP(ТабПозиции[[#This Row],[orderNum]],ТабЗаказы[#Data],MATCH("Percent",ТабЗаказы[#Headers],0),0))/100,200/COUNTIF(ТабПозиции[orderNum],ТабПозиции[[#This Row],[orderNum]])),0),"")</f>
        <v>833</v>
      </c>
      <c r="P620">
        <f>IF(OR(ТабПозиции[[#This Row],[item]]="По штрихкоду",ТабПозиции[[#This Row],[item]]="Посылка"),ТабПозиции[[#This Row],[deliverySumm]]+ТабПозиции[[#This Row],[deliveryPost]],SUM(M620:O620))</f>
        <v>6387</v>
      </c>
      <c r="Q620" s="57">
        <v>6387</v>
      </c>
      <c r="R620" s="62">
        <f>ТабПозиции[[#This Row],[totalSumm]]-ТабПозиции[[#This Row],[payment]]</f>
        <v>0</v>
      </c>
      <c r="S620" s="34" t="s">
        <v>955</v>
      </c>
      <c r="T620" s="56" t="s">
        <v>3061</v>
      </c>
      <c r="U620" s="56" t="s">
        <v>3061</v>
      </c>
      <c r="V620" s="56" t="s">
        <v>3061</v>
      </c>
      <c r="W620" s="7"/>
      <c r="X620"/>
    </row>
    <row r="621" spans="1:24" x14ac:dyDescent="0.25">
      <c r="A621" s="26">
        <v>170</v>
      </c>
      <c r="B621" s="1">
        <f>IFERROR(VLOOKUP(ТабПозиции[[#This Row],[orderNum]],ТабЗаказы[#Data],MATCH(B$7,ТабЗаказы[#Headers],0),0),"")</f>
        <v>45480</v>
      </c>
      <c r="C621" t="str">
        <f>MONTH(ТабПозиции[[#This Row],[date]])&amp;"/"&amp;YEAR(ТабПозиции[[#This Row],[date]])</f>
        <v>7/2024</v>
      </c>
      <c r="D621" s="1" t="str">
        <f>IFERROR(VLOOKUP(ТабПозиции[[#This Row],[orderNum]],ТабЗаказы[#Data],MATCH(D$7,ТабЗаказы[#Headers],0),0),"")</f>
        <v>алекса фиери</v>
      </c>
      <c r="E621" s="32" t="s">
        <v>1110</v>
      </c>
      <c r="F621" s="56" t="s">
        <v>3061</v>
      </c>
      <c r="H621" s="34">
        <v>45482</v>
      </c>
      <c r="I621" s="26">
        <v>1</v>
      </c>
      <c r="J621" s="26">
        <v>1193</v>
      </c>
      <c r="K621">
        <v>1193</v>
      </c>
      <c r="L621" s="26">
        <v>1256</v>
      </c>
      <c r="M621">
        <f t="shared" si="11"/>
        <v>1256</v>
      </c>
      <c r="O62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Row],[orderNum]],ТабПозиции[orderSumm])&gt;1500),ABS(M621*VLOOKUP(ТабПозиции[[#This Row],[orderNum]],ТабЗаказы[#Data],MATCH("Percent",ТабЗаказы[#Headers],0),0))/100,200/COUNTIF(ТабПозиции[orderNum],ТабПозиции[[#This Row],[orderNum]])),0),"")</f>
        <v>188</v>
      </c>
      <c r="P621">
        <f>IF(OR(ТабПозиции[[#This Row],[item]]="По штрихкоду",ТабПозиции[[#This Row],[item]]="Посылка"),ТабПозиции[[#This Row],[deliverySumm]]+ТабПозиции[[#This Row],[deliveryPost]],SUM(M621:O621))</f>
        <v>1444</v>
      </c>
      <c r="Q621" s="57">
        <v>1444</v>
      </c>
      <c r="R621" s="62">
        <f>ТабПозиции[[#This Row],[totalSumm]]-ТабПозиции[[#This Row],[payment]]</f>
        <v>0</v>
      </c>
      <c r="S621" s="34" t="s">
        <v>965</v>
      </c>
      <c r="T621" s="56" t="s">
        <v>3061</v>
      </c>
      <c r="U621" s="56" t="s">
        <v>3061</v>
      </c>
      <c r="V621" s="56" t="s">
        <v>3061</v>
      </c>
      <c r="W621" s="7"/>
      <c r="X621"/>
    </row>
    <row r="622" spans="1:24" x14ac:dyDescent="0.25">
      <c r="A622" s="26">
        <v>171</v>
      </c>
      <c r="B622" s="1">
        <f>IFERROR(VLOOKUP(ТабПозиции[[#This Row],[orderNum]],ТабЗаказы[#Data],MATCH(B$7,ТабЗаказы[#Headers],0),0),"")</f>
        <v>45480</v>
      </c>
      <c r="C622" t="str">
        <f>MONTH(ТабПозиции[[#This Row],[date]])&amp;"/"&amp;YEAR(ТабПозиции[[#This Row],[date]])</f>
        <v>7/2024</v>
      </c>
      <c r="D622" s="1" t="str">
        <f>IFERROR(VLOOKUP(ТабПозиции[[#This Row],[orderNum]],ТабЗаказы[#Data],MATCH(D$7,ТабЗаказы[#Headers],0),0),"")</f>
        <v>Митрофанов Евгений</v>
      </c>
      <c r="E622" s="32" t="s">
        <v>1111</v>
      </c>
      <c r="F622" s="56" t="s">
        <v>3061</v>
      </c>
      <c r="G622" s="28" t="s">
        <v>1112</v>
      </c>
      <c r="H622" s="34">
        <v>45485</v>
      </c>
      <c r="I622" s="26">
        <v>1</v>
      </c>
      <c r="J622" s="26">
        <v>2530</v>
      </c>
      <c r="K622">
        <v>2530</v>
      </c>
      <c r="L622" s="26">
        <v>2530</v>
      </c>
      <c r="M622">
        <f t="shared" si="11"/>
        <v>2530</v>
      </c>
      <c r="N622" s="26">
        <v>340</v>
      </c>
      <c r="O62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Row],[orderNum]],ТабПозиции[orderSumm])&gt;1500),ABS(M622*VLOOKUP(ТабПозиции[[#This Row],[orderNum]],ТабЗаказы[#Data],MATCH("Percent",ТабЗаказы[#Headers],0),0))/100,200/COUNTIF(ТабПозиции[orderNum],ТабПозиции[[#This Row],[orderNum]])),0),"")</f>
        <v>380</v>
      </c>
      <c r="P622">
        <f>IF(OR(ТабПозиции[[#This Row],[item]]="По штрихкоду",ТабПозиции[[#This Row],[item]]="Посылка"),ТабПозиции[[#This Row],[deliverySumm]]+ТабПозиции[[#This Row],[deliveryPost]],SUM(M622:O622))</f>
        <v>3250</v>
      </c>
      <c r="Q622" s="57">
        <v>3250</v>
      </c>
      <c r="R622" s="62">
        <f>ТабПозиции[[#This Row],[totalSumm]]-ТабПозиции[[#This Row],[payment]]</f>
        <v>0</v>
      </c>
      <c r="S622" s="34" t="s">
        <v>1113</v>
      </c>
      <c r="T622" s="56" t="s">
        <v>3061</v>
      </c>
      <c r="U622" s="56" t="s">
        <v>3061</v>
      </c>
      <c r="V622" s="56" t="s">
        <v>3061</v>
      </c>
      <c r="W622" s="7"/>
      <c r="X622"/>
    </row>
    <row r="623" spans="1:24" x14ac:dyDescent="0.25">
      <c r="A623" s="26">
        <v>166</v>
      </c>
      <c r="B623" s="1">
        <f>IFERROR(VLOOKUP(ТабПозиции[[#This Row],[orderNum]],ТабЗаказы[#Data],MATCH(B$7,ТабЗаказы[#Headers],0),0),"")</f>
        <v>45480</v>
      </c>
      <c r="C623" t="str">
        <f>MONTH(ТабПозиции[[#This Row],[date]])&amp;"/"&amp;YEAR(ТабПозиции[[#This Row],[date]])</f>
        <v>7/2024</v>
      </c>
      <c r="D623" s="1" t="str">
        <f>IFERROR(VLOOKUP(ТабПозиции[[#This Row],[orderNum]],ТабЗаказы[#Data],MATCH(D$7,ТабЗаказы[#Headers],0),0),"")</f>
        <v>Людмила Эдельвейс</v>
      </c>
      <c r="E623" s="32" t="s">
        <v>1002</v>
      </c>
      <c r="F623" s="56" t="s">
        <v>3061</v>
      </c>
      <c r="H623" s="34">
        <v>45483</v>
      </c>
      <c r="I623" s="26">
        <v>1</v>
      </c>
      <c r="J623" s="26">
        <v>492</v>
      </c>
      <c r="K623">
        <v>492</v>
      </c>
      <c r="L623" s="26">
        <v>518</v>
      </c>
      <c r="M623">
        <f t="shared" si="11"/>
        <v>518</v>
      </c>
      <c r="O62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Row],[orderNum]],ТабПозиции[orderSumm])&gt;1500),ABS(M623*VLOOKUP(ТабПозиции[[#This Row],[orderNum]],ТабЗаказы[#Data],MATCH("Percent",ТабЗаказы[#Headers],0),0))/100,200/COUNTIF(ТабПозиции[orderNum],ТабПозиции[[#This Row],[orderNum]])),0),"")</f>
        <v>52</v>
      </c>
      <c r="P623">
        <f>IF(OR(ТабПозиции[[#This Row],[item]]="По штрихкоду",ТабПозиции[[#This Row],[item]]="Посылка"),ТабПозиции[[#This Row],[deliverySumm]]+ТабПозиции[[#This Row],[deliveryPost]],SUM(M623:O623))</f>
        <v>570</v>
      </c>
      <c r="Q623" s="57">
        <v>570</v>
      </c>
      <c r="R623" s="62">
        <f>ТабПозиции[[#This Row],[totalSumm]]-ТабПозиции[[#This Row],[payment]]</f>
        <v>0</v>
      </c>
      <c r="S623" s="34" t="s">
        <v>965</v>
      </c>
      <c r="T623" s="56" t="s">
        <v>3061</v>
      </c>
      <c r="U623" s="56" t="s">
        <v>3061</v>
      </c>
      <c r="V623" s="56" t="s">
        <v>3061</v>
      </c>
      <c r="W623" s="7"/>
      <c r="X623"/>
    </row>
    <row r="624" spans="1:24" x14ac:dyDescent="0.25">
      <c r="A624" s="26">
        <v>166</v>
      </c>
      <c r="B624" s="1">
        <f>IFERROR(VLOOKUP(ТабПозиции[[#This Row],[orderNum]],ТабЗаказы[#Data],MATCH(B$7,ТабЗаказы[#Headers],0),0),"")</f>
        <v>45480</v>
      </c>
      <c r="C624" t="str">
        <f>MONTH(ТабПозиции[[#This Row],[date]])&amp;"/"&amp;YEAR(ТабПозиции[[#This Row],[date]])</f>
        <v>7/2024</v>
      </c>
      <c r="D624" s="1" t="str">
        <f>IFERROR(VLOOKUP(ТабПозиции[[#This Row],[orderNum]],ТабЗаказы[#Data],MATCH(D$7,ТабЗаказы[#Headers],0),0),"")</f>
        <v>Людмила Эдельвейс</v>
      </c>
      <c r="E624" s="32" t="s">
        <v>1114</v>
      </c>
      <c r="F624" s="56" t="s">
        <v>3061</v>
      </c>
      <c r="H624" s="34">
        <v>45483</v>
      </c>
      <c r="I624" s="26">
        <v>1</v>
      </c>
      <c r="J624" s="26">
        <v>1191</v>
      </c>
      <c r="K624">
        <v>1191</v>
      </c>
      <c r="L624" s="26">
        <v>1254</v>
      </c>
      <c r="M624">
        <f t="shared" si="11"/>
        <v>1254</v>
      </c>
      <c r="O62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Row],[orderNum]],ТабПозиции[orderSumm])&gt;1500),ABS(M624*VLOOKUP(ТабПозиции[[#This Row],[orderNum]],ТабЗаказы[#Data],MATCH("Percent",ТабЗаказы[#Headers],0),0))/100,200/COUNTIF(ТабПозиции[orderNum],ТабПозиции[[#This Row],[orderNum]])),0),"")</f>
        <v>125</v>
      </c>
      <c r="P624">
        <f>IF(OR(ТабПозиции[[#This Row],[item]]="По штрихкоду",ТабПозиции[[#This Row],[item]]="Посылка"),ТабПозиции[[#This Row],[deliverySumm]]+ТабПозиции[[#This Row],[deliveryPost]],SUM(M624:O624))</f>
        <v>1379</v>
      </c>
      <c r="Q624" s="57">
        <v>1379</v>
      </c>
      <c r="R624" s="62">
        <f>ТабПозиции[[#This Row],[totalSumm]]-ТабПозиции[[#This Row],[payment]]</f>
        <v>0</v>
      </c>
      <c r="S624" s="34" t="s">
        <v>965</v>
      </c>
      <c r="T624" s="56" t="s">
        <v>3061</v>
      </c>
      <c r="U624" s="56" t="s">
        <v>3061</v>
      </c>
      <c r="V624" s="56" t="s">
        <v>3061</v>
      </c>
      <c r="W624" s="7"/>
      <c r="X624"/>
    </row>
    <row r="625" spans="1:24" x14ac:dyDescent="0.25">
      <c r="A625" s="26">
        <v>166</v>
      </c>
      <c r="B625" s="1">
        <f>IFERROR(VLOOKUP(ТабПозиции[[#This Row],[orderNum]],ТабЗаказы[#Data],MATCH(B$7,ТабЗаказы[#Headers],0),0),"")</f>
        <v>45480</v>
      </c>
      <c r="C625" t="str">
        <f>MONTH(ТабПозиции[[#This Row],[date]])&amp;"/"&amp;YEAR(ТабПозиции[[#This Row],[date]])</f>
        <v>7/2024</v>
      </c>
      <c r="D625" s="1" t="str">
        <f>IFERROR(VLOOKUP(ТабПозиции[[#This Row],[orderNum]],ТабЗаказы[#Data],MATCH(D$7,ТабЗаказы[#Headers],0),0),"")</f>
        <v>Людмила Эдельвейс</v>
      </c>
      <c r="E625" s="32" t="s">
        <v>1115</v>
      </c>
      <c r="F625" s="56" t="s">
        <v>3061</v>
      </c>
      <c r="H625" s="34">
        <v>45482</v>
      </c>
      <c r="I625" s="26">
        <v>1</v>
      </c>
      <c r="J625" s="26">
        <v>397</v>
      </c>
      <c r="K625">
        <v>397</v>
      </c>
      <c r="L625" s="26">
        <v>418</v>
      </c>
      <c r="M625">
        <f t="shared" si="11"/>
        <v>418</v>
      </c>
      <c r="O62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Row],[orderNum]],ТабПозиции[orderSumm])&gt;1500),ABS(M625*VLOOKUP(ТабПозиции[[#This Row],[orderNum]],ТабЗаказы[#Data],MATCH("Percent",ТабЗаказы[#Headers],0),0))/100,200/COUNTIF(ТабПозиции[orderNum],ТабПозиции[[#This Row],[orderNum]])),0),"")</f>
        <v>42</v>
      </c>
      <c r="P625">
        <f>IF(OR(ТабПозиции[[#This Row],[item]]="По штрихкоду",ТабПозиции[[#This Row],[item]]="Посылка"),ТабПозиции[[#This Row],[deliverySumm]]+ТабПозиции[[#This Row],[deliveryPost]],SUM(M625:O625))</f>
        <v>460</v>
      </c>
      <c r="Q625" s="57">
        <v>460</v>
      </c>
      <c r="R625" s="62">
        <f>ТабПозиции[[#This Row],[totalSumm]]-ТабПозиции[[#This Row],[payment]]</f>
        <v>0</v>
      </c>
      <c r="S625" s="34" t="s">
        <v>955</v>
      </c>
      <c r="T625" s="56" t="s">
        <v>3061</v>
      </c>
      <c r="U625" s="56" t="s">
        <v>3061</v>
      </c>
      <c r="V625" s="56" t="s">
        <v>3061</v>
      </c>
      <c r="W625" s="7"/>
      <c r="X625"/>
    </row>
    <row r="626" spans="1:24" x14ac:dyDescent="0.25">
      <c r="A626" s="26">
        <v>163</v>
      </c>
      <c r="B626" s="1">
        <f>IFERROR(VLOOKUP(ТабПозиции[[#This Row],[orderNum]],ТабЗаказы[#Data],MATCH(B$7,ТабЗаказы[#Headers],0),0),"")</f>
        <v>45476</v>
      </c>
      <c r="C626" t="str">
        <f>MONTH(ТабПозиции[[#This Row],[date]])&amp;"/"&amp;YEAR(ТабПозиции[[#This Row],[date]])</f>
        <v>7/2024</v>
      </c>
      <c r="D626" s="1" t="str">
        <f>IFERROR(VLOOKUP(ТабПозиции[[#This Row],[orderNum]],ТабЗаказы[#Data],MATCH(D$7,ТабЗаказы[#Headers],0),0),"")</f>
        <v>Галина Агабекова(церковь)</v>
      </c>
      <c r="E626" s="32" t="s">
        <v>1116</v>
      </c>
      <c r="F626" s="56" t="s">
        <v>3061</v>
      </c>
      <c r="H626" s="34">
        <v>45490</v>
      </c>
      <c r="I626" s="26">
        <v>1</v>
      </c>
      <c r="J626" s="26">
        <v>435</v>
      </c>
      <c r="K626">
        <v>435</v>
      </c>
      <c r="L626" s="26">
        <v>449</v>
      </c>
      <c r="M626">
        <f t="shared" si="11"/>
        <v>449</v>
      </c>
      <c r="O62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Row],[orderNum]],ТабПозиции[orderSumm])&gt;1500),ABS(M626*VLOOKUP(ТабПозиции[[#This Row],[orderNum]],ТабЗаказы[#Data],MATCH("Percent",ТабЗаказы[#Headers],0),0))/100,200/COUNTIF(ТабПозиции[orderNum],ТабПозиции[[#This Row],[orderNum]])),0),"")</f>
        <v>67</v>
      </c>
      <c r="P626">
        <f>IF(OR(ТабПозиции[[#This Row],[item]]="По штрихкоду",ТабПозиции[[#This Row],[item]]="Посылка"),ТабПозиции[[#This Row],[deliverySumm]]+ТабПозиции[[#This Row],[deliveryPost]],SUM(M626:O626))</f>
        <v>516</v>
      </c>
      <c r="Q626" s="57">
        <v>516</v>
      </c>
      <c r="R626" s="62">
        <f>ТабПозиции[[#This Row],[totalSumm]]-ТабПозиции[[#This Row],[payment]]</f>
        <v>0</v>
      </c>
      <c r="S626" s="34" t="s">
        <v>955</v>
      </c>
      <c r="T626" s="56" t="s">
        <v>3061</v>
      </c>
      <c r="U626" s="56" t="s">
        <v>3061</v>
      </c>
      <c r="V626" s="56" t="s">
        <v>3061</v>
      </c>
      <c r="W626" s="7"/>
      <c r="X626"/>
    </row>
    <row r="627" spans="1:24" x14ac:dyDescent="0.25">
      <c r="A627" s="26">
        <v>171</v>
      </c>
      <c r="B627" s="1">
        <f>IFERROR(VLOOKUP(ТабПозиции[[#This Row],[orderNum]],ТабЗаказы[#Data],MATCH(B$7,ТабЗаказы[#Headers],0),0),"")</f>
        <v>45480</v>
      </c>
      <c r="C627" t="str">
        <f>MONTH(ТабПозиции[[#This Row],[date]])&amp;"/"&amp;YEAR(ТабПозиции[[#This Row],[date]])</f>
        <v>7/2024</v>
      </c>
      <c r="D627" s="1" t="str">
        <f>IFERROR(VLOOKUP(ТабПозиции[[#This Row],[orderNum]],ТабЗаказы[#Data],MATCH(D$7,ТабЗаказы[#Headers],0),0),"")</f>
        <v>Митрофанов Евгений</v>
      </c>
      <c r="E627" s="32" t="s">
        <v>1117</v>
      </c>
      <c r="F627" s="56" t="s">
        <v>3061</v>
      </c>
      <c r="H627" s="34">
        <v>45485</v>
      </c>
      <c r="I627" s="26">
        <v>1</v>
      </c>
      <c r="J627" s="26">
        <v>413</v>
      </c>
      <c r="K627">
        <v>413</v>
      </c>
      <c r="L627" s="26">
        <v>435</v>
      </c>
      <c r="M627">
        <f t="shared" si="11"/>
        <v>435</v>
      </c>
      <c r="O62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Row],[orderNum]],ТабПозиции[orderSumm])&gt;1500),ABS(M627*VLOOKUP(ТабПозиции[[#This Row],[orderNum]],ТабЗаказы[#Data],MATCH("Percent",ТабЗаказы[#Headers],0),0))/100,200/COUNTIF(ТабПозиции[orderNum],ТабПозиции[[#This Row],[orderNum]])),0),"")</f>
        <v>65</v>
      </c>
      <c r="P627">
        <f>IF(OR(ТабПозиции[[#This Row],[item]]="По штрихкоду",ТабПозиции[[#This Row],[item]]="Посылка"),ТабПозиции[[#This Row],[deliverySumm]]+ТабПозиции[[#This Row],[deliveryPost]],SUM(M627:O627))</f>
        <v>500</v>
      </c>
      <c r="Q627" s="57">
        <v>500</v>
      </c>
      <c r="R627" s="62">
        <f>ТабПозиции[[#This Row],[totalSumm]]-ТабПозиции[[#This Row],[payment]]</f>
        <v>0</v>
      </c>
      <c r="S627" s="34" t="s">
        <v>965</v>
      </c>
      <c r="T627" s="56" t="s">
        <v>3061</v>
      </c>
      <c r="U627" s="56" t="s">
        <v>3061</v>
      </c>
      <c r="V627" s="56" t="s">
        <v>3061</v>
      </c>
      <c r="W627" s="7"/>
      <c r="X627"/>
    </row>
    <row r="628" spans="1:24" x14ac:dyDescent="0.25">
      <c r="A628" s="26">
        <v>171</v>
      </c>
      <c r="B628" s="1">
        <f>IFERROR(VLOOKUP(ТабПозиции[[#This Row],[orderNum]],ТабЗаказы[#Data],MATCH(B$7,ТабЗаказы[#Headers],0),0),"")</f>
        <v>45480</v>
      </c>
      <c r="C628" t="str">
        <f>MONTH(ТабПозиции[[#This Row],[date]])&amp;"/"&amp;YEAR(ТабПозиции[[#This Row],[date]])</f>
        <v>7/2024</v>
      </c>
      <c r="D628" s="1" t="str">
        <f>IFERROR(VLOOKUP(ТабПозиции[[#This Row],[orderNum]],ТабЗаказы[#Data],MATCH(D$7,ТабЗаказы[#Headers],0),0),"")</f>
        <v>Митрофанов Евгений</v>
      </c>
      <c r="E628" s="32" t="s">
        <v>1118</v>
      </c>
      <c r="F628" s="56" t="s">
        <v>3061</v>
      </c>
      <c r="H628" s="34">
        <v>45485</v>
      </c>
      <c r="I628" s="26">
        <v>1</v>
      </c>
      <c r="J628" s="26">
        <v>340</v>
      </c>
      <c r="K628">
        <v>340</v>
      </c>
      <c r="L628" s="26">
        <v>358</v>
      </c>
      <c r="M628">
        <f t="shared" si="11"/>
        <v>358</v>
      </c>
      <c r="O62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Row],[orderNum]],ТабПозиции[orderSumm])&gt;1500),ABS(M628*VLOOKUP(ТабПозиции[[#This Row],[orderNum]],ТабЗаказы[#Data],MATCH("Percent",ТабЗаказы[#Headers],0),0))/100,200/COUNTIF(ТабПозиции[orderNum],ТабПозиции[[#This Row],[orderNum]])),0),"")</f>
        <v>54</v>
      </c>
      <c r="P628">
        <f>IF(OR(ТабПозиции[[#This Row],[item]]="По штрихкоду",ТабПозиции[[#This Row],[item]]="Посылка"),ТабПозиции[[#This Row],[deliverySumm]]+ТабПозиции[[#This Row],[deliveryPost]],SUM(M628:O628))</f>
        <v>412</v>
      </c>
      <c r="Q628" s="57">
        <v>412</v>
      </c>
      <c r="R628" s="62">
        <f>ТабПозиции[[#This Row],[totalSumm]]-ТабПозиции[[#This Row],[payment]]</f>
        <v>0</v>
      </c>
      <c r="S628" s="34" t="s">
        <v>965</v>
      </c>
      <c r="T628" s="56" t="s">
        <v>3061</v>
      </c>
      <c r="U628" s="56" t="s">
        <v>3061</v>
      </c>
      <c r="V628" s="56" t="s">
        <v>3061</v>
      </c>
      <c r="W628" s="7"/>
      <c r="X628"/>
    </row>
    <row r="629" spans="1:24" x14ac:dyDescent="0.25">
      <c r="A629" s="26">
        <v>173</v>
      </c>
      <c r="B629" s="1">
        <f>IFERROR(VLOOKUP(ТабПозиции[[#This Row],[orderNum]],ТабЗаказы[#Data],MATCH(B$7,ТабЗаказы[#Headers],0),0),"")</f>
        <v>45485</v>
      </c>
      <c r="C629" t="str">
        <f>MONTH(ТабПозиции[[#This Row],[date]])&amp;"/"&amp;YEAR(ТабПозиции[[#This Row],[date]])</f>
        <v>7/2024</v>
      </c>
      <c r="D629" s="1" t="str">
        <f>IFERROR(VLOOKUP(ТабПозиции[[#This Row],[orderNum]],ТабЗаказы[#Data],MATCH(D$7,ТабЗаказы[#Headers],0),0),"")</f>
        <v>Александра Шлаковый</v>
      </c>
      <c r="E629" s="26" t="s">
        <v>32</v>
      </c>
      <c r="F629" s="56" t="s">
        <v>3061</v>
      </c>
      <c r="H629" s="34">
        <v>45485</v>
      </c>
      <c r="I629" s="26">
        <v>1</v>
      </c>
      <c r="J629" s="26">
        <v>5780</v>
      </c>
      <c r="K629">
        <v>5780</v>
      </c>
      <c r="L629" s="26">
        <v>5780</v>
      </c>
      <c r="M629">
        <f t="shared" si="11"/>
        <v>5780</v>
      </c>
      <c r="O62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Row],[orderNum]],ТабПозиции[orderSumm])&gt;1500),ABS(M629*VLOOKUP(ТабПозиции[[#This Row],[orderNum]],ТабЗаказы[#Data],MATCH("Percent",ТабЗаказы[#Headers],0),0))/100,200/COUNTIF(ТабПозиции[orderNum],ТабПозиции[[#This Row],[orderNum]])),0),"")</f>
        <v>867</v>
      </c>
      <c r="P629">
        <f>IF(OR(ТабПозиции[[#This Row],[item]]="По штрихкоду",ТабПозиции[[#This Row],[item]]="Посылка"),ТабПозиции[[#This Row],[deliverySumm]]+ТабПозиции[[#This Row],[deliveryPost]],SUM(M629:O629))</f>
        <v>867</v>
      </c>
      <c r="Q629" s="57">
        <v>867</v>
      </c>
      <c r="R629" s="62">
        <f>ТабПозиции[[#This Row],[totalSumm]]-ТабПозиции[[#This Row],[payment]]</f>
        <v>0</v>
      </c>
      <c r="S629" s="34" t="s">
        <v>965</v>
      </c>
      <c r="T629" s="56" t="s">
        <v>3061</v>
      </c>
      <c r="U629" s="56" t="s">
        <v>3061</v>
      </c>
      <c r="V629" s="56" t="s">
        <v>3061</v>
      </c>
      <c r="W629" s="7"/>
      <c r="X629"/>
    </row>
    <row r="630" spans="1:24" x14ac:dyDescent="0.25">
      <c r="A630" s="26">
        <v>174</v>
      </c>
      <c r="B630" s="1">
        <f>IFERROR(VLOOKUP(ТабПозиции[[#This Row],[orderNum]],ТабЗаказы[#Data],MATCH(B$7,ТабЗаказы[#Headers],0),0),"")</f>
        <v>45485</v>
      </c>
      <c r="C630" t="str">
        <f>MONTH(ТабПозиции[[#This Row],[date]])&amp;"/"&amp;YEAR(ТабПозиции[[#This Row],[date]])</f>
        <v>7/2024</v>
      </c>
      <c r="D630" s="1" t="str">
        <f>IFERROR(VLOOKUP(ТабПозиции[[#This Row],[orderNum]],ТабЗаказы[#Data],MATCH(D$7,ТабЗаказы[#Headers],0),0),"")</f>
        <v>Анатолий Правый</v>
      </c>
      <c r="E630" s="26" t="s">
        <v>32</v>
      </c>
      <c r="F630" s="56" t="s">
        <v>3061</v>
      </c>
      <c r="H630" s="34">
        <v>45485</v>
      </c>
      <c r="I630" s="26">
        <v>1</v>
      </c>
      <c r="J630" s="26">
        <f>1113*10</f>
        <v>11130</v>
      </c>
      <c r="K630">
        <v>11130</v>
      </c>
      <c r="L630" s="26">
        <f>1113*10</f>
        <v>11130</v>
      </c>
      <c r="M630">
        <f t="shared" si="11"/>
        <v>11130</v>
      </c>
      <c r="O63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Row],[orderNum]],ТабПозиции[orderSumm])&gt;1500),ABS(M630*VLOOKUP(ТабПозиции[[#This Row],[orderNum]],ТабЗаказы[#Data],MATCH("Percent",ТабЗаказы[#Headers],0),0))/100,200/COUNTIF(ТабПозиции[orderNum],ТабПозиции[[#This Row],[orderNum]])),0),"")</f>
        <v>1113</v>
      </c>
      <c r="P630">
        <f>IF(OR(ТабПозиции[[#This Row],[item]]="По штрихкоду",ТабПозиции[[#This Row],[item]]="Посылка"),ТабПозиции[[#This Row],[deliverySumm]]+ТабПозиции[[#This Row],[deliveryPost]],SUM(M630:O630))</f>
        <v>1113</v>
      </c>
      <c r="Q630" s="57">
        <v>1113</v>
      </c>
      <c r="R630" s="62">
        <f>ТабПозиции[[#This Row],[totalSumm]]-ТабПозиции[[#This Row],[payment]]</f>
        <v>0</v>
      </c>
      <c r="S630" s="34" t="s">
        <v>955</v>
      </c>
      <c r="T630" s="56" t="s">
        <v>3061</v>
      </c>
      <c r="U630" s="56" t="s">
        <v>3061</v>
      </c>
      <c r="V630" s="56" t="s">
        <v>3061</v>
      </c>
      <c r="W630" s="7"/>
      <c r="X630"/>
    </row>
    <row r="631" spans="1:24" x14ac:dyDescent="0.25">
      <c r="A631" s="26">
        <v>172</v>
      </c>
      <c r="B631" s="1">
        <f>IFERROR(VLOOKUP(ТабПозиции[[#This Row],[orderNum]],ТабЗаказы[#Data],MATCH(B$7,ТабЗаказы[#Headers],0),0),"")</f>
        <v>45481</v>
      </c>
      <c r="C631" t="str">
        <f>MONTH(ТабПозиции[[#This Row],[date]])&amp;"/"&amp;YEAR(ТабПозиции[[#This Row],[date]])</f>
        <v>7/2024</v>
      </c>
      <c r="D631" s="1" t="str">
        <f>IFERROR(VLOOKUP(ТабПозиции[[#This Row],[orderNum]],ТабЗаказы[#Data],MATCH(D$7,ТабЗаказы[#Headers],0),0),"")</f>
        <v>Лариса Кирова</v>
      </c>
      <c r="E631" s="32" t="s">
        <v>1119</v>
      </c>
      <c r="F631" s="56" t="s">
        <v>3061</v>
      </c>
      <c r="H631" s="34">
        <v>45487</v>
      </c>
      <c r="I631" s="26">
        <v>1</v>
      </c>
      <c r="J631" s="26">
        <v>345</v>
      </c>
      <c r="K631">
        <v>345</v>
      </c>
      <c r="L631" s="26">
        <v>360</v>
      </c>
      <c r="M631">
        <f t="shared" si="11"/>
        <v>360</v>
      </c>
      <c r="O63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Row],[orderNum]],ТабПозиции[orderSumm])&gt;1500),ABS(M631*VLOOKUP(ТабПозиции[[#This Row],[orderNum]],ТабЗаказы[#Data],MATCH("Percent",ТабЗаказы[#Headers],0),0))/100,200/COUNTIF(ТабПозиции[orderNum],ТабПозиции[[#This Row],[orderNum]])),0),"")</f>
        <v>54</v>
      </c>
      <c r="P631">
        <f>IF(OR(ТабПозиции[[#This Row],[item]]="По штрихкоду",ТабПозиции[[#This Row],[item]]="Посылка"),ТабПозиции[[#This Row],[deliverySumm]]+ТабПозиции[[#This Row],[deliveryPost]],SUM(M631:O631))</f>
        <v>414</v>
      </c>
      <c r="Q631" s="57">
        <v>414</v>
      </c>
      <c r="R631" s="62">
        <f>ТабПозиции[[#This Row],[totalSumm]]-ТабПозиции[[#This Row],[payment]]</f>
        <v>0</v>
      </c>
      <c r="S631" s="34" t="s">
        <v>965</v>
      </c>
      <c r="T631" s="56" t="s">
        <v>3061</v>
      </c>
      <c r="U631" s="56" t="s">
        <v>3061</v>
      </c>
      <c r="V631" s="56" t="s">
        <v>3061</v>
      </c>
      <c r="W631" s="7"/>
      <c r="X631"/>
    </row>
    <row r="632" spans="1:24" x14ac:dyDescent="0.25">
      <c r="A632" s="26">
        <v>172</v>
      </c>
      <c r="B632" s="1">
        <f>IFERROR(VLOOKUP(ТабПозиции[[#This Row],[orderNum]],ТабЗаказы[#Data],MATCH(B$7,ТабЗаказы[#Headers],0),0),"")</f>
        <v>45481</v>
      </c>
      <c r="C632" t="str">
        <f>MONTH(ТабПозиции[[#This Row],[date]])&amp;"/"&amp;YEAR(ТабПозиции[[#This Row],[date]])</f>
        <v>7/2024</v>
      </c>
      <c r="D632" s="1" t="str">
        <f>IFERROR(VLOOKUP(ТабПозиции[[#This Row],[orderNum]],ТабЗаказы[#Data],MATCH(D$7,ТабЗаказы[#Headers],0),0),"")</f>
        <v>Лариса Кирова</v>
      </c>
      <c r="E632" s="32" t="s">
        <v>1120</v>
      </c>
      <c r="F632" s="56" t="s">
        <v>3061</v>
      </c>
      <c r="H632" s="34">
        <v>45489</v>
      </c>
      <c r="I632" s="26">
        <v>1</v>
      </c>
      <c r="J632" s="26">
        <v>626</v>
      </c>
      <c r="K632">
        <v>626</v>
      </c>
      <c r="L632" s="26">
        <v>674</v>
      </c>
      <c r="M632">
        <f t="shared" si="11"/>
        <v>674</v>
      </c>
      <c r="O63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Row],[orderNum]],ТабПозиции[orderSumm])&gt;1500),ABS(M632*VLOOKUP(ТабПозиции[[#This Row],[orderNum]],ТабЗаказы[#Data],MATCH("Percent",ТабЗаказы[#Headers],0),0))/100,200/COUNTIF(ТабПозиции[orderNum],ТабПозиции[[#This Row],[orderNum]])),0),"")</f>
        <v>101</v>
      </c>
      <c r="P632">
        <f>IF(OR(ТабПозиции[[#This Row],[item]]="По штрихкоду",ТабПозиции[[#This Row],[item]]="Посылка"),ТабПозиции[[#This Row],[deliverySumm]]+ТабПозиции[[#This Row],[deliveryPost]],SUM(M632:O632))</f>
        <v>775</v>
      </c>
      <c r="Q632" s="57">
        <v>775</v>
      </c>
      <c r="R632" s="62">
        <f>ТабПозиции[[#This Row],[totalSumm]]-ТабПозиции[[#This Row],[payment]]</f>
        <v>0</v>
      </c>
      <c r="S632" s="34" t="s">
        <v>955</v>
      </c>
      <c r="T632" s="56" t="s">
        <v>3061</v>
      </c>
      <c r="U632" s="56" t="s">
        <v>3061</v>
      </c>
      <c r="V632" s="56" t="s">
        <v>3061</v>
      </c>
      <c r="W632" s="7"/>
      <c r="X632"/>
    </row>
    <row r="633" spans="1:24" x14ac:dyDescent="0.25">
      <c r="A633" s="26">
        <v>172</v>
      </c>
      <c r="B633" s="1">
        <f>IFERROR(VLOOKUP(ТабПозиции[[#This Row],[orderNum]],ТабЗаказы[#Data],MATCH(B$7,ТабЗаказы[#Headers],0),0),"")</f>
        <v>45481</v>
      </c>
      <c r="C633" t="str">
        <f>MONTH(ТабПозиции[[#This Row],[date]])&amp;"/"&amp;YEAR(ТабПозиции[[#This Row],[date]])</f>
        <v>7/2024</v>
      </c>
      <c r="D633" s="1" t="str">
        <f>IFERROR(VLOOKUP(ТабПозиции[[#This Row],[orderNum]],ТабЗаказы[#Data],MATCH(D$7,ТабЗаказы[#Headers],0),0),"")</f>
        <v>Лариса Кирова</v>
      </c>
      <c r="E633" s="32" t="s">
        <v>1121</v>
      </c>
      <c r="F633" s="56" t="s">
        <v>3061</v>
      </c>
      <c r="H633" s="34">
        <v>45489</v>
      </c>
      <c r="I633" s="26">
        <v>1</v>
      </c>
      <c r="J633" s="26">
        <v>787</v>
      </c>
      <c r="K633">
        <v>787</v>
      </c>
      <c r="L633" s="26">
        <v>806</v>
      </c>
      <c r="M633">
        <f t="shared" si="11"/>
        <v>806</v>
      </c>
      <c r="O63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Row],[orderNum]],ТабПозиции[orderSumm])&gt;1500),ABS(M633*VLOOKUP(ТабПозиции[[#This Row],[orderNum]],ТабЗаказы[#Data],MATCH("Percent",ТабЗаказы[#Headers],0),0))/100,200/COUNTIF(ТабПозиции[orderNum],ТабПозиции[[#This Row],[orderNum]])),0),"")</f>
        <v>121</v>
      </c>
      <c r="P633">
        <f>IF(OR(ТабПозиции[[#This Row],[item]]="По штрихкоду",ТабПозиции[[#This Row],[item]]="Посылка"),ТабПозиции[[#This Row],[deliverySumm]]+ТабПозиции[[#This Row],[deliveryPost]],SUM(M633:O633))</f>
        <v>927</v>
      </c>
      <c r="Q633" s="57">
        <v>927</v>
      </c>
      <c r="R633" s="62">
        <f>ТабПозиции[[#This Row],[totalSumm]]-ТабПозиции[[#This Row],[payment]]</f>
        <v>0</v>
      </c>
      <c r="S633" s="34" t="s">
        <v>955</v>
      </c>
      <c r="T633" s="56" t="s">
        <v>3061</v>
      </c>
      <c r="U633" s="56" t="s">
        <v>3061</v>
      </c>
      <c r="V633" s="56" t="s">
        <v>3061</v>
      </c>
      <c r="W633" s="7"/>
      <c r="X633"/>
    </row>
    <row r="634" spans="1:24" x14ac:dyDescent="0.25">
      <c r="A634" s="26">
        <v>175</v>
      </c>
      <c r="B634" s="1">
        <f>IFERROR(VLOOKUP(ТабПозиции[[#This Row],[orderNum]],ТабЗаказы[#Data],MATCH(B$7,ТабЗаказы[#Headers],0),0),"")</f>
        <v>45485</v>
      </c>
      <c r="C634" t="str">
        <f>MONTH(ТабПозиции[[#This Row],[date]])&amp;"/"&amp;YEAR(ТабПозиции[[#This Row],[date]])</f>
        <v>7/2024</v>
      </c>
      <c r="D634" s="1" t="str">
        <f>IFERROR(VLOOKUP(ТабПозиции[[#This Row],[orderNum]],ТабЗаказы[#Data],MATCH(D$7,ТабЗаказы[#Headers],0),0),"")</f>
        <v>Елена Ларисына</v>
      </c>
      <c r="E634" s="32" t="s">
        <v>1122</v>
      </c>
      <c r="F634" s="56" t="s">
        <v>3061</v>
      </c>
      <c r="H634" s="34">
        <v>45494</v>
      </c>
      <c r="I634" s="26">
        <v>2</v>
      </c>
      <c r="J634" s="26">
        <v>453</v>
      </c>
      <c r="K634">
        <v>906</v>
      </c>
      <c r="L634" s="26">
        <v>597</v>
      </c>
      <c r="M634">
        <f t="shared" si="11"/>
        <v>1194</v>
      </c>
      <c r="O63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Row],[orderNum]],ТабПозиции[orderSumm])&gt;1500),ABS(M634*VLOOKUP(ТабПозиции[[#This Row],[orderNum]],ТабЗаказы[#Data],MATCH("Percent",ТабЗаказы[#Headers],0),0))/100,200/COUNTIF(ТабПозиции[orderNum],ТабПозиции[[#This Row],[orderNum]])),0),"")</f>
        <v>179</v>
      </c>
      <c r="P634">
        <f>IF(OR(ТабПозиции[[#This Row],[item]]="По штрихкоду",ТабПозиции[[#This Row],[item]]="Посылка"),ТабПозиции[[#This Row],[deliverySumm]]+ТабПозиции[[#This Row],[deliveryPost]],SUM(M634:O634))</f>
        <v>1373</v>
      </c>
      <c r="Q634" s="57">
        <v>1373</v>
      </c>
      <c r="R634" s="62">
        <f>ТабПозиции[[#This Row],[totalSumm]]-ТабПозиции[[#This Row],[payment]]</f>
        <v>0</v>
      </c>
      <c r="S634" s="34" t="s">
        <v>955</v>
      </c>
      <c r="T634" s="56" t="s">
        <v>3061</v>
      </c>
      <c r="U634" s="56" t="s">
        <v>3061</v>
      </c>
      <c r="V634" s="56" t="s">
        <v>3061</v>
      </c>
      <c r="W634" s="7"/>
      <c r="X634"/>
    </row>
    <row r="635" spans="1:24" x14ac:dyDescent="0.25">
      <c r="A635" s="26">
        <v>175</v>
      </c>
      <c r="B635" s="1">
        <f>IFERROR(VLOOKUP(ТабПозиции[[#This Row],[orderNum]],ТабЗаказы[#Data],MATCH(B$7,ТабЗаказы[#Headers],0),0),"")</f>
        <v>45485</v>
      </c>
      <c r="C635" t="str">
        <f>MONTH(ТабПозиции[[#This Row],[date]])&amp;"/"&amp;YEAR(ТабПозиции[[#This Row],[date]])</f>
        <v>7/2024</v>
      </c>
      <c r="D635" s="1" t="str">
        <f>IFERROR(VLOOKUP(ТабПозиции[[#This Row],[orderNum]],ТабЗаказы[#Data],MATCH(D$7,ТабЗаказы[#Headers],0),0),"")</f>
        <v>Елена Ларисына</v>
      </c>
      <c r="E635" s="32" t="s">
        <v>1123</v>
      </c>
      <c r="F635" s="56" t="s">
        <v>3061</v>
      </c>
      <c r="H635" s="34">
        <v>45493</v>
      </c>
      <c r="I635" s="26">
        <v>1</v>
      </c>
      <c r="J635" s="26">
        <v>699</v>
      </c>
      <c r="K635">
        <v>699</v>
      </c>
      <c r="L635" s="26">
        <v>754</v>
      </c>
      <c r="M635">
        <f t="shared" si="11"/>
        <v>754</v>
      </c>
      <c r="O63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Row],[orderNum]],ТабПозиции[orderSumm])&gt;1500),ABS(M635*VLOOKUP(ТабПозиции[[#This Row],[orderNum]],ТабЗаказы[#Data],MATCH("Percent",ТабЗаказы[#Headers],0),0))/100,200/COUNTIF(ТабПозиции[orderNum],ТабПозиции[[#This Row],[orderNum]])),0),"")</f>
        <v>113</v>
      </c>
      <c r="P635">
        <f>IF(OR(ТабПозиции[[#This Row],[item]]="По штрихкоду",ТабПозиции[[#This Row],[item]]="Посылка"),ТабПозиции[[#This Row],[deliverySumm]]+ТабПозиции[[#This Row],[deliveryPost]],SUM(M635:O635))</f>
        <v>867</v>
      </c>
      <c r="Q635" s="57">
        <v>867</v>
      </c>
      <c r="R635" s="62">
        <f>ТабПозиции[[#This Row],[totalSumm]]-ТабПозиции[[#This Row],[payment]]</f>
        <v>0</v>
      </c>
      <c r="S635" s="34" t="s">
        <v>955</v>
      </c>
      <c r="T635" s="56" t="s">
        <v>3061</v>
      </c>
      <c r="U635" s="56" t="s">
        <v>3061</v>
      </c>
      <c r="V635" s="56" t="s">
        <v>3061</v>
      </c>
      <c r="W635" s="7"/>
      <c r="X635"/>
    </row>
    <row r="636" spans="1:24" x14ac:dyDescent="0.25">
      <c r="A636" s="26">
        <v>175</v>
      </c>
      <c r="B636" s="1">
        <f>IFERROR(VLOOKUP(ТабПозиции[[#This Row],[orderNum]],ТабЗаказы[#Data],MATCH(B$7,ТабЗаказы[#Headers],0),0),"")</f>
        <v>45485</v>
      </c>
      <c r="C636" t="str">
        <f>MONTH(ТабПозиции[[#This Row],[date]])&amp;"/"&amp;YEAR(ТабПозиции[[#This Row],[date]])</f>
        <v>7/2024</v>
      </c>
      <c r="D636" s="1" t="str">
        <f>IFERROR(VLOOKUP(ТабПозиции[[#This Row],[orderNum]],ТабЗаказы[#Data],MATCH(D$7,ТабЗаказы[#Headers],0),0),"")</f>
        <v>Елена Ларисына</v>
      </c>
      <c r="E636" s="32" t="s">
        <v>1124</v>
      </c>
      <c r="F636" s="56" t="s">
        <v>3061</v>
      </c>
      <c r="H636" s="34">
        <v>45489</v>
      </c>
      <c r="I636" s="26">
        <v>1</v>
      </c>
      <c r="J636" s="26">
        <v>139</v>
      </c>
      <c r="K636">
        <v>139</v>
      </c>
      <c r="L636" s="26">
        <v>142</v>
      </c>
      <c r="M636">
        <f t="shared" si="11"/>
        <v>142</v>
      </c>
      <c r="O63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Row],[orderNum]],ТабПозиции[orderSumm])&gt;1500),ABS(M636*VLOOKUP(ТабПозиции[[#This Row],[orderNum]],ТабЗаказы[#Data],MATCH("Percent",ТабЗаказы[#Headers],0),0))/100,200/COUNTIF(ТабПозиции[orderNum],ТабПозиции[[#This Row],[orderNum]])),0),"")</f>
        <v>21</v>
      </c>
      <c r="P636">
        <f>IF(OR(ТабПозиции[[#This Row],[item]]="По штрихкоду",ТабПозиции[[#This Row],[item]]="Посылка"),ТабПозиции[[#This Row],[deliverySumm]]+ТабПозиции[[#This Row],[deliveryPost]],SUM(M636:O636))</f>
        <v>163</v>
      </c>
      <c r="Q636" s="57">
        <v>163</v>
      </c>
      <c r="R636" s="62">
        <f>ТабПозиции[[#This Row],[totalSumm]]-ТабПозиции[[#This Row],[payment]]</f>
        <v>0</v>
      </c>
      <c r="S636" s="34" t="s">
        <v>955</v>
      </c>
      <c r="T636" s="56" t="s">
        <v>3061</v>
      </c>
      <c r="U636" s="56" t="s">
        <v>3061</v>
      </c>
      <c r="V636" s="56" t="s">
        <v>3061</v>
      </c>
      <c r="W636" s="7"/>
      <c r="X636"/>
    </row>
    <row r="637" spans="1:24" x14ac:dyDescent="0.25">
      <c r="A637" s="26">
        <v>172</v>
      </c>
      <c r="B637" s="1">
        <f>IFERROR(VLOOKUP(ТабПозиции[[#This Row],[orderNum]],ТабЗаказы[#Data],MATCH(B$7,ТабЗаказы[#Headers],0),0),"")</f>
        <v>45481</v>
      </c>
      <c r="C637" t="str">
        <f>MONTH(ТабПозиции[[#This Row],[date]])&amp;"/"&amp;YEAR(ТабПозиции[[#This Row],[date]])</f>
        <v>7/2024</v>
      </c>
      <c r="D637" s="1" t="str">
        <f>IFERROR(VLOOKUP(ТабПозиции[[#This Row],[orderNum]],ТабЗаказы[#Data],MATCH(D$7,ТабЗаказы[#Headers],0),0),"")</f>
        <v>Лариса Кирова</v>
      </c>
      <c r="E637" s="32" t="s">
        <v>934</v>
      </c>
      <c r="F637" s="56" t="s">
        <v>3061</v>
      </c>
      <c r="H637" s="34">
        <v>45488</v>
      </c>
      <c r="I637" s="26">
        <v>1</v>
      </c>
      <c r="J637" s="26">
        <v>221</v>
      </c>
      <c r="K637">
        <v>221</v>
      </c>
      <c r="L637" s="26">
        <v>231</v>
      </c>
      <c r="M637">
        <f t="shared" si="11"/>
        <v>231</v>
      </c>
      <c r="O63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Row],[orderNum]],ТабПозиции[orderSumm])&gt;1500),ABS(M637*VLOOKUP(ТабПозиции[[#This Row],[orderNum]],ТабЗаказы[#Data],MATCH("Percent",ТабЗаказы[#Headers],0),0))/100,200/COUNTIF(ТабПозиции[orderNum],ТабПозиции[[#This Row],[orderNum]])),0),"")</f>
        <v>35</v>
      </c>
      <c r="P637">
        <f>IF(OR(ТабПозиции[[#This Row],[item]]="По штрихкоду",ТабПозиции[[#This Row],[item]]="Посылка"),ТабПозиции[[#This Row],[deliverySumm]]+ТабПозиции[[#This Row],[deliveryPost]],SUM(M637:O637))</f>
        <v>266</v>
      </c>
      <c r="Q637" s="57">
        <v>266</v>
      </c>
      <c r="R637" s="62">
        <f>ТабПозиции[[#This Row],[totalSumm]]-ТабПозиции[[#This Row],[payment]]</f>
        <v>0</v>
      </c>
      <c r="S637" s="34" t="s">
        <v>965</v>
      </c>
      <c r="T637" s="56" t="s">
        <v>3061</v>
      </c>
      <c r="U637" s="56" t="s">
        <v>3061</v>
      </c>
      <c r="V637" s="56" t="s">
        <v>3061</v>
      </c>
      <c r="W637" s="7"/>
      <c r="X637"/>
    </row>
    <row r="638" spans="1:24" x14ac:dyDescent="0.25">
      <c r="A638" s="26">
        <v>176</v>
      </c>
      <c r="B638" s="1">
        <f>IFERROR(VLOOKUP(ТабПозиции[[#This Row],[orderNum]],ТабЗаказы[#Data],MATCH(B$7,ТабЗаказы[#Headers],0),0),"")</f>
        <v>45487</v>
      </c>
      <c r="C638" t="str">
        <f>MONTH(ТабПозиции[[#This Row],[date]])&amp;"/"&amp;YEAR(ТабПозиции[[#This Row],[date]])</f>
        <v>7/2024</v>
      </c>
      <c r="D638" s="1" t="str">
        <f>IFERROR(VLOOKUP(ТабПозиции[[#This Row],[orderNum]],ТабЗаказы[#Data],MATCH(D$7,ТабЗаказы[#Headers],0),0),"")</f>
        <v>Ольга Македоновка</v>
      </c>
      <c r="E638" s="32" t="s">
        <v>1125</v>
      </c>
      <c r="F638" s="56" t="s">
        <v>3061</v>
      </c>
      <c r="H638" s="34">
        <v>45491</v>
      </c>
      <c r="I638" s="26">
        <v>1</v>
      </c>
      <c r="J638" s="26">
        <v>1238</v>
      </c>
      <c r="K638">
        <v>1238</v>
      </c>
      <c r="L638" s="26">
        <v>1290</v>
      </c>
      <c r="M638">
        <f t="shared" si="11"/>
        <v>1290</v>
      </c>
      <c r="O63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Row],[orderNum]],ТабПозиции[orderSumm])&gt;1500),ABS(M638*VLOOKUP(ТабПозиции[[#This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638">
        <f>IF(OR(ТабПозиции[[#This Row],[item]]="По штрихкоду",ТабПозиции[[#This Row],[item]]="Посылка"),ТабПозиции[[#This Row],[deliverySumm]]+ТабПозиции[[#This Row],[deliveryPost]],SUM(M638:O638))</f>
        <v>1490</v>
      </c>
      <c r="Q638" s="57">
        <v>1490</v>
      </c>
      <c r="R638" s="62">
        <f>ТабПозиции[[#This Row],[totalSumm]]-ТабПозиции[[#This Row],[payment]]</f>
        <v>0</v>
      </c>
      <c r="S638" s="34" t="s">
        <v>965</v>
      </c>
      <c r="T638" s="56" t="s">
        <v>3061</v>
      </c>
      <c r="U638" s="56" t="s">
        <v>3061</v>
      </c>
      <c r="V638" s="56" t="s">
        <v>3061</v>
      </c>
      <c r="W638" s="7"/>
      <c r="X638"/>
    </row>
    <row r="639" spans="1:24" x14ac:dyDescent="0.25">
      <c r="A639" s="26">
        <v>177</v>
      </c>
      <c r="B639" s="1">
        <f>IFERROR(VLOOKUP(ТабПозиции[[#This Row],[orderNum]],ТабЗаказы[#Data],MATCH(B$7,ТабЗаказы[#Headers],0),0),"")</f>
        <v>45490</v>
      </c>
      <c r="C639" t="str">
        <f>MONTH(ТабПозиции[[#This Row],[date]])&amp;"/"&amp;YEAR(ТабПозиции[[#This Row],[date]])</f>
        <v>7/2024</v>
      </c>
      <c r="D639" s="1" t="str">
        <f>IFERROR(VLOOKUP(ТабПозиции[[#This Row],[orderNum]],ТабЗаказы[#Data],MATCH(D$7,ТабЗаказы[#Headers],0),0),"")</f>
        <v>Юля Ларисына</v>
      </c>
      <c r="E639" s="32" t="s">
        <v>1126</v>
      </c>
      <c r="F639" s="56" t="s">
        <v>3061</v>
      </c>
      <c r="H639" s="34">
        <v>45495</v>
      </c>
      <c r="I639" s="26">
        <v>1</v>
      </c>
      <c r="J639" s="26">
        <v>627</v>
      </c>
      <c r="K639">
        <v>627</v>
      </c>
      <c r="L639" s="26">
        <v>654</v>
      </c>
      <c r="M639">
        <f t="shared" si="11"/>
        <v>654</v>
      </c>
      <c r="O63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Row],[orderNum]],ТабПозиции[orderSumm])&gt;1500),ABS(M639*VLOOKUP(ТабПозиции[[#This Row],[orderNum]],ТабЗаказы[#Data],MATCH("Percent",ТабЗаказы[#Headers],0),0))/100,200/COUNTIF(ТабПозиции[orderNum],ТабПозиции[[#This Row],[orderNum]])),0),"")</f>
        <v>98</v>
      </c>
      <c r="P639">
        <f>IF(OR(ТабПозиции[[#This Row],[item]]="По штрихкоду",ТабПозиции[[#This Row],[item]]="Посылка"),ТабПозиции[[#This Row],[deliverySumm]]+ТабПозиции[[#This Row],[deliveryPost]],SUM(M639:O639))</f>
        <v>752</v>
      </c>
      <c r="Q639" s="57">
        <v>752</v>
      </c>
      <c r="R639" s="62">
        <f>ТабПозиции[[#This Row],[totalSumm]]-ТабПозиции[[#This Row],[payment]]</f>
        <v>0</v>
      </c>
      <c r="S639" s="34" t="s">
        <v>965</v>
      </c>
      <c r="T639" s="56" t="s">
        <v>3061</v>
      </c>
      <c r="U639" s="56" t="s">
        <v>3061</v>
      </c>
      <c r="V639" s="56" t="s">
        <v>3061</v>
      </c>
      <c r="W639" s="7"/>
      <c r="X639"/>
    </row>
    <row r="640" spans="1:24" x14ac:dyDescent="0.25">
      <c r="A640" s="26">
        <v>177</v>
      </c>
      <c r="B640" s="1">
        <f>IFERROR(VLOOKUP(ТабПозиции[[#This Row],[orderNum]],ТабЗаказы[#Data],MATCH(B$7,ТабЗаказы[#Headers],0),0),"")</f>
        <v>45490</v>
      </c>
      <c r="C640" t="str">
        <f>MONTH(ТабПозиции[[#This Row],[date]])&amp;"/"&amp;YEAR(ТабПозиции[[#This Row],[date]])</f>
        <v>7/2024</v>
      </c>
      <c r="D640" s="1" t="str">
        <f>IFERROR(VLOOKUP(ТабПозиции[[#This Row],[orderNum]],ТабЗаказы[#Data],MATCH(D$7,ТабЗаказы[#Headers],0),0),"")</f>
        <v>Юля Ларисына</v>
      </c>
      <c r="E640" s="32" t="s">
        <v>1127</v>
      </c>
      <c r="F640" s="56" t="s">
        <v>3061</v>
      </c>
      <c r="H640" s="34">
        <v>45492</v>
      </c>
      <c r="I640" s="26">
        <v>1</v>
      </c>
      <c r="J640" s="26">
        <v>451</v>
      </c>
      <c r="K640">
        <v>451</v>
      </c>
      <c r="L640" s="26">
        <v>470</v>
      </c>
      <c r="M640">
        <f t="shared" si="11"/>
        <v>470</v>
      </c>
      <c r="O64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Row],[orderNum]],ТабПозиции[orderSumm])&gt;1500),ABS(M640*VLOOKUP(ТабПозиции[[#This Row],[orderNum]],ТабЗаказы[#Data],MATCH("Percent",ТабЗаказы[#Headers],0),0))/100,200/COUNTIF(ТабПозиции[orderNum],ТабПозиции[[#This Row],[orderNum]])),0),"")</f>
        <v>71</v>
      </c>
      <c r="P640">
        <f>IF(OR(ТабПозиции[[#This Row],[item]]="По штрихкоду",ТабПозиции[[#This Row],[item]]="Посылка"),ТабПозиции[[#This Row],[deliverySumm]]+ТабПозиции[[#This Row],[deliveryPost]],SUM(M640:O640))</f>
        <v>541</v>
      </c>
      <c r="Q640" s="57">
        <v>541</v>
      </c>
      <c r="R640" s="62">
        <f>ТабПозиции[[#This Row],[totalSumm]]-ТабПозиции[[#This Row],[payment]]</f>
        <v>0</v>
      </c>
      <c r="S640" s="34" t="s">
        <v>965</v>
      </c>
      <c r="T640" s="56" t="s">
        <v>3061</v>
      </c>
      <c r="U640" s="56" t="s">
        <v>3061</v>
      </c>
      <c r="V640" s="56" t="s">
        <v>3061</v>
      </c>
      <c r="W640" s="7"/>
      <c r="X640"/>
    </row>
    <row r="641" spans="1:24" x14ac:dyDescent="0.25">
      <c r="A641" s="26">
        <v>177</v>
      </c>
      <c r="B641" s="1">
        <f>IFERROR(VLOOKUP(ТабПозиции[[#This Row],[orderNum]],ТабЗаказы[#Data],MATCH(B$7,ТабЗаказы[#Headers],0),0),"")</f>
        <v>45490</v>
      </c>
      <c r="C641" t="str">
        <f>MONTH(ТабПозиции[[#This Row],[date]])&amp;"/"&amp;YEAR(ТабПозиции[[#This Row],[date]])</f>
        <v>7/2024</v>
      </c>
      <c r="D641" s="1" t="str">
        <f>IFERROR(VLOOKUP(ТабПозиции[[#This Row],[orderNum]],ТабЗаказы[#Data],MATCH(D$7,ТабЗаказы[#Headers],0),0),"")</f>
        <v>Юля Ларисына</v>
      </c>
      <c r="E641" s="32" t="s">
        <v>1128</v>
      </c>
      <c r="F641" s="56" t="s">
        <v>3061</v>
      </c>
      <c r="H641" s="34">
        <v>45492</v>
      </c>
      <c r="I641" s="26">
        <v>1</v>
      </c>
      <c r="J641" s="26">
        <v>285</v>
      </c>
      <c r="K641">
        <v>285</v>
      </c>
      <c r="L641" s="26">
        <v>297</v>
      </c>
      <c r="M641">
        <f t="shared" si="11"/>
        <v>297</v>
      </c>
      <c r="O64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Row],[orderNum]],ТабПозиции[orderSumm])&gt;1500),ABS(M641*VLOOKUP(ТабПозиции[[#This Row],[orderNum]],ТабЗаказы[#Data],MATCH("Percent",ТабЗаказы[#Headers],0),0))/100,200/COUNTIF(ТабПозиции[orderNum],ТабПозиции[[#This Row],[orderNum]])),0),"")</f>
        <v>45</v>
      </c>
      <c r="P641">
        <f>IF(OR(ТабПозиции[[#This Row],[item]]="По штрихкоду",ТабПозиции[[#This Row],[item]]="Посылка"),ТабПозиции[[#This Row],[deliverySumm]]+ТабПозиции[[#This Row],[deliveryPost]],SUM(M641:O641))</f>
        <v>342</v>
      </c>
      <c r="Q641" s="57">
        <v>342</v>
      </c>
      <c r="R641" s="62">
        <f>ТабПозиции[[#This Row],[totalSumm]]-ТабПозиции[[#This Row],[payment]]</f>
        <v>0</v>
      </c>
      <c r="S641" s="34" t="s">
        <v>965</v>
      </c>
      <c r="T641" s="56" t="s">
        <v>3061</v>
      </c>
      <c r="U641" s="56" t="s">
        <v>3061</v>
      </c>
      <c r="V641" s="56" t="s">
        <v>3061</v>
      </c>
      <c r="W641" s="7"/>
      <c r="X641"/>
    </row>
    <row r="642" spans="1:24" x14ac:dyDescent="0.25">
      <c r="A642" s="26">
        <v>177</v>
      </c>
      <c r="B642" s="1">
        <f>IFERROR(VLOOKUP(ТабПозиции[[#This Row],[orderNum]],ТабЗаказы[#Data],MATCH(B$7,ТабЗаказы[#Headers],0),0),"")</f>
        <v>45490</v>
      </c>
      <c r="C642" t="str">
        <f>MONTH(ТабПозиции[[#This Row],[date]])&amp;"/"&amp;YEAR(ТабПозиции[[#This Row],[date]])</f>
        <v>7/2024</v>
      </c>
      <c r="D642" s="1" t="str">
        <f>IFERROR(VLOOKUP(ТабПозиции[[#This Row],[orderNum]],ТабЗаказы[#Data],MATCH(D$7,ТабЗаказы[#Headers],0),0),"")</f>
        <v>Юля Ларисына</v>
      </c>
      <c r="E642" s="32" t="s">
        <v>1129</v>
      </c>
      <c r="F642" s="56" t="s">
        <v>3061</v>
      </c>
      <c r="H642" s="34">
        <v>45492</v>
      </c>
      <c r="I642" s="26">
        <v>1</v>
      </c>
      <c r="J642" s="26">
        <v>381</v>
      </c>
      <c r="K642">
        <v>381</v>
      </c>
      <c r="L642" s="26">
        <v>397</v>
      </c>
      <c r="M642">
        <f t="shared" si="11"/>
        <v>397</v>
      </c>
      <c r="O64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Row],[orderNum]],ТабПозиции[orderSumm])&gt;1500),ABS(M642*VLOOKUP(ТабПозиции[[#This Row],[orderNum]],ТабЗаказы[#Data],MATCH("Percent",ТабЗаказы[#Headers],0),0))/100,200/COUNTIF(ТабПозиции[orderNum],ТабПозиции[[#This Row],[orderNum]])),0),"")</f>
        <v>60</v>
      </c>
      <c r="P642">
        <f>IF(OR(ТабПозиции[[#This Row],[item]]="По штрихкоду",ТабПозиции[[#This Row],[item]]="Посылка"),ТабПозиции[[#This Row],[deliverySumm]]+ТабПозиции[[#This Row],[deliveryPost]],SUM(M642:O642))</f>
        <v>457</v>
      </c>
      <c r="Q642" s="57">
        <v>457</v>
      </c>
      <c r="R642" s="62">
        <f>ТабПозиции[[#This Row],[totalSumm]]-ТабПозиции[[#This Row],[payment]]</f>
        <v>0</v>
      </c>
      <c r="S642" s="34" t="s">
        <v>965</v>
      </c>
      <c r="T642" s="56" t="s">
        <v>3061</v>
      </c>
      <c r="U642" s="56" t="s">
        <v>3061</v>
      </c>
      <c r="V642" s="56" t="s">
        <v>3061</v>
      </c>
      <c r="W642" s="7"/>
      <c r="X642"/>
    </row>
    <row r="643" spans="1:24" x14ac:dyDescent="0.25">
      <c r="A643" s="26">
        <v>178</v>
      </c>
      <c r="B643" s="1">
        <f>IFERROR(VLOOKUP(ТабПозиции[[#This Row],[orderNum]],ТабЗаказы[#Data],MATCH(B$7,ТабЗаказы[#Headers],0),0),"")</f>
        <v>45490</v>
      </c>
      <c r="C643" t="str">
        <f>MONTH(ТабПозиции[[#This Row],[date]])&amp;"/"&amp;YEAR(ТабПозиции[[#This Row],[date]])</f>
        <v>7/2024</v>
      </c>
      <c r="D643" s="1" t="str">
        <f>IFERROR(VLOOKUP(ТабПозиции[[#This Row],[orderNum]],ТабЗаказы[#Data],MATCH(D$7,ТабЗаказы[#Headers],0),0),"")</f>
        <v>Юля Ларисына</v>
      </c>
      <c r="E643" s="32" t="s">
        <v>1130</v>
      </c>
      <c r="F643" s="56" t="s">
        <v>3061</v>
      </c>
      <c r="H643" s="34">
        <v>45494</v>
      </c>
      <c r="I643" s="26">
        <v>1</v>
      </c>
      <c r="J643" s="26">
        <v>21360</v>
      </c>
      <c r="K643">
        <v>21360</v>
      </c>
      <c r="L643" s="26">
        <v>22251</v>
      </c>
      <c r="M643">
        <f t="shared" si="11"/>
        <v>22251</v>
      </c>
      <c r="O64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Row],[orderNum]],ТабПозиции[orderSumm])&gt;1500),ABS(M643*VLOOKUP(ТабПозиции[[#This Row],[orderNum]],ТабЗаказы[#Data],MATCH("Percent",ТабЗаказы[#Headers],0),0))/100,200/COUNTIF(ТабПозиции[orderNum],ТабПозиции[[#This Row],[orderNum]])),0),"")</f>
        <v>2225</v>
      </c>
      <c r="P643">
        <f>IF(OR(ТабПозиции[[#This Row],[item]]="По штрихкоду",ТабПозиции[[#This Row],[item]]="Посылка"),ТабПозиции[[#This Row],[deliverySumm]]+ТабПозиции[[#This Row],[deliveryPost]],SUM(M643:O643))</f>
        <v>24476</v>
      </c>
      <c r="Q643" s="57">
        <v>24476</v>
      </c>
      <c r="R643" s="62">
        <f>ТабПозиции[[#This Row],[totalSumm]]-ТабПозиции[[#This Row],[payment]]</f>
        <v>0</v>
      </c>
      <c r="S643" s="34" t="s">
        <v>965</v>
      </c>
      <c r="T643" s="56" t="s">
        <v>3061</v>
      </c>
      <c r="U643" s="56" t="s">
        <v>3061</v>
      </c>
      <c r="V643" s="56" t="s">
        <v>3061</v>
      </c>
      <c r="W643" s="7"/>
      <c r="X643"/>
    </row>
    <row r="644" spans="1:24" x14ac:dyDescent="0.25">
      <c r="A644" s="26">
        <v>179</v>
      </c>
      <c r="B644" s="1">
        <f>IFERROR(VLOOKUP(ТабПозиции[[#This Row],[orderNum]],ТабЗаказы[#Data],MATCH(B$7,ТабЗаказы[#Headers],0),0),"")</f>
        <v>45490</v>
      </c>
      <c r="C644" t="str">
        <f>MONTH(ТабПозиции[[#This Row],[date]])&amp;"/"&amp;YEAR(ТабПозиции[[#This Row],[date]])</f>
        <v>7/2024</v>
      </c>
      <c r="D644" s="1" t="str">
        <f>IFERROR(VLOOKUP(ТабПозиции[[#This Row],[orderNum]],ТабЗаказы[#Data],MATCH(D$7,ТабЗаказы[#Headers],0),0),"")</f>
        <v>Александр Каскад</v>
      </c>
      <c r="E644" s="32" t="s">
        <v>1131</v>
      </c>
      <c r="F644" s="56" t="s">
        <v>3061</v>
      </c>
      <c r="H644" s="34">
        <v>45498</v>
      </c>
      <c r="I644" s="26">
        <v>1</v>
      </c>
      <c r="J644" s="26">
        <v>14500</v>
      </c>
      <c r="K644">
        <v>14500</v>
      </c>
      <c r="L644" s="26">
        <v>14500</v>
      </c>
      <c r="M644">
        <f t="shared" si="11"/>
        <v>14500</v>
      </c>
      <c r="N644" s="26">
        <f>2609+(2175-1450)</f>
        <v>3334</v>
      </c>
      <c r="O64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Row],[orderNum]],ТабПозиции[orderSumm])&gt;1500),ABS(M644*VLOOKUP(ТабПозиции[[#This Row],[orderNum]],ТабЗаказы[#Data],MATCH("Percent",ТабЗаказы[#Headers],0),0))/100,200/COUNTIF(ТабПозиции[orderNum],ТабПозиции[[#This Row],[orderNum]])),0),"")</f>
        <v>1450</v>
      </c>
      <c r="P644">
        <f>IF(OR(ТабПозиции[[#This Row],[item]]="По штрихкоду",ТабПозиции[[#This Row],[item]]="Посылка"),ТабПозиции[[#This Row],[deliverySumm]]+ТабПозиции[[#This Row],[deliveryPost]],SUM(M644:O644))</f>
        <v>19284</v>
      </c>
      <c r="Q644" s="57">
        <v>19284</v>
      </c>
      <c r="R644" s="62">
        <f>ТабПозиции[[#This Row],[totalSumm]]-ТабПозиции[[#This Row],[payment]]</f>
        <v>0</v>
      </c>
      <c r="S644" s="34" t="s">
        <v>1132</v>
      </c>
      <c r="T644" s="56" t="s">
        <v>3061</v>
      </c>
      <c r="U644" s="56" t="s">
        <v>3061</v>
      </c>
      <c r="V644" s="56" t="s">
        <v>3061</v>
      </c>
      <c r="W644" s="7"/>
      <c r="X644"/>
    </row>
    <row r="645" spans="1:24" x14ac:dyDescent="0.25">
      <c r="A645" s="26">
        <v>180</v>
      </c>
      <c r="B645" s="1">
        <f>IFERROR(VLOOKUP(ТабПозиции[[#This Row],[orderNum]],ТабЗаказы[#Data],MATCH(B$7,ТабЗаказы[#Headers],0),0),"")</f>
        <v>45491</v>
      </c>
      <c r="C645" t="str">
        <f>MONTH(ТабПозиции[[#This Row],[date]])&amp;"/"&amp;YEAR(ТабПозиции[[#This Row],[date]])</f>
        <v>7/2024</v>
      </c>
      <c r="D645" s="1" t="str">
        <f>IFERROR(VLOOKUP(ТабПозиции[[#This Row],[orderNum]],ТабЗаказы[#Data],MATCH(D$7,ТабЗаказы[#Headers],0),0),"")</f>
        <v>Евгений Пономарев</v>
      </c>
      <c r="E645" s="26" t="s">
        <v>32</v>
      </c>
      <c r="F645" s="56" t="s">
        <v>3061</v>
      </c>
      <c r="H645" s="34">
        <v>45492</v>
      </c>
      <c r="I645" s="26">
        <v>1</v>
      </c>
      <c r="J645" s="26">
        <v>832</v>
      </c>
      <c r="K645">
        <v>832</v>
      </c>
      <c r="L645" s="26">
        <v>832</v>
      </c>
      <c r="M645">
        <f t="shared" si="11"/>
        <v>832</v>
      </c>
      <c r="O64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Row],[orderNum]],ТабПозиции[orderSumm])&gt;1500),ABS(M645*VLOOKUP(ТабПозиции[[#This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645">
        <f>IF(OR(ТабПозиции[[#This Row],[item]]="По штрихкоду",ТабПозиции[[#This Row],[item]]="Посылка"),ТабПозиции[[#This Row],[deliverySumm]]+ТабПозиции[[#This Row],[deliveryPost]],SUM(M645:O645))</f>
        <v>200</v>
      </c>
      <c r="Q645" s="57">
        <v>200</v>
      </c>
      <c r="R645" s="62">
        <f>ТабПозиции[[#This Row],[totalSumm]]-ТабПозиции[[#This Row],[payment]]</f>
        <v>0</v>
      </c>
      <c r="S645" s="34" t="s">
        <v>955</v>
      </c>
      <c r="T645" s="56" t="s">
        <v>3061</v>
      </c>
      <c r="U645" s="56" t="s">
        <v>3061</v>
      </c>
      <c r="V645" s="56" t="s">
        <v>3061</v>
      </c>
      <c r="W645" s="7"/>
      <c r="X645"/>
    </row>
    <row r="646" spans="1:24" x14ac:dyDescent="0.25">
      <c r="A646" s="26">
        <v>181</v>
      </c>
      <c r="B646" s="1">
        <f>IFERROR(VLOOKUP(ТабПозиции[[#This Row],[orderNum]],ТабЗаказы[#Data],MATCH(B$7,ТабЗаказы[#Headers],0),0),"")</f>
        <v>45491</v>
      </c>
      <c r="C646" t="str">
        <f>MONTH(ТабПозиции[[#This Row],[date]])&amp;"/"&amp;YEAR(ТабПозиции[[#This Row],[date]])</f>
        <v>7/2024</v>
      </c>
      <c r="D646" s="1" t="str">
        <f>IFERROR(VLOOKUP(ТабПозиции[[#This Row],[orderNum]],ТабЗаказы[#Data],MATCH(D$7,ТабЗаказы[#Headers],0),0),"")</f>
        <v>Юля Ларисына</v>
      </c>
      <c r="E646" s="32" t="s">
        <v>1133</v>
      </c>
      <c r="F646" s="56" t="s">
        <v>3061</v>
      </c>
      <c r="H646" s="34">
        <v>45493</v>
      </c>
      <c r="I646" s="26">
        <v>1</v>
      </c>
      <c r="J646" s="26">
        <v>1513</v>
      </c>
      <c r="K646">
        <v>1513</v>
      </c>
      <c r="L646" s="26">
        <v>1577</v>
      </c>
      <c r="M646">
        <f t="shared" si="11"/>
        <v>1577</v>
      </c>
      <c r="O64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Row],[orderNum]],ТабПозиции[orderSumm])&gt;1500),ABS(M646*VLOOKUP(ТабПозиции[[#This Row],[orderNum]],ТабЗаказы[#Data],MATCH("Percent",ТабЗаказы[#Headers],0),0))/100,200/COUNTIF(ТабПозиции[orderNum],ТабПозиции[[#This Row],[orderNum]])),0),"")</f>
        <v>237</v>
      </c>
      <c r="P646">
        <f>IF(OR(ТабПозиции[[#This Row],[item]]="По штрихкоду",ТабПозиции[[#This Row],[item]]="Посылка"),ТабПозиции[[#This Row],[deliverySumm]]+ТабПозиции[[#This Row],[deliveryPost]],SUM(M646:O646))</f>
        <v>1814</v>
      </c>
      <c r="Q646" s="57">
        <v>1814</v>
      </c>
      <c r="R646" s="62">
        <f>ТабПозиции[[#This Row],[totalSumm]]-ТабПозиции[[#This Row],[payment]]</f>
        <v>0</v>
      </c>
      <c r="S646" s="34" t="s">
        <v>965</v>
      </c>
      <c r="T646" s="56" t="s">
        <v>3061</v>
      </c>
      <c r="U646" s="56" t="s">
        <v>3061</v>
      </c>
      <c r="V646" s="56" t="s">
        <v>3061</v>
      </c>
      <c r="W646" s="7"/>
      <c r="X646"/>
    </row>
    <row r="647" spans="1:24" x14ac:dyDescent="0.25">
      <c r="A647" s="26">
        <v>181</v>
      </c>
      <c r="B647" s="1">
        <f>IFERROR(VLOOKUP(ТабПозиции[[#This Row],[orderNum]],ТабЗаказы[#Data],MATCH(B$7,ТабЗаказы[#Headers],0),0),"")</f>
        <v>45491</v>
      </c>
      <c r="C647" t="str">
        <f>MONTH(ТабПозиции[[#This Row],[date]])&amp;"/"&amp;YEAR(ТабПозиции[[#This Row],[date]])</f>
        <v>7/2024</v>
      </c>
      <c r="D647" s="1" t="str">
        <f>IFERROR(VLOOKUP(ТабПозиции[[#This Row],[orderNum]],ТабЗаказы[#Data],MATCH(D$7,ТабЗаказы[#Headers],0),0),"")</f>
        <v>Юля Ларисына</v>
      </c>
      <c r="E647" s="32" t="s">
        <v>1134</v>
      </c>
      <c r="F647" s="56" t="s">
        <v>3061</v>
      </c>
      <c r="H647" s="34">
        <v>45493</v>
      </c>
      <c r="I647" s="26">
        <v>1</v>
      </c>
      <c r="J647" s="26">
        <v>549</v>
      </c>
      <c r="K647">
        <v>549</v>
      </c>
      <c r="L647" s="26">
        <v>572</v>
      </c>
      <c r="M647">
        <f t="shared" si="11"/>
        <v>572</v>
      </c>
      <c r="O64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Row],[orderNum]],ТабПозиции[orderSumm])&gt;1500),ABS(M647*VLOOKUP(ТабПозиции[[#This Row],[orderNum]],ТабЗаказы[#Data],MATCH("Percent",ТабЗаказы[#Headers],0),0))/100,200/COUNTIF(ТабПозиции[orderNum],ТабПозиции[[#This Row],[orderNum]])),0),"")</f>
        <v>86</v>
      </c>
      <c r="P647">
        <f>IF(OR(ТабПозиции[[#This Row],[item]]="По штрихкоду",ТабПозиции[[#This Row],[item]]="Посылка"),ТабПозиции[[#This Row],[deliverySumm]]+ТабПозиции[[#This Row],[deliveryPost]],SUM(M647:O647))</f>
        <v>658</v>
      </c>
      <c r="Q647" s="57">
        <v>658</v>
      </c>
      <c r="R647" s="62">
        <f>ТабПозиции[[#This Row],[totalSumm]]-ТабПозиции[[#This Row],[payment]]</f>
        <v>0</v>
      </c>
      <c r="S647" s="34" t="s">
        <v>965</v>
      </c>
      <c r="T647" s="56" t="s">
        <v>3061</v>
      </c>
      <c r="U647" s="56" t="s">
        <v>3061</v>
      </c>
      <c r="V647" s="56" t="s">
        <v>3061</v>
      </c>
      <c r="W647" s="7"/>
      <c r="X647"/>
    </row>
    <row r="648" spans="1:24" x14ac:dyDescent="0.25">
      <c r="A648" s="26">
        <v>181</v>
      </c>
      <c r="B648" s="1">
        <f>IFERROR(VLOOKUP(ТабПозиции[[#This Row],[orderNum]],ТабЗаказы[#Data],MATCH(B$7,ТабЗаказы[#Headers],0),0),"")</f>
        <v>45491</v>
      </c>
      <c r="C648" t="str">
        <f>MONTH(ТабПозиции[[#This Row],[date]])&amp;"/"&amp;YEAR(ТабПозиции[[#This Row],[date]])</f>
        <v>7/2024</v>
      </c>
      <c r="D648" s="1" t="str">
        <f>IFERROR(VLOOKUP(ТабПозиции[[#This Row],[orderNum]],ТабЗаказы[#Data],MATCH(D$7,ТабЗаказы[#Headers],0),0),"")</f>
        <v>Юля Ларисына</v>
      </c>
      <c r="E648" s="32" t="s">
        <v>1135</v>
      </c>
      <c r="F648" s="56" t="s">
        <v>3061</v>
      </c>
      <c r="H648" s="34">
        <v>45493</v>
      </c>
      <c r="I648" s="26">
        <v>1</v>
      </c>
      <c r="J648" s="26">
        <v>936</v>
      </c>
      <c r="K648">
        <v>936</v>
      </c>
      <c r="L648" s="26">
        <v>976</v>
      </c>
      <c r="M648">
        <f t="shared" si="11"/>
        <v>976</v>
      </c>
      <c r="O64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Row],[orderNum]],ТабПозиции[orderSumm])&gt;1500),ABS(M648*VLOOKUP(ТабПозиции[[#This Row],[orderNum]],ТабЗаказы[#Data],MATCH("Percent",ТабЗаказы[#Headers],0),0))/100,200/COUNTIF(ТабПозиции[orderNum],ТабПозиции[[#This Row],[orderNum]])),0),"")</f>
        <v>146</v>
      </c>
      <c r="P648">
        <f>IF(OR(ТабПозиции[[#This Row],[item]]="По штрихкоду",ТабПозиции[[#This Row],[item]]="Посылка"),ТабПозиции[[#This Row],[deliverySumm]]+ТабПозиции[[#This Row],[deliveryPost]],SUM(M648:O648))</f>
        <v>1122</v>
      </c>
      <c r="Q648" s="57">
        <v>1122</v>
      </c>
      <c r="R648" s="62">
        <f>ТабПозиции[[#This Row],[totalSumm]]-ТабПозиции[[#This Row],[payment]]</f>
        <v>0</v>
      </c>
      <c r="S648" s="34" t="s">
        <v>965</v>
      </c>
      <c r="T648" s="56" t="s">
        <v>3061</v>
      </c>
      <c r="U648" s="56" t="s">
        <v>3061</v>
      </c>
      <c r="V648" s="56" t="s">
        <v>3061</v>
      </c>
      <c r="W648" s="7"/>
      <c r="X648"/>
    </row>
    <row r="649" spans="1:24" x14ac:dyDescent="0.25">
      <c r="A649" s="26">
        <v>181</v>
      </c>
      <c r="B649" s="1">
        <f>IFERROR(VLOOKUP(ТабПозиции[[#This Row],[orderNum]],ТабЗаказы[#Data],MATCH(B$7,ТабЗаказы[#Headers],0),0),"")</f>
        <v>45491</v>
      </c>
      <c r="C649" t="str">
        <f>MONTH(ТабПозиции[[#This Row],[date]])&amp;"/"&amp;YEAR(ТабПозиции[[#This Row],[date]])</f>
        <v>7/2024</v>
      </c>
      <c r="D649" s="1" t="str">
        <f>IFERROR(VLOOKUP(ТабПозиции[[#This Row],[orderNum]],ТабЗаказы[#Data],MATCH(D$7,ТабЗаказы[#Headers],0),0),"")</f>
        <v>Юля Ларисына</v>
      </c>
      <c r="E649" s="32" t="s">
        <v>1136</v>
      </c>
      <c r="F649" s="56" t="s">
        <v>3061</v>
      </c>
      <c r="H649" s="34">
        <v>45493</v>
      </c>
      <c r="I649" s="26">
        <v>1</v>
      </c>
      <c r="J649" s="26">
        <v>357</v>
      </c>
      <c r="K649">
        <v>357</v>
      </c>
      <c r="L649" s="26">
        <v>372</v>
      </c>
      <c r="M649">
        <f t="shared" si="11"/>
        <v>372</v>
      </c>
      <c r="O64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Row],[orderNum]],ТабПозиции[orderSumm])&gt;1500),ABS(M649*VLOOKUP(ТабПозиции[[#This Row],[orderNum]],ТабЗаказы[#Data],MATCH("Percent",ТабЗаказы[#Headers],0),0))/100,200/COUNTIF(ТабПозиции[orderNum],ТабПозиции[[#This Row],[orderNum]])),0),"")</f>
        <v>56</v>
      </c>
      <c r="P649">
        <f>IF(OR(ТабПозиции[[#This Row],[item]]="По штрихкоду",ТабПозиции[[#This Row],[item]]="Посылка"),ТабПозиции[[#This Row],[deliverySumm]]+ТабПозиции[[#This Row],[deliveryPost]],SUM(M649:O649))</f>
        <v>428</v>
      </c>
      <c r="Q649" s="57">
        <v>428</v>
      </c>
      <c r="R649" s="62">
        <f>ТабПозиции[[#This Row],[totalSumm]]-ТабПозиции[[#This Row],[payment]]</f>
        <v>0</v>
      </c>
      <c r="S649" s="34" t="s">
        <v>965</v>
      </c>
      <c r="T649" s="56" t="s">
        <v>3061</v>
      </c>
      <c r="U649" s="56" t="s">
        <v>3061</v>
      </c>
      <c r="V649" s="56" t="s">
        <v>3061</v>
      </c>
      <c r="W649" s="7"/>
      <c r="X649"/>
    </row>
    <row r="650" spans="1:24" x14ac:dyDescent="0.25">
      <c r="A650" s="26">
        <v>181</v>
      </c>
      <c r="B650" s="1">
        <f>IFERROR(VLOOKUP(ТабПозиции[[#This Row],[orderNum]],ТабЗаказы[#Data],MATCH(B$7,ТабЗаказы[#Headers],0),0),"")</f>
        <v>45491</v>
      </c>
      <c r="C650" t="str">
        <f>MONTH(ТабПозиции[[#This Row],[date]])&amp;"/"&amp;YEAR(ТабПозиции[[#This Row],[date]])</f>
        <v>7/2024</v>
      </c>
      <c r="D650" s="1" t="str">
        <f>IFERROR(VLOOKUP(ТабПозиции[[#This Row],[orderNum]],ТабЗаказы[#Data],MATCH(D$7,ТабЗаказы[#Headers],0),0),"")</f>
        <v>Юля Ларисына</v>
      </c>
      <c r="E650" s="32" t="s">
        <v>1137</v>
      </c>
      <c r="F650" s="56" t="s">
        <v>3061</v>
      </c>
      <c r="H650" s="34">
        <v>45493</v>
      </c>
      <c r="I650" s="26">
        <v>1</v>
      </c>
      <c r="J650" s="26">
        <v>605</v>
      </c>
      <c r="K650">
        <v>605</v>
      </c>
      <c r="L650" s="26">
        <v>631</v>
      </c>
      <c r="M650">
        <f t="shared" si="11"/>
        <v>631</v>
      </c>
      <c r="O65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Row],[orderNum]],ТабПозиции[orderSumm])&gt;1500),ABS(M650*VLOOKUP(ТабПозиции[[#This Row],[orderNum]],ТабЗаказы[#Data],MATCH("Percent",ТабЗаказы[#Headers],0),0))/100,200/COUNTIF(ТабПозиции[orderNum],ТабПозиции[[#This Row],[orderNum]])),0),"")</f>
        <v>95</v>
      </c>
      <c r="P650">
        <f>IF(OR(ТабПозиции[[#This Row],[item]]="По штрихкоду",ТабПозиции[[#This Row],[item]]="Посылка"),ТабПозиции[[#This Row],[deliverySumm]]+ТабПозиции[[#This Row],[deliveryPost]],SUM(M650:O650))</f>
        <v>726</v>
      </c>
      <c r="Q650" s="57">
        <v>726</v>
      </c>
      <c r="R650" s="62">
        <f>ТабПозиции[[#This Row],[totalSumm]]-ТабПозиции[[#This Row],[payment]]</f>
        <v>0</v>
      </c>
      <c r="S650" s="34" t="s">
        <v>965</v>
      </c>
      <c r="T650" s="56" t="s">
        <v>3061</v>
      </c>
      <c r="U650" s="56" t="s">
        <v>3061</v>
      </c>
      <c r="V650" s="56" t="s">
        <v>3061</v>
      </c>
      <c r="W650" s="7"/>
      <c r="X650"/>
    </row>
    <row r="651" spans="1:24" x14ac:dyDescent="0.25">
      <c r="A651" s="26">
        <v>182</v>
      </c>
      <c r="B651" s="1">
        <f>IFERROR(VLOOKUP(ТабПозиции[[#This Row],[orderNum]],ТабЗаказы[#Data],MATCH(B$7,ТабЗаказы[#Headers],0),0),"")</f>
        <v>45491</v>
      </c>
      <c r="C651" t="str">
        <f>MONTH(ТабПозиции[[#This Row],[date]])&amp;"/"&amp;YEAR(ТабПозиции[[#This Row],[date]])</f>
        <v>7/2024</v>
      </c>
      <c r="D651" s="1" t="str">
        <f>IFERROR(VLOOKUP(ТабПозиции[[#This Row],[orderNum]],ТабЗаказы[#Data],MATCH(D$7,ТабЗаказы[#Headers],0),0),"")</f>
        <v>Людмила Эдельвейс</v>
      </c>
      <c r="E651" s="32" t="s">
        <v>1138</v>
      </c>
      <c r="F651" s="56" t="s">
        <v>3061</v>
      </c>
      <c r="H651" s="34">
        <v>45495</v>
      </c>
      <c r="I651" s="26">
        <v>1</v>
      </c>
      <c r="J651" s="26">
        <v>3085</v>
      </c>
      <c r="K651">
        <v>3085</v>
      </c>
      <c r="L651" s="26">
        <v>3181</v>
      </c>
      <c r="M651">
        <f t="shared" si="11"/>
        <v>3181</v>
      </c>
      <c r="O65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Row],[orderNum]],ТабПозиции[orderSumm])&gt;1500),ABS(M651*VLOOKUP(ТабПозиции[[#This Row],[orderNum]],ТабЗаказы[#Data],MATCH("Percent",ТабЗаказы[#Headers],0),0))/100,200/COUNTIF(ТабПозиции[orderNum],ТабПозиции[[#This Row],[orderNum]])),0),"")</f>
        <v>477</v>
      </c>
      <c r="P651">
        <f>IF(OR(ТабПозиции[[#This Row],[item]]="По штрихкоду",ТабПозиции[[#This Row],[item]]="Посылка"),ТабПозиции[[#This Row],[deliverySumm]]+ТабПозиции[[#This Row],[deliveryPost]],SUM(M651:O651))</f>
        <v>3658</v>
      </c>
      <c r="Q651" s="57">
        <v>3658</v>
      </c>
      <c r="R651" s="62">
        <f>ТабПозиции[[#This Row],[totalSumm]]-ТабПозиции[[#This Row],[payment]]</f>
        <v>0</v>
      </c>
      <c r="S651" s="34" t="s">
        <v>955</v>
      </c>
      <c r="T651" s="56" t="s">
        <v>3061</v>
      </c>
      <c r="U651" s="56" t="s">
        <v>3061</v>
      </c>
      <c r="V651" s="56" t="s">
        <v>3061</v>
      </c>
      <c r="W651" s="7"/>
      <c r="X651"/>
    </row>
    <row r="652" spans="1:24" x14ac:dyDescent="0.25">
      <c r="A652" s="26">
        <v>182</v>
      </c>
      <c r="B652" s="1">
        <f>IFERROR(VLOOKUP(ТабПозиции[[#This Row],[orderNum]],ТабЗаказы[#Data],MATCH(B$7,ТабЗаказы[#Headers],0),0),"")</f>
        <v>45491</v>
      </c>
      <c r="C652" t="str">
        <f>MONTH(ТабПозиции[[#This Row],[date]])&amp;"/"&amp;YEAR(ТабПозиции[[#This Row],[date]])</f>
        <v>7/2024</v>
      </c>
      <c r="D652" s="1" t="str">
        <f>IFERROR(VLOOKUP(ТабПозиции[[#This Row],[orderNum]],ТабЗаказы[#Data],MATCH(D$7,ТабЗаказы[#Headers],0),0),"")</f>
        <v>Людмила Эдельвейс</v>
      </c>
      <c r="E652" s="32" t="s">
        <v>1139</v>
      </c>
      <c r="F652" s="56" t="s">
        <v>3061</v>
      </c>
      <c r="H652" s="34">
        <v>45494</v>
      </c>
      <c r="I652" s="26">
        <v>1</v>
      </c>
      <c r="J652" s="26">
        <v>389</v>
      </c>
      <c r="K652">
        <v>389</v>
      </c>
      <c r="L652" s="26">
        <v>406</v>
      </c>
      <c r="M652">
        <f t="shared" si="11"/>
        <v>406</v>
      </c>
      <c r="O65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Row],[orderNum]],ТабПозиции[orderSumm])&gt;1500),ABS(M652*VLOOKUP(ТабПозиции[[#This Row],[orderNum]],ТабЗаказы[#Data],MATCH("Percent",ТабЗаказы[#Headers],0),0))/100,200/COUNTIF(ТабПозиции[orderNum],ТабПозиции[[#This Row],[orderNum]])),0),"")</f>
        <v>61</v>
      </c>
      <c r="P652">
        <f>IF(OR(ТабПозиции[[#This Row],[item]]="По штрихкоду",ТабПозиции[[#This Row],[item]]="Посылка"),ТабПозиции[[#This Row],[deliverySumm]]+ТабПозиции[[#This Row],[deliveryPost]],SUM(M652:O652))</f>
        <v>467</v>
      </c>
      <c r="Q652" s="57">
        <v>467</v>
      </c>
      <c r="R652" s="62">
        <f>ТабПозиции[[#This Row],[totalSumm]]-ТабПозиции[[#This Row],[payment]]</f>
        <v>0</v>
      </c>
      <c r="S652" s="34" t="s">
        <v>965</v>
      </c>
      <c r="T652" s="56" t="s">
        <v>3061</v>
      </c>
      <c r="U652" s="56" t="s">
        <v>3061</v>
      </c>
      <c r="V652" s="56" t="s">
        <v>3061</v>
      </c>
      <c r="W652" s="7"/>
      <c r="X652"/>
    </row>
    <row r="653" spans="1:24" x14ac:dyDescent="0.25">
      <c r="A653" s="26">
        <v>182</v>
      </c>
      <c r="B653" s="1">
        <f>IFERROR(VLOOKUP(ТабПозиции[[#This Row],[orderNum]],ТабЗаказы[#Data],MATCH(B$7,ТабЗаказы[#Headers],0),0),"")</f>
        <v>45491</v>
      </c>
      <c r="C653" t="str">
        <f>MONTH(ТабПозиции[[#This Row],[date]])&amp;"/"&amp;YEAR(ТабПозиции[[#This Row],[date]])</f>
        <v>7/2024</v>
      </c>
      <c r="D653" s="1" t="str">
        <f>IFERROR(VLOOKUP(ТабПозиции[[#This Row],[orderNum]],ТабЗаказы[#Data],MATCH(D$7,ТабЗаказы[#Headers],0),0),"")</f>
        <v>Людмила Эдельвейс</v>
      </c>
      <c r="E653" s="32" t="s">
        <v>1140</v>
      </c>
      <c r="F653" s="56" t="s">
        <v>3061</v>
      </c>
      <c r="H653" s="34">
        <v>45493</v>
      </c>
      <c r="I653" s="26">
        <v>1</v>
      </c>
      <c r="J653" s="26">
        <v>1214</v>
      </c>
      <c r="K653">
        <v>1214</v>
      </c>
      <c r="L653" s="26">
        <v>1265</v>
      </c>
      <c r="M653">
        <f t="shared" si="11"/>
        <v>1265</v>
      </c>
      <c r="O65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Row],[orderNum]],ТабПозиции[orderSumm])&gt;1500),ABS(M653*VLOOKUP(ТабПозиции[[#This Row],[orderNum]],ТабЗаказы[#Data],MATCH("Percent",ТабЗаказы[#Headers],0),0))/100,200/COUNTIF(ТабПозиции[orderNum],ТабПозиции[[#This Row],[orderNum]])),0),"")</f>
        <v>190</v>
      </c>
      <c r="P653">
        <f>IF(OR(ТабПозиции[[#This Row],[item]]="По штрихкоду",ТабПозиции[[#This Row],[item]]="Посылка"),ТабПозиции[[#This Row],[deliverySumm]]+ТабПозиции[[#This Row],[deliveryPost]],SUM(M653:O653))</f>
        <v>1455</v>
      </c>
      <c r="Q653" s="57">
        <v>1455</v>
      </c>
      <c r="R653" s="62">
        <f>ТабПозиции[[#This Row],[totalSumm]]-ТабПозиции[[#This Row],[payment]]</f>
        <v>0</v>
      </c>
      <c r="S653" s="34" t="s">
        <v>965</v>
      </c>
      <c r="T653" s="56" t="s">
        <v>3061</v>
      </c>
      <c r="U653" s="56" t="s">
        <v>3061</v>
      </c>
      <c r="V653" s="56" t="s">
        <v>3061</v>
      </c>
      <c r="W653" s="7"/>
      <c r="X653"/>
    </row>
    <row r="654" spans="1:24" x14ac:dyDescent="0.25">
      <c r="A654" s="26">
        <v>182</v>
      </c>
      <c r="B654" s="1">
        <f>IFERROR(VLOOKUP(ТабПозиции[[#This Row],[orderNum]],ТабЗаказы[#Data],MATCH(B$7,ТабЗаказы[#Headers],0),0),"")</f>
        <v>45491</v>
      </c>
      <c r="C654" t="str">
        <f>MONTH(ТабПозиции[[#This Row],[date]])&amp;"/"&amp;YEAR(ТабПозиции[[#This Row],[date]])</f>
        <v>7/2024</v>
      </c>
      <c r="D654" s="1" t="str">
        <f>IFERROR(VLOOKUP(ТабПозиции[[#This Row],[orderNum]],ТабЗаказы[#Data],MATCH(D$7,ТабЗаказы[#Headers],0),0),"")</f>
        <v>Людмила Эдельвейс</v>
      </c>
      <c r="E654" s="32" t="s">
        <v>1141</v>
      </c>
      <c r="F654" s="56" t="s">
        <v>3061</v>
      </c>
      <c r="H654" s="34">
        <v>45493</v>
      </c>
      <c r="I654" s="26">
        <v>1</v>
      </c>
      <c r="J654" s="26">
        <v>599</v>
      </c>
      <c r="K654">
        <v>599</v>
      </c>
      <c r="L654" s="26">
        <v>624</v>
      </c>
      <c r="M654">
        <f t="shared" si="11"/>
        <v>624</v>
      </c>
      <c r="O65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Row],[orderNum]],ТабПозиции[orderSumm])&gt;1500),ABS(M654*VLOOKUP(ТабПозиции[[#This Row],[orderNum]],ТабЗаказы[#Data],MATCH("Percent",ТабЗаказы[#Headers],0),0))/100,200/COUNTIF(ТабПозиции[orderNum],ТабПозиции[[#This Row],[orderNum]])),0),"")</f>
        <v>94</v>
      </c>
      <c r="P654">
        <f>IF(OR(ТабПозиции[[#This Row],[item]]="По штрихкоду",ТабПозиции[[#This Row],[item]]="Посылка"),ТабПозиции[[#This Row],[deliverySumm]]+ТабПозиции[[#This Row],[deliveryPost]],SUM(M654:O654))</f>
        <v>718</v>
      </c>
      <c r="Q654" s="57">
        <v>718</v>
      </c>
      <c r="R654" s="62">
        <f>ТабПозиции[[#This Row],[totalSumm]]-ТабПозиции[[#This Row],[payment]]</f>
        <v>0</v>
      </c>
      <c r="S654" s="34" t="s">
        <v>965</v>
      </c>
      <c r="T654" s="56" t="s">
        <v>3061</v>
      </c>
      <c r="U654" s="56" t="s">
        <v>3061</v>
      </c>
      <c r="V654" s="56" t="s">
        <v>3061</v>
      </c>
      <c r="W654" s="7"/>
      <c r="X654"/>
    </row>
    <row r="655" spans="1:24" x14ac:dyDescent="0.25">
      <c r="A655" s="26">
        <v>183</v>
      </c>
      <c r="B655" s="1">
        <f>IFERROR(VLOOKUP(ТабПозиции[[#This Row],[orderNum]],ТабЗаказы[#Data],MATCH(B$7,ТабЗаказы[#Headers],0),0),"")</f>
        <v>45492</v>
      </c>
      <c r="C655" t="str">
        <f>MONTH(ТабПозиции[[#This Row],[date]])&amp;"/"&amp;YEAR(ТабПозиции[[#This Row],[date]])</f>
        <v>7/2024</v>
      </c>
      <c r="D655" s="1" t="str">
        <f>IFERROR(VLOOKUP(ТабПозиции[[#This Row],[orderNum]],ТабЗаказы[#Data],MATCH(D$7,ТабЗаказы[#Headers],0),0),"")</f>
        <v>Екатерина Сартана</v>
      </c>
      <c r="E655" s="26" t="s">
        <v>32</v>
      </c>
      <c r="F655" s="56" t="s">
        <v>3061</v>
      </c>
      <c r="H655" s="34">
        <v>45492</v>
      </c>
      <c r="I655" s="26">
        <v>1</v>
      </c>
      <c r="J655" s="26">
        <v>13787</v>
      </c>
      <c r="K655">
        <v>13787</v>
      </c>
      <c r="L655" s="26">
        <v>13787</v>
      </c>
      <c r="M655">
        <f t="shared" si="11"/>
        <v>13787</v>
      </c>
      <c r="N655" s="26">
        <v>200</v>
      </c>
      <c r="O65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Row],[orderNum]],ТабПозиции[orderSumm])&gt;1500),ABS(M655*VLOOKUP(ТабПозиции[[#This Row],[orderNum]],ТабЗаказы[#Data],MATCH("Percent",ТабЗаказы[#Headers],0),0))/100,200/COUNTIF(ТабПозиции[orderNum],ТабПозиции[[#This Row],[orderNum]])),0),"")</f>
        <v>1379</v>
      </c>
      <c r="P655">
        <f>IF(OR(ТабПозиции[[#This Row],[item]]="По штрихкоду",ТабПозиции[[#This Row],[item]]="Посылка"),ТабПозиции[[#This Row],[deliverySumm]]+ТабПозиции[[#This Row],[deliveryPost]],SUM(M655:O655))</f>
        <v>1579</v>
      </c>
      <c r="Q655" s="57">
        <v>1579</v>
      </c>
      <c r="R655" s="62">
        <f>ТабПозиции[[#This Row],[totalSumm]]-ТабПозиции[[#This Row],[payment]]</f>
        <v>0</v>
      </c>
      <c r="S655" s="34" t="s">
        <v>965</v>
      </c>
      <c r="T655" s="56" t="s">
        <v>3061</v>
      </c>
      <c r="U655" s="56" t="s">
        <v>3061</v>
      </c>
      <c r="V655" s="56" t="s">
        <v>3061</v>
      </c>
      <c r="W655" s="7"/>
      <c r="X655"/>
    </row>
    <row r="656" spans="1:24" x14ac:dyDescent="0.25">
      <c r="A656" s="26">
        <v>184</v>
      </c>
      <c r="B656" s="1">
        <f>IFERROR(VLOOKUP(ТабПозиции[[#This Row],[orderNum]],ТабЗаказы[#Data],MATCH(B$7,ТабЗаказы[#Headers],0),0),"")</f>
        <v>45492</v>
      </c>
      <c r="C656" t="str">
        <f>MONTH(ТабПозиции[[#This Row],[date]])&amp;"/"&amp;YEAR(ТабПозиции[[#This Row],[date]])</f>
        <v>7/2024</v>
      </c>
      <c r="D656" s="1" t="str">
        <f>IFERROR(VLOOKUP(ТабПозиции[[#This Row],[orderNum]],ТабЗаказы[#Data],MATCH(D$7,ТабЗаказы[#Headers],0),0),"")</f>
        <v>Лариса Кирова</v>
      </c>
      <c r="E656" s="32" t="s">
        <v>1142</v>
      </c>
      <c r="F656" s="56" t="s">
        <v>3061</v>
      </c>
      <c r="H656" s="34">
        <v>45496</v>
      </c>
      <c r="I656" s="26">
        <v>1</v>
      </c>
      <c r="J656" s="26">
        <v>1425</v>
      </c>
      <c r="K656">
        <v>1425</v>
      </c>
      <c r="L656" s="26">
        <v>1524</v>
      </c>
      <c r="M656">
        <f t="shared" si="11"/>
        <v>1524</v>
      </c>
      <c r="O65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Row],[orderNum]],ТабПозиции[orderSumm])&gt;1500),ABS(M656*VLOOKUP(ТабПозиции[[#This Row],[orderNum]],ТабЗаказы[#Data],MATCH("Percent",ТабЗаказы[#Headers],0),0))/100,200/COUNTIF(ТабПозиции[orderNum],ТабПозиции[[#This Row],[orderNum]])),0),"")</f>
        <v>229</v>
      </c>
      <c r="P656">
        <f>IF(OR(ТабПозиции[[#This Row],[item]]="По штрихкоду",ТабПозиции[[#This Row],[item]]="Посылка"),ТабПозиции[[#This Row],[deliverySumm]]+ТабПозиции[[#This Row],[deliveryPost]],SUM(M656:O656))</f>
        <v>1753</v>
      </c>
      <c r="Q656" s="57">
        <v>1753</v>
      </c>
      <c r="R656" s="62">
        <f>ТабПозиции[[#This Row],[totalSumm]]-ТабПозиции[[#This Row],[payment]]</f>
        <v>0</v>
      </c>
      <c r="S656" s="34" t="s">
        <v>955</v>
      </c>
      <c r="T656" s="56" t="s">
        <v>3061</v>
      </c>
      <c r="U656" s="56" t="s">
        <v>3061</v>
      </c>
      <c r="V656" s="56" t="s">
        <v>3061</v>
      </c>
      <c r="W656" s="7"/>
      <c r="X656"/>
    </row>
    <row r="657" spans="1:24" x14ac:dyDescent="0.25">
      <c r="A657" s="26">
        <v>184</v>
      </c>
      <c r="B657" s="1">
        <f>IFERROR(VLOOKUP(ТабПозиции[[#This Row],[orderNum]],ТабЗаказы[#Data],MATCH(B$7,ТабЗаказы[#Headers],0),0),"")</f>
        <v>45492</v>
      </c>
      <c r="C657" t="str">
        <f>MONTH(ТабПозиции[[#This Row],[date]])&amp;"/"&amp;YEAR(ТабПозиции[[#This Row],[date]])</f>
        <v>7/2024</v>
      </c>
      <c r="D657" s="1" t="str">
        <f>IFERROR(VLOOKUP(ТабПозиции[[#This Row],[orderNum]],ТабЗаказы[#Data],MATCH(D$7,ТабЗаказы[#Headers],0),0),"")</f>
        <v>Лариса Кирова</v>
      </c>
      <c r="E657" s="32" t="s">
        <v>574</v>
      </c>
      <c r="F657" s="56" t="s">
        <v>3061</v>
      </c>
      <c r="H657" s="34">
        <v>45494</v>
      </c>
      <c r="I657" s="26">
        <v>1</v>
      </c>
      <c r="J657" s="26">
        <v>467</v>
      </c>
      <c r="K657">
        <v>467</v>
      </c>
      <c r="L657" s="26">
        <v>501</v>
      </c>
      <c r="M657">
        <f t="shared" si="11"/>
        <v>501</v>
      </c>
      <c r="O65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Row],[orderNum]],ТабПозиции[orderSumm])&gt;1500),ABS(M657*VLOOKUP(ТабПозиции[[#This Row],[orderNum]],ТабЗаказы[#Data],MATCH("Percent",ТабЗаказы[#Headers],0),0))/100,200/COUNTIF(ТабПозиции[orderNum],ТабПозиции[[#This Row],[orderNum]])),0),"")</f>
        <v>75</v>
      </c>
      <c r="P657">
        <f>IF(OR(ТабПозиции[[#This Row],[item]]="По штрихкоду",ТабПозиции[[#This Row],[item]]="Посылка"),ТабПозиции[[#This Row],[deliverySumm]]+ТабПозиции[[#This Row],[deliveryPost]],SUM(M657:O657))</f>
        <v>576</v>
      </c>
      <c r="Q657" s="57">
        <v>576</v>
      </c>
      <c r="R657" s="62">
        <f>ТабПозиции[[#This Row],[totalSumm]]-ТабПозиции[[#This Row],[payment]]</f>
        <v>0</v>
      </c>
      <c r="S657" s="34" t="s">
        <v>955</v>
      </c>
      <c r="T657" s="56" t="s">
        <v>3061</v>
      </c>
      <c r="U657" s="56" t="s">
        <v>3061</v>
      </c>
      <c r="V657" s="56" t="s">
        <v>3061</v>
      </c>
      <c r="W657" s="7"/>
      <c r="X657"/>
    </row>
    <row r="658" spans="1:24" x14ac:dyDescent="0.25">
      <c r="A658" s="26">
        <v>184</v>
      </c>
      <c r="B658" s="1">
        <f>IFERROR(VLOOKUP(ТабПозиции[[#This Row],[orderNum]],ТабЗаказы[#Data],MATCH(B$7,ТабЗаказы[#Headers],0),0),"")</f>
        <v>45492</v>
      </c>
      <c r="C658" t="str">
        <f>MONTH(ТабПозиции[[#This Row],[date]])&amp;"/"&amp;YEAR(ТабПозиции[[#This Row],[date]])</f>
        <v>7/2024</v>
      </c>
      <c r="D658" s="1" t="str">
        <f>IFERROR(VLOOKUP(ТабПозиции[[#This Row],[orderNum]],ТабЗаказы[#Data],MATCH(D$7,ТабЗаказы[#Headers],0),0),"")</f>
        <v>Лариса Кирова</v>
      </c>
      <c r="E658" s="32" t="s">
        <v>1143</v>
      </c>
      <c r="F658" s="56" t="s">
        <v>3061</v>
      </c>
      <c r="H658" s="34">
        <v>45498</v>
      </c>
      <c r="I658" s="26">
        <v>1</v>
      </c>
      <c r="J658" s="26">
        <v>455</v>
      </c>
      <c r="K658">
        <v>455</v>
      </c>
      <c r="L658" s="26">
        <v>491</v>
      </c>
      <c r="M658">
        <f t="shared" si="11"/>
        <v>491</v>
      </c>
      <c r="O65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Row],[orderNum]],ТабПозиции[orderSumm])&gt;1500),ABS(M658*VLOOKUP(ТабПозиции[[#This Row],[orderNum]],ТабЗаказы[#Data],MATCH("Percent",ТабЗаказы[#Headers],0),0))/100,200/COUNTIF(ТабПозиции[orderNum],ТабПозиции[[#This Row],[orderNum]])),0),"")</f>
        <v>74</v>
      </c>
      <c r="P658">
        <f>IF(OR(ТабПозиции[[#This Row],[item]]="По штрихкоду",ТабПозиции[[#This Row],[item]]="Посылка"),ТабПозиции[[#This Row],[deliverySumm]]+ТабПозиции[[#This Row],[deliveryPost]],SUM(M658:O658))</f>
        <v>565</v>
      </c>
      <c r="Q658" s="57">
        <v>565</v>
      </c>
      <c r="R658" s="62">
        <f>ТабПозиции[[#This Row],[totalSumm]]-ТабПозиции[[#This Row],[payment]]</f>
        <v>0</v>
      </c>
      <c r="S658" s="34" t="s">
        <v>955</v>
      </c>
      <c r="T658" s="56" t="s">
        <v>3061</v>
      </c>
      <c r="U658" s="56" t="s">
        <v>3061</v>
      </c>
      <c r="V658" s="56" t="s">
        <v>3061</v>
      </c>
      <c r="W658" s="7"/>
      <c r="X658"/>
    </row>
    <row r="659" spans="1:24" x14ac:dyDescent="0.25">
      <c r="A659" s="26">
        <v>184</v>
      </c>
      <c r="B659" s="1">
        <f>IFERROR(VLOOKUP(ТабПозиции[[#This Row],[orderNum]],ТабЗаказы[#Data],MATCH(B$7,ТабЗаказы[#Headers],0),0),"")</f>
        <v>45492</v>
      </c>
      <c r="C659" t="str">
        <f>MONTH(ТабПозиции[[#This Row],[date]])&amp;"/"&amp;YEAR(ТабПозиции[[#This Row],[date]])</f>
        <v>7/2024</v>
      </c>
      <c r="D659" s="1" t="str">
        <f>IFERROR(VLOOKUP(ТабПозиции[[#This Row],[orderNum]],ТабЗаказы[#Data],MATCH(D$7,ТабЗаказы[#Headers],0),0),"")</f>
        <v>Лариса Кирова</v>
      </c>
      <c r="E659" s="32" t="s">
        <v>1144</v>
      </c>
      <c r="F659" s="56" t="s">
        <v>3061</v>
      </c>
      <c r="H659" s="34">
        <v>45494</v>
      </c>
      <c r="I659" s="26">
        <v>1</v>
      </c>
      <c r="J659" s="26">
        <v>638</v>
      </c>
      <c r="K659">
        <v>638</v>
      </c>
      <c r="L659" s="26">
        <v>675</v>
      </c>
      <c r="M659">
        <f t="shared" si="11"/>
        <v>675</v>
      </c>
      <c r="O65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Row],[orderNum]],ТабПозиции[orderSumm])&gt;1500),ABS(M659*VLOOKUP(ТабПозиции[[#This Row],[orderNum]],ТабЗаказы[#Data],MATCH("Percent",ТабЗаказы[#Headers],0),0))/100,200/COUNTIF(ТабПозиции[orderNum],ТабПозиции[[#This Row],[orderNum]])),0),"")</f>
        <v>101</v>
      </c>
      <c r="P659">
        <f>IF(OR(ТабПозиции[[#This Row],[item]]="По штрихкоду",ТабПозиции[[#This Row],[item]]="Посылка"),ТабПозиции[[#This Row],[deliverySumm]]+ТабПозиции[[#This Row],[deliveryPost]],SUM(M659:O659))</f>
        <v>776</v>
      </c>
      <c r="Q659" s="57">
        <v>776</v>
      </c>
      <c r="R659" s="62">
        <f>ТабПозиции[[#This Row],[totalSumm]]-ТабПозиции[[#This Row],[payment]]</f>
        <v>0</v>
      </c>
      <c r="S659" s="34" t="s">
        <v>955</v>
      </c>
      <c r="T659" s="56" t="s">
        <v>3061</v>
      </c>
      <c r="U659" s="56" t="s">
        <v>3061</v>
      </c>
      <c r="V659" s="56" t="s">
        <v>3061</v>
      </c>
      <c r="W659" s="7"/>
      <c r="X659"/>
    </row>
    <row r="660" spans="1:24" x14ac:dyDescent="0.25">
      <c r="A660" s="26">
        <v>184</v>
      </c>
      <c r="B660" s="1">
        <f>IFERROR(VLOOKUP(ТабПозиции[[#This Row],[orderNum]],ТабЗаказы[#Data],MATCH(B$7,ТабЗаказы[#Headers],0),0),"")</f>
        <v>45492</v>
      </c>
      <c r="C660" t="str">
        <f>MONTH(ТабПозиции[[#This Row],[date]])&amp;"/"&amp;YEAR(ТабПозиции[[#This Row],[date]])</f>
        <v>7/2024</v>
      </c>
      <c r="D660" s="1" t="str">
        <f>IFERROR(VLOOKUP(ТабПозиции[[#This Row],[orderNum]],ТабЗаказы[#Data],MATCH(D$7,ТабЗаказы[#Headers],0),0),"")</f>
        <v>Лариса Кирова</v>
      </c>
      <c r="E660" s="32" t="s">
        <v>1145</v>
      </c>
      <c r="F660" s="56" t="s">
        <v>3061</v>
      </c>
      <c r="H660" s="34">
        <v>45494</v>
      </c>
      <c r="I660" s="26">
        <v>1</v>
      </c>
      <c r="J660" s="26">
        <v>619</v>
      </c>
      <c r="K660">
        <v>619</v>
      </c>
      <c r="L660" s="26">
        <v>652</v>
      </c>
      <c r="M660">
        <f t="shared" si="11"/>
        <v>652</v>
      </c>
      <c r="O66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Row],[orderNum]],ТабПозиции[orderSumm])&gt;1500),ABS(M660*VLOOKUP(ТабПозиции[[#This Row],[orderNum]],ТабЗаказы[#Data],MATCH("Percent",ТабЗаказы[#Headers],0),0))/100,200/COUNTIF(ТабПозиции[orderNum],ТабПозиции[[#This Row],[orderNum]])),0),"")</f>
        <v>98</v>
      </c>
      <c r="P660">
        <f>IF(OR(ТабПозиции[[#This Row],[item]]="По штрихкоду",ТабПозиции[[#This Row],[item]]="Посылка"),ТабПозиции[[#This Row],[deliverySumm]]+ТабПозиции[[#This Row],[deliveryPost]],SUM(M660:O660))</f>
        <v>750</v>
      </c>
      <c r="Q660" s="57">
        <v>750</v>
      </c>
      <c r="R660" s="62">
        <f>ТабПозиции[[#This Row],[totalSumm]]-ТабПозиции[[#This Row],[payment]]</f>
        <v>0</v>
      </c>
      <c r="S660" s="34" t="s">
        <v>965</v>
      </c>
      <c r="T660" s="56" t="s">
        <v>3061</v>
      </c>
      <c r="U660" s="56" t="s">
        <v>3061</v>
      </c>
      <c r="V660" s="56" t="s">
        <v>3061</v>
      </c>
      <c r="W660" s="7"/>
      <c r="X660"/>
    </row>
    <row r="661" spans="1:24" x14ac:dyDescent="0.25">
      <c r="A661" s="26">
        <v>184</v>
      </c>
      <c r="B661" s="1">
        <f>IFERROR(VLOOKUP(ТабПозиции[[#This Row],[orderNum]],ТабЗаказы[#Data],MATCH(B$7,ТабЗаказы[#Headers],0),0),"")</f>
        <v>45492</v>
      </c>
      <c r="C661" t="str">
        <f>MONTH(ТабПозиции[[#This Row],[date]])&amp;"/"&amp;YEAR(ТабПозиции[[#This Row],[date]])</f>
        <v>7/2024</v>
      </c>
      <c r="D661" s="1" t="str">
        <f>IFERROR(VLOOKUP(ТабПозиции[[#This Row],[orderNum]],ТабЗаказы[#Data],MATCH(D$7,ТабЗаказы[#Headers],0),0),"")</f>
        <v>Лариса Кирова</v>
      </c>
      <c r="E661" s="32" t="s">
        <v>1146</v>
      </c>
      <c r="F661" s="56" t="s">
        <v>3061</v>
      </c>
      <c r="H661" s="34">
        <v>45494</v>
      </c>
      <c r="I661" s="26">
        <v>1</v>
      </c>
      <c r="J661" s="26">
        <v>183</v>
      </c>
      <c r="K661">
        <v>183</v>
      </c>
      <c r="L661" s="26">
        <v>193</v>
      </c>
      <c r="M661">
        <f t="shared" si="11"/>
        <v>193</v>
      </c>
      <c r="O66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Row],[orderNum]],ТабПозиции[orderSumm])&gt;1500),ABS(M661*VLOOKUP(ТабПозиции[[#This Row],[orderNum]],ТабЗаказы[#Data],MATCH("Percent",ТабЗаказы[#Headers],0),0))/100,200/COUNTIF(ТабПозиции[orderNum],ТабПозиции[[#This Row],[orderNum]])),0),"")</f>
        <v>29</v>
      </c>
      <c r="P661">
        <f>IF(OR(ТабПозиции[[#This Row],[item]]="По штрихкоду",ТабПозиции[[#This Row],[item]]="Посылка"),ТабПозиции[[#This Row],[deliverySumm]]+ТабПозиции[[#This Row],[deliveryPost]],SUM(M661:O661))</f>
        <v>222</v>
      </c>
      <c r="Q661" s="57">
        <v>222</v>
      </c>
      <c r="R661" s="62">
        <f>ТабПозиции[[#This Row],[totalSumm]]-ТабПозиции[[#This Row],[payment]]</f>
        <v>0</v>
      </c>
      <c r="S661" s="34" t="s">
        <v>965</v>
      </c>
      <c r="T661" s="56" t="s">
        <v>3061</v>
      </c>
      <c r="U661" s="56" t="s">
        <v>3061</v>
      </c>
      <c r="V661" s="56" t="s">
        <v>3061</v>
      </c>
      <c r="W661" s="7"/>
      <c r="X661"/>
    </row>
    <row r="662" spans="1:24" x14ac:dyDescent="0.25">
      <c r="A662" s="26">
        <v>184</v>
      </c>
      <c r="B662" s="1">
        <f>IFERROR(VLOOKUP(ТабПозиции[[#This Row],[orderNum]],ТабЗаказы[#Data],MATCH(B$7,ТабЗаказы[#Headers],0),0),"")</f>
        <v>45492</v>
      </c>
      <c r="C662" t="str">
        <f>MONTH(ТабПозиции[[#This Row],[date]])&amp;"/"&amp;YEAR(ТабПозиции[[#This Row],[date]])</f>
        <v>7/2024</v>
      </c>
      <c r="D662" s="1" t="str">
        <f>IFERROR(VLOOKUP(ТабПозиции[[#This Row],[orderNum]],ТабЗаказы[#Data],MATCH(D$7,ТабЗаказы[#Headers],0),0),"")</f>
        <v>Лариса Кирова</v>
      </c>
      <c r="E662" s="32" t="s">
        <v>1099</v>
      </c>
      <c r="F662" s="56" t="s">
        <v>3061</v>
      </c>
      <c r="H662" s="34">
        <v>45496</v>
      </c>
      <c r="I662" s="26">
        <v>1</v>
      </c>
      <c r="J662" s="26">
        <v>289</v>
      </c>
      <c r="K662">
        <v>289</v>
      </c>
      <c r="L662" s="26">
        <v>305</v>
      </c>
      <c r="M662">
        <f t="shared" si="11"/>
        <v>305</v>
      </c>
      <c r="O66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Row],[orderNum]],ТабПозиции[orderSumm])&gt;1500),ABS(M662*VLOOKUP(ТабПозиции[[#This Row],[orderNum]],ТабЗаказы[#Data],MATCH("Percent",ТабЗаказы[#Headers],0),0))/100,200/COUNTIF(ТабПозиции[orderNum],ТабПозиции[[#This Row],[orderNum]])),0),"")</f>
        <v>46</v>
      </c>
      <c r="P662">
        <f>IF(OR(ТабПозиции[[#This Row],[item]]="По штрихкоду",ТабПозиции[[#This Row],[item]]="Посылка"),ТабПозиции[[#This Row],[deliverySumm]]+ТабПозиции[[#This Row],[deliveryPost]],SUM(M662:O662))</f>
        <v>351</v>
      </c>
      <c r="Q662" s="57">
        <v>351</v>
      </c>
      <c r="R662" s="62">
        <f>ТабПозиции[[#This Row],[totalSumm]]-ТабПозиции[[#This Row],[payment]]</f>
        <v>0</v>
      </c>
      <c r="S662" s="34" t="s">
        <v>965</v>
      </c>
      <c r="T662" s="56" t="s">
        <v>3061</v>
      </c>
      <c r="U662" s="56" t="s">
        <v>3061</v>
      </c>
      <c r="V662" s="56" t="s">
        <v>3061</v>
      </c>
      <c r="W662" s="7"/>
      <c r="X662"/>
    </row>
    <row r="663" spans="1:24" x14ac:dyDescent="0.25">
      <c r="A663" s="26">
        <v>185</v>
      </c>
      <c r="B663" s="1">
        <f>IFERROR(VLOOKUP(ТабПозиции[[#This Row],[orderNum]],ТабЗаказы[#Data],MATCH(B$7,ТабЗаказы[#Headers],0),0),"")</f>
        <v>45494</v>
      </c>
      <c r="C663" t="str">
        <f>MONTH(ТабПозиции[[#This Row],[date]])&amp;"/"&amp;YEAR(ТабПозиции[[#This Row],[date]])</f>
        <v>7/2024</v>
      </c>
      <c r="D663" s="1" t="str">
        <f>IFERROR(VLOOKUP(ТабПозиции[[#This Row],[orderNum]],ТабЗаказы[#Data],MATCH(D$7,ТабЗаказы[#Headers],0),0),"")</f>
        <v>Полинка</v>
      </c>
      <c r="E663" s="32" t="s">
        <v>1147</v>
      </c>
      <c r="F663" s="56" t="s">
        <v>3061</v>
      </c>
      <c r="H663" s="34">
        <v>45494</v>
      </c>
      <c r="I663" s="26">
        <v>1</v>
      </c>
      <c r="J663" s="26">
        <v>10900</v>
      </c>
      <c r="K663">
        <v>10900</v>
      </c>
      <c r="L663" s="26">
        <v>10900</v>
      </c>
      <c r="M663">
        <f t="shared" si="11"/>
        <v>10900</v>
      </c>
      <c r="N663" s="26">
        <v>579</v>
      </c>
      <c r="O66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Row],[orderNum]],ТабПозиции[orderSumm])&gt;1500),ABS(M663*VLOOKUP(ТабПозиции[[#This Row],[orderNum]],ТабЗаказы[#Data],MATCH("Percent",ТабЗаказы[#Headers],0),0))/100,200/COUNTIF(ТабПозиции[orderNum],ТабПозиции[[#This Row],[orderNum]])),0),"")</f>
        <v>1090</v>
      </c>
      <c r="P663">
        <f>IF(OR(ТабПозиции[[#This Row],[item]]="По штрихкоду",ТабПозиции[[#This Row],[item]]="Посылка"),ТабПозиции[[#This Row],[deliverySumm]]+ТабПозиции[[#This Row],[deliveryPost]],SUM(M663:O663))</f>
        <v>12569</v>
      </c>
      <c r="Q663" s="57">
        <v>12569</v>
      </c>
      <c r="R663" s="62">
        <f>ТабПозиции[[#This Row],[totalSumm]]-ТабПозиции[[#This Row],[payment]]</f>
        <v>0</v>
      </c>
      <c r="S663" s="34" t="s">
        <v>1016</v>
      </c>
      <c r="T663" s="56" t="s">
        <v>3061</v>
      </c>
      <c r="U663" s="56" t="str">
        <f>IF(AND(ТабПозиции[[#This Row],[Остаток]]=0,ТабПозиции[[#This Row],[ord]]="true"),"true","false")</f>
        <v>true</v>
      </c>
      <c r="V663" s="56" t="s">
        <v>3061</v>
      </c>
      <c r="W663" s="7"/>
      <c r="X663"/>
    </row>
    <row r="664" spans="1:24" x14ac:dyDescent="0.25">
      <c r="A664" s="26">
        <v>186</v>
      </c>
      <c r="B664" s="1">
        <f>IFERROR(VLOOKUP(ТабПозиции[[#This Row],[orderNum]],ТабЗаказы[#Data],MATCH(B$7,ТабЗаказы[#Headers],0),0),"")</f>
        <v>45497</v>
      </c>
      <c r="C664" t="str">
        <f>MONTH(ТабПозиции[[#This Row],[date]])&amp;"/"&amp;YEAR(ТабПозиции[[#This Row],[date]])</f>
        <v>7/2024</v>
      </c>
      <c r="D664" s="1" t="str">
        <f>IFERROR(VLOOKUP(ТабПозиции[[#This Row],[orderNum]],ТабЗаказы[#Data],MATCH(D$7,ТабЗаказы[#Headers],0),0),"")</f>
        <v>Алена шмалко</v>
      </c>
      <c r="E664" s="37" t="s">
        <v>1148</v>
      </c>
      <c r="F664" s="56" t="s">
        <v>3061</v>
      </c>
      <c r="H664" s="34">
        <v>45498</v>
      </c>
      <c r="I664" s="26">
        <v>1</v>
      </c>
      <c r="J664" s="26">
        <v>1414</v>
      </c>
      <c r="K664">
        <v>1414</v>
      </c>
      <c r="L664" s="26">
        <v>1489</v>
      </c>
      <c r="M664">
        <f t="shared" si="11"/>
        <v>1489</v>
      </c>
      <c r="O66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Row],[orderNum]],ТабПозиции[orderSumm])&gt;1500),ABS(M664*VLOOKUP(ТабПозиции[[#This Row],[orderNum]],ТабЗаказы[#Data],MATCH("Percent",ТабЗаказы[#Headers],0),0))/100,200/COUNTIF(ТабПозиции[orderNum],ТабПозиции[[#This Row],[orderNum]])),0),"")</f>
        <v>223</v>
      </c>
      <c r="P664">
        <f>IF(OR(ТабПозиции[[#This Row],[item]]="По штрихкоду",ТабПозиции[[#This Row],[item]]="Посылка"),ТабПозиции[[#This Row],[deliverySumm]]+ТабПозиции[[#This Row],[deliveryPost]],SUM(M664:O664))</f>
        <v>1712</v>
      </c>
      <c r="Q664" s="57">
        <v>1712</v>
      </c>
      <c r="R664" s="62">
        <f>ТабПозиции[[#This Row],[totalSumm]]-ТабПозиции[[#This Row],[payment]]</f>
        <v>0</v>
      </c>
      <c r="S664" s="34" t="s">
        <v>965</v>
      </c>
      <c r="T664" s="56" t="s">
        <v>3061</v>
      </c>
      <c r="U664" s="56" t="s">
        <v>3061</v>
      </c>
      <c r="V664" s="56" t="s">
        <v>3061</v>
      </c>
      <c r="W664" s="7"/>
      <c r="X664"/>
    </row>
    <row r="665" spans="1:24" x14ac:dyDescent="0.25">
      <c r="A665" s="26">
        <v>186</v>
      </c>
      <c r="B665" s="1">
        <f>IFERROR(VLOOKUP(ТабПозиции[[#This Row],[orderNum]],ТабЗаказы[#Data],MATCH(B$7,ТабЗаказы[#Headers],0),0),"")</f>
        <v>45497</v>
      </c>
      <c r="C665" t="str">
        <f>MONTH(ТабПозиции[[#This Row],[date]])&amp;"/"&amp;YEAR(ТабПозиции[[#This Row],[date]])</f>
        <v>7/2024</v>
      </c>
      <c r="D665" s="1" t="str">
        <f>IFERROR(VLOOKUP(ТабПозиции[[#This Row],[orderNum]],ТабЗаказы[#Data],MATCH(D$7,ТабЗаказы[#Headers],0),0),"")</f>
        <v>Алена шмалко</v>
      </c>
      <c r="E665" s="32" t="s">
        <v>1149</v>
      </c>
      <c r="F665" s="56" t="s">
        <v>3061</v>
      </c>
      <c r="H665" s="34">
        <v>45499</v>
      </c>
      <c r="I665" s="26">
        <v>1</v>
      </c>
      <c r="J665" s="26">
        <v>477</v>
      </c>
      <c r="K665">
        <v>477</v>
      </c>
      <c r="L665" s="26">
        <v>503</v>
      </c>
      <c r="M665">
        <f t="shared" si="11"/>
        <v>503</v>
      </c>
      <c r="O66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Row],[orderNum]],ТабПозиции[orderSumm])&gt;1500),ABS(M665*VLOOKUP(ТабПозиции[[#This Row],[orderNum]],ТабЗаказы[#Data],MATCH("Percent",ТабЗаказы[#Headers],0),0))/100,200/COUNTIF(ТабПозиции[orderNum],ТабПозиции[[#This Row],[orderNum]])),0),"")</f>
        <v>75</v>
      </c>
      <c r="P665">
        <f>IF(OR(ТабПозиции[[#This Row],[item]]="По штрихкоду",ТабПозиции[[#This Row],[item]]="Посылка"),ТабПозиции[[#This Row],[deliverySumm]]+ТабПозиции[[#This Row],[deliveryPost]],SUM(M665:O665))</f>
        <v>578</v>
      </c>
      <c r="Q665" s="57">
        <v>578</v>
      </c>
      <c r="R665" s="62">
        <f>ТабПозиции[[#This Row],[totalSumm]]-ТабПозиции[[#This Row],[payment]]</f>
        <v>0</v>
      </c>
      <c r="S665" s="34" t="s">
        <v>965</v>
      </c>
      <c r="T665" s="56" t="s">
        <v>3061</v>
      </c>
      <c r="U665" s="56" t="s">
        <v>3061</v>
      </c>
      <c r="V665" s="56" t="s">
        <v>3061</v>
      </c>
      <c r="W665" s="7"/>
      <c r="X665"/>
    </row>
    <row r="666" spans="1:24" x14ac:dyDescent="0.25">
      <c r="A666" s="26">
        <v>186</v>
      </c>
      <c r="B666" s="1">
        <f>IFERROR(VLOOKUP(ТабПозиции[[#This Row],[orderNum]],ТабЗаказы[#Data],MATCH(B$7,ТабЗаказы[#Headers],0),0),"")</f>
        <v>45497</v>
      </c>
      <c r="C666" t="str">
        <f>MONTH(ТабПозиции[[#This Row],[date]])&amp;"/"&amp;YEAR(ТабПозиции[[#This Row],[date]])</f>
        <v>7/2024</v>
      </c>
      <c r="D666" s="1" t="str">
        <f>IFERROR(VLOOKUP(ТабПозиции[[#This Row],[orderNum]],ТабЗаказы[#Data],MATCH(D$7,ТабЗаказы[#Headers],0),0),"")</f>
        <v>Алена шмалко</v>
      </c>
      <c r="E666" s="32" t="s">
        <v>1150</v>
      </c>
      <c r="F666" s="56" t="s">
        <v>3061</v>
      </c>
      <c r="H666" s="34">
        <v>45501</v>
      </c>
      <c r="I666" s="26">
        <v>1</v>
      </c>
      <c r="J666" s="26">
        <v>1386</v>
      </c>
      <c r="K666">
        <v>1386</v>
      </c>
      <c r="L666" s="26">
        <v>1459</v>
      </c>
      <c r="M666">
        <f t="shared" si="11"/>
        <v>1459</v>
      </c>
      <c r="O66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Row],[orderNum]],ТабПозиции[orderSumm])&gt;1500),ABS(M666*VLOOKUP(ТабПозиции[[#This Row],[orderNum]],ТабЗаказы[#Data],MATCH("Percent",ТабЗаказы[#Headers],0),0))/100,200/COUNTIF(ТабПозиции[orderNum],ТабПозиции[[#This Row],[orderNum]])),0),"")</f>
        <v>219</v>
      </c>
      <c r="P666">
        <f>IF(OR(ТабПозиции[[#This Row],[item]]="По штрихкоду",ТабПозиции[[#This Row],[item]]="Посылка"),ТабПозиции[[#This Row],[deliverySumm]]+ТабПозиции[[#This Row],[deliveryPost]],SUM(M666:O666))</f>
        <v>1678</v>
      </c>
      <c r="Q666" s="57">
        <v>1678</v>
      </c>
      <c r="R666" s="62">
        <f>ТабПозиции[[#This Row],[totalSumm]]-ТабПозиции[[#This Row],[payment]]</f>
        <v>0</v>
      </c>
      <c r="S666" s="34" t="s">
        <v>965</v>
      </c>
      <c r="T666" s="56" t="s">
        <v>3061</v>
      </c>
      <c r="U666" s="56" t="s">
        <v>3061</v>
      </c>
      <c r="V666" s="56" t="s">
        <v>3061</v>
      </c>
      <c r="W666" s="7"/>
      <c r="X666"/>
    </row>
    <row r="667" spans="1:24" x14ac:dyDescent="0.25">
      <c r="A667" s="26">
        <v>186</v>
      </c>
      <c r="B667" s="1">
        <f>IFERROR(VLOOKUP(ТабПозиции[[#This Row],[orderNum]],ТабЗаказы[#Data],MATCH(B$7,ТабЗаказы[#Headers],0),0),"")</f>
        <v>45497</v>
      </c>
      <c r="C667" t="str">
        <f>MONTH(ТабПозиции[[#This Row],[date]])&amp;"/"&amp;YEAR(ТабПозиции[[#This Row],[date]])</f>
        <v>7/2024</v>
      </c>
      <c r="D667" s="1" t="str">
        <f>IFERROR(VLOOKUP(ТабПозиции[[#This Row],[orderNum]],ТабЗаказы[#Data],MATCH(D$7,ТабЗаказы[#Headers],0),0),"")</f>
        <v>Алена шмалко</v>
      </c>
      <c r="E667" s="32" t="s">
        <v>1151</v>
      </c>
      <c r="F667" s="56" t="s">
        <v>3061</v>
      </c>
      <c r="H667" s="34">
        <v>45498</v>
      </c>
      <c r="I667" s="26">
        <v>1</v>
      </c>
      <c r="J667" s="26">
        <v>247</v>
      </c>
      <c r="K667">
        <v>247</v>
      </c>
      <c r="L667" s="26">
        <v>261</v>
      </c>
      <c r="M667">
        <f t="shared" si="11"/>
        <v>261</v>
      </c>
      <c r="O66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Row],[orderNum]],ТабПозиции[orderSumm])&gt;1500),ABS(M667*VLOOKUP(ТабПозиции[[#This Row],[orderNum]],ТабЗаказы[#Data],MATCH("Percent",ТабЗаказы[#Headers],0),0))/100,200/COUNTIF(ТабПозиции[orderNum],ТабПозиции[[#This Row],[orderNum]])),0),"")</f>
        <v>39</v>
      </c>
      <c r="P667">
        <f>IF(OR(ТабПозиции[[#This Row],[item]]="По штрихкоду",ТабПозиции[[#This Row],[item]]="Посылка"),ТабПозиции[[#This Row],[deliverySumm]]+ТабПозиции[[#This Row],[deliveryPost]],SUM(M667:O667))</f>
        <v>300</v>
      </c>
      <c r="Q667" s="57">
        <v>300</v>
      </c>
      <c r="R667" s="62">
        <f>ТабПозиции[[#This Row],[totalSumm]]-ТабПозиции[[#This Row],[payment]]</f>
        <v>0</v>
      </c>
      <c r="S667" s="34" t="s">
        <v>965</v>
      </c>
      <c r="T667" s="56" t="s">
        <v>3061</v>
      </c>
      <c r="U667" s="56" t="s">
        <v>3061</v>
      </c>
      <c r="V667" s="56" t="s">
        <v>3061</v>
      </c>
      <c r="W667" s="7"/>
      <c r="X667"/>
    </row>
    <row r="668" spans="1:24" x14ac:dyDescent="0.25">
      <c r="A668" s="26">
        <v>186</v>
      </c>
      <c r="B668" s="1">
        <f>IFERROR(VLOOKUP(ТабПозиции[[#This Row],[orderNum]],ТабЗаказы[#Data],MATCH(B$7,ТабЗаказы[#Headers],0),0),"")</f>
        <v>45497</v>
      </c>
      <c r="C668" t="str">
        <f>MONTH(ТабПозиции[[#This Row],[date]])&amp;"/"&amp;YEAR(ТабПозиции[[#This Row],[date]])</f>
        <v>7/2024</v>
      </c>
      <c r="D668" s="1" t="str">
        <f>IFERROR(VLOOKUP(ТабПозиции[[#This Row],[orderNum]],ТабЗаказы[#Data],MATCH(D$7,ТабЗаказы[#Headers],0),0),"")</f>
        <v>Алена шмалко</v>
      </c>
      <c r="E668" s="32" t="s">
        <v>1152</v>
      </c>
      <c r="F668" s="56" t="s">
        <v>3061</v>
      </c>
      <c r="H668" s="34">
        <v>45498</v>
      </c>
      <c r="I668" s="26">
        <v>1</v>
      </c>
      <c r="J668" s="26">
        <v>336</v>
      </c>
      <c r="K668">
        <v>336</v>
      </c>
      <c r="L668" s="26">
        <v>354</v>
      </c>
      <c r="M668">
        <f t="shared" si="11"/>
        <v>354</v>
      </c>
      <c r="O66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Row],[orderNum]],ТабПозиции[orderSumm])&gt;1500),ABS(M668*VLOOKUP(ТабПозиции[[#This Row],[orderNum]],ТабЗаказы[#Data],MATCH("Percent",ТабЗаказы[#Headers],0),0))/100,200/COUNTIF(ТабПозиции[orderNum],ТабПозиции[[#This Row],[orderNum]])),0),"")</f>
        <v>53</v>
      </c>
      <c r="P668">
        <f>IF(OR(ТабПозиции[[#This Row],[item]]="По штрихкоду",ТабПозиции[[#This Row],[item]]="Посылка"),ТабПозиции[[#This Row],[deliverySumm]]+ТабПозиции[[#This Row],[deliveryPost]],SUM(M668:O668))</f>
        <v>407</v>
      </c>
      <c r="Q668" s="57">
        <v>407</v>
      </c>
      <c r="R668" s="62">
        <f>ТабПозиции[[#This Row],[totalSumm]]-ТабПозиции[[#This Row],[payment]]</f>
        <v>0</v>
      </c>
      <c r="S668" s="34" t="s">
        <v>965</v>
      </c>
      <c r="T668" s="56" t="s">
        <v>3061</v>
      </c>
      <c r="U668" s="56" t="s">
        <v>3061</v>
      </c>
      <c r="V668" s="56" t="s">
        <v>3061</v>
      </c>
      <c r="W668" s="7"/>
      <c r="X668"/>
    </row>
    <row r="669" spans="1:24" x14ac:dyDescent="0.25">
      <c r="A669" s="26">
        <v>186</v>
      </c>
      <c r="B669" s="1">
        <f>IFERROR(VLOOKUP(ТабПозиции[[#This Row],[orderNum]],ТабЗаказы[#Data],MATCH(B$7,ТабЗаказы[#Headers],0),0),"")</f>
        <v>45497</v>
      </c>
      <c r="C669" t="str">
        <f>MONTH(ТабПозиции[[#This Row],[date]])&amp;"/"&amp;YEAR(ТабПозиции[[#This Row],[date]])</f>
        <v>7/2024</v>
      </c>
      <c r="D669" s="1" t="str">
        <f>IFERROR(VLOOKUP(ТабПозиции[[#This Row],[orderNum]],ТабЗаказы[#Data],MATCH(D$7,ТабЗаказы[#Headers],0),0),"")</f>
        <v>Алена шмалко</v>
      </c>
      <c r="E669" s="32" t="s">
        <v>1153</v>
      </c>
      <c r="F669" s="56" t="s">
        <v>3061</v>
      </c>
      <c r="H669" s="34">
        <v>45498</v>
      </c>
      <c r="I669" s="26">
        <v>1</v>
      </c>
      <c r="J669" s="26">
        <v>228</v>
      </c>
      <c r="K669">
        <v>228</v>
      </c>
      <c r="L669" s="26">
        <v>240</v>
      </c>
      <c r="M669">
        <f t="shared" si="11"/>
        <v>240</v>
      </c>
      <c r="O66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Row],[orderNum]],ТабПозиции[orderSumm])&gt;1500),ABS(M669*VLOOKUP(ТабПозиции[[#This Row],[orderNum]],ТабЗаказы[#Data],MATCH("Percent",ТабЗаказы[#Headers],0),0))/100,200/COUNTIF(ТабПозиции[orderNum],ТабПозиции[[#This Row],[orderNum]])),0),"")</f>
        <v>36</v>
      </c>
      <c r="P669">
        <f>IF(OR(ТабПозиции[[#This Row],[item]]="По штрихкоду",ТабПозиции[[#This Row],[item]]="Посылка"),ТабПозиции[[#This Row],[deliverySumm]]+ТабПозиции[[#This Row],[deliveryPost]],SUM(M669:O669))</f>
        <v>276</v>
      </c>
      <c r="Q669" s="57">
        <v>276</v>
      </c>
      <c r="R669" s="62">
        <f>ТабПозиции[[#This Row],[totalSumm]]-ТабПозиции[[#This Row],[payment]]</f>
        <v>0</v>
      </c>
      <c r="S669" s="34" t="s">
        <v>965</v>
      </c>
      <c r="T669" s="56" t="s">
        <v>3061</v>
      </c>
      <c r="U669" s="56" t="s">
        <v>3061</v>
      </c>
      <c r="V669" s="56" t="s">
        <v>3061</v>
      </c>
      <c r="W669" s="7"/>
      <c r="X669"/>
    </row>
    <row r="670" spans="1:24" x14ac:dyDescent="0.25">
      <c r="A670" s="26">
        <v>186</v>
      </c>
      <c r="B670" s="1">
        <f>IFERROR(VLOOKUP(ТабПозиции[[#This Row],[orderNum]],ТабЗаказы[#Data],MATCH(B$7,ТабЗаказы[#Headers],0),0),"")</f>
        <v>45497</v>
      </c>
      <c r="C670" t="str">
        <f>MONTH(ТабПозиции[[#This Row],[date]])&amp;"/"&amp;YEAR(ТабПозиции[[#This Row],[date]])</f>
        <v>7/2024</v>
      </c>
      <c r="D670" s="1" t="str">
        <f>IFERROR(VLOOKUP(ТабПозиции[[#This Row],[orderNum]],ТабЗаказы[#Data],MATCH(D$7,ТабЗаказы[#Headers],0),0),"")</f>
        <v>Алена шмалко</v>
      </c>
      <c r="E670" s="32" t="s">
        <v>1154</v>
      </c>
      <c r="F670" s="56" t="s">
        <v>3061</v>
      </c>
      <c r="H670" s="34">
        <v>45498</v>
      </c>
      <c r="I670" s="26">
        <v>1</v>
      </c>
      <c r="J670" s="26">
        <v>226</v>
      </c>
      <c r="K670">
        <v>226</v>
      </c>
      <c r="L670" s="26">
        <v>238</v>
      </c>
      <c r="M670">
        <f t="shared" si="11"/>
        <v>238</v>
      </c>
      <c r="O67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Row],[orderNum]],ТабПозиции[orderSumm])&gt;1500),ABS(M670*VLOOKUP(ТабПозиции[[#This Row],[orderNum]],ТабЗаказы[#Data],MATCH("Percent",ТабЗаказы[#Headers],0),0))/100,200/COUNTIF(ТабПозиции[orderNum],ТабПозиции[[#This Row],[orderNum]])),0),"")</f>
        <v>36</v>
      </c>
      <c r="P670">
        <f>IF(OR(ТабПозиции[[#This Row],[item]]="По штрихкоду",ТабПозиции[[#This Row],[item]]="Посылка"),ТабПозиции[[#This Row],[deliverySumm]]+ТабПозиции[[#This Row],[deliveryPost]],SUM(M670:O670))</f>
        <v>274</v>
      </c>
      <c r="Q670" s="57">
        <v>274</v>
      </c>
      <c r="R670" s="62">
        <f>ТабПозиции[[#This Row],[totalSumm]]-ТабПозиции[[#This Row],[payment]]</f>
        <v>0</v>
      </c>
      <c r="S670" s="34" t="s">
        <v>965</v>
      </c>
      <c r="T670" s="56" t="s">
        <v>3061</v>
      </c>
      <c r="U670" s="56" t="s">
        <v>3061</v>
      </c>
      <c r="V670" s="56" t="s">
        <v>3061</v>
      </c>
      <c r="W670" s="7"/>
      <c r="X670"/>
    </row>
    <row r="671" spans="1:24" x14ac:dyDescent="0.25">
      <c r="A671" s="26">
        <v>186</v>
      </c>
      <c r="B671" s="1">
        <f>IFERROR(VLOOKUP(ТабПозиции[[#This Row],[orderNum]],ТабЗаказы[#Data],MATCH(B$7,ТабЗаказы[#Headers],0),0),"")</f>
        <v>45497</v>
      </c>
      <c r="C671" t="str">
        <f>MONTH(ТабПозиции[[#This Row],[date]])&amp;"/"&amp;YEAR(ТабПозиции[[#This Row],[date]])</f>
        <v>7/2024</v>
      </c>
      <c r="D671" s="1" t="str">
        <f>IFERROR(VLOOKUP(ТабПозиции[[#This Row],[orderNum]],ТабЗаказы[#Data],MATCH(D$7,ТабЗаказы[#Headers],0),0),"")</f>
        <v>Алена шмалко</v>
      </c>
      <c r="E671" s="32" t="s">
        <v>1155</v>
      </c>
      <c r="F671" s="56" t="s">
        <v>3061</v>
      </c>
      <c r="H671" s="34">
        <v>45500</v>
      </c>
      <c r="I671" s="26">
        <v>1</v>
      </c>
      <c r="J671" s="26">
        <v>124</v>
      </c>
      <c r="K671">
        <v>124</v>
      </c>
      <c r="L671" s="26">
        <v>131</v>
      </c>
      <c r="M671">
        <f t="shared" si="11"/>
        <v>131</v>
      </c>
      <c r="O67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Row],[orderNum]],ТабПозиции[orderSumm])&gt;1500),ABS(M671*VLOOKUP(ТабПозиции[[#This Row],[orderNum]],ТабЗаказы[#Data],MATCH("Percent",ТабЗаказы[#Headers],0),0))/100,200/COUNTIF(ТабПозиции[orderNum],ТабПозиции[[#This Row],[orderNum]])),0),"")</f>
        <v>20</v>
      </c>
      <c r="P671">
        <f>IF(OR(ТабПозиции[[#This Row],[item]]="По штрихкоду",ТабПозиции[[#This Row],[item]]="Посылка"),ТабПозиции[[#This Row],[deliverySumm]]+ТабПозиции[[#This Row],[deliveryPost]],SUM(M671:O671))</f>
        <v>151</v>
      </c>
      <c r="Q671" s="57">
        <v>151</v>
      </c>
      <c r="R671" s="62">
        <f>ТабПозиции[[#This Row],[totalSumm]]-ТабПозиции[[#This Row],[payment]]</f>
        <v>0</v>
      </c>
      <c r="S671" s="34" t="s">
        <v>965</v>
      </c>
      <c r="T671" s="56" t="s">
        <v>3061</v>
      </c>
      <c r="U671" s="56" t="s">
        <v>3061</v>
      </c>
      <c r="V671" s="56" t="s">
        <v>3061</v>
      </c>
      <c r="W671" s="7"/>
      <c r="X671"/>
    </row>
    <row r="672" spans="1:24" x14ac:dyDescent="0.25">
      <c r="A672" s="26">
        <v>186</v>
      </c>
      <c r="B672" s="1">
        <f>IFERROR(VLOOKUP(ТабПозиции[[#This Row],[orderNum]],ТабЗаказы[#Data],MATCH(B$7,ТабЗаказы[#Headers],0),0),"")</f>
        <v>45497</v>
      </c>
      <c r="C672" t="str">
        <f>MONTH(ТабПозиции[[#This Row],[date]])&amp;"/"&amp;YEAR(ТабПозиции[[#This Row],[date]])</f>
        <v>7/2024</v>
      </c>
      <c r="D672" s="1" t="str">
        <f>IFERROR(VLOOKUP(ТабПозиции[[#This Row],[orderNum]],ТабЗаказы[#Data],MATCH(D$7,ТабЗаказы[#Headers],0),0),"")</f>
        <v>Алена шмалко</v>
      </c>
      <c r="E672" s="32" t="s">
        <v>1156</v>
      </c>
      <c r="F672" s="56" t="s">
        <v>3061</v>
      </c>
      <c r="H672" s="34">
        <v>45501</v>
      </c>
      <c r="I672" s="26">
        <v>1</v>
      </c>
      <c r="J672" s="26">
        <v>545</v>
      </c>
      <c r="K672">
        <v>545</v>
      </c>
      <c r="L672" s="26">
        <v>574</v>
      </c>
      <c r="M672">
        <f t="shared" si="11"/>
        <v>574</v>
      </c>
      <c r="O67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Row],[orderNum]],ТабПозиции[orderSumm])&gt;1500),ABS(M672*VLOOKUP(ТабПозиции[[#This Row],[orderNum]],ТабЗаказы[#Data],MATCH("Percent",ТабЗаказы[#Headers],0),0))/100,200/COUNTIF(ТабПозиции[orderNum],ТабПозиции[[#This Row],[orderNum]])),0),"")</f>
        <v>86</v>
      </c>
      <c r="P672">
        <f>IF(OR(ТабПозиции[[#This Row],[item]]="По штрихкоду",ТабПозиции[[#This Row],[item]]="Посылка"),ТабПозиции[[#This Row],[deliverySumm]]+ТабПозиции[[#This Row],[deliveryPost]],SUM(M672:O672))</f>
        <v>660</v>
      </c>
      <c r="Q672" s="57">
        <v>660</v>
      </c>
      <c r="R672" s="62">
        <f>ТабПозиции[[#This Row],[totalSumm]]-ТабПозиции[[#This Row],[payment]]</f>
        <v>0</v>
      </c>
      <c r="S672" s="34" t="s">
        <v>965</v>
      </c>
      <c r="T672" s="56" t="s">
        <v>3061</v>
      </c>
      <c r="U672" s="56" t="s">
        <v>3061</v>
      </c>
      <c r="V672" s="56" t="s">
        <v>3061</v>
      </c>
      <c r="W672" s="7"/>
      <c r="X672"/>
    </row>
    <row r="673" spans="1:24" x14ac:dyDescent="0.25">
      <c r="A673" s="26">
        <v>186</v>
      </c>
      <c r="B673" s="1">
        <f>IFERROR(VLOOKUP(ТабПозиции[[#This Row],[orderNum]],ТабЗаказы[#Data],MATCH(B$7,ТабЗаказы[#Headers],0),0),"")</f>
        <v>45497</v>
      </c>
      <c r="C673" t="str">
        <f>MONTH(ТабПозиции[[#This Row],[date]])&amp;"/"&amp;YEAR(ТабПозиции[[#This Row],[date]])</f>
        <v>7/2024</v>
      </c>
      <c r="D673" s="1" t="str">
        <f>IFERROR(VLOOKUP(ТабПозиции[[#This Row],[orderNum]],ТабЗаказы[#Data],MATCH(D$7,ТабЗаказы[#Headers],0),0),"")</f>
        <v>Алена шмалко</v>
      </c>
      <c r="E673" s="32" t="s">
        <v>1157</v>
      </c>
      <c r="F673" s="56" t="s">
        <v>3061</v>
      </c>
      <c r="H673" s="34">
        <v>45499</v>
      </c>
      <c r="I673" s="26">
        <v>1</v>
      </c>
      <c r="J673" s="26">
        <v>449</v>
      </c>
      <c r="K673">
        <v>449</v>
      </c>
      <c r="L673" s="26">
        <v>473</v>
      </c>
      <c r="M673">
        <f t="shared" ref="M673:M735" si="12">L673*I673</f>
        <v>473</v>
      </c>
      <c r="O67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Row],[orderNum]],ТабПозиции[orderSumm])&gt;1500),ABS(M673*VLOOKUP(ТабПозиции[[#This Row],[orderNum]],ТабЗаказы[#Data],MATCH("Percent",ТабЗаказы[#Headers],0),0))/100,200/COUNTIF(ТабПозиции[orderNum],ТабПозиции[[#This Row],[orderNum]])),0),"")</f>
        <v>71</v>
      </c>
      <c r="P673">
        <f>IF(OR(ТабПозиции[[#This Row],[item]]="По штрихкоду",ТабПозиции[[#This Row],[item]]="Посылка"),ТабПозиции[[#This Row],[deliverySumm]]+ТабПозиции[[#This Row],[deliveryPost]],SUM(M673:O673))</f>
        <v>544</v>
      </c>
      <c r="Q673" s="57">
        <v>544</v>
      </c>
      <c r="R673" s="62">
        <f>ТабПозиции[[#This Row],[totalSumm]]-ТабПозиции[[#This Row],[payment]]</f>
        <v>0</v>
      </c>
      <c r="S673" s="34" t="s">
        <v>965</v>
      </c>
      <c r="T673" s="56" t="s">
        <v>3061</v>
      </c>
      <c r="U673" s="56" t="s">
        <v>3061</v>
      </c>
      <c r="V673" s="56" t="s">
        <v>3061</v>
      </c>
      <c r="W673" s="7"/>
      <c r="X673"/>
    </row>
    <row r="674" spans="1:24" x14ac:dyDescent="0.25">
      <c r="A674" s="26">
        <v>186</v>
      </c>
      <c r="B674" s="1">
        <f>IFERROR(VLOOKUP(ТабПозиции[[#This Row],[orderNum]],ТабЗаказы[#Data],MATCH(B$7,ТабЗаказы[#Headers],0),0),"")</f>
        <v>45497</v>
      </c>
      <c r="C674" t="str">
        <f>MONTH(ТабПозиции[[#This Row],[date]])&amp;"/"&amp;YEAR(ТабПозиции[[#This Row],[date]])</f>
        <v>7/2024</v>
      </c>
      <c r="D674" s="1" t="str">
        <f>IFERROR(VLOOKUP(ТабПозиции[[#This Row],[orderNum]],ТабЗаказы[#Data],MATCH(D$7,ТабЗаказы[#Headers],0),0),"")</f>
        <v>Алена шмалко</v>
      </c>
      <c r="E674" s="32" t="s">
        <v>1158</v>
      </c>
      <c r="F674" s="56" t="s">
        <v>3061</v>
      </c>
      <c r="H674" s="34">
        <v>45498</v>
      </c>
      <c r="I674" s="26">
        <v>1</v>
      </c>
      <c r="J674" s="26">
        <v>275</v>
      </c>
      <c r="K674">
        <v>275</v>
      </c>
      <c r="L674" s="26">
        <v>290</v>
      </c>
      <c r="M674">
        <f t="shared" si="12"/>
        <v>290</v>
      </c>
      <c r="O67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Row],[orderNum]],ТабПозиции[orderSumm])&gt;1500),ABS(M674*VLOOKUP(ТабПозиции[[#This Row],[orderNum]],ТабЗаказы[#Data],MATCH("Percent",ТабЗаказы[#Headers],0),0))/100,200/COUNTIF(ТабПозиции[orderNum],ТабПозиции[[#This Row],[orderNum]])),0),"")</f>
        <v>44</v>
      </c>
      <c r="P674">
        <f>IF(OR(ТабПозиции[[#This Row],[item]]="По штрихкоду",ТабПозиции[[#This Row],[item]]="Посылка"),ТабПозиции[[#This Row],[deliverySumm]]+ТабПозиции[[#This Row],[deliveryPost]],SUM(M674:O674))</f>
        <v>334</v>
      </c>
      <c r="Q674" s="57">
        <v>334</v>
      </c>
      <c r="R674" s="62">
        <f>ТабПозиции[[#This Row],[totalSumm]]-ТабПозиции[[#This Row],[payment]]</f>
        <v>0</v>
      </c>
      <c r="S674" s="34" t="s">
        <v>965</v>
      </c>
      <c r="T674" s="56" t="s">
        <v>3061</v>
      </c>
      <c r="U674" s="56" t="s">
        <v>3061</v>
      </c>
      <c r="V674" s="56" t="s">
        <v>3061</v>
      </c>
      <c r="W674" s="7"/>
      <c r="X674"/>
    </row>
    <row r="675" spans="1:24" x14ac:dyDescent="0.25">
      <c r="A675" s="26">
        <v>186</v>
      </c>
      <c r="B675" s="1">
        <f>IFERROR(VLOOKUP(ТабПозиции[[#This Row],[orderNum]],ТабЗаказы[#Data],MATCH(B$7,ТабЗаказы[#Headers],0),0),"")</f>
        <v>45497</v>
      </c>
      <c r="C675" t="str">
        <f>MONTH(ТабПозиции[[#This Row],[date]])&amp;"/"&amp;YEAR(ТабПозиции[[#This Row],[date]])</f>
        <v>7/2024</v>
      </c>
      <c r="D675" s="1" t="str">
        <f>IFERROR(VLOOKUP(ТабПозиции[[#This Row],[orderNum]],ТабЗаказы[#Data],MATCH(D$7,ТабЗаказы[#Headers],0),0),"")</f>
        <v>Алена шмалко</v>
      </c>
      <c r="E675" s="32" t="s">
        <v>1159</v>
      </c>
      <c r="F675" s="56" t="s">
        <v>3061</v>
      </c>
      <c r="H675" s="34">
        <v>45500</v>
      </c>
      <c r="I675" s="26">
        <v>1</v>
      </c>
      <c r="J675" s="26">
        <v>421</v>
      </c>
      <c r="K675">
        <v>421</v>
      </c>
      <c r="L675" s="26">
        <v>444</v>
      </c>
      <c r="M675">
        <f t="shared" si="12"/>
        <v>444</v>
      </c>
      <c r="O67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Row],[orderNum]],ТабПозиции[orderSumm])&gt;1500),ABS(M675*VLOOKUP(ТабПозиции[[#This Row],[orderNum]],ТабЗаказы[#Data],MATCH("Percent",ТабЗаказы[#Headers],0),0))/100,200/COUNTIF(ТабПозиции[orderNum],ТабПозиции[[#This Row],[orderNum]])),0),"")</f>
        <v>67</v>
      </c>
      <c r="P675">
        <f>IF(OR(ТабПозиции[[#This Row],[item]]="По штрихкоду",ТабПозиции[[#This Row],[item]]="Посылка"),ТабПозиции[[#This Row],[deliverySumm]]+ТабПозиции[[#This Row],[deliveryPost]],SUM(M675:O675))</f>
        <v>511</v>
      </c>
      <c r="Q675" s="57">
        <v>511</v>
      </c>
      <c r="R675" s="62">
        <f>ТабПозиции[[#This Row],[totalSumm]]-ТабПозиции[[#This Row],[payment]]</f>
        <v>0</v>
      </c>
      <c r="S675" s="34" t="s">
        <v>965</v>
      </c>
      <c r="T675" s="56" t="s">
        <v>3061</v>
      </c>
      <c r="U675" s="56" t="s">
        <v>3061</v>
      </c>
      <c r="V675" s="56" t="s">
        <v>3061</v>
      </c>
      <c r="W675" s="7"/>
      <c r="X675"/>
    </row>
    <row r="676" spans="1:24" x14ac:dyDescent="0.25">
      <c r="A676" s="26">
        <v>186</v>
      </c>
      <c r="B676" s="1">
        <f>IFERROR(VLOOKUP(ТабПозиции[[#This Row],[orderNum]],ТабЗаказы[#Data],MATCH(B$7,ТабЗаказы[#Headers],0),0),"")</f>
        <v>45497</v>
      </c>
      <c r="C676" t="str">
        <f>MONTH(ТабПозиции[[#This Row],[date]])&amp;"/"&amp;YEAR(ТабПозиции[[#This Row],[date]])</f>
        <v>7/2024</v>
      </c>
      <c r="D676" s="1" t="str">
        <f>IFERROR(VLOOKUP(ТабПозиции[[#This Row],[orderNum]],ТабЗаказы[#Data],MATCH(D$7,ТабЗаказы[#Headers],0),0),"")</f>
        <v>Алена шмалко</v>
      </c>
      <c r="E676" s="32" t="s">
        <v>1160</v>
      </c>
      <c r="F676" s="56" t="s">
        <v>3061</v>
      </c>
      <c r="H676" s="34">
        <v>45498</v>
      </c>
      <c r="I676" s="26">
        <v>1</v>
      </c>
      <c r="J676" s="26">
        <v>511</v>
      </c>
      <c r="K676">
        <v>511</v>
      </c>
      <c r="L676" s="26">
        <v>538</v>
      </c>
      <c r="M676">
        <f t="shared" si="12"/>
        <v>538</v>
      </c>
      <c r="O67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Row],[orderNum]],ТабПозиции[orderSumm])&gt;1500),ABS(M676*VLOOKUP(ТабПозиции[[#This Row],[orderNum]],ТабЗаказы[#Data],MATCH("Percent",ТабЗаказы[#Headers],0),0))/100,200/COUNTIF(ТабПозиции[orderNum],ТабПозиции[[#This Row],[orderNum]])),0),"")</f>
        <v>81</v>
      </c>
      <c r="P676">
        <f>IF(OR(ТабПозиции[[#This Row],[item]]="По штрихкоду",ТабПозиции[[#This Row],[item]]="Посылка"),ТабПозиции[[#This Row],[deliverySumm]]+ТабПозиции[[#This Row],[deliveryPost]],SUM(M676:O676))</f>
        <v>619</v>
      </c>
      <c r="Q676" s="57">
        <v>619</v>
      </c>
      <c r="R676" s="62">
        <f>ТабПозиции[[#This Row],[totalSumm]]-ТабПозиции[[#This Row],[payment]]</f>
        <v>0</v>
      </c>
      <c r="S676" s="34" t="s">
        <v>965</v>
      </c>
      <c r="T676" s="56" t="s">
        <v>3061</v>
      </c>
      <c r="U676" s="56" t="s">
        <v>3061</v>
      </c>
      <c r="V676" s="56" t="s">
        <v>3061</v>
      </c>
      <c r="W676" s="7"/>
      <c r="X676"/>
    </row>
    <row r="677" spans="1:24" x14ac:dyDescent="0.25">
      <c r="A677" s="26">
        <v>186</v>
      </c>
      <c r="B677" s="1">
        <f>IFERROR(VLOOKUP(ТабПозиции[[#This Row],[orderNum]],ТабЗаказы[#Data],MATCH(B$7,ТабЗаказы[#Headers],0),0),"")</f>
        <v>45497</v>
      </c>
      <c r="C677" t="str">
        <f>MONTH(ТабПозиции[[#This Row],[date]])&amp;"/"&amp;YEAR(ТабПозиции[[#This Row],[date]])</f>
        <v>7/2024</v>
      </c>
      <c r="D677" s="1" t="str">
        <f>IFERROR(VLOOKUP(ТабПозиции[[#This Row],[orderNum]],ТабЗаказы[#Data],MATCH(D$7,ТабЗаказы[#Headers],0),0),"")</f>
        <v>Алена шмалко</v>
      </c>
      <c r="E677" s="32" t="s">
        <v>1161</v>
      </c>
      <c r="F677" s="56" t="s">
        <v>3061</v>
      </c>
      <c r="H677" s="34">
        <v>45498</v>
      </c>
      <c r="I677" s="26">
        <v>1</v>
      </c>
      <c r="J677" s="26">
        <v>380</v>
      </c>
      <c r="K677">
        <v>380</v>
      </c>
      <c r="L677" s="26">
        <v>400</v>
      </c>
      <c r="M677">
        <f t="shared" si="12"/>
        <v>400</v>
      </c>
      <c r="O67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Row],[orderNum]],ТабПозиции[orderSumm])&gt;1500),ABS(M677*VLOOKUP(ТабПозиции[[#This Row],[orderNum]],ТабЗаказы[#Data],MATCH("Percent",ТабЗаказы[#Headers],0),0))/100,200/COUNTIF(ТабПозиции[orderNum],ТабПозиции[[#This Row],[orderNum]])),0),"")</f>
        <v>60</v>
      </c>
      <c r="P677">
        <f>IF(OR(ТабПозиции[[#This Row],[item]]="По штрихкоду",ТабПозиции[[#This Row],[item]]="Посылка"),ТабПозиции[[#This Row],[deliverySumm]]+ТабПозиции[[#This Row],[deliveryPost]],SUM(M677:O677))</f>
        <v>460</v>
      </c>
      <c r="Q677" s="57">
        <v>460</v>
      </c>
      <c r="R677" s="62">
        <f>ТабПозиции[[#This Row],[totalSumm]]-ТабПозиции[[#This Row],[payment]]</f>
        <v>0</v>
      </c>
      <c r="S677" s="34" t="s">
        <v>965</v>
      </c>
      <c r="T677" s="56" t="s">
        <v>3061</v>
      </c>
      <c r="U677" s="56" t="s">
        <v>3061</v>
      </c>
      <c r="V677" s="56" t="s">
        <v>3061</v>
      </c>
      <c r="W677" s="7"/>
      <c r="X677"/>
    </row>
    <row r="678" spans="1:24" x14ac:dyDescent="0.25">
      <c r="A678" s="26">
        <v>186</v>
      </c>
      <c r="B678" s="1">
        <f>IFERROR(VLOOKUP(ТабПозиции[[#This Row],[orderNum]],ТабЗаказы[#Data],MATCH(B$7,ТабЗаказы[#Headers],0),0),"")</f>
        <v>45497</v>
      </c>
      <c r="C678" t="str">
        <f>MONTH(ТабПозиции[[#This Row],[date]])&amp;"/"&amp;YEAR(ТабПозиции[[#This Row],[date]])</f>
        <v>7/2024</v>
      </c>
      <c r="D678" s="1" t="str">
        <f>IFERROR(VLOOKUP(ТабПозиции[[#This Row],[orderNum]],ТабЗаказы[#Data],MATCH(D$7,ТабЗаказы[#Headers],0),0),"")</f>
        <v>Алена шмалко</v>
      </c>
      <c r="E678" s="32" t="s">
        <v>663</v>
      </c>
      <c r="F678" s="56" t="s">
        <v>3061</v>
      </c>
      <c r="H678" s="34">
        <v>45498</v>
      </c>
      <c r="I678" s="26">
        <v>1</v>
      </c>
      <c r="J678" s="26">
        <v>242</v>
      </c>
      <c r="K678">
        <v>242</v>
      </c>
      <c r="L678" s="26">
        <v>255</v>
      </c>
      <c r="M678">
        <f t="shared" si="12"/>
        <v>255</v>
      </c>
      <c r="O67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Row],[orderNum]],ТабПозиции[orderSumm])&gt;1500),ABS(M678*VLOOKUP(ТабПозиции[[#This Row],[orderNum]],ТабЗаказы[#Data],MATCH("Percent",ТабЗаказы[#Headers],0),0))/100,200/COUNTIF(ТабПозиции[orderNum],ТабПозиции[[#This Row],[orderNum]])),0),"")</f>
        <v>38</v>
      </c>
      <c r="P678">
        <f>IF(OR(ТабПозиции[[#This Row],[item]]="По штрихкоду",ТабПозиции[[#This Row],[item]]="Посылка"),ТабПозиции[[#This Row],[deliverySumm]]+ТабПозиции[[#This Row],[deliveryPost]],SUM(M678:O678))</f>
        <v>293</v>
      </c>
      <c r="Q678" s="57">
        <v>293</v>
      </c>
      <c r="R678" s="62">
        <f>ТабПозиции[[#This Row],[totalSumm]]-ТабПозиции[[#This Row],[payment]]</f>
        <v>0</v>
      </c>
      <c r="S678" s="34" t="s">
        <v>965</v>
      </c>
      <c r="T678" s="56" t="s">
        <v>3061</v>
      </c>
      <c r="U678" s="56" t="s">
        <v>3061</v>
      </c>
      <c r="V678" s="56" t="s">
        <v>3061</v>
      </c>
      <c r="W678" s="7"/>
      <c r="X678"/>
    </row>
    <row r="679" spans="1:24" x14ac:dyDescent="0.25">
      <c r="A679" s="26">
        <v>186</v>
      </c>
      <c r="B679" s="1">
        <f>IFERROR(VLOOKUP(ТабПозиции[[#This Row],[orderNum]],ТабЗаказы[#Data],MATCH(B$7,ТабЗаказы[#Headers],0),0),"")</f>
        <v>45497</v>
      </c>
      <c r="C679" t="str">
        <f>MONTH(ТабПозиции[[#This Row],[date]])&amp;"/"&amp;YEAR(ТабПозиции[[#This Row],[date]])</f>
        <v>7/2024</v>
      </c>
      <c r="D679" s="1" t="str">
        <f>IFERROR(VLOOKUP(ТабПозиции[[#This Row],[orderNum]],ТабЗаказы[#Data],MATCH(D$7,ТабЗаказы[#Headers],0),0),"")</f>
        <v>Алена шмалко</v>
      </c>
      <c r="E679" s="32" t="s">
        <v>1162</v>
      </c>
      <c r="F679" s="56" t="s">
        <v>3061</v>
      </c>
      <c r="H679" s="34">
        <v>45498</v>
      </c>
      <c r="I679" s="26">
        <v>1</v>
      </c>
      <c r="J679" s="26">
        <v>259</v>
      </c>
      <c r="K679">
        <v>259</v>
      </c>
      <c r="L679" s="26">
        <v>273</v>
      </c>
      <c r="M679">
        <f t="shared" si="12"/>
        <v>273</v>
      </c>
      <c r="O67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Row],[orderNum]],ТабПозиции[orderSumm])&gt;1500),ABS(M679*VLOOKUP(ТабПозиции[[#This Row],[orderNum]],ТабЗаказы[#Data],MATCH("Percent",ТабЗаказы[#Headers],0),0))/100,200/COUNTIF(ТабПозиции[orderNum],ТабПозиции[[#This Row],[orderNum]])),0),"")</f>
        <v>41</v>
      </c>
      <c r="P679">
        <f>IF(OR(ТабПозиции[[#This Row],[item]]="По штрихкоду",ТабПозиции[[#This Row],[item]]="Посылка"),ТабПозиции[[#This Row],[deliverySumm]]+ТабПозиции[[#This Row],[deliveryPost]],SUM(M679:O679))</f>
        <v>314</v>
      </c>
      <c r="Q679" s="57">
        <v>314</v>
      </c>
      <c r="R679" s="62">
        <f>ТабПозиции[[#This Row],[totalSumm]]-ТабПозиции[[#This Row],[payment]]</f>
        <v>0</v>
      </c>
      <c r="S679" s="34" t="s">
        <v>965</v>
      </c>
      <c r="T679" s="56" t="s">
        <v>3061</v>
      </c>
      <c r="U679" s="56" t="s">
        <v>3061</v>
      </c>
      <c r="V679" s="56" t="s">
        <v>3061</v>
      </c>
      <c r="W679" s="7"/>
      <c r="X679"/>
    </row>
    <row r="680" spans="1:24" x14ac:dyDescent="0.25">
      <c r="A680" s="26">
        <v>187</v>
      </c>
      <c r="B680" s="1">
        <f>IFERROR(VLOOKUP(ТабПозиции[[#This Row],[orderNum]],ТабЗаказы[#Data],MATCH(B$7,ТабЗаказы[#Headers],0),0),"")</f>
        <v>45497</v>
      </c>
      <c r="C680" t="str">
        <f>MONTH(ТабПозиции[[#This Row],[date]])&amp;"/"&amp;YEAR(ТабПозиции[[#This Row],[date]])</f>
        <v>7/2024</v>
      </c>
      <c r="D680" s="1" t="str">
        <f>IFERROR(VLOOKUP(ТабПозиции[[#This Row],[orderNum]],ТабЗаказы[#Data],MATCH(D$7,ТабЗаказы[#Headers],0),0),"")</f>
        <v>Алла Калининград</v>
      </c>
      <c r="E680" s="32" t="s">
        <v>1163</v>
      </c>
      <c r="F680" s="56" t="s">
        <v>3061</v>
      </c>
      <c r="H680" s="34">
        <v>45499</v>
      </c>
      <c r="I680" s="26">
        <v>1</v>
      </c>
      <c r="J680" s="26">
        <v>1227</v>
      </c>
      <c r="K680">
        <v>1227</v>
      </c>
      <c r="L680" s="26">
        <v>1292</v>
      </c>
      <c r="M680">
        <f t="shared" si="12"/>
        <v>1292</v>
      </c>
      <c r="O68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Row],[orderNum]],ТабПозиции[orderSumm])&gt;1500),ABS(M680*VLOOKUP(ТабПозиции[[#This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680">
        <f>IF(OR(ТабПозиции[[#This Row],[item]]="По штрихкоду",ТабПозиции[[#This Row],[item]]="Посылка"),ТабПозиции[[#This Row],[deliverySumm]]+ТабПозиции[[#This Row],[deliveryPost]],SUM(M680:O680))</f>
        <v>1492</v>
      </c>
      <c r="Q680" s="57">
        <v>1492</v>
      </c>
      <c r="R680" s="62">
        <f>ТабПозиции[[#This Row],[totalSumm]]-ТабПозиции[[#This Row],[payment]]</f>
        <v>0</v>
      </c>
      <c r="S680" s="34" t="s">
        <v>965</v>
      </c>
      <c r="T680" s="56" t="s">
        <v>3061</v>
      </c>
      <c r="U680" s="56" t="s">
        <v>3061</v>
      </c>
      <c r="V680" s="56" t="s">
        <v>3061</v>
      </c>
      <c r="W680" s="7"/>
      <c r="X680"/>
    </row>
    <row r="681" spans="1:24" x14ac:dyDescent="0.25">
      <c r="A681" s="26">
        <v>188</v>
      </c>
      <c r="B681" s="1">
        <f>IFERROR(VLOOKUP(ТабПозиции[[#This Row],[orderNum]],ТабЗаказы[#Data],MATCH(B$7,ТабЗаказы[#Headers],0),0),"")</f>
        <v>45497</v>
      </c>
      <c r="C681" t="str">
        <f>MONTH(ТабПозиции[[#This Row],[date]])&amp;"/"&amp;YEAR(ТабПозиции[[#This Row],[date]])</f>
        <v>7/2024</v>
      </c>
      <c r="D681" s="1" t="str">
        <f>IFERROR(VLOOKUP(ТабПозиции[[#This Row],[orderNum]],ТабЗаказы[#Data],MATCH(D$7,ТабЗаказы[#Headers],0),0),"")</f>
        <v>Андрей Бердянское</v>
      </c>
      <c r="E681" s="26" t="s">
        <v>815</v>
      </c>
      <c r="F681" s="56" t="s">
        <v>3061</v>
      </c>
      <c r="H681" s="34">
        <v>45493</v>
      </c>
      <c r="I681" s="26">
        <v>1</v>
      </c>
      <c r="J681" s="26">
        <v>26000</v>
      </c>
      <c r="K681">
        <v>26000</v>
      </c>
      <c r="L681" s="26">
        <v>26000</v>
      </c>
      <c r="M681">
        <f t="shared" si="12"/>
        <v>26000</v>
      </c>
      <c r="N681" s="26">
        <v>470</v>
      </c>
      <c r="O68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Row],[orderNum]],ТабПозиции[orderSumm])&gt;1500),ABS(M681*VLOOKUP(ТабПозиции[[#This Row],[orderNum]],ТабЗаказы[#Data],MATCH("Percent",ТабЗаказы[#Headers],0),0))/100,200/COUNTIF(ТабПозиции[orderNum],ТабПозиции[[#This Row],[orderNum]])),0),"")</f>
        <v>2600</v>
      </c>
      <c r="P681">
        <f>IF(OR(ТабПозиции[[#This Row],[item]]="По штрихкоду",ТабПозиции[[#This Row],[item]]="Посылка"),ТабПозиции[[#This Row],[deliverySumm]]+ТабПозиции[[#This Row],[deliveryPost]],SUM(M681:O681))</f>
        <v>3070</v>
      </c>
      <c r="Q681" s="57">
        <v>3070</v>
      </c>
      <c r="R681" s="62">
        <f>ТабПозиции[[#This Row],[totalSumm]]-ТабПозиции[[#This Row],[payment]]</f>
        <v>0</v>
      </c>
      <c r="S681" s="34" t="s">
        <v>1016</v>
      </c>
      <c r="T681" s="56" t="s">
        <v>3061</v>
      </c>
      <c r="U681" s="56" t="s">
        <v>3061</v>
      </c>
      <c r="V681" s="56" t="s">
        <v>3061</v>
      </c>
      <c r="W681" s="7"/>
      <c r="X681"/>
    </row>
    <row r="682" spans="1:24" x14ac:dyDescent="0.25">
      <c r="A682" s="26">
        <v>189</v>
      </c>
      <c r="B682" s="1">
        <f>IFERROR(VLOOKUP(ТабПозиции[[#This Row],[orderNum]],ТабЗаказы[#Data],MATCH(B$7,ТабЗаказы[#Headers],0),0),"")</f>
        <v>45498</v>
      </c>
      <c r="C682" t="str">
        <f>MONTH(ТабПозиции[[#This Row],[date]])&amp;"/"&amp;YEAR(ТабПозиции[[#This Row],[date]])</f>
        <v>7/2024</v>
      </c>
      <c r="D682" s="1" t="str">
        <f>IFERROR(VLOOKUP(ТабПозиции[[#This Row],[orderNum]],ТабЗаказы[#Data],MATCH(D$7,ТабЗаказы[#Headers],0),0),"")</f>
        <v>Лариса Кирова</v>
      </c>
      <c r="E682" s="32" t="s">
        <v>810</v>
      </c>
      <c r="F682" s="56" t="s">
        <v>3061</v>
      </c>
      <c r="H682" s="34">
        <v>45502</v>
      </c>
      <c r="I682" s="26">
        <v>1</v>
      </c>
      <c r="J682" s="26">
        <v>13491</v>
      </c>
      <c r="K682">
        <v>13491</v>
      </c>
      <c r="L682" s="26">
        <v>13491</v>
      </c>
      <c r="M682">
        <f t="shared" si="12"/>
        <v>13491</v>
      </c>
      <c r="O68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Row],[orderNum]],ТабПозиции[orderSumm])&gt;1500),ABS(M682*VLOOKUP(ТабПозиции[[#This Row],[orderNum]],ТабЗаказы[#Data],MATCH("Percent",ТабЗаказы[#Headers],0),0))/100,200/COUNTIF(ТабПозиции[orderNum],ТабПозиции[[#This Row],[orderNum]])),0),"")</f>
        <v>1349</v>
      </c>
      <c r="P682">
        <f>IF(OR(ТабПозиции[[#This Row],[item]]="По штрихкоду",ТабПозиции[[#This Row],[item]]="Посылка"),ТабПозиции[[#This Row],[deliverySumm]]+ТабПозиции[[#This Row],[deliveryPost]],SUM(M682:O682))</f>
        <v>14840</v>
      </c>
      <c r="Q682" s="57">
        <v>14840</v>
      </c>
      <c r="R682" s="62">
        <f>ТабПозиции[[#This Row],[totalSumm]]-ТабПозиции[[#This Row],[payment]]</f>
        <v>0</v>
      </c>
      <c r="S682" s="34" t="s">
        <v>1000</v>
      </c>
      <c r="T682" s="56" t="s">
        <v>3061</v>
      </c>
      <c r="U682" s="56" t="s">
        <v>3061</v>
      </c>
      <c r="V682" s="56" t="s">
        <v>3061</v>
      </c>
      <c r="W682" s="7"/>
      <c r="X682"/>
    </row>
    <row r="683" spans="1:24" x14ac:dyDescent="0.25">
      <c r="A683" s="26">
        <v>189</v>
      </c>
      <c r="B683" s="1">
        <f>IFERROR(VLOOKUP(ТабПозиции[[#This Row],[orderNum]],ТабЗаказы[#Data],MATCH(B$7,ТабЗаказы[#Headers],0),0),"")</f>
        <v>45498</v>
      </c>
      <c r="C683" t="str">
        <f>MONTH(ТабПозиции[[#This Row],[date]])&amp;"/"&amp;YEAR(ТабПозиции[[#This Row],[date]])</f>
        <v>7/2024</v>
      </c>
      <c r="D683" s="1" t="str">
        <f>IFERROR(VLOOKUP(ТабПозиции[[#This Row],[orderNum]],ТабЗаказы[#Data],MATCH(D$7,ТабЗаказы[#Headers],0),0),"")</f>
        <v>Лариса Кирова</v>
      </c>
      <c r="E683" s="32" t="s">
        <v>839</v>
      </c>
      <c r="F683" s="56" t="s">
        <v>3061</v>
      </c>
      <c r="H683" s="34">
        <v>45502</v>
      </c>
      <c r="I683" s="26">
        <v>1</v>
      </c>
      <c r="J683" s="26">
        <v>339</v>
      </c>
      <c r="K683">
        <v>339</v>
      </c>
      <c r="L683" s="26">
        <v>357</v>
      </c>
      <c r="M683">
        <f t="shared" si="12"/>
        <v>357</v>
      </c>
      <c r="O68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Row],[orderNum]],ТабПозиции[orderSumm])&gt;1500),ABS(M683*VLOOKUP(ТабПозиции[[#This Row],[orderNum]],ТабЗаказы[#Data],MATCH("Percent",ТабЗаказы[#Headers],0),0))/100,200/COUNTIF(ТабПозиции[orderNum],ТабПозиции[[#This Row],[orderNum]])),0),"")</f>
        <v>36</v>
      </c>
      <c r="P683">
        <f>IF(OR(ТабПозиции[[#This Row],[item]]="По штрихкоду",ТабПозиции[[#This Row],[item]]="Посылка"),ТабПозиции[[#This Row],[deliverySumm]]+ТабПозиции[[#This Row],[deliveryPost]],SUM(M683:O683))</f>
        <v>393</v>
      </c>
      <c r="Q683" s="57">
        <v>393</v>
      </c>
      <c r="R683" s="62">
        <f>ТабПозиции[[#This Row],[totalSumm]]-ТабПозиции[[#This Row],[payment]]</f>
        <v>0</v>
      </c>
      <c r="S683" s="34" t="s">
        <v>965</v>
      </c>
      <c r="T683" s="56" t="s">
        <v>3061</v>
      </c>
      <c r="U683" s="56" t="s">
        <v>3061</v>
      </c>
      <c r="V683" s="56" t="s">
        <v>3061</v>
      </c>
      <c r="W683" s="7"/>
      <c r="X683"/>
    </row>
    <row r="684" spans="1:24" x14ac:dyDescent="0.25">
      <c r="A684" s="26">
        <v>189</v>
      </c>
      <c r="B684" s="1">
        <f>IFERROR(VLOOKUP(ТабПозиции[[#This Row],[orderNum]],ТабЗаказы[#Data],MATCH(B$7,ТабЗаказы[#Headers],0),0),"")</f>
        <v>45498</v>
      </c>
      <c r="C684" t="str">
        <f>MONTH(ТабПозиции[[#This Row],[date]])&amp;"/"&amp;YEAR(ТабПозиции[[#This Row],[date]])</f>
        <v>7/2024</v>
      </c>
      <c r="D684" s="1" t="str">
        <f>IFERROR(VLOOKUP(ТабПозиции[[#This Row],[orderNum]],ТабЗаказы[#Data],MATCH(D$7,ТабЗаказы[#Headers],0),0),"")</f>
        <v>Лариса Кирова</v>
      </c>
      <c r="E684" s="32" t="s">
        <v>1053</v>
      </c>
      <c r="F684" s="56" t="s">
        <v>3061</v>
      </c>
      <c r="H684" s="34">
        <v>45522</v>
      </c>
      <c r="I684" s="26">
        <v>1</v>
      </c>
      <c r="J684" s="26">
        <v>843</v>
      </c>
      <c r="K684">
        <v>843</v>
      </c>
      <c r="L684" s="26">
        <v>856</v>
      </c>
      <c r="M684">
        <f t="shared" si="12"/>
        <v>856</v>
      </c>
      <c r="O68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Row],[orderNum]],ТабПозиции[orderSumm])&gt;1500),ABS(M684*VLOOKUP(ТабПозиции[[#This Row],[orderNum]],ТабЗаказы[#Data],MATCH("Percent",ТабЗаказы[#Headers],0),0))/100,200/COUNTIF(ТабПозиции[orderNum],ТабПозиции[[#This Row],[orderNum]])),0),"")</f>
        <v>86</v>
      </c>
      <c r="P684">
        <f>IF(OR(ТабПозиции[[#This Row],[item]]="По штрихкоду",ТабПозиции[[#This Row],[item]]="Посылка"),ТабПозиции[[#This Row],[deliverySumm]]+ТабПозиции[[#This Row],[deliveryPost]],SUM(M684:O684))</f>
        <v>942</v>
      </c>
      <c r="Q684" s="57">
        <v>942</v>
      </c>
      <c r="R684" s="62">
        <f>ТабПозиции[[#This Row],[totalSumm]]-ТабПозиции[[#This Row],[payment]]</f>
        <v>0</v>
      </c>
      <c r="S684" s="34" t="s">
        <v>955</v>
      </c>
      <c r="T684" s="56" t="s">
        <v>3061</v>
      </c>
      <c r="U684" s="56" t="s">
        <v>3061</v>
      </c>
      <c r="V684" s="56" t="s">
        <v>3061</v>
      </c>
      <c r="W684" s="7"/>
      <c r="X684"/>
    </row>
    <row r="685" spans="1:24" x14ac:dyDescent="0.25">
      <c r="A685" s="26">
        <v>190</v>
      </c>
      <c r="B685" s="1">
        <f>IFERROR(VLOOKUP(ТабПозиции[[#This Row],[orderNum]],ТабЗаказы[#Data],MATCH(B$7,ТабЗаказы[#Headers],0),0),"")</f>
        <v>45500</v>
      </c>
      <c r="C685" t="str">
        <f>MONTH(ТабПозиции[[#This Row],[date]])&amp;"/"&amp;YEAR(ТабПозиции[[#This Row],[date]])</f>
        <v>7/2024</v>
      </c>
      <c r="D685" s="1" t="str">
        <f>IFERROR(VLOOKUP(ТабПозиции[[#This Row],[orderNum]],ТабЗаказы[#Data],MATCH(D$7,ТабЗаказы[#Headers],0),0),"")</f>
        <v>Митрофанов Евгений</v>
      </c>
      <c r="E685" s="32" t="s">
        <v>1164</v>
      </c>
      <c r="F685" s="56" t="s">
        <v>3061</v>
      </c>
      <c r="H685" s="34">
        <v>45504</v>
      </c>
      <c r="I685" s="26">
        <v>1</v>
      </c>
      <c r="J685" s="26">
        <v>549</v>
      </c>
      <c r="K685">
        <v>549</v>
      </c>
      <c r="L685" s="26">
        <v>572</v>
      </c>
      <c r="M685">
        <f t="shared" si="12"/>
        <v>572</v>
      </c>
      <c r="O68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Row],[orderNum]],ТабПозиции[orderSumm])&gt;1500),ABS(M685*VLOOKUP(ТабПозиции[[#This Row],[orderNum]],ТабЗаказы[#Data],MATCH("Percent",ТабЗаказы[#Headers],0),0))/100,200/COUNTIF(ТабПозиции[orderNum],ТабПозиции[[#This Row],[orderNum]])),0),"")</f>
        <v>86</v>
      </c>
      <c r="P685">
        <f>IF(OR(ТабПозиции[[#This Row],[item]]="По штрихкоду",ТабПозиции[[#This Row],[item]]="Посылка"),ТабПозиции[[#This Row],[deliverySumm]]+ТабПозиции[[#This Row],[deliveryPost]],SUM(M685:O685))</f>
        <v>658</v>
      </c>
      <c r="Q685" s="57">
        <v>658</v>
      </c>
      <c r="R685" s="62">
        <f>ТабПозиции[[#This Row],[totalSumm]]-ТабПозиции[[#This Row],[payment]]</f>
        <v>0</v>
      </c>
      <c r="S685" s="34" t="s">
        <v>955</v>
      </c>
      <c r="T685" s="56" t="s">
        <v>3061</v>
      </c>
      <c r="U685" s="56" t="s">
        <v>3061</v>
      </c>
      <c r="V685" s="56" t="s">
        <v>3061</v>
      </c>
      <c r="W685" s="7"/>
      <c r="X685"/>
    </row>
    <row r="686" spans="1:24" x14ac:dyDescent="0.25">
      <c r="A686" s="26">
        <v>190</v>
      </c>
      <c r="B686" s="1">
        <f>IFERROR(VLOOKUP(ТабПозиции[[#This Row],[orderNum]],ТабЗаказы[#Data],MATCH(B$7,ТабЗаказы[#Headers],0),0),"")</f>
        <v>45500</v>
      </c>
      <c r="C686" t="str">
        <f>MONTH(ТабПозиции[[#This Row],[date]])&amp;"/"&amp;YEAR(ТабПозиции[[#This Row],[date]])</f>
        <v>7/2024</v>
      </c>
      <c r="D686" s="1" t="str">
        <f>IFERROR(VLOOKUP(ТабПозиции[[#This Row],[orderNum]],ТабЗаказы[#Data],MATCH(D$7,ТабЗаказы[#Headers],0),0),"")</f>
        <v>Митрофанов Евгений</v>
      </c>
      <c r="E686" s="32" t="s">
        <v>1165</v>
      </c>
      <c r="F686" s="56" t="s">
        <v>3061</v>
      </c>
      <c r="H686" s="34">
        <v>45501</v>
      </c>
      <c r="I686" s="26">
        <v>1</v>
      </c>
      <c r="J686" s="26">
        <v>481</v>
      </c>
      <c r="K686">
        <v>481</v>
      </c>
      <c r="L686" s="26">
        <v>516</v>
      </c>
      <c r="M686">
        <f t="shared" si="12"/>
        <v>516</v>
      </c>
      <c r="O68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Row],[orderNum]],ТабПозиции[orderSumm])&gt;1500),ABS(M686*VLOOKUP(ТабПозиции[[#This Row],[orderNum]],ТабЗаказы[#Data],MATCH("Percent",ТабЗаказы[#Headers],0),0))/100,200/COUNTIF(ТабПозиции[orderNum],ТабПозиции[[#This Row],[orderNum]])),0),"")</f>
        <v>77</v>
      </c>
      <c r="P686">
        <f>IF(OR(ТабПозиции[[#This Row],[item]]="По штрихкоду",ТабПозиции[[#This Row],[item]]="Посылка"),ТабПозиции[[#This Row],[deliverySumm]]+ТабПозиции[[#This Row],[deliveryPost]],SUM(M686:O686))</f>
        <v>593</v>
      </c>
      <c r="Q686" s="57">
        <v>593</v>
      </c>
      <c r="R686" s="62">
        <f>ТабПозиции[[#This Row],[totalSumm]]-ТабПозиции[[#This Row],[payment]]</f>
        <v>0</v>
      </c>
      <c r="S686" s="34" t="s">
        <v>955</v>
      </c>
      <c r="T686" s="56" t="s">
        <v>3061</v>
      </c>
      <c r="U686" s="56" t="s">
        <v>3061</v>
      </c>
      <c r="V686" s="56" t="s">
        <v>3061</v>
      </c>
      <c r="W686" s="7"/>
      <c r="X686"/>
    </row>
    <row r="687" spans="1:24" x14ac:dyDescent="0.25">
      <c r="A687" s="26">
        <v>190</v>
      </c>
      <c r="B687" s="1">
        <f>IFERROR(VLOOKUP(ТабПозиции[[#This Row],[orderNum]],ТабЗаказы[#Data],MATCH(B$7,ТабЗаказы[#Headers],0),0),"")</f>
        <v>45500</v>
      </c>
      <c r="C687" t="str">
        <f>MONTH(ТабПозиции[[#This Row],[date]])&amp;"/"&amp;YEAR(ТабПозиции[[#This Row],[date]])</f>
        <v>7/2024</v>
      </c>
      <c r="D687" s="1" t="str">
        <f>IFERROR(VLOOKUP(ТабПозиции[[#This Row],[orderNum]],ТабЗаказы[#Data],MATCH(D$7,ТабЗаказы[#Headers],0),0),"")</f>
        <v>Митрофанов Евгений</v>
      </c>
      <c r="E687" s="32" t="s">
        <v>1166</v>
      </c>
      <c r="F687" s="56" t="s">
        <v>3061</v>
      </c>
      <c r="H687" s="34">
        <v>45501</v>
      </c>
      <c r="I687" s="26">
        <v>1</v>
      </c>
      <c r="J687" s="26">
        <v>637</v>
      </c>
      <c r="K687">
        <v>637</v>
      </c>
      <c r="L687" s="26">
        <v>682</v>
      </c>
      <c r="M687">
        <f t="shared" si="12"/>
        <v>682</v>
      </c>
      <c r="O68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Row],[orderNum]],ТабПозиции[orderSumm])&gt;1500),ABS(M687*VLOOKUP(ТабПозиции[[#This Row],[orderNum]],ТабЗаказы[#Data],MATCH("Percent",ТабЗаказы[#Headers],0),0))/100,200/COUNTIF(ТабПозиции[orderNum],ТабПозиции[[#This Row],[orderNum]])),0),"")</f>
        <v>102</v>
      </c>
      <c r="P687">
        <f>IF(OR(ТабПозиции[[#This Row],[item]]="По штрихкоду",ТабПозиции[[#This Row],[item]]="Посылка"),ТабПозиции[[#This Row],[deliverySumm]]+ТабПозиции[[#This Row],[deliveryPost]],SUM(M687:O687))</f>
        <v>784</v>
      </c>
      <c r="Q687" s="57">
        <v>784</v>
      </c>
      <c r="R687" s="62">
        <f>ТабПозиции[[#This Row],[totalSumm]]-ТабПозиции[[#This Row],[payment]]</f>
        <v>0</v>
      </c>
      <c r="S687" s="34" t="s">
        <v>955</v>
      </c>
      <c r="T687" s="56" t="s">
        <v>3061</v>
      </c>
      <c r="U687" s="56" t="s">
        <v>3061</v>
      </c>
      <c r="V687" s="56" t="s">
        <v>3061</v>
      </c>
      <c r="W687" s="7"/>
      <c r="X687"/>
    </row>
    <row r="688" spans="1:24" x14ac:dyDescent="0.25">
      <c r="A688" s="26">
        <v>204</v>
      </c>
      <c r="B688" s="1">
        <f>IFERROR(VLOOKUP(ТабПозиции[[#This Row],[orderNum]],ТабЗаказы[#Data],MATCH(B$7,ТабЗаказы[#Headers],0),0),"")</f>
        <v>45514</v>
      </c>
      <c r="C688" t="str">
        <f>MONTH(ТабПозиции[[#This Row],[date]])&amp;"/"&amp;YEAR(ТабПозиции[[#This Row],[date]])</f>
        <v>8/2024</v>
      </c>
      <c r="D688" s="1" t="str">
        <f>IFERROR(VLOOKUP(ТабПозиции[[#This Row],[orderNum]],ТабЗаказы[#Data],MATCH(D$7,ТабЗаказы[#Headers],0),0),"")</f>
        <v>Максим телевизор</v>
      </c>
      <c r="E688" s="26" t="s">
        <v>815</v>
      </c>
      <c r="F688" s="56" t="s">
        <v>3061</v>
      </c>
      <c r="G688" s="28" t="s">
        <v>1167</v>
      </c>
      <c r="H688" s="34">
        <v>45513</v>
      </c>
      <c r="I688" s="26">
        <v>1</v>
      </c>
      <c r="J688" s="26">
        <v>3200</v>
      </c>
      <c r="K688">
        <v>3200</v>
      </c>
      <c r="L688" s="26">
        <v>3200</v>
      </c>
      <c r="M688">
        <f t="shared" si="12"/>
        <v>3200</v>
      </c>
      <c r="O68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Row],[orderNum]],ТабПозиции[orderSumm])&gt;1500),ABS(M688*VLOOKUP(ТабПозиции[[#This Row],[orderNum]],ТабЗаказы[#Data],MATCH("Percent",ТабЗаказы[#Headers],0),0))/100,200/COUNTIF(ТабПозиции[orderNum],ТабПозиции[[#This Row],[orderNum]])),0),"")</f>
        <v>320</v>
      </c>
      <c r="P688">
        <f>IF(OR(ТабПозиции[[#This Row],[item]]="По штрихкоду",ТабПозиции[[#This Row],[item]]="Посылка"),ТабПозиции[[#This Row],[deliverySumm]]+ТабПозиции[[#This Row],[deliveryPost]],SUM(M688:O688))</f>
        <v>320</v>
      </c>
      <c r="Q688" s="57">
        <v>320</v>
      </c>
      <c r="R688" s="62">
        <f>ТабПозиции[[#This Row],[totalSumm]]-ТабПозиции[[#This Row],[payment]]</f>
        <v>0</v>
      </c>
      <c r="S688" s="34" t="s">
        <v>1062</v>
      </c>
      <c r="T688" s="56" t="s">
        <v>3061</v>
      </c>
      <c r="U688" s="56" t="s">
        <v>3061</v>
      </c>
      <c r="V688" s="56" t="s">
        <v>3061</v>
      </c>
      <c r="W688" s="7"/>
      <c r="X688"/>
    </row>
    <row r="689" spans="1:24" x14ac:dyDescent="0.25">
      <c r="A689" s="26">
        <v>204</v>
      </c>
      <c r="B689" s="1">
        <f>IFERROR(VLOOKUP(ТабПозиции[[#This Row],[orderNum]],ТабЗаказы[#Data],MATCH(B$7,ТабЗаказы[#Headers],0),0),"")</f>
        <v>45514</v>
      </c>
      <c r="C689" t="str">
        <f>MONTH(ТабПозиции[[#This Row],[date]])&amp;"/"&amp;YEAR(ТабПозиции[[#This Row],[date]])</f>
        <v>8/2024</v>
      </c>
      <c r="D689" s="1" t="str">
        <f>IFERROR(VLOOKUP(ТабПозиции[[#This Row],[orderNum]],ТабЗаказы[#Data],MATCH(D$7,ТабЗаказы[#Headers],0),0),"")</f>
        <v>Максим телевизор</v>
      </c>
      <c r="E689" s="26" t="s">
        <v>815</v>
      </c>
      <c r="F689" s="56" t="s">
        <v>3061</v>
      </c>
      <c r="G689" s="28" t="s">
        <v>1168</v>
      </c>
      <c r="H689" s="34">
        <v>45502</v>
      </c>
      <c r="I689" s="26">
        <v>1</v>
      </c>
      <c r="J689" s="26">
        <v>1100</v>
      </c>
      <c r="K689">
        <v>1100</v>
      </c>
      <c r="L689" s="26">
        <v>1100</v>
      </c>
      <c r="M689">
        <f t="shared" si="12"/>
        <v>1100</v>
      </c>
      <c r="O68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Row],[orderNum]],ТабПозиции[orderSumm])&gt;1500),ABS(M689*VLOOKUP(ТабПозиции[[#This Row],[orderNum]],ТабЗаказы[#Data],MATCH("Percent",ТабЗаказы[#Headers],0),0))/100,200/COUNTIF(ТабПозиции[orderNum],ТабПозиции[[#This Row],[orderNum]])),0),"")</f>
        <v>110</v>
      </c>
      <c r="P689">
        <f>IF(OR(ТабПозиции[[#This Row],[item]]="По штрихкоду",ТабПозиции[[#This Row],[item]]="Посылка"),ТабПозиции[[#This Row],[deliverySumm]]+ТабПозиции[[#This Row],[deliveryPost]],SUM(M689:O689))</f>
        <v>110</v>
      </c>
      <c r="Q689" s="57">
        <v>110</v>
      </c>
      <c r="R689" s="62">
        <f>ТабПозиции[[#This Row],[totalSumm]]-ТабПозиции[[#This Row],[payment]]</f>
        <v>0</v>
      </c>
      <c r="S689" s="34" t="s">
        <v>1062</v>
      </c>
      <c r="T689" s="56" t="s">
        <v>3061</v>
      </c>
      <c r="U689" s="56" t="s">
        <v>3061</v>
      </c>
      <c r="V689" s="56" t="s">
        <v>3061</v>
      </c>
      <c r="W689" s="7"/>
      <c r="X689"/>
    </row>
    <row r="690" spans="1:24" x14ac:dyDescent="0.25">
      <c r="A690" s="26">
        <v>204</v>
      </c>
      <c r="B690" s="1">
        <f>IFERROR(VLOOKUP(ТабПозиции[[#This Row],[orderNum]],ТабЗаказы[#Data],MATCH(B$7,ТабЗаказы[#Headers],0),0),"")</f>
        <v>45514</v>
      </c>
      <c r="C690" t="str">
        <f>MONTH(ТабПозиции[[#This Row],[date]])&amp;"/"&amp;YEAR(ТабПозиции[[#This Row],[date]])</f>
        <v>8/2024</v>
      </c>
      <c r="D690" s="1" t="str">
        <f>IFERROR(VLOOKUP(ТабПозиции[[#This Row],[orderNum]],ТабЗаказы[#Data],MATCH(D$7,ТабЗаказы[#Headers],0),0),"")</f>
        <v>Максим телевизор</v>
      </c>
      <c r="E690" s="26" t="s">
        <v>815</v>
      </c>
      <c r="F690" s="56" t="s">
        <v>3061</v>
      </c>
      <c r="G690" s="28" t="s">
        <v>1169</v>
      </c>
      <c r="H690" s="34">
        <v>45506</v>
      </c>
      <c r="I690" s="26">
        <v>1</v>
      </c>
      <c r="J690" s="26">
        <v>5900</v>
      </c>
      <c r="K690">
        <v>5900</v>
      </c>
      <c r="L690" s="26">
        <v>5900</v>
      </c>
      <c r="M690">
        <f t="shared" si="12"/>
        <v>5900</v>
      </c>
      <c r="O69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Row],[orderNum]],ТабПозиции[orderSumm])&gt;1500),ABS(M690*VLOOKUP(ТабПозиции[[#This Row],[orderNum]],ТабЗаказы[#Data],MATCH("Percent",ТабЗаказы[#Headers],0),0))/100,200/COUNTIF(ТабПозиции[orderNum],ТабПозиции[[#This Row],[orderNum]])),0),"")</f>
        <v>590</v>
      </c>
      <c r="P690">
        <f>IF(OR(ТабПозиции[[#This Row],[item]]="По штрихкоду",ТабПозиции[[#This Row],[item]]="Посылка"),ТабПозиции[[#This Row],[deliverySumm]]+ТабПозиции[[#This Row],[deliveryPost]],SUM(M690:O690))</f>
        <v>590</v>
      </c>
      <c r="Q690" s="57">
        <v>590</v>
      </c>
      <c r="R690" s="62">
        <f>ТабПозиции[[#This Row],[totalSumm]]-ТабПозиции[[#This Row],[payment]]</f>
        <v>0</v>
      </c>
      <c r="S690" s="34" t="s">
        <v>1062</v>
      </c>
      <c r="T690" s="56" t="s">
        <v>3061</v>
      </c>
      <c r="U690" s="56" t="s">
        <v>3061</v>
      </c>
      <c r="V690" s="56" t="s">
        <v>3061</v>
      </c>
      <c r="W690" s="7"/>
      <c r="X690"/>
    </row>
    <row r="691" spans="1:24" x14ac:dyDescent="0.25">
      <c r="A691" s="26">
        <v>192</v>
      </c>
      <c r="B691" s="1">
        <f>IFERROR(VLOOKUP(ТабПозиции[[#This Row],[orderNum]],ТабЗаказы[#Data],MATCH(B$7,ТабЗаказы[#Headers],0),0),"")</f>
        <v>45502</v>
      </c>
      <c r="C691" t="str">
        <f>MONTH(ТабПозиции[[#This Row],[date]])&amp;"/"&amp;YEAR(ТабПозиции[[#This Row],[date]])</f>
        <v>7/2024</v>
      </c>
      <c r="D691" s="1" t="str">
        <f>IFERROR(VLOOKUP(ТабПозиции[[#This Row],[orderNum]],ТабЗаказы[#Data],MATCH(D$7,ТабЗаказы[#Headers],0),0),"")</f>
        <v>Елена Ларисына</v>
      </c>
      <c r="E691" s="32" t="s">
        <v>1170</v>
      </c>
      <c r="F691" s="56" t="s">
        <v>3061</v>
      </c>
      <c r="H691" s="34">
        <v>45506</v>
      </c>
      <c r="I691" s="26">
        <v>1</v>
      </c>
      <c r="J691" s="26">
        <v>2181</v>
      </c>
      <c r="K691">
        <v>2181</v>
      </c>
      <c r="L691" s="26">
        <v>2331</v>
      </c>
      <c r="M691">
        <f t="shared" si="12"/>
        <v>2331</v>
      </c>
      <c r="O69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Row],[orderNum]],ТабПозиции[orderSumm])&gt;1500),ABS(M691*VLOOKUP(ТабПозиции[[#This Row],[orderNum]],ТабЗаказы[#Data],MATCH("Percent",ТабЗаказы[#Headers],0),0))/100,200/COUNTIF(ТабПозиции[orderNum],ТабПозиции[[#This Row],[orderNum]])),0),"")</f>
        <v>350</v>
      </c>
      <c r="P691">
        <f>IF(OR(ТабПозиции[[#This Row],[item]]="По штрихкоду",ТабПозиции[[#This Row],[item]]="Посылка"),ТабПозиции[[#This Row],[deliverySumm]]+ТабПозиции[[#This Row],[deliveryPost]],SUM(M691:O691))</f>
        <v>2681</v>
      </c>
      <c r="Q691" s="57">
        <v>2681</v>
      </c>
      <c r="R691" s="62">
        <f>ТабПозиции[[#This Row],[totalSumm]]-ТабПозиции[[#This Row],[payment]]</f>
        <v>0</v>
      </c>
      <c r="S691" s="34" t="s">
        <v>955</v>
      </c>
      <c r="T691" s="56" t="s">
        <v>3061</v>
      </c>
      <c r="U691" s="56" t="s">
        <v>3061</v>
      </c>
      <c r="V691" s="56" t="s">
        <v>3061</v>
      </c>
      <c r="W691" s="7"/>
      <c r="X691"/>
    </row>
    <row r="692" spans="1:24" x14ac:dyDescent="0.25">
      <c r="A692" s="26">
        <v>192</v>
      </c>
      <c r="B692" s="1">
        <f>IFERROR(VLOOKUP(ТабПозиции[[#This Row],[orderNum]],ТабЗаказы[#Data],MATCH(B$7,ТабЗаказы[#Headers],0),0),"")</f>
        <v>45502</v>
      </c>
      <c r="C692" t="str">
        <f>MONTH(ТабПозиции[[#This Row],[date]])&amp;"/"&amp;YEAR(ТабПозиции[[#This Row],[date]])</f>
        <v>7/2024</v>
      </c>
      <c r="D692" s="1" t="str">
        <f>IFERROR(VLOOKUP(ТабПозиции[[#This Row],[orderNum]],ТабЗаказы[#Data],MATCH(D$7,ТабЗаказы[#Headers],0),0),"")</f>
        <v>Елена Ларисына</v>
      </c>
      <c r="E692" s="32" t="s">
        <v>1171</v>
      </c>
      <c r="F692" s="56" t="s">
        <v>3061</v>
      </c>
      <c r="H692" s="34">
        <v>45525</v>
      </c>
      <c r="I692" s="26">
        <v>0</v>
      </c>
      <c r="J692" s="26">
        <v>3378</v>
      </c>
      <c r="K692">
        <v>0</v>
      </c>
      <c r="L692" s="26">
        <v>3712</v>
      </c>
      <c r="M692">
        <f t="shared" si="12"/>
        <v>0</v>
      </c>
      <c r="O69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Row],[orderNum]],ТабПозиции[orderSumm])&gt;1500),ABS(M692*VLOOKUP(ТабПозиции[[#This Row],[orderNum]],ТабЗаказы[#Data],MATCH("Percent",ТабЗаказы[#Headers],0),0))/100,200/COUNTIF(ТабПозиции[orderNum],ТабПозиции[[#This Row],[orderNum]])),0),"")</f>
        <v>0</v>
      </c>
      <c r="P692">
        <f>IF(OR(ТабПозиции[[#This Row],[item]]="По штрихкоду",ТабПозиции[[#This Row],[item]]="Посылка"),ТабПозиции[[#This Row],[deliverySumm]]+ТабПозиции[[#This Row],[deliveryPost]],SUM(M692:O692))</f>
        <v>0</v>
      </c>
      <c r="R692" s="62">
        <f>ТабПозиции[[#This Row],[totalSumm]]-ТабПозиции[[#This Row],[payment]]</f>
        <v>0</v>
      </c>
      <c r="S692" s="34" t="s">
        <v>955</v>
      </c>
      <c r="T692" s="56" t="s">
        <v>3061</v>
      </c>
      <c r="U692" s="56" t="s">
        <v>3061</v>
      </c>
      <c r="V692" s="56" t="s">
        <v>3061</v>
      </c>
      <c r="W692" s="7"/>
      <c r="X692"/>
    </row>
    <row r="693" spans="1:24" x14ac:dyDescent="0.25">
      <c r="A693" s="26">
        <v>193</v>
      </c>
      <c r="B693" s="1">
        <f>IFERROR(VLOOKUP(ТабПозиции[[#This Row],[orderNum]],ТабЗаказы[#Data],MATCH(B$7,ТабЗаказы[#Headers],0),0),"")</f>
        <v>45502</v>
      </c>
      <c r="C693" t="str">
        <f>MONTH(ТабПозиции[[#This Row],[date]])&amp;"/"&amp;YEAR(ТабПозиции[[#This Row],[date]])</f>
        <v>7/2024</v>
      </c>
      <c r="D693" s="1" t="str">
        <f>IFERROR(VLOOKUP(ТабПозиции[[#This Row],[orderNum]],ТабЗаказы[#Data],MATCH(D$7,ТабЗаказы[#Headers],0),0),"")</f>
        <v>Елена Гайдар</v>
      </c>
      <c r="E693" s="32" t="s">
        <v>1172</v>
      </c>
      <c r="F693" s="56" t="s">
        <v>3061</v>
      </c>
      <c r="H693" s="34">
        <v>45504</v>
      </c>
      <c r="I693" s="26">
        <v>1</v>
      </c>
      <c r="J693" s="26">
        <v>599</v>
      </c>
      <c r="K693">
        <v>599</v>
      </c>
      <c r="L693" s="26">
        <v>612</v>
      </c>
      <c r="M693">
        <f t="shared" si="12"/>
        <v>612</v>
      </c>
      <c r="O69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Row],[orderNum]],ТабПозиции[orderSumm])&gt;1500),ABS(M693*VLOOKUP(ТабПозиции[[#This Row],[orderNum]],ТабЗаказы[#Data],MATCH("Percent",ТабЗаказы[#Headers],0),0))/100,200/COUNTIF(ТабПозиции[orderNum],ТабПозиции[[#This Row],[orderNum]])),0),"")</f>
        <v>92</v>
      </c>
      <c r="P693">
        <f>IF(OR(ТабПозиции[[#This Row],[item]]="По штрихкоду",ТабПозиции[[#This Row],[item]]="Посылка"),ТабПозиции[[#This Row],[deliverySumm]]+ТабПозиции[[#This Row],[deliveryPost]],SUM(M693:O693))</f>
        <v>704</v>
      </c>
      <c r="Q693" s="57">
        <v>704</v>
      </c>
      <c r="R693" s="62">
        <f>ТабПозиции[[#This Row],[totalSumm]]-ТабПозиции[[#This Row],[payment]]</f>
        <v>0</v>
      </c>
      <c r="S693" s="34" t="s">
        <v>965</v>
      </c>
      <c r="T693" s="56" t="s">
        <v>3061</v>
      </c>
      <c r="U693" s="56" t="s">
        <v>3061</v>
      </c>
      <c r="V693" s="56" t="s">
        <v>3061</v>
      </c>
      <c r="W693" s="7"/>
      <c r="X693"/>
    </row>
    <row r="694" spans="1:24" x14ac:dyDescent="0.25">
      <c r="A694" s="26">
        <v>193</v>
      </c>
      <c r="B694" s="1">
        <f>IFERROR(VLOOKUP(ТабПозиции[[#This Row],[orderNum]],ТабЗаказы[#Data],MATCH(B$7,ТабЗаказы[#Headers],0),0),"")</f>
        <v>45502</v>
      </c>
      <c r="C694" t="str">
        <f>MONTH(ТабПозиции[[#This Row],[date]])&amp;"/"&amp;YEAR(ТабПозиции[[#This Row],[date]])</f>
        <v>7/2024</v>
      </c>
      <c r="D694" s="1" t="str">
        <f>IFERROR(VLOOKUP(ТабПозиции[[#This Row],[orderNum]],ТабЗаказы[#Data],MATCH(D$7,ТабЗаказы[#Headers],0),0),"")</f>
        <v>Елена Гайдар</v>
      </c>
      <c r="E694" s="32" t="s">
        <v>1173</v>
      </c>
      <c r="F694" s="56" t="s">
        <v>3061</v>
      </c>
      <c r="H694" s="34">
        <v>45504</v>
      </c>
      <c r="I694" s="26">
        <v>1</v>
      </c>
      <c r="J694" s="26">
        <v>368</v>
      </c>
      <c r="K694">
        <v>368</v>
      </c>
      <c r="L694" s="26">
        <v>376</v>
      </c>
      <c r="M694">
        <f t="shared" si="12"/>
        <v>376</v>
      </c>
      <c r="O69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Row],[orderNum]],ТабПозиции[orderSumm])&gt;1500),ABS(M694*VLOOKUP(ТабПозиции[[#This Row],[orderNum]],ТабЗаказы[#Data],MATCH("Percent",ТабЗаказы[#Headers],0),0))/100,200/COUNTIF(ТабПозиции[orderNum],ТабПозиции[[#This Row],[orderNum]])),0),"")</f>
        <v>56</v>
      </c>
      <c r="P694">
        <f>IF(OR(ТабПозиции[[#This Row],[item]]="По штрихкоду",ТабПозиции[[#This Row],[item]]="Посылка"),ТабПозиции[[#This Row],[deliverySumm]]+ТабПозиции[[#This Row],[deliveryPost]],SUM(M694:O694))</f>
        <v>432</v>
      </c>
      <c r="Q694" s="57">
        <v>432</v>
      </c>
      <c r="R694" s="62">
        <f>ТабПозиции[[#This Row],[totalSumm]]-ТабПозиции[[#This Row],[payment]]</f>
        <v>0</v>
      </c>
      <c r="S694" s="34" t="s">
        <v>965</v>
      </c>
      <c r="T694" s="56" t="s">
        <v>3061</v>
      </c>
      <c r="U694" s="56" t="s">
        <v>3061</v>
      </c>
      <c r="V694" s="56" t="s">
        <v>3061</v>
      </c>
      <c r="W694" s="7"/>
      <c r="X694"/>
    </row>
    <row r="695" spans="1:24" x14ac:dyDescent="0.25">
      <c r="A695" s="26">
        <v>193</v>
      </c>
      <c r="B695" s="1">
        <f>IFERROR(VLOOKUP(ТабПозиции[[#This Row],[orderNum]],ТабЗаказы[#Data],MATCH(B$7,ТабЗаказы[#Headers],0),0),"")</f>
        <v>45502</v>
      </c>
      <c r="C695" t="str">
        <f>MONTH(ТабПозиции[[#This Row],[date]])&amp;"/"&amp;YEAR(ТабПозиции[[#This Row],[date]])</f>
        <v>7/2024</v>
      </c>
      <c r="D695" s="1" t="str">
        <f>IFERROR(VLOOKUP(ТабПозиции[[#This Row],[orderNum]],ТабЗаказы[#Data],MATCH(D$7,ТабЗаказы[#Headers],0),0),"")</f>
        <v>Елена Гайдар</v>
      </c>
      <c r="E695" s="32" t="s">
        <v>674</v>
      </c>
      <c r="F695" s="56" t="s">
        <v>3061</v>
      </c>
      <c r="H695" s="34">
        <v>45504</v>
      </c>
      <c r="I695" s="26">
        <v>1</v>
      </c>
      <c r="J695" s="26">
        <v>385</v>
      </c>
      <c r="K695">
        <v>385</v>
      </c>
      <c r="L695" s="26">
        <v>393</v>
      </c>
      <c r="M695">
        <f t="shared" si="12"/>
        <v>393</v>
      </c>
      <c r="O69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Row],[orderNum]],ТабПозиции[orderSumm])&gt;1500),ABS(M695*VLOOKUP(ТабПозиции[[#This Row],[orderNum]],ТабЗаказы[#Data],MATCH("Percent",ТабЗаказы[#Headers],0),0))/100,200/COUNTIF(ТабПозиции[orderNum],ТабПозиции[[#This Row],[orderNum]])),0),"")</f>
        <v>59</v>
      </c>
      <c r="P695">
        <f>IF(OR(ТабПозиции[[#This Row],[item]]="По штрихкоду",ТабПозиции[[#This Row],[item]]="Посылка"),ТабПозиции[[#This Row],[deliverySumm]]+ТабПозиции[[#This Row],[deliveryPost]],SUM(M695:O695))</f>
        <v>452</v>
      </c>
      <c r="Q695" s="57">
        <v>452</v>
      </c>
      <c r="R695" s="62">
        <f>ТабПозиции[[#This Row],[totalSumm]]-ТабПозиции[[#This Row],[payment]]</f>
        <v>0</v>
      </c>
      <c r="S695" s="34" t="s">
        <v>965</v>
      </c>
      <c r="T695" s="56" t="s">
        <v>3061</v>
      </c>
      <c r="U695" s="56" t="s">
        <v>3061</v>
      </c>
      <c r="V695" s="56" t="s">
        <v>3061</v>
      </c>
      <c r="W695" s="7"/>
      <c r="X695"/>
    </row>
    <row r="696" spans="1:24" x14ac:dyDescent="0.25">
      <c r="A696" s="26">
        <v>193</v>
      </c>
      <c r="B696" s="1">
        <f>IFERROR(VLOOKUP(ТабПозиции[[#This Row],[orderNum]],ТабЗаказы[#Data],MATCH(B$7,ТабЗаказы[#Headers],0),0),"")</f>
        <v>45502</v>
      </c>
      <c r="C696" t="str">
        <f>MONTH(ТабПозиции[[#This Row],[date]])&amp;"/"&amp;YEAR(ТабПозиции[[#This Row],[date]])</f>
        <v>7/2024</v>
      </c>
      <c r="D696" s="1" t="str">
        <f>IFERROR(VLOOKUP(ТабПозиции[[#This Row],[orderNum]],ТабЗаказы[#Data],MATCH(D$7,ТабЗаказы[#Headers],0),0),"")</f>
        <v>Елена Гайдар</v>
      </c>
      <c r="E696" s="32" t="s">
        <v>1174</v>
      </c>
      <c r="F696" s="56" t="s">
        <v>3061</v>
      </c>
      <c r="H696" s="34">
        <v>45504</v>
      </c>
      <c r="I696" s="26">
        <v>1</v>
      </c>
      <c r="J696" s="26">
        <v>433</v>
      </c>
      <c r="K696">
        <v>433</v>
      </c>
      <c r="L696" s="26">
        <v>442</v>
      </c>
      <c r="M696">
        <f t="shared" si="12"/>
        <v>442</v>
      </c>
      <c r="O69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Row],[orderNum]],ТабПозиции[orderSumm])&gt;1500),ABS(M696*VLOOKUP(ТабПозиции[[#This Row],[orderNum]],ТабЗаказы[#Data],MATCH("Percent",ТабЗаказы[#Headers],0),0))/100,200/COUNTIF(ТабПозиции[orderNum],ТабПозиции[[#This Row],[orderNum]])),0),"")</f>
        <v>66</v>
      </c>
      <c r="P696">
        <f>IF(OR(ТабПозиции[[#This Row],[item]]="По штрихкоду",ТабПозиции[[#This Row],[item]]="Посылка"),ТабПозиции[[#This Row],[deliverySumm]]+ТабПозиции[[#This Row],[deliveryPost]],SUM(M696:O696))</f>
        <v>508</v>
      </c>
      <c r="Q696" s="57">
        <v>508</v>
      </c>
      <c r="R696" s="62">
        <f>ТабПозиции[[#This Row],[totalSumm]]-ТабПозиции[[#This Row],[payment]]</f>
        <v>0</v>
      </c>
      <c r="S696" s="34" t="s">
        <v>965</v>
      </c>
      <c r="T696" s="56" t="s">
        <v>3061</v>
      </c>
      <c r="U696" s="56" t="s">
        <v>3061</v>
      </c>
      <c r="V696" s="56" t="s">
        <v>3061</v>
      </c>
      <c r="W696" s="7"/>
      <c r="X696"/>
    </row>
    <row r="697" spans="1:24" x14ac:dyDescent="0.25">
      <c r="A697" s="26">
        <v>193</v>
      </c>
      <c r="B697" s="1">
        <f>IFERROR(VLOOKUP(ТабПозиции[[#This Row],[orderNum]],ТабЗаказы[#Data],MATCH(B$7,ТабЗаказы[#Headers],0),0),"")</f>
        <v>45502</v>
      </c>
      <c r="C697" t="str">
        <f>MONTH(ТабПозиции[[#This Row],[date]])&amp;"/"&amp;YEAR(ТабПозиции[[#This Row],[date]])</f>
        <v>7/2024</v>
      </c>
      <c r="D697" s="1" t="str">
        <f>IFERROR(VLOOKUP(ТабПозиции[[#This Row],[orderNum]],ТабЗаказы[#Data],MATCH(D$7,ТабЗаказы[#Headers],0),0),"")</f>
        <v>Елена Гайдар</v>
      </c>
      <c r="E697" s="32" t="s">
        <v>1175</v>
      </c>
      <c r="F697" s="56" t="s">
        <v>3061</v>
      </c>
      <c r="H697" s="34">
        <v>45504</v>
      </c>
      <c r="I697" s="26">
        <v>1</v>
      </c>
      <c r="J697" s="26">
        <v>225</v>
      </c>
      <c r="K697">
        <v>225</v>
      </c>
      <c r="L697" s="26">
        <v>230</v>
      </c>
      <c r="M697">
        <f t="shared" si="12"/>
        <v>230</v>
      </c>
      <c r="O69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Row],[orderNum]],ТабПозиции[orderSumm])&gt;1500),ABS(M697*VLOOKUP(ТабПозиции[[#This Row],[orderNum]],ТабЗаказы[#Data],MATCH("Percent",ТабЗаказы[#Headers],0),0))/100,200/COUNTIF(ТабПозиции[orderNum],ТабПозиции[[#This Row],[orderNum]])),0),"")</f>
        <v>35</v>
      </c>
      <c r="P697">
        <f>IF(OR(ТабПозиции[[#This Row],[item]]="По штрихкоду",ТабПозиции[[#This Row],[item]]="Посылка"),ТабПозиции[[#This Row],[deliverySumm]]+ТабПозиции[[#This Row],[deliveryPost]],SUM(M697:O697))</f>
        <v>265</v>
      </c>
      <c r="Q697" s="57">
        <v>265</v>
      </c>
      <c r="R697" s="62">
        <f>ТабПозиции[[#This Row],[totalSumm]]-ТабПозиции[[#This Row],[payment]]</f>
        <v>0</v>
      </c>
      <c r="S697" s="34" t="s">
        <v>965</v>
      </c>
      <c r="T697" s="56" t="s">
        <v>3061</v>
      </c>
      <c r="U697" s="56" t="s">
        <v>3061</v>
      </c>
      <c r="V697" s="56" t="s">
        <v>3061</v>
      </c>
      <c r="W697" s="7"/>
      <c r="X697"/>
    </row>
    <row r="698" spans="1:24" x14ac:dyDescent="0.25">
      <c r="A698" s="26">
        <v>193</v>
      </c>
      <c r="B698" s="1">
        <f>IFERROR(VLOOKUP(ТабПозиции[[#This Row],[orderNum]],ТабЗаказы[#Data],MATCH(B$7,ТабЗаказы[#Headers],0),0),"")</f>
        <v>45502</v>
      </c>
      <c r="C698" t="str">
        <f>MONTH(ТабПозиции[[#This Row],[date]])&amp;"/"&amp;YEAR(ТабПозиции[[#This Row],[date]])</f>
        <v>7/2024</v>
      </c>
      <c r="D698" s="1" t="str">
        <f>IFERROR(VLOOKUP(ТабПозиции[[#This Row],[orderNum]],ТабЗаказы[#Data],MATCH(D$7,ТабЗаказы[#Headers],0),0),"")</f>
        <v>Елена Гайдар</v>
      </c>
      <c r="E698" s="32" t="s">
        <v>1176</v>
      </c>
      <c r="F698" s="56" t="s">
        <v>3061</v>
      </c>
      <c r="H698" s="34">
        <v>45504</v>
      </c>
      <c r="I698" s="26">
        <v>1</v>
      </c>
      <c r="J698" s="26">
        <v>498</v>
      </c>
      <c r="K698">
        <v>498</v>
      </c>
      <c r="L698" s="26">
        <v>509</v>
      </c>
      <c r="M698">
        <f t="shared" si="12"/>
        <v>509</v>
      </c>
      <c r="O69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Row],[orderNum]],ТабПозиции[orderSumm])&gt;1500),ABS(M698*VLOOKUP(ТабПозиции[[#This Row],[orderNum]],ТабЗаказы[#Data],MATCH("Percent",ТабЗаказы[#Headers],0),0))/100,200/COUNTIF(ТабПозиции[orderNum],ТабПозиции[[#This Row],[orderNum]])),0),"")</f>
        <v>76</v>
      </c>
      <c r="P698">
        <f>IF(OR(ТабПозиции[[#This Row],[item]]="По штрихкоду",ТабПозиции[[#This Row],[item]]="Посылка"),ТабПозиции[[#This Row],[deliverySumm]]+ТабПозиции[[#This Row],[deliveryPost]],SUM(M698:O698))</f>
        <v>585</v>
      </c>
      <c r="Q698" s="57">
        <v>585</v>
      </c>
      <c r="R698" s="62">
        <f>ТабПозиции[[#This Row],[totalSumm]]-ТабПозиции[[#This Row],[payment]]</f>
        <v>0</v>
      </c>
      <c r="S698" s="34" t="s">
        <v>965</v>
      </c>
      <c r="T698" s="56" t="s">
        <v>3061</v>
      </c>
      <c r="U698" s="56" t="s">
        <v>3061</v>
      </c>
      <c r="V698" s="56" t="s">
        <v>3061</v>
      </c>
      <c r="W698" s="7"/>
      <c r="X698"/>
    </row>
    <row r="699" spans="1:24" x14ac:dyDescent="0.25">
      <c r="A699" s="26">
        <v>193</v>
      </c>
      <c r="B699" s="1">
        <f>IFERROR(VLOOKUP(ТабПозиции[[#This Row],[orderNum]],ТабЗаказы[#Data],MATCH(B$7,ТабЗаказы[#Headers],0),0),"")</f>
        <v>45502</v>
      </c>
      <c r="C699" t="str">
        <f>MONTH(ТабПозиции[[#This Row],[date]])&amp;"/"&amp;YEAR(ТабПозиции[[#This Row],[date]])</f>
        <v>7/2024</v>
      </c>
      <c r="D699" s="1" t="str">
        <f>IFERROR(VLOOKUP(ТабПозиции[[#This Row],[orderNum]],ТабЗаказы[#Data],MATCH(D$7,ТабЗаказы[#Headers],0),0),"")</f>
        <v>Елена Гайдар</v>
      </c>
      <c r="E699" s="32" t="s">
        <v>1177</v>
      </c>
      <c r="F699" s="56" t="s">
        <v>3061</v>
      </c>
      <c r="H699" s="34">
        <v>45505</v>
      </c>
      <c r="I699" s="26">
        <v>1</v>
      </c>
      <c r="J699" s="26">
        <v>381</v>
      </c>
      <c r="K699">
        <v>381</v>
      </c>
      <c r="L699" s="26">
        <v>389</v>
      </c>
      <c r="M699">
        <f t="shared" si="12"/>
        <v>389</v>
      </c>
      <c r="O69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Row],[orderNum]],ТабПозиции[orderSumm])&gt;1500),ABS(M699*VLOOKUP(ТабПозиции[[#This Row],[orderNum]],ТабЗаказы[#Data],MATCH("Percent",ТабЗаказы[#Headers],0),0))/100,200/COUNTIF(ТабПозиции[orderNum],ТабПозиции[[#This Row],[orderNum]])),0),"")</f>
        <v>58</v>
      </c>
      <c r="P699">
        <f>IF(OR(ТабПозиции[[#This Row],[item]]="По штрихкоду",ТабПозиции[[#This Row],[item]]="Посылка"),ТабПозиции[[#This Row],[deliverySumm]]+ТабПозиции[[#This Row],[deliveryPost]],SUM(M699:O699))</f>
        <v>447</v>
      </c>
      <c r="Q699" s="57">
        <v>447</v>
      </c>
      <c r="R699" s="62">
        <f>ТабПозиции[[#This Row],[totalSumm]]-ТабПозиции[[#This Row],[payment]]</f>
        <v>0</v>
      </c>
      <c r="S699" s="34" t="s">
        <v>965</v>
      </c>
      <c r="T699" s="56" t="s">
        <v>3061</v>
      </c>
      <c r="U699" s="56" t="s">
        <v>3061</v>
      </c>
      <c r="V699" s="56" t="s">
        <v>3061</v>
      </c>
      <c r="W699" s="7"/>
      <c r="X699"/>
    </row>
    <row r="700" spans="1:24" x14ac:dyDescent="0.25">
      <c r="A700" s="26">
        <v>193</v>
      </c>
      <c r="B700" s="1">
        <f>IFERROR(VLOOKUP(ТабПозиции[[#This Row],[orderNum]],ТабЗаказы[#Data],MATCH(B$7,ТабЗаказы[#Headers],0),0),"")</f>
        <v>45502</v>
      </c>
      <c r="C700" t="str">
        <f>MONTH(ТабПозиции[[#This Row],[date]])&amp;"/"&amp;YEAR(ТабПозиции[[#This Row],[date]])</f>
        <v>7/2024</v>
      </c>
      <c r="D700" s="1" t="str">
        <f>IFERROR(VLOOKUP(ТабПозиции[[#This Row],[orderNum]],ТабЗаказы[#Data],MATCH(D$7,ТабЗаказы[#Headers],0),0),"")</f>
        <v>Елена Гайдар</v>
      </c>
      <c r="E700" s="32" t="s">
        <v>1178</v>
      </c>
      <c r="F700" s="56" t="s">
        <v>3061</v>
      </c>
      <c r="H700" s="34">
        <v>45504</v>
      </c>
      <c r="I700" s="26">
        <v>1</v>
      </c>
      <c r="J700" s="26">
        <v>1242</v>
      </c>
      <c r="K700">
        <v>1242</v>
      </c>
      <c r="L700" s="26">
        <v>1268</v>
      </c>
      <c r="M700">
        <f t="shared" si="12"/>
        <v>1268</v>
      </c>
      <c r="O70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Row],[orderNum]],ТабПозиции[orderSumm])&gt;1500),ABS(M700*VLOOKUP(ТабПозиции[[#This Row],[orderNum]],ТабЗаказы[#Data],MATCH("Percent",ТабЗаказы[#Headers],0),0))/100,200/COUNTIF(ТабПозиции[orderNum],ТабПозиции[[#This Row],[orderNum]])),0),"")</f>
        <v>190</v>
      </c>
      <c r="P700">
        <f>IF(OR(ТабПозиции[[#This Row],[item]]="По штрихкоду",ТабПозиции[[#This Row],[item]]="Посылка"),ТабПозиции[[#This Row],[deliverySumm]]+ТабПозиции[[#This Row],[deliveryPost]],SUM(M700:O700))</f>
        <v>1458</v>
      </c>
      <c r="Q700" s="57">
        <v>1458</v>
      </c>
      <c r="R700" s="62">
        <f>ТабПозиции[[#This Row],[totalSumm]]-ТабПозиции[[#This Row],[payment]]</f>
        <v>0</v>
      </c>
      <c r="S700" s="34" t="s">
        <v>965</v>
      </c>
      <c r="T700" s="56" t="s">
        <v>3061</v>
      </c>
      <c r="U700" s="56" t="s">
        <v>3061</v>
      </c>
      <c r="V700" s="56" t="s">
        <v>3061</v>
      </c>
      <c r="W700" s="7"/>
      <c r="X700"/>
    </row>
    <row r="701" spans="1:24" x14ac:dyDescent="0.25">
      <c r="A701" s="26">
        <v>193</v>
      </c>
      <c r="B701" s="1">
        <f>IFERROR(VLOOKUP(ТабПозиции[[#This Row],[orderNum]],ТабЗаказы[#Data],MATCH(B$7,ТабЗаказы[#Headers],0),0),"")</f>
        <v>45502</v>
      </c>
      <c r="C701" t="str">
        <f>MONTH(ТабПозиции[[#This Row],[date]])&amp;"/"&amp;YEAR(ТабПозиции[[#This Row],[date]])</f>
        <v>7/2024</v>
      </c>
      <c r="D701" s="1" t="str">
        <f>IFERROR(VLOOKUP(ТабПозиции[[#This Row],[orderNum]],ТабЗаказы[#Data],MATCH(D$7,ТабЗаказы[#Headers],0),0),"")</f>
        <v>Елена Гайдар</v>
      </c>
      <c r="E701" s="32" t="s">
        <v>1165</v>
      </c>
      <c r="F701" s="56" t="s">
        <v>3061</v>
      </c>
      <c r="H701" s="34">
        <v>45504</v>
      </c>
      <c r="I701" s="26">
        <v>1</v>
      </c>
      <c r="J701" s="26">
        <v>733</v>
      </c>
      <c r="K701">
        <v>733</v>
      </c>
      <c r="L701" s="26">
        <v>748</v>
      </c>
      <c r="M701">
        <f t="shared" si="12"/>
        <v>748</v>
      </c>
      <c r="O70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Row],[orderNum]],ТабПозиции[orderSumm])&gt;1500),ABS(M701*VLOOKUP(ТабПозиции[[#This Row],[orderNum]],ТабЗаказы[#Data],MATCH("Percent",ТабЗаказы[#Headers],0),0))/100,200/COUNTIF(ТабПозиции[orderNum],ТабПозиции[[#This Row],[orderNum]])),0),"")</f>
        <v>112</v>
      </c>
      <c r="P701">
        <f>IF(OR(ТабПозиции[[#This Row],[item]]="По штрихкоду",ТабПозиции[[#This Row],[item]]="Посылка"),ТабПозиции[[#This Row],[deliverySumm]]+ТабПозиции[[#This Row],[deliveryPost]],SUM(M701:O701))</f>
        <v>860</v>
      </c>
      <c r="Q701" s="57">
        <v>860</v>
      </c>
      <c r="R701" s="62">
        <f>ТабПозиции[[#This Row],[totalSumm]]-ТабПозиции[[#This Row],[payment]]</f>
        <v>0</v>
      </c>
      <c r="S701" s="34" t="s">
        <v>965</v>
      </c>
      <c r="T701" s="56" t="s">
        <v>3061</v>
      </c>
      <c r="U701" s="56" t="s">
        <v>3061</v>
      </c>
      <c r="V701" s="56" t="s">
        <v>3061</v>
      </c>
      <c r="W701" s="7"/>
      <c r="X701"/>
    </row>
    <row r="702" spans="1:24" x14ac:dyDescent="0.25">
      <c r="A702" s="26">
        <v>192</v>
      </c>
      <c r="B702" s="1">
        <f>IFERROR(VLOOKUP(ТабПозиции[[#This Row],[orderNum]],ТабЗаказы[#Data],MATCH(B$7,ТабЗаказы[#Headers],0),0),"")</f>
        <v>45502</v>
      </c>
      <c r="C702" t="str">
        <f>MONTH(ТабПозиции[[#This Row],[date]])&amp;"/"&amp;YEAR(ТабПозиции[[#This Row],[date]])</f>
        <v>7/2024</v>
      </c>
      <c r="D702" s="1" t="str">
        <f>IFERROR(VLOOKUP(ТабПозиции[[#This Row],[orderNum]],ТабЗаказы[#Data],MATCH(D$7,ТабЗаказы[#Headers],0),0),"")</f>
        <v>Елена Ларисына</v>
      </c>
      <c r="E702" s="32" t="s">
        <v>1179</v>
      </c>
      <c r="F702" s="56" t="s">
        <v>3061</v>
      </c>
      <c r="H702" s="34">
        <v>45506</v>
      </c>
      <c r="I702" s="26">
        <v>1</v>
      </c>
      <c r="J702" s="26">
        <v>914</v>
      </c>
      <c r="K702">
        <v>914</v>
      </c>
      <c r="L702" s="26">
        <v>1004</v>
      </c>
      <c r="M702">
        <f t="shared" si="12"/>
        <v>1004</v>
      </c>
      <c r="O70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Row],[orderNum]],ТабПозиции[orderSumm])&gt;1500),ABS(M702*VLOOKUP(ТабПозиции[[#This Row],[orderNum]],ТабЗаказы[#Data],MATCH("Percent",ТабЗаказы[#Headers],0),0))/100,200/COUNTIF(ТабПозиции[orderNum],ТабПозиции[[#This Row],[orderNum]])),0),"")</f>
        <v>151</v>
      </c>
      <c r="P702">
        <f>IF(OR(ТабПозиции[[#This Row],[item]]="По штрихкоду",ТабПозиции[[#This Row],[item]]="Посылка"),ТабПозиции[[#This Row],[deliverySumm]]+ТабПозиции[[#This Row],[deliveryPost]],SUM(M702:O702))</f>
        <v>1155</v>
      </c>
      <c r="Q702" s="57">
        <v>1155</v>
      </c>
      <c r="R702" s="62">
        <f>ТабПозиции[[#This Row],[totalSumm]]-ТабПозиции[[#This Row],[payment]]</f>
        <v>0</v>
      </c>
      <c r="S702" s="34" t="s">
        <v>955</v>
      </c>
      <c r="T702" s="56" t="s">
        <v>3061</v>
      </c>
      <c r="U702" s="56" t="s">
        <v>3061</v>
      </c>
      <c r="V702" s="56" t="s">
        <v>3061</v>
      </c>
      <c r="W702" s="7"/>
      <c r="X702"/>
    </row>
    <row r="703" spans="1:24" x14ac:dyDescent="0.25">
      <c r="A703" s="26">
        <v>194</v>
      </c>
      <c r="B703" s="1">
        <f>IFERROR(VLOOKUP(ТабПозиции[[#This Row],[orderNum]],ТабЗаказы[#Data],MATCH(B$7,ТабЗаказы[#Headers],0),0),"")</f>
        <v>45506</v>
      </c>
      <c r="C703" t="str">
        <f>MONTH(ТабПозиции[[#This Row],[date]])&amp;"/"&amp;YEAR(ТабПозиции[[#This Row],[date]])</f>
        <v>8/2024</v>
      </c>
      <c r="D703" s="1" t="str">
        <f>IFERROR(VLOOKUP(ТабПозиции[[#This Row],[orderNum]],ТабЗаказы[#Data],MATCH(D$7,ТабЗаказы[#Headers],0),0),"")</f>
        <v>Екатерина Сартана</v>
      </c>
      <c r="E703" s="26" t="s">
        <v>32</v>
      </c>
      <c r="F703" s="56" t="s">
        <v>3061</v>
      </c>
      <c r="H703" s="34"/>
      <c r="I703" s="26">
        <v>1</v>
      </c>
      <c r="J703" s="26">
        <f>3086+3280</f>
        <v>6366</v>
      </c>
      <c r="K703">
        <v>6366</v>
      </c>
      <c r="L703" s="26">
        <f>3086+3280</f>
        <v>6366</v>
      </c>
      <c r="M703">
        <f t="shared" si="12"/>
        <v>6366</v>
      </c>
      <c r="N703" s="26">
        <v>200</v>
      </c>
      <c r="O70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Row],[orderNum]],ТабПозиции[orderSumm])&gt;1500),ABS(M703*VLOOKUP(ТабПозиции[[#This Row],[orderNum]],ТабЗаказы[#Data],MATCH("Percent",ТабЗаказы[#Headers],0),0))/100,200/COUNTIF(ТабПозиции[orderNum],ТабПозиции[[#This Row],[orderNum]])),0),"")</f>
        <v>955</v>
      </c>
      <c r="P703">
        <f>IF(OR(ТабПозиции[[#This Row],[item]]="По штрихкоду",ТабПозиции[[#This Row],[item]]="Посылка"),ТабПозиции[[#This Row],[deliverySumm]]+ТабПозиции[[#This Row],[deliveryPost]],SUM(M703:O703))</f>
        <v>1155</v>
      </c>
      <c r="Q703" s="57">
        <v>1155</v>
      </c>
      <c r="R703" s="62">
        <f>ТабПозиции[[#This Row],[totalSumm]]-ТабПозиции[[#This Row],[payment]]</f>
        <v>0</v>
      </c>
      <c r="S703" s="34" t="s">
        <v>955</v>
      </c>
      <c r="T703" s="56" t="s">
        <v>3061</v>
      </c>
      <c r="U703" s="56" t="s">
        <v>3061</v>
      </c>
      <c r="V703" s="56" t="s">
        <v>3061</v>
      </c>
      <c r="W703" s="7"/>
      <c r="X703"/>
    </row>
    <row r="704" spans="1:24" x14ac:dyDescent="0.25">
      <c r="A704" s="26">
        <v>195</v>
      </c>
      <c r="B704" s="1">
        <f>IFERROR(VLOOKUP(ТабПозиции[[#This Row],[orderNum]],ТабЗаказы[#Data],MATCH(B$7,ТабЗаказы[#Headers],0),0),"")</f>
        <v>45506</v>
      </c>
      <c r="C704" t="str">
        <f>MONTH(ТабПозиции[[#This Row],[date]])&amp;"/"&amp;YEAR(ТабПозиции[[#This Row],[date]])</f>
        <v>8/2024</v>
      </c>
      <c r="D704" s="1" t="str">
        <f>IFERROR(VLOOKUP(ТабПозиции[[#This Row],[orderNum]],ТабЗаказы[#Data],MATCH(D$7,ТабЗаказы[#Headers],0),0),"")</f>
        <v>Алена Бондаренко</v>
      </c>
      <c r="E704" s="26" t="s">
        <v>32</v>
      </c>
      <c r="F704" s="56" t="s">
        <v>3061</v>
      </c>
      <c r="H704" s="34"/>
      <c r="I704" s="26">
        <v>1</v>
      </c>
      <c r="J704" s="26">
        <v>4524</v>
      </c>
      <c r="K704">
        <v>4524</v>
      </c>
      <c r="L704" s="26">
        <v>4524</v>
      </c>
      <c r="M704">
        <f t="shared" si="12"/>
        <v>4524</v>
      </c>
      <c r="O70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Row],[orderNum]],ТабПозиции[orderSumm])&gt;1500),ABS(M704*VLOOKUP(ТабПозиции[[#This Row],[orderNum]],ТабЗаказы[#Data],MATCH("Percent",ТабЗаказы[#Headers],0),0))/100,200/COUNTIF(ТабПозиции[orderNum],ТабПозиции[[#This Row],[orderNum]])),0),"")</f>
        <v>452</v>
      </c>
      <c r="P704">
        <f>IF(OR(ТабПозиции[[#This Row],[item]]="По штрихкоду",ТабПозиции[[#This Row],[item]]="Посылка"),ТабПозиции[[#This Row],[deliverySumm]]+ТабПозиции[[#This Row],[deliveryPost]],SUM(M704:O704))</f>
        <v>452</v>
      </c>
      <c r="Q704" s="57">
        <v>452</v>
      </c>
      <c r="R704" s="62">
        <f>ТабПозиции[[#This Row],[totalSumm]]-ТабПозиции[[#This Row],[payment]]</f>
        <v>0</v>
      </c>
      <c r="S704" s="34" t="s">
        <v>965</v>
      </c>
      <c r="T704" s="56" t="s">
        <v>3061</v>
      </c>
      <c r="U704" s="56" t="s">
        <v>3061</v>
      </c>
      <c r="V704" s="56" t="s">
        <v>3061</v>
      </c>
      <c r="W704" s="7"/>
      <c r="X704"/>
    </row>
    <row r="705" spans="1:24" x14ac:dyDescent="0.25">
      <c r="A705" s="26">
        <v>196</v>
      </c>
      <c r="B705" s="1">
        <f>IFERROR(VLOOKUP(ТабПозиции[[#This Row],[orderNum]],ТабЗаказы[#Data],MATCH(B$7,ТабЗаказы[#Headers],0),0),"")</f>
        <v>45508</v>
      </c>
      <c r="C705" t="str">
        <f>MONTH(ТабПозиции[[#This Row],[date]])&amp;"/"&amp;YEAR(ТабПозиции[[#This Row],[date]])</f>
        <v>8/2024</v>
      </c>
      <c r="D705" s="1" t="str">
        <f>IFERROR(VLOOKUP(ТабПозиции[[#This Row],[orderNum]],ТабЗаказы[#Data],MATCH(D$7,ТабЗаказы[#Headers],0),0),"")</f>
        <v>Светлана от Александра</v>
      </c>
      <c r="E705" s="35" t="s">
        <v>1180</v>
      </c>
      <c r="F705" s="56" t="s">
        <v>3061</v>
      </c>
      <c r="H705" s="34">
        <v>45509</v>
      </c>
      <c r="I705" s="26">
        <v>1</v>
      </c>
      <c r="J705" s="26">
        <v>526</v>
      </c>
      <c r="K705">
        <v>526</v>
      </c>
      <c r="L705" s="26">
        <v>554</v>
      </c>
      <c r="M705">
        <f t="shared" si="12"/>
        <v>554</v>
      </c>
      <c r="O70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Row],[orderNum]],ТабПозиции[orderSumm])&gt;1500),ABS(M705*VLOOKUP(ТабПозиции[[#This Row],[orderNum]],ТабЗаказы[#Data],MATCH("Percent",ТабЗаказы[#Headers],0),0))/100,200/COUNTIF(ТабПозиции[orderNum],ТабПозиции[[#This Row],[orderNum]])),0),"")</f>
        <v>83</v>
      </c>
      <c r="P705">
        <f>IF(OR(ТабПозиции[[#This Row],[item]]="По штрихкоду",ТабПозиции[[#This Row],[item]]="Посылка"),ТабПозиции[[#This Row],[deliverySumm]]+ТабПозиции[[#This Row],[deliveryPost]],SUM(M705:O705))</f>
        <v>637</v>
      </c>
      <c r="Q705" s="57">
        <v>637</v>
      </c>
      <c r="R705" s="62">
        <f>ТабПозиции[[#This Row],[totalSumm]]-ТабПозиции[[#This Row],[payment]]</f>
        <v>0</v>
      </c>
      <c r="S705" s="34" t="s">
        <v>965</v>
      </c>
      <c r="T705" s="56" t="s">
        <v>3061</v>
      </c>
      <c r="U705" s="56" t="s">
        <v>3061</v>
      </c>
      <c r="V705" s="56" t="s">
        <v>3061</v>
      </c>
      <c r="W705" s="7"/>
      <c r="X705"/>
    </row>
    <row r="706" spans="1:24" x14ac:dyDescent="0.25">
      <c r="A706" s="26">
        <v>196</v>
      </c>
      <c r="B706" s="1">
        <f>IFERROR(VLOOKUP(ТабПозиции[[#This Row],[orderNum]],ТабЗаказы[#Data],MATCH(B$7,ТабЗаказы[#Headers],0),0),"")</f>
        <v>45508</v>
      </c>
      <c r="C706" t="str">
        <f>MONTH(ТабПозиции[[#This Row],[date]])&amp;"/"&amp;YEAR(ТабПозиции[[#This Row],[date]])</f>
        <v>8/2024</v>
      </c>
      <c r="D706" s="1" t="str">
        <f>IFERROR(VLOOKUP(ТабПозиции[[#This Row],[orderNum]],ТабЗаказы[#Data],MATCH(D$7,ТабЗаказы[#Headers],0),0),"")</f>
        <v>Светлана от Александра</v>
      </c>
      <c r="E706" s="35" t="s">
        <v>1181</v>
      </c>
      <c r="F706" s="56" t="s">
        <v>3061</v>
      </c>
      <c r="H706" s="34">
        <v>45509</v>
      </c>
      <c r="I706" s="26">
        <v>1</v>
      </c>
      <c r="J706" s="26">
        <v>1198</v>
      </c>
      <c r="K706">
        <v>1198</v>
      </c>
      <c r="L706" s="26">
        <v>1262</v>
      </c>
      <c r="M706">
        <f t="shared" si="12"/>
        <v>1262</v>
      </c>
      <c r="O70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Row],[orderNum]],ТабПозиции[orderSumm])&gt;1500),ABS(M706*VLOOKUP(ТабПозиции[[#This Row],[orderNum]],ТабЗаказы[#Data],MATCH("Percent",ТабЗаказы[#Headers],0),0))/100,200/COUNTIF(ТабПозиции[orderNum],ТабПозиции[[#This Row],[orderNum]])),0),"")</f>
        <v>189</v>
      </c>
      <c r="P706">
        <f>IF(OR(ТабПозиции[[#This Row],[item]]="По штрихкоду",ТабПозиции[[#This Row],[item]]="Посылка"),ТабПозиции[[#This Row],[deliverySumm]]+ТабПозиции[[#This Row],[deliveryPost]],SUM(M706:O706))</f>
        <v>1451</v>
      </c>
      <c r="Q706" s="57">
        <v>1451</v>
      </c>
      <c r="R706" s="62">
        <f>ТабПозиции[[#This Row],[totalSumm]]-ТабПозиции[[#This Row],[payment]]</f>
        <v>0</v>
      </c>
      <c r="S706" s="34" t="s">
        <v>965</v>
      </c>
      <c r="T706" s="56" t="s">
        <v>3061</v>
      </c>
      <c r="U706" s="56" t="s">
        <v>3061</v>
      </c>
      <c r="V706" s="56" t="s">
        <v>3061</v>
      </c>
      <c r="W706" s="7"/>
      <c r="X706"/>
    </row>
    <row r="707" spans="1:24" x14ac:dyDescent="0.25">
      <c r="A707" s="26">
        <v>196</v>
      </c>
      <c r="B707" s="1">
        <f>IFERROR(VLOOKUP(ТабПозиции[[#This Row],[orderNum]],ТабЗаказы[#Data],MATCH(B$7,ТабЗаказы[#Headers],0),0),"")</f>
        <v>45508</v>
      </c>
      <c r="C707" t="str">
        <f>MONTH(ТабПозиции[[#This Row],[date]])&amp;"/"&amp;YEAR(ТабПозиции[[#This Row],[date]])</f>
        <v>8/2024</v>
      </c>
      <c r="D707" s="1" t="str">
        <f>IFERROR(VLOOKUP(ТабПозиции[[#This Row],[orderNum]],ТабЗаказы[#Data],MATCH(D$7,ТабЗаказы[#Headers],0),0),"")</f>
        <v>Светлана от Александра</v>
      </c>
      <c r="E707" s="35" t="s">
        <v>1182</v>
      </c>
      <c r="F707" s="56" t="s">
        <v>3061</v>
      </c>
      <c r="H707" s="34">
        <v>45513</v>
      </c>
      <c r="I707" s="26">
        <v>1</v>
      </c>
      <c r="J707" s="26">
        <v>647</v>
      </c>
      <c r="K707">
        <v>647</v>
      </c>
      <c r="L707" s="26">
        <v>682</v>
      </c>
      <c r="M707">
        <f t="shared" si="12"/>
        <v>682</v>
      </c>
      <c r="O70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Row],[orderNum]],ТабПозиции[orderSumm])&gt;1500),ABS(M707*VLOOKUP(ТабПозиции[[#This Row],[orderNum]],ТабЗаказы[#Data],MATCH("Percent",ТабЗаказы[#Headers],0),0))/100,200/COUNTIF(ТабПозиции[orderNum],ТабПозиции[[#This Row],[orderNum]])),0),"")</f>
        <v>102</v>
      </c>
      <c r="P707">
        <f>IF(OR(ТабПозиции[[#This Row],[item]]="По штрихкоду",ТабПозиции[[#This Row],[item]]="Посылка"),ТабПозиции[[#This Row],[deliverySumm]]+ТабПозиции[[#This Row],[deliveryPost]],SUM(M707:O707))</f>
        <v>784</v>
      </c>
      <c r="Q707" s="57">
        <v>784</v>
      </c>
      <c r="R707" s="62">
        <f>ТабПозиции[[#This Row],[totalSumm]]-ТабПозиции[[#This Row],[payment]]</f>
        <v>0</v>
      </c>
      <c r="S707" s="34" t="s">
        <v>965</v>
      </c>
      <c r="T707" s="56" t="s">
        <v>3061</v>
      </c>
      <c r="U707" s="56" t="s">
        <v>3061</v>
      </c>
      <c r="V707" s="56" t="s">
        <v>3061</v>
      </c>
      <c r="W707" s="7"/>
      <c r="X707"/>
    </row>
    <row r="708" spans="1:24" x14ac:dyDescent="0.25">
      <c r="A708" s="26">
        <v>192</v>
      </c>
      <c r="B708" s="1">
        <f>IFERROR(VLOOKUP(ТабПозиции[[#This Row],[orderNum]],ТабЗаказы[#Data],MATCH(B$7,ТабЗаказы[#Headers],0),0),"")</f>
        <v>45502</v>
      </c>
      <c r="C708" t="str">
        <f>MONTH(ТабПозиции[[#This Row],[date]])&amp;"/"&amp;YEAR(ТабПозиции[[#This Row],[date]])</f>
        <v>7/2024</v>
      </c>
      <c r="D708" s="1" t="str">
        <f>IFERROR(VLOOKUP(ТабПозиции[[#This Row],[orderNum]],ТабЗаказы[#Data],MATCH(D$7,ТабЗаказы[#Headers],0),0),"")</f>
        <v>Елена Ларисына</v>
      </c>
      <c r="E708" s="32" t="s">
        <v>1171</v>
      </c>
      <c r="F708" s="56" t="s">
        <v>3061</v>
      </c>
      <c r="H708" s="34">
        <v>45535</v>
      </c>
      <c r="I708" s="26">
        <v>0</v>
      </c>
      <c r="J708" s="26">
        <v>3934</v>
      </c>
      <c r="K708">
        <v>0</v>
      </c>
      <c r="L708" s="26">
        <v>4173</v>
      </c>
      <c r="M708">
        <f t="shared" si="12"/>
        <v>0</v>
      </c>
      <c r="O70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Row],[orderNum]],ТабПозиции[orderSumm])&gt;1500),ABS(M708*VLOOKUP(ТабПозиции[[#This Row],[orderNum]],ТабЗаказы[#Data],MATCH("Percent",ТабЗаказы[#Headers],0),0))/100,200/COUNTIF(ТабПозиции[orderNum],ТабПозиции[[#This Row],[orderNum]])),0),"")</f>
        <v>0</v>
      </c>
      <c r="P708">
        <f>IF(OR(ТабПозиции[[#This Row],[item]]="По штрихкоду",ТабПозиции[[#This Row],[item]]="Посылка"),ТабПозиции[[#This Row],[deliverySumm]]+ТабПозиции[[#This Row],[deliveryPost]],SUM(M708:O708))</f>
        <v>0</v>
      </c>
      <c r="R708" s="62">
        <f>ТабПозиции[[#This Row],[totalSumm]]-ТабПозиции[[#This Row],[payment]]</f>
        <v>0</v>
      </c>
      <c r="S708" s="34" t="s">
        <v>955</v>
      </c>
      <c r="T708" s="56" t="s">
        <v>3061</v>
      </c>
      <c r="U708" s="56" t="s">
        <v>3061</v>
      </c>
      <c r="V708" s="56" t="s">
        <v>3061</v>
      </c>
      <c r="W708" s="7"/>
      <c r="X708"/>
    </row>
    <row r="709" spans="1:24" x14ac:dyDescent="0.25">
      <c r="A709" s="26">
        <v>192</v>
      </c>
      <c r="B709" s="1">
        <f>IFERROR(VLOOKUP(ТабПозиции[[#This Row],[orderNum]],ТабЗаказы[#Data],MATCH(B$7,ТабЗаказы[#Headers],0),0),"")</f>
        <v>45502</v>
      </c>
      <c r="C709" t="str">
        <f>MONTH(ТабПозиции[[#This Row],[date]])&amp;"/"&amp;YEAR(ТабПозиции[[#This Row],[date]])</f>
        <v>7/2024</v>
      </c>
      <c r="D709" s="1" t="str">
        <f>IFERROR(VLOOKUP(ТабПозиции[[#This Row],[orderNum]],ТабЗаказы[#Data],MATCH(D$7,ТабЗаказы[#Headers],0),0),"")</f>
        <v>Елена Ларисына</v>
      </c>
      <c r="E709" s="32" t="s">
        <v>1136</v>
      </c>
      <c r="F709" s="56" t="s">
        <v>3061</v>
      </c>
      <c r="H709" s="34">
        <v>45524</v>
      </c>
      <c r="I709" s="26">
        <v>1</v>
      </c>
      <c r="J709" s="26">
        <v>297</v>
      </c>
      <c r="K709">
        <v>297</v>
      </c>
      <c r="L709" s="26">
        <v>349</v>
      </c>
      <c r="M709">
        <f t="shared" si="12"/>
        <v>349</v>
      </c>
      <c r="O70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Row],[orderNum]],ТабПозиции[orderSumm])&gt;1500),ABS(M709*VLOOKUP(ТабПозиции[[#This Row],[orderNum]],ТабЗаказы[#Data],MATCH("Percent",ТабЗаказы[#Headers],0),0))/100,200/COUNTIF(ТабПозиции[orderNum],ТабПозиции[[#This Row],[orderNum]])),0),"")</f>
        <v>52</v>
      </c>
      <c r="P709">
        <f>IF(OR(ТабПозиции[[#This Row],[item]]="По штрихкоду",ТабПозиции[[#This Row],[item]]="Посылка"),ТабПозиции[[#This Row],[deliverySumm]]+ТабПозиции[[#This Row],[deliveryPost]],SUM(M709:O709))</f>
        <v>401</v>
      </c>
      <c r="Q709" s="57">
        <v>401</v>
      </c>
      <c r="R709" s="62">
        <f>ТабПозиции[[#This Row],[totalSumm]]-ТабПозиции[[#This Row],[payment]]</f>
        <v>0</v>
      </c>
      <c r="S709" s="34" t="s">
        <v>955</v>
      </c>
      <c r="T709" s="56" t="s">
        <v>3061</v>
      </c>
      <c r="U709" s="56" t="s">
        <v>3061</v>
      </c>
      <c r="V709" s="56" t="s">
        <v>3061</v>
      </c>
      <c r="W709" s="7"/>
      <c r="X709"/>
    </row>
    <row r="710" spans="1:24" x14ac:dyDescent="0.25">
      <c r="A710" s="26">
        <v>198</v>
      </c>
      <c r="B710" s="1">
        <f>IFERROR(VLOOKUP(ТабПозиции[[#This Row],[orderNum]],ТабЗаказы[#Data],MATCH(B$7,ТабЗаказы[#Headers],0),0),"")</f>
        <v>45510</v>
      </c>
      <c r="C710" t="str">
        <f>MONTH(ТабПозиции[[#This Row],[date]])&amp;"/"&amp;YEAR(ТабПозиции[[#This Row],[date]])</f>
        <v>8/2024</v>
      </c>
      <c r="D710" s="1" t="str">
        <f>IFERROR(VLOOKUP(ТабПозиции[[#This Row],[orderNum]],ТабЗаказы[#Data],MATCH(D$7,ТабЗаказы[#Headers],0),0),"")</f>
        <v>Максим МВД</v>
      </c>
      <c r="E710" s="32" t="s">
        <v>1183</v>
      </c>
      <c r="F710" s="56" t="s">
        <v>3061</v>
      </c>
      <c r="H710" s="34">
        <v>45512</v>
      </c>
      <c r="I710" s="26">
        <v>1</v>
      </c>
      <c r="J710" s="26">
        <v>1201</v>
      </c>
      <c r="K710">
        <v>1201</v>
      </c>
      <c r="L710" s="26">
        <v>1292</v>
      </c>
      <c r="M710">
        <f t="shared" si="12"/>
        <v>1292</v>
      </c>
      <c r="O71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Row],[orderNum]],ТабПозиции[orderSumm])&gt;1500),ABS(M710*VLOOKUP(ТабПозиции[[#This Row],[orderNum]],ТабЗаказы[#Data],MATCH("Percent",ТабЗаказы[#Headers],0),0))/100,200/COUNTIF(ТабПозиции[orderNum],ТабПозиции[[#This Row],[orderNum]])),0),"")</f>
        <v>194</v>
      </c>
      <c r="P710">
        <f>IF(OR(ТабПозиции[[#This Row],[item]]="По штрихкоду",ТабПозиции[[#This Row],[item]]="Посылка"),ТабПозиции[[#This Row],[deliverySumm]]+ТабПозиции[[#This Row],[deliveryPost]],SUM(M710:O710))</f>
        <v>1486</v>
      </c>
      <c r="Q710" s="57">
        <v>1486</v>
      </c>
      <c r="R710" s="62">
        <f>ТабПозиции[[#This Row],[totalSumm]]-ТабПозиции[[#This Row],[payment]]</f>
        <v>0</v>
      </c>
      <c r="S710" s="34" t="s">
        <v>965</v>
      </c>
      <c r="T710" s="56" t="s">
        <v>3061</v>
      </c>
      <c r="U710" s="56" t="s">
        <v>3061</v>
      </c>
      <c r="V710" s="56" t="s">
        <v>3061</v>
      </c>
      <c r="W710" s="7"/>
      <c r="X710"/>
    </row>
    <row r="711" spans="1:24" x14ac:dyDescent="0.25">
      <c r="A711" s="26">
        <v>198</v>
      </c>
      <c r="B711" s="1">
        <f>IFERROR(VLOOKUP(ТабПозиции[[#This Row],[orderNum]],ТабЗаказы[#Data],MATCH(B$7,ТабЗаказы[#Headers],0),0),"")</f>
        <v>45510</v>
      </c>
      <c r="C711" t="str">
        <f>MONTH(ТабПозиции[[#This Row],[date]])&amp;"/"&amp;YEAR(ТабПозиции[[#This Row],[date]])</f>
        <v>8/2024</v>
      </c>
      <c r="D711" s="1" t="str">
        <f>IFERROR(VLOOKUP(ТабПозиции[[#This Row],[orderNum]],ТабЗаказы[#Data],MATCH(D$7,ТабЗаказы[#Headers],0),0),"")</f>
        <v>Максим МВД</v>
      </c>
      <c r="E711" s="32" t="s">
        <v>1184</v>
      </c>
      <c r="F711" s="56" t="s">
        <v>3061</v>
      </c>
      <c r="H711" s="34">
        <v>45511</v>
      </c>
      <c r="I711" s="26">
        <v>1</v>
      </c>
      <c r="J711" s="26">
        <v>1253</v>
      </c>
      <c r="K711">
        <v>1253</v>
      </c>
      <c r="L711" s="26">
        <v>1348</v>
      </c>
      <c r="M711">
        <f t="shared" si="12"/>
        <v>1348</v>
      </c>
      <c r="O71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Row],[orderNum]],ТабПозиции[orderSumm])&gt;1500),ABS(M711*VLOOKUP(ТабПозиции[[#This Row],[orderNum]],ТабЗаказы[#Data],MATCH("Percent",ТабЗаказы[#Headers],0),0))/100,200/COUNTIF(ТабПозиции[orderNum],ТабПозиции[[#This Row],[orderNum]])),0),"")</f>
        <v>202</v>
      </c>
      <c r="P711">
        <f>IF(OR(ТабПозиции[[#This Row],[item]]="По штрихкоду",ТабПозиции[[#This Row],[item]]="Посылка"),ТабПозиции[[#This Row],[deliverySumm]]+ТабПозиции[[#This Row],[deliveryPost]],SUM(M711:O711))</f>
        <v>1550</v>
      </c>
      <c r="Q711" s="57">
        <v>1550</v>
      </c>
      <c r="R711" s="62">
        <f>ТабПозиции[[#This Row],[totalSumm]]-ТабПозиции[[#This Row],[payment]]</f>
        <v>0</v>
      </c>
      <c r="S711" s="34" t="s">
        <v>965</v>
      </c>
      <c r="T711" s="56" t="s">
        <v>3061</v>
      </c>
      <c r="U711" s="56" t="s">
        <v>3061</v>
      </c>
      <c r="V711" s="56" t="s">
        <v>3061</v>
      </c>
      <c r="W711" s="7"/>
      <c r="X711"/>
    </row>
    <row r="712" spans="1:24" x14ac:dyDescent="0.25">
      <c r="A712" s="26">
        <v>199</v>
      </c>
      <c r="B712" s="1">
        <f>IFERROR(VLOOKUP(ТабПозиции[[#This Row],[orderNum]],ТабЗаказы[#Data],MATCH(B$7,ТабЗаказы[#Headers],0),0),"")</f>
        <v>45511</v>
      </c>
      <c r="C712" t="str">
        <f>MONTH(ТабПозиции[[#This Row],[date]])&amp;"/"&amp;YEAR(ТабПозиции[[#This Row],[date]])</f>
        <v>8/2024</v>
      </c>
      <c r="D712" s="1" t="str">
        <f>IFERROR(VLOOKUP(ТабПозиции[[#This Row],[orderNum]],ТабЗаказы[#Data],MATCH(D$7,ТабЗаказы[#Headers],0),0),"")</f>
        <v>Галина Агабекова(церковь)</v>
      </c>
      <c r="E712" s="32" t="s">
        <v>1185</v>
      </c>
      <c r="F712" s="56" t="s">
        <v>3061</v>
      </c>
      <c r="H712" s="34">
        <v>45513</v>
      </c>
      <c r="I712" s="26">
        <v>1</v>
      </c>
      <c r="J712" s="26">
        <v>1449</v>
      </c>
      <c r="K712">
        <v>1449</v>
      </c>
      <c r="L712" s="26">
        <v>1576</v>
      </c>
      <c r="M712">
        <f t="shared" si="12"/>
        <v>1576</v>
      </c>
      <c r="O71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Row],[orderNum]],ТабПозиции[orderSumm])&gt;1500),ABS(M712*VLOOKUP(ТабПозиции[[#This Row],[orderNum]],ТабЗаказы[#Data],MATCH("Percent",ТабЗаказы[#Headers],0),0))/100,200/COUNTIF(ТабПозиции[orderNum],ТабПозиции[[#This Row],[orderNum]])),0),"")</f>
        <v>236</v>
      </c>
      <c r="P712">
        <f>IF(OR(ТабПозиции[[#This Row],[item]]="По штрихкоду",ТабПозиции[[#This Row],[item]]="Посылка"),ТабПозиции[[#This Row],[deliverySumm]]+ТабПозиции[[#This Row],[deliveryPost]],SUM(M712:O712))</f>
        <v>1812</v>
      </c>
      <c r="Q712" s="57">
        <v>1812</v>
      </c>
      <c r="R712" s="62">
        <f>ТабПозиции[[#This Row],[totalSumm]]-ТабПозиции[[#This Row],[payment]]</f>
        <v>0</v>
      </c>
      <c r="S712" s="34" t="s">
        <v>965</v>
      </c>
      <c r="T712" s="56" t="s">
        <v>3061</v>
      </c>
      <c r="U712" s="56" t="s">
        <v>3061</v>
      </c>
      <c r="V712" s="56" t="s">
        <v>3061</v>
      </c>
      <c r="W712" s="7"/>
      <c r="X712"/>
    </row>
    <row r="713" spans="1:24" x14ac:dyDescent="0.25">
      <c r="A713" s="26">
        <v>199</v>
      </c>
      <c r="B713" s="1">
        <f>IFERROR(VLOOKUP(ТабПозиции[[#This Row],[orderNum]],ТабЗаказы[#Data],MATCH(B$7,ТабЗаказы[#Headers],0),0),"")</f>
        <v>45511</v>
      </c>
      <c r="C713" t="str">
        <f>MONTH(ТабПозиции[[#This Row],[date]])&amp;"/"&amp;YEAR(ТабПозиции[[#This Row],[date]])</f>
        <v>8/2024</v>
      </c>
      <c r="D713" s="1" t="str">
        <f>IFERROR(VLOOKUP(ТабПозиции[[#This Row],[orderNum]],ТабЗаказы[#Data],MATCH(D$7,ТабЗаказы[#Headers],0),0),"")</f>
        <v>Галина Агабекова(церковь)</v>
      </c>
      <c r="E713" s="32" t="s">
        <v>1095</v>
      </c>
      <c r="F713" s="56" t="s">
        <v>3061</v>
      </c>
      <c r="H713" s="34">
        <v>45515</v>
      </c>
      <c r="I713" s="26">
        <v>1</v>
      </c>
      <c r="J713" s="26">
        <v>525</v>
      </c>
      <c r="K713">
        <v>525</v>
      </c>
      <c r="L713" s="26">
        <v>571</v>
      </c>
      <c r="M713">
        <f t="shared" si="12"/>
        <v>571</v>
      </c>
      <c r="O71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Row],[orderNum]],ТабПозиции[orderSumm])&gt;1500),ABS(M713*VLOOKUP(ТабПозиции[[#This Row],[orderNum]],ТабЗаказы[#Data],MATCH("Percent",ТабЗаказы[#Headers],0),0))/100,200/COUNTIF(ТабПозиции[orderNum],ТабПозиции[[#This Row],[orderNum]])),0),"")</f>
        <v>86</v>
      </c>
      <c r="P713">
        <f>IF(OR(ТабПозиции[[#This Row],[item]]="По штрихкоду",ТабПозиции[[#This Row],[item]]="Посылка"),ТабПозиции[[#This Row],[deliverySumm]]+ТабПозиции[[#This Row],[deliveryPost]],SUM(M713:O713))</f>
        <v>657</v>
      </c>
      <c r="Q713" s="57">
        <v>657</v>
      </c>
      <c r="R713" s="62">
        <f>ТабПозиции[[#This Row],[totalSumm]]-ТабПозиции[[#This Row],[payment]]</f>
        <v>0</v>
      </c>
      <c r="S713" s="34" t="s">
        <v>965</v>
      </c>
      <c r="T713" s="56" t="s">
        <v>3061</v>
      </c>
      <c r="U713" s="56" t="s">
        <v>3061</v>
      </c>
      <c r="V713" s="56" t="s">
        <v>3061</v>
      </c>
      <c r="W713" s="7"/>
      <c r="X713"/>
    </row>
    <row r="714" spans="1:24" x14ac:dyDescent="0.25">
      <c r="A714" s="26">
        <v>199</v>
      </c>
      <c r="B714" s="1">
        <f>IFERROR(VLOOKUP(ТабПозиции[[#This Row],[orderNum]],ТабЗаказы[#Data],MATCH(B$7,ТабЗаказы[#Headers],0),0),"")</f>
        <v>45511</v>
      </c>
      <c r="C714" t="str">
        <f>MONTH(ТабПозиции[[#This Row],[date]])&amp;"/"&amp;YEAR(ТабПозиции[[#This Row],[date]])</f>
        <v>8/2024</v>
      </c>
      <c r="D714" s="1" t="str">
        <f>IFERROR(VLOOKUP(ТабПозиции[[#This Row],[orderNum]],ТабЗаказы[#Data],MATCH(D$7,ТабЗаказы[#Headers],0),0),"")</f>
        <v>Галина Агабекова(церковь)</v>
      </c>
      <c r="E714" s="32" t="s">
        <v>1186</v>
      </c>
      <c r="F714" s="56" t="s">
        <v>3061</v>
      </c>
      <c r="H714" s="34">
        <v>45520</v>
      </c>
      <c r="I714" s="26">
        <v>1</v>
      </c>
      <c r="J714" s="26">
        <v>271</v>
      </c>
      <c r="K714">
        <v>271</v>
      </c>
      <c r="L714" s="26">
        <v>279</v>
      </c>
      <c r="M714">
        <f t="shared" si="12"/>
        <v>279</v>
      </c>
      <c r="O71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Row],[orderNum]],ТабПозиции[orderSumm])&gt;1500),ABS(M714*VLOOKUP(ТабПозиции[[#This Row],[orderNum]],ТабЗаказы[#Data],MATCH("Percent",ТабЗаказы[#Headers],0),0))/100,200/COUNTIF(ТабПозиции[orderNum],ТабПозиции[[#This Row],[orderNum]])),0),"")</f>
        <v>42</v>
      </c>
      <c r="P714">
        <f>IF(OR(ТабПозиции[[#This Row],[item]]="По штрихкоду",ТабПозиции[[#This Row],[item]]="Посылка"),ТабПозиции[[#This Row],[deliverySumm]]+ТабПозиции[[#This Row],[deliveryPost]],SUM(M714:O714))</f>
        <v>321</v>
      </c>
      <c r="Q714" s="57">
        <v>321</v>
      </c>
      <c r="R714" s="62">
        <f>ТабПозиции[[#This Row],[totalSumm]]-ТабПозиции[[#This Row],[payment]]</f>
        <v>0</v>
      </c>
      <c r="S714" s="34" t="s">
        <v>955</v>
      </c>
      <c r="T714" s="56" t="s">
        <v>3061</v>
      </c>
      <c r="U714" s="56" t="s">
        <v>3061</v>
      </c>
      <c r="V714" s="56" t="s">
        <v>3061</v>
      </c>
      <c r="W714" s="7"/>
      <c r="X714"/>
    </row>
    <row r="715" spans="1:24" x14ac:dyDescent="0.25">
      <c r="A715" s="26">
        <v>199</v>
      </c>
      <c r="B715" s="1">
        <f>IFERROR(VLOOKUP(ТабПозиции[[#This Row],[orderNum]],ТабЗаказы[#Data],MATCH(B$7,ТабЗаказы[#Headers],0),0),"")</f>
        <v>45511</v>
      </c>
      <c r="C715" t="str">
        <f>MONTH(ТабПозиции[[#This Row],[date]])&amp;"/"&amp;YEAR(ТабПозиции[[#This Row],[date]])</f>
        <v>8/2024</v>
      </c>
      <c r="D715" s="1" t="str">
        <f>IFERROR(VLOOKUP(ТабПозиции[[#This Row],[orderNum]],ТабЗаказы[#Data],MATCH(D$7,ТабЗаказы[#Headers],0),0),"")</f>
        <v>Галина Агабекова(церковь)</v>
      </c>
      <c r="E715" s="32" t="s">
        <v>1187</v>
      </c>
      <c r="F715" s="56" t="s">
        <v>3061</v>
      </c>
      <c r="H715" s="34">
        <v>45521</v>
      </c>
      <c r="I715" s="26">
        <v>1</v>
      </c>
      <c r="J715" s="26">
        <v>400</v>
      </c>
      <c r="K715">
        <v>400</v>
      </c>
      <c r="L715" s="26">
        <v>400</v>
      </c>
      <c r="M715">
        <f t="shared" si="12"/>
        <v>400</v>
      </c>
      <c r="N715" s="26">
        <v>150</v>
      </c>
      <c r="O71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Row],[orderNum]],ТабПозиции[orderSumm])&gt;1500),ABS(M715*VLOOKUP(ТабПозиции[[#This Row],[orderNum]],ТабЗаказы[#Data],MATCH("Percent",ТабЗаказы[#Headers],0),0))/100,200/COUNTIF(ТабПозиции[orderNum],ТабПозиции[[#This Row],[orderNum]])),0),"")</f>
        <v>60</v>
      </c>
      <c r="P715">
        <f>IF(OR(ТабПозиции[[#This Row],[item]]="По штрихкоду",ТабПозиции[[#This Row],[item]]="Посылка"),ТабПозиции[[#This Row],[deliverySumm]]+ТабПозиции[[#This Row],[deliveryPost]],SUM(M715:O715))</f>
        <v>610</v>
      </c>
      <c r="Q715" s="57">
        <v>610</v>
      </c>
      <c r="R715" s="62">
        <f>ТабПозиции[[#This Row],[totalSumm]]-ТабПозиции[[#This Row],[payment]]</f>
        <v>0</v>
      </c>
      <c r="S715" s="34" t="s">
        <v>1011</v>
      </c>
      <c r="T715" s="56" t="s">
        <v>3061</v>
      </c>
      <c r="U715" s="56" t="s">
        <v>3061</v>
      </c>
      <c r="V715" s="56" t="s">
        <v>3061</v>
      </c>
      <c r="W715" s="7"/>
      <c r="X715"/>
    </row>
    <row r="716" spans="1:24" x14ac:dyDescent="0.25">
      <c r="A716" s="26">
        <v>199</v>
      </c>
      <c r="B716" s="1">
        <f>IFERROR(VLOOKUP(ТабПозиции[[#This Row],[orderNum]],ТабЗаказы[#Data],MATCH(B$7,ТабЗаказы[#Headers],0),0),"")</f>
        <v>45511</v>
      </c>
      <c r="C716" t="str">
        <f>MONTH(ТабПозиции[[#This Row],[date]])&amp;"/"&amp;YEAR(ТабПозиции[[#This Row],[date]])</f>
        <v>8/2024</v>
      </c>
      <c r="D716" s="1" t="str">
        <f>IFERROR(VLOOKUP(ТабПозиции[[#This Row],[orderNum]],ТабЗаказы[#Data],MATCH(D$7,ТабЗаказы[#Headers],0),0),"")</f>
        <v>Галина Агабекова(церковь)</v>
      </c>
      <c r="E716" s="32" t="s">
        <v>1188</v>
      </c>
      <c r="F716" s="56" t="s">
        <v>3061</v>
      </c>
      <c r="G716" s="28" t="s">
        <v>1189</v>
      </c>
      <c r="H716" s="34">
        <v>45521</v>
      </c>
      <c r="I716" s="26">
        <v>5</v>
      </c>
      <c r="J716" s="26">
        <v>300</v>
      </c>
      <c r="K716">
        <v>1500</v>
      </c>
      <c r="L716" s="26">
        <v>300</v>
      </c>
      <c r="M716">
        <f t="shared" si="12"/>
        <v>1500</v>
      </c>
      <c r="N716" s="26">
        <v>600</v>
      </c>
      <c r="O71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Row],[orderNum]],ТабПозиции[orderSumm])&gt;1500),ABS(M716*VLOOKUP(ТабПозиции[[#This Row],[orderNum]],ТабЗаказы[#Data],MATCH("Percent",ТабЗаказы[#Headers],0),0))/100,200/COUNTIF(ТабПозиции[orderNum],ТабПозиции[[#This Row],[orderNum]])),0),"")</f>
        <v>225</v>
      </c>
      <c r="P716">
        <f>IF(OR(ТабПозиции[[#This Row],[item]]="По штрихкоду",ТабПозиции[[#This Row],[item]]="Посылка"),ТабПозиции[[#This Row],[deliverySumm]]+ТабПозиции[[#This Row],[deliveryPost]],SUM(M716:O716))</f>
        <v>2325</v>
      </c>
      <c r="Q716" s="57">
        <v>2325</v>
      </c>
      <c r="R716" s="62">
        <f>ТабПозиции[[#This Row],[totalSumm]]-ТабПозиции[[#This Row],[payment]]</f>
        <v>0</v>
      </c>
      <c r="S716" s="34" t="s">
        <v>1190</v>
      </c>
      <c r="T716" s="56" t="s">
        <v>3061</v>
      </c>
      <c r="U716" s="56" t="s">
        <v>3061</v>
      </c>
      <c r="V716" s="56" t="s">
        <v>3061</v>
      </c>
      <c r="W716" s="7"/>
      <c r="X716"/>
    </row>
    <row r="717" spans="1:24" x14ac:dyDescent="0.25">
      <c r="A717" s="26">
        <v>200</v>
      </c>
      <c r="B717" s="1">
        <f>IFERROR(VLOOKUP(ТабПозиции[[#This Row],[orderNum]],ТабЗаказы[#Data],MATCH(B$7,ТабЗаказы[#Headers],0),0),"")</f>
        <v>45511</v>
      </c>
      <c r="C717" t="str">
        <f>MONTH(ТабПозиции[[#This Row],[date]])&amp;"/"&amp;YEAR(ТабПозиции[[#This Row],[date]])</f>
        <v>8/2024</v>
      </c>
      <c r="D717" s="1" t="str">
        <f>IFERROR(VLOOKUP(ТабПозиции[[#This Row],[orderNum]],ТабЗаказы[#Data],MATCH(D$7,ТабЗаказы[#Headers],0),0),"")</f>
        <v>Митрофанов Евгений</v>
      </c>
      <c r="E717" s="32" t="s">
        <v>973</v>
      </c>
      <c r="F717" s="56" t="s">
        <v>3061</v>
      </c>
      <c r="H717" s="34">
        <v>45516</v>
      </c>
      <c r="I717" s="26">
        <v>1</v>
      </c>
      <c r="J717" s="26">
        <v>3708</v>
      </c>
      <c r="K717">
        <v>3708</v>
      </c>
      <c r="L717" s="26">
        <v>4031</v>
      </c>
      <c r="M717">
        <f t="shared" si="12"/>
        <v>4031</v>
      </c>
      <c r="O71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Row],[orderNum]],ТабПозиции[orderSumm])&gt;1500),ABS(M717*VLOOKUP(ТабПозиции[[#This Row],[orderNum]],ТабЗаказы[#Data],MATCH("Percent",ТабЗаказы[#Headers],0),0))/100,200/COUNTIF(ТабПозиции[orderNum],ТабПозиции[[#This Row],[orderNum]])),0),"")</f>
        <v>605</v>
      </c>
      <c r="P717">
        <f>IF(OR(ТабПозиции[[#This Row],[item]]="По штрихкоду",ТабПозиции[[#This Row],[item]]="Посылка"),ТабПозиции[[#This Row],[deliverySumm]]+ТабПозиции[[#This Row],[deliveryPost]],SUM(M717:O717))</f>
        <v>4636</v>
      </c>
      <c r="Q717" s="57">
        <v>4636</v>
      </c>
      <c r="R717" s="62">
        <f>ТабПозиции[[#This Row],[totalSumm]]-ТабПозиции[[#This Row],[payment]]</f>
        <v>0</v>
      </c>
      <c r="S717" s="34" t="s">
        <v>965</v>
      </c>
      <c r="T717" s="56" t="s">
        <v>3061</v>
      </c>
      <c r="U717" s="56" t="s">
        <v>3061</v>
      </c>
      <c r="V717" s="56" t="s">
        <v>3061</v>
      </c>
      <c r="W717" s="7"/>
      <c r="X717"/>
    </row>
    <row r="718" spans="1:24" x14ac:dyDescent="0.25">
      <c r="A718" s="26">
        <v>201</v>
      </c>
      <c r="B718" s="1">
        <f>IFERROR(VLOOKUP(ТабПозиции[[#This Row],[orderNum]],ТабЗаказы[#Data],MATCH(B$7,ТабЗаказы[#Headers],0),0),"")</f>
        <v>45512</v>
      </c>
      <c r="C718" t="str">
        <f>MONTH(ТабПозиции[[#This Row],[date]])&amp;"/"&amp;YEAR(ТабПозиции[[#This Row],[date]])</f>
        <v>8/2024</v>
      </c>
      <c r="D718" s="1" t="str">
        <f>IFERROR(VLOOKUP(ТабПозиции[[#This Row],[orderNum]],ТабЗаказы[#Data],MATCH(D$7,ТабЗаказы[#Headers],0),0),"")</f>
        <v>Андрей Бердянское</v>
      </c>
      <c r="E718" s="26" t="s">
        <v>815</v>
      </c>
      <c r="F718" s="56" t="s">
        <v>3061</v>
      </c>
      <c r="G718" s="28" t="s">
        <v>1191</v>
      </c>
      <c r="H718" s="34">
        <v>45513</v>
      </c>
      <c r="I718" s="26">
        <v>1</v>
      </c>
      <c r="J718" s="26">
        <v>35000</v>
      </c>
      <c r="K718">
        <v>35000</v>
      </c>
      <c r="L718" s="26">
        <v>35000</v>
      </c>
      <c r="M718">
        <f t="shared" si="12"/>
        <v>35000</v>
      </c>
      <c r="N718" s="26">
        <v>200</v>
      </c>
      <c r="O71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Row],[orderNum]],ТабПозиции[orderSumm])&gt;1500),ABS(M718*VLOOKUP(ТабПозиции[[#This Row],[orderNum]],ТабЗаказы[#Data],MATCH("Percent",ТабЗаказы[#Headers],0),0))/100,200/COUNTIF(ТабПозиции[orderNum],ТабПозиции[[#This Row],[orderNum]])),0),"")</f>
        <v>3500</v>
      </c>
      <c r="P718">
        <f>IF(OR(ТабПозиции[[#This Row],[item]]="По штрихкоду",ТабПозиции[[#This Row],[item]]="Посылка"),ТабПозиции[[#This Row],[deliverySumm]]+ТабПозиции[[#This Row],[deliveryPost]],SUM(M718:O718))</f>
        <v>3700</v>
      </c>
      <c r="Q718" s="57">
        <v>3700</v>
      </c>
      <c r="R718" s="62">
        <f>ТабПозиции[[#This Row],[totalSumm]]-ТабПозиции[[#This Row],[payment]]</f>
        <v>0</v>
      </c>
      <c r="S718" s="34" t="s">
        <v>1016</v>
      </c>
      <c r="T718" s="56" t="s">
        <v>3061</v>
      </c>
      <c r="U718" s="56" t="s">
        <v>3061</v>
      </c>
      <c r="V718" s="56" t="s">
        <v>3061</v>
      </c>
      <c r="W718" s="7"/>
      <c r="X718"/>
    </row>
    <row r="719" spans="1:24" x14ac:dyDescent="0.25">
      <c r="A719" s="26">
        <v>202</v>
      </c>
      <c r="B719" s="1">
        <f>IFERROR(VLOOKUP(ТабПозиции[[#This Row],[orderNum]],ТабЗаказы[#Data],MATCH(B$7,ТабЗаказы[#Headers],0),0),"")</f>
        <v>45512</v>
      </c>
      <c r="C719" t="str">
        <f>MONTH(ТабПозиции[[#This Row],[date]])&amp;"/"&amp;YEAR(ТабПозиции[[#This Row],[date]])</f>
        <v>8/2024</v>
      </c>
      <c r="D719" s="1" t="str">
        <f>IFERROR(VLOOKUP(ТабПозиции[[#This Row],[orderNum]],ТабЗаказы[#Data],MATCH(D$7,ТабЗаказы[#Headers],0),0),"")</f>
        <v>Андрей Кулигин</v>
      </c>
      <c r="E719" s="26" t="s">
        <v>32</v>
      </c>
      <c r="F719" s="56" t="s">
        <v>3061</v>
      </c>
      <c r="H719" s="34">
        <v>45513</v>
      </c>
      <c r="I719" s="26">
        <v>1</v>
      </c>
      <c r="J719" s="26">
        <v>4557</v>
      </c>
      <c r="K719">
        <v>4557</v>
      </c>
      <c r="L719" s="26">
        <v>4557</v>
      </c>
      <c r="M719">
        <f t="shared" si="12"/>
        <v>4557</v>
      </c>
      <c r="O71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Row],[orderNum]],ТабПозиции[orderSumm])&gt;1500),ABS(M719*VLOOKUP(ТабПозиции[[#This Row],[orderNum]],ТабЗаказы[#Data],MATCH("Percent",ТабЗаказы[#Headers],0),0))/100,200/COUNTIF(ТабПозиции[orderNum],ТабПозиции[[#This Row],[orderNum]])),0),"")</f>
        <v>684</v>
      </c>
      <c r="P719">
        <f>IF(OR(ТабПозиции[[#This Row],[item]]="По штрихкоду",ТабПозиции[[#This Row],[item]]="Посылка"),ТабПозиции[[#This Row],[deliverySumm]]+ТабПозиции[[#This Row],[deliveryPost]],SUM(M719:O719))</f>
        <v>684</v>
      </c>
      <c r="Q719" s="57">
        <v>684</v>
      </c>
      <c r="R719" s="62">
        <f>ТабПозиции[[#This Row],[totalSumm]]-ТабПозиции[[#This Row],[payment]]</f>
        <v>0</v>
      </c>
      <c r="S719" s="34" t="s">
        <v>544</v>
      </c>
      <c r="T719" s="56" t="s">
        <v>3061</v>
      </c>
      <c r="U719" s="56" t="s">
        <v>3061</v>
      </c>
      <c r="V719" s="56" t="s">
        <v>3061</v>
      </c>
      <c r="W719" s="7"/>
      <c r="X719"/>
    </row>
    <row r="720" spans="1:24" x14ac:dyDescent="0.25">
      <c r="A720" s="26">
        <v>203</v>
      </c>
      <c r="B720" s="1">
        <f>IFERROR(VLOOKUP(ТабПозиции[[#This Row],[orderNum]],ТабЗаказы[#Data],MATCH(B$7,ТабЗаказы[#Headers],0),0),"")</f>
        <v>45513</v>
      </c>
      <c r="C720" t="str">
        <f>MONTH(ТабПозиции[[#This Row],[date]])&amp;"/"&amp;YEAR(ТабПозиции[[#This Row],[date]])</f>
        <v>8/2024</v>
      </c>
      <c r="D720" s="1" t="str">
        <f>IFERROR(VLOOKUP(ТабПозиции[[#This Row],[orderNum]],ТабЗаказы[#Data],MATCH(D$7,ТабЗаказы[#Headers],0),0),"")</f>
        <v>Лана</v>
      </c>
      <c r="E720" s="26" t="s">
        <v>32</v>
      </c>
      <c r="F720" s="56" t="s">
        <v>3061</v>
      </c>
      <c r="H720" s="34">
        <v>45513</v>
      </c>
      <c r="I720" s="26">
        <v>1</v>
      </c>
      <c r="J720" s="26">
        <v>5926</v>
      </c>
      <c r="K720">
        <v>5926</v>
      </c>
      <c r="L720" s="26">
        <v>5926</v>
      </c>
      <c r="M720">
        <f t="shared" si="12"/>
        <v>5926</v>
      </c>
      <c r="O72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Row],[orderNum]],ТабПозиции[orderSumm])&gt;1500),ABS(M720*VLOOKUP(ТабПозиции[[#This Row],[orderNum]],ТабЗаказы[#Data],MATCH("Percent",ТабЗаказы[#Headers],0),0))/100,200/COUNTIF(ТабПозиции[orderNum],ТабПозиции[[#This Row],[orderNum]])),0),"")</f>
        <v>889</v>
      </c>
      <c r="P720">
        <f>IF(OR(ТабПозиции[[#This Row],[item]]="По штрихкоду",ТабПозиции[[#This Row],[item]]="Посылка"),ТабПозиции[[#This Row],[deliverySumm]]+ТабПозиции[[#This Row],[deliveryPost]],SUM(M720:O720))</f>
        <v>889</v>
      </c>
      <c r="Q720" s="57">
        <v>889</v>
      </c>
      <c r="R720" s="62">
        <f>ТабПозиции[[#This Row],[totalSumm]]-ТабПозиции[[#This Row],[payment]]</f>
        <v>0</v>
      </c>
      <c r="S720" s="34" t="s">
        <v>544</v>
      </c>
      <c r="T720" s="56" t="s">
        <v>3061</v>
      </c>
      <c r="U720" s="56" t="s">
        <v>3061</v>
      </c>
      <c r="V720" s="56" t="s">
        <v>3061</v>
      </c>
      <c r="W720" s="7"/>
      <c r="X720"/>
    </row>
    <row r="721" spans="1:24" x14ac:dyDescent="0.25">
      <c r="A721" s="26">
        <v>204</v>
      </c>
      <c r="B721" s="1">
        <f>IFERROR(VLOOKUP(ТабПозиции[[#This Row],[orderNum]],ТабЗаказы[#Data],MATCH(B$7,ТабЗаказы[#Headers],0),0),"")</f>
        <v>45514</v>
      </c>
      <c r="C721" t="str">
        <f>MONTH(ТабПозиции[[#This Row],[date]])&amp;"/"&amp;YEAR(ТабПозиции[[#This Row],[date]])</f>
        <v>8/2024</v>
      </c>
      <c r="D721" s="1" t="str">
        <f>IFERROR(VLOOKUP(ТабПозиции[[#This Row],[orderNum]],ТабЗаказы[#Data],MATCH(D$7,ТабЗаказы[#Headers],0),0),"")</f>
        <v>Максим телевизор</v>
      </c>
      <c r="E721" s="26" t="s">
        <v>815</v>
      </c>
      <c r="F721" s="56" t="s">
        <v>3061</v>
      </c>
      <c r="G721" s="28" t="s">
        <v>1192</v>
      </c>
      <c r="H721" s="34">
        <v>45520</v>
      </c>
      <c r="I721" s="26">
        <v>1</v>
      </c>
      <c r="J721" s="26">
        <v>2800</v>
      </c>
      <c r="K721">
        <v>2800</v>
      </c>
      <c r="L721" s="26">
        <v>2800</v>
      </c>
      <c r="M721">
        <f t="shared" si="12"/>
        <v>2800</v>
      </c>
      <c r="O72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Row],[orderNum]],ТабПозиции[orderSumm])&gt;1500),ABS(M721*VLOOKUP(ТабПозиции[[#This Row],[orderNum]],ТабЗаказы[#Data],MATCH("Percent",ТабЗаказы[#Headers],0),0))/100,200/COUNTIF(ТабПозиции[orderNum],ТабПозиции[[#This Row],[orderNum]])),0),"")</f>
        <v>280</v>
      </c>
      <c r="P721">
        <f>IF(OR(ТабПозиции[[#This Row],[item]]="По штрихкоду",ТабПозиции[[#This Row],[item]]="Посылка"),ТабПозиции[[#This Row],[deliverySumm]]+ТабПозиции[[#This Row],[deliveryPost]],SUM(M721:O721))</f>
        <v>280</v>
      </c>
      <c r="Q721" s="57">
        <v>280</v>
      </c>
      <c r="R721" s="62">
        <f>ТабПозиции[[#This Row],[totalSumm]]-ТабПозиции[[#This Row],[payment]]</f>
        <v>0</v>
      </c>
      <c r="S721" s="34" t="s">
        <v>1016</v>
      </c>
      <c r="T721" s="56" t="s">
        <v>3061</v>
      </c>
      <c r="U721" s="56" t="s">
        <v>3061</v>
      </c>
      <c r="V721" s="56" t="s">
        <v>3061</v>
      </c>
      <c r="W721" s="7"/>
      <c r="X721"/>
    </row>
    <row r="722" spans="1:24" x14ac:dyDescent="0.25">
      <c r="A722" s="26">
        <v>204</v>
      </c>
      <c r="B722" s="1">
        <f>IFERROR(VLOOKUP(ТабПозиции[[#This Row],[orderNum]],ТабЗаказы[#Data],MATCH(B$7,ТабЗаказы[#Headers],0),0),"")</f>
        <v>45514</v>
      </c>
      <c r="C722" t="str">
        <f>MONTH(ТабПозиции[[#This Row],[date]])&amp;"/"&amp;YEAR(ТабПозиции[[#This Row],[date]])</f>
        <v>8/2024</v>
      </c>
      <c r="D722" s="1" t="str">
        <f>IFERROR(VLOOKUP(ТабПозиции[[#This Row],[orderNum]],ТабЗаказы[#Data],MATCH(D$7,ТабЗаказы[#Headers],0),0),"")</f>
        <v>Максим телевизор</v>
      </c>
      <c r="E722" s="26" t="s">
        <v>815</v>
      </c>
      <c r="F722" s="56" t="s">
        <v>3061</v>
      </c>
      <c r="G722" s="28" t="s">
        <v>1193</v>
      </c>
      <c r="H722" s="34">
        <v>45519</v>
      </c>
      <c r="I722" s="26">
        <v>1</v>
      </c>
      <c r="J722" s="26">
        <v>4000</v>
      </c>
      <c r="K722">
        <v>4000</v>
      </c>
      <c r="L722" s="26">
        <v>4000</v>
      </c>
      <c r="M722">
        <f t="shared" si="12"/>
        <v>4000</v>
      </c>
      <c r="O72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Row],[orderNum]],ТабПозиции[orderSumm])&gt;1500),ABS(M722*VLOOKUP(ТабПозиции[[#This Row],[orderNum]],ТабЗаказы[#Data],MATCH("Percent",ТабЗаказы[#Headers],0),0))/100,200/COUNTIF(ТабПозиции[orderNum],ТабПозиции[[#This Row],[orderNum]])),0),"")</f>
        <v>400</v>
      </c>
      <c r="P722">
        <f>IF(OR(ТабПозиции[[#This Row],[item]]="По штрихкоду",ТабПозиции[[#This Row],[item]]="Посылка"),ТабПозиции[[#This Row],[deliverySumm]]+ТабПозиции[[#This Row],[deliveryPost]],SUM(M722:O722))</f>
        <v>400</v>
      </c>
      <c r="Q722" s="57">
        <v>400</v>
      </c>
      <c r="R722" s="62">
        <f>ТабПозиции[[#This Row],[totalSumm]]-ТабПозиции[[#This Row],[payment]]</f>
        <v>0</v>
      </c>
      <c r="S722" s="34" t="s">
        <v>1016</v>
      </c>
      <c r="T722" s="56" t="s">
        <v>3061</v>
      </c>
      <c r="U722" s="56" t="s">
        <v>3061</v>
      </c>
      <c r="V722" s="56" t="s">
        <v>3061</v>
      </c>
      <c r="W722" s="7"/>
      <c r="X722"/>
    </row>
    <row r="723" spans="1:24" x14ac:dyDescent="0.25">
      <c r="A723" s="26">
        <v>204</v>
      </c>
      <c r="B723" s="1">
        <f>IFERROR(VLOOKUP(ТабПозиции[[#This Row],[orderNum]],ТабЗаказы[#Data],MATCH(B$7,ТабЗаказы[#Headers],0),0),"")</f>
        <v>45514</v>
      </c>
      <c r="C723" t="str">
        <f>MONTH(ТабПозиции[[#This Row],[date]])&amp;"/"&amp;YEAR(ТабПозиции[[#This Row],[date]])</f>
        <v>8/2024</v>
      </c>
      <c r="D723" s="1" t="str">
        <f>IFERROR(VLOOKUP(ТабПозиции[[#This Row],[orderNum]],ТабЗаказы[#Data],MATCH(D$7,ТабЗаказы[#Headers],0),0),"")</f>
        <v>Максим телевизор</v>
      </c>
      <c r="E723" s="26" t="s">
        <v>815</v>
      </c>
      <c r="F723" s="56" t="s">
        <v>3061</v>
      </c>
      <c r="G723" s="28" t="s">
        <v>1194</v>
      </c>
      <c r="H723" s="34">
        <v>45519</v>
      </c>
      <c r="I723" s="26">
        <v>1</v>
      </c>
      <c r="J723" s="26">
        <v>3090</v>
      </c>
      <c r="K723">
        <v>3090</v>
      </c>
      <c r="L723" s="26">
        <v>3090</v>
      </c>
      <c r="M723">
        <f t="shared" si="12"/>
        <v>3090</v>
      </c>
      <c r="O72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Row],[orderNum]],ТабПозиции[orderSumm])&gt;1500),ABS(M723*VLOOKUP(ТабПозиции[[#This Row],[orderNum]],ТабЗаказы[#Data],MATCH("Percent",ТабЗаказы[#Headers],0),0))/100,200/COUNTIF(ТабПозиции[orderNum],ТабПозиции[[#This Row],[orderNum]])),0),"")</f>
        <v>309</v>
      </c>
      <c r="P723">
        <f>IF(OR(ТабПозиции[[#This Row],[item]]="По штрихкоду",ТабПозиции[[#This Row],[item]]="Посылка"),ТабПозиции[[#This Row],[deliverySumm]]+ТабПозиции[[#This Row],[deliveryPost]],SUM(M723:O723))</f>
        <v>309</v>
      </c>
      <c r="Q723" s="57">
        <v>309</v>
      </c>
      <c r="R723" s="62">
        <f>ТабПозиции[[#This Row],[totalSumm]]-ТабПозиции[[#This Row],[payment]]</f>
        <v>0</v>
      </c>
      <c r="S723" s="34" t="s">
        <v>1016</v>
      </c>
      <c r="T723" s="56" t="s">
        <v>3061</v>
      </c>
      <c r="U723" s="56" t="s">
        <v>3061</v>
      </c>
      <c r="V723" s="56" t="s">
        <v>3061</v>
      </c>
      <c r="W723" s="7"/>
      <c r="X723"/>
    </row>
    <row r="724" spans="1:24" x14ac:dyDescent="0.25">
      <c r="A724" s="26">
        <v>204</v>
      </c>
      <c r="B724" s="1">
        <f>IFERROR(VLOOKUP(ТабПозиции[[#This Row],[orderNum]],ТабЗаказы[#Data],MATCH(B$7,ТабЗаказы[#Headers],0),0),"")</f>
        <v>45514</v>
      </c>
      <c r="C724" t="str">
        <f>MONTH(ТабПозиции[[#This Row],[date]])&amp;"/"&amp;YEAR(ТабПозиции[[#This Row],[date]])</f>
        <v>8/2024</v>
      </c>
      <c r="D724" s="1" t="str">
        <f>IFERROR(VLOOKUP(ТабПозиции[[#This Row],[orderNum]],ТабЗаказы[#Data],MATCH(D$7,ТабЗаказы[#Headers],0),0),"")</f>
        <v>Максим телевизор</v>
      </c>
      <c r="E724" s="26" t="s">
        <v>815</v>
      </c>
      <c r="F724" s="56" t="s">
        <v>3061</v>
      </c>
      <c r="G724" s="28" t="s">
        <v>1195</v>
      </c>
      <c r="H724" s="34">
        <v>45518</v>
      </c>
      <c r="I724" s="26">
        <v>1</v>
      </c>
      <c r="J724" s="26">
        <v>5400</v>
      </c>
      <c r="K724">
        <v>5400</v>
      </c>
      <c r="L724" s="26">
        <v>5400</v>
      </c>
      <c r="M724">
        <f t="shared" si="12"/>
        <v>5400</v>
      </c>
      <c r="O72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Row],[orderNum]],ТабПозиции[orderSumm])&gt;1500),ABS(M724*VLOOKUP(ТабПозиции[[#This Row],[orderNum]],ТабЗаказы[#Data],MATCH("Percent",ТабЗаказы[#Headers],0),0))/100,200/COUNTIF(ТабПозиции[orderNum],ТабПозиции[[#This Row],[orderNum]])),0),"")</f>
        <v>540</v>
      </c>
      <c r="P724">
        <f>IF(OR(ТабПозиции[[#This Row],[item]]="По штрихкоду",ТабПозиции[[#This Row],[item]]="Посылка"),ТабПозиции[[#This Row],[deliverySumm]]+ТабПозиции[[#This Row],[deliveryPost]],SUM(M724:O724))</f>
        <v>540</v>
      </c>
      <c r="Q724" s="57">
        <v>540</v>
      </c>
      <c r="R724" s="62">
        <f>ТабПозиции[[#This Row],[totalSumm]]-ТабПозиции[[#This Row],[payment]]</f>
        <v>0</v>
      </c>
      <c r="S724" s="34" t="s">
        <v>1062</v>
      </c>
      <c r="T724" s="56" t="s">
        <v>3061</v>
      </c>
      <c r="U724" s="56" t="s">
        <v>3061</v>
      </c>
      <c r="V724" s="56" t="s">
        <v>3061</v>
      </c>
      <c r="W724" s="7"/>
      <c r="X724"/>
    </row>
    <row r="725" spans="1:24" x14ac:dyDescent="0.25">
      <c r="A725" s="26">
        <v>204</v>
      </c>
      <c r="B725" s="1">
        <f>IFERROR(VLOOKUP(ТабПозиции[[#This Row],[orderNum]],ТабЗаказы[#Data],MATCH(B$7,ТабЗаказы[#Headers],0),0),"")</f>
        <v>45514</v>
      </c>
      <c r="C725" t="str">
        <f>MONTH(ТабПозиции[[#This Row],[date]])&amp;"/"&amp;YEAR(ТабПозиции[[#This Row],[date]])</f>
        <v>8/2024</v>
      </c>
      <c r="D725" s="1" t="str">
        <f>IFERROR(VLOOKUP(ТабПозиции[[#This Row],[orderNum]],ТабЗаказы[#Data],MATCH(D$7,ТабЗаказы[#Headers],0),0),"")</f>
        <v>Максим телевизор</v>
      </c>
      <c r="E725" s="26" t="s">
        <v>815</v>
      </c>
      <c r="F725" s="56" t="s">
        <v>3061</v>
      </c>
      <c r="G725" s="28" t="s">
        <v>1196</v>
      </c>
      <c r="H725" s="34">
        <v>45517</v>
      </c>
      <c r="I725" s="26">
        <v>1</v>
      </c>
      <c r="J725" s="26">
        <v>12990</v>
      </c>
      <c r="K725">
        <v>12990</v>
      </c>
      <c r="L725" s="26">
        <v>12990</v>
      </c>
      <c r="M725">
        <f t="shared" si="12"/>
        <v>12990</v>
      </c>
      <c r="N725" s="26">
        <v>480.75</v>
      </c>
      <c r="O72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Row],[orderNum]],ТабПозиции[orderSumm])&gt;1500),ABS(M725*VLOOKUP(ТабПозиции[[#This Row],[orderNum]],ТабЗаказы[#Data],MATCH("Percent",ТабЗаказы[#Headers],0),0))/100,200/COUNTIF(ТабПозиции[orderNum],ТабПозиции[[#This Row],[orderNum]])),0),"")</f>
        <v>1299</v>
      </c>
      <c r="P725">
        <f>IF(OR(ТабПозиции[[#This Row],[item]]="По штрихкоду",ТабПозиции[[#This Row],[item]]="Посылка"),ТабПозиции[[#This Row],[deliverySumm]]+ТабПозиции[[#This Row],[deliveryPost]],SUM(M725:O725))</f>
        <v>1779.75</v>
      </c>
      <c r="Q725" s="57">
        <v>1779.75</v>
      </c>
      <c r="R725" s="62">
        <f>ТабПозиции[[#This Row],[totalSumm]]-ТабПозиции[[#This Row],[payment]]</f>
        <v>0</v>
      </c>
      <c r="S725" s="34" t="s">
        <v>1016</v>
      </c>
      <c r="T725" s="56" t="s">
        <v>3061</v>
      </c>
      <c r="U725" s="56" t="s">
        <v>3061</v>
      </c>
      <c r="V725" s="56" t="s">
        <v>3061</v>
      </c>
      <c r="W725" s="7"/>
      <c r="X725"/>
    </row>
    <row r="726" spans="1:24" x14ac:dyDescent="0.25">
      <c r="A726" s="26">
        <v>204</v>
      </c>
      <c r="B726" s="1">
        <f>IFERROR(VLOOKUP(ТабПозиции[[#This Row],[orderNum]],ТабЗаказы[#Data],MATCH(B$7,ТабЗаказы[#Headers],0),0),"")</f>
        <v>45514</v>
      </c>
      <c r="C726" t="str">
        <f>MONTH(ТабПозиции[[#This Row],[date]])&amp;"/"&amp;YEAR(ТабПозиции[[#This Row],[date]])</f>
        <v>8/2024</v>
      </c>
      <c r="D726" s="1" t="str">
        <f>IFERROR(VLOOKUP(ТабПозиции[[#This Row],[orderNum]],ТабЗаказы[#Data],MATCH(D$7,ТабЗаказы[#Headers],0),0),"")</f>
        <v>Максим телевизор</v>
      </c>
      <c r="E726" s="26" t="s">
        <v>815</v>
      </c>
      <c r="F726" s="56" t="s">
        <v>3061</v>
      </c>
      <c r="G726" s="28" t="s">
        <v>1197</v>
      </c>
      <c r="H726" s="34">
        <v>45521</v>
      </c>
      <c r="I726" s="26">
        <v>1</v>
      </c>
      <c r="J726" s="26">
        <v>15990</v>
      </c>
      <c r="K726">
        <v>15990</v>
      </c>
      <c r="L726" s="26">
        <v>15990</v>
      </c>
      <c r="M726">
        <f t="shared" si="12"/>
        <v>15990</v>
      </c>
      <c r="O72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Row],[orderNum]],ТабПозиции[orderSumm])&gt;1500),ABS(M726*VLOOKUP(ТабПозиции[[#This Row],[orderNum]],ТабЗаказы[#Data],MATCH("Percent",ТабЗаказы[#Headers],0),0))/100,200/COUNTIF(ТабПозиции[orderNum],ТабПозиции[[#This Row],[orderNum]])),0),"")</f>
        <v>1599</v>
      </c>
      <c r="P726">
        <f>IF(OR(ТабПозиции[[#This Row],[item]]="По штрихкоду",ТабПозиции[[#This Row],[item]]="Посылка"),ТабПозиции[[#This Row],[deliverySumm]]+ТабПозиции[[#This Row],[deliveryPost]],SUM(M726:O726))</f>
        <v>1599</v>
      </c>
      <c r="Q726" s="57">
        <v>1599</v>
      </c>
      <c r="R726" s="62">
        <f>ТабПозиции[[#This Row],[totalSumm]]-ТабПозиции[[#This Row],[payment]]</f>
        <v>0</v>
      </c>
      <c r="S726" s="34" t="s">
        <v>1016</v>
      </c>
      <c r="T726" s="56" t="s">
        <v>3061</v>
      </c>
      <c r="U726" s="56" t="s">
        <v>3061</v>
      </c>
      <c r="V726" s="56" t="s">
        <v>3061</v>
      </c>
      <c r="W726" s="7"/>
      <c r="X726"/>
    </row>
    <row r="727" spans="1:24" x14ac:dyDescent="0.25">
      <c r="A727" s="26">
        <v>204</v>
      </c>
      <c r="B727" s="1">
        <f>IFERROR(VLOOKUP(ТабПозиции[[#This Row],[orderNum]],ТабЗаказы[#Data],MATCH(B$7,ТабЗаказы[#Headers],0),0),"")</f>
        <v>45514</v>
      </c>
      <c r="C727" t="str">
        <f>MONTH(ТабПозиции[[#This Row],[date]])&amp;"/"&amp;YEAR(ТабПозиции[[#This Row],[date]])</f>
        <v>8/2024</v>
      </c>
      <c r="D727" s="1" t="str">
        <f>IFERROR(VLOOKUP(ТабПозиции[[#This Row],[orderNum]],ТабЗаказы[#Data],MATCH(D$7,ТабЗаказы[#Headers],0),0),"")</f>
        <v>Максим телевизор</v>
      </c>
      <c r="E727" s="26" t="s">
        <v>815</v>
      </c>
      <c r="F727" s="56" t="s">
        <v>3061</v>
      </c>
      <c r="G727" s="28" t="s">
        <v>1198</v>
      </c>
      <c r="H727" s="34">
        <v>45517</v>
      </c>
      <c r="I727" s="26">
        <v>1</v>
      </c>
      <c r="J727" s="26">
        <v>6000</v>
      </c>
      <c r="K727">
        <v>6000</v>
      </c>
      <c r="L727" s="26">
        <v>6000</v>
      </c>
      <c r="M727">
        <f t="shared" si="12"/>
        <v>6000</v>
      </c>
      <c r="N727" s="26">
        <v>748</v>
      </c>
      <c r="O72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Row],[orderNum]],ТабПозиции[orderSumm])&gt;1500),ABS(M727*VLOOKUP(ТабПозиции[[#This Row],[orderNum]],ТабЗаказы[#Data],MATCH("Percent",ТабЗаказы[#Headers],0),0))/100,200/COUNTIF(ТабПозиции[orderNum],ТабПозиции[[#This Row],[orderNum]])),0),"")</f>
        <v>600</v>
      </c>
      <c r="P727">
        <f>IF(OR(ТабПозиции[[#This Row],[item]]="По штрихкоду",ТабПозиции[[#This Row],[item]]="Посылка"),ТабПозиции[[#This Row],[deliverySumm]]+ТабПозиции[[#This Row],[deliveryPost]],SUM(M727:O727))</f>
        <v>1348</v>
      </c>
      <c r="Q727" s="57">
        <v>1348</v>
      </c>
      <c r="R727" s="62">
        <f>ТабПозиции[[#This Row],[totalSumm]]-ТабПозиции[[#This Row],[payment]]</f>
        <v>0</v>
      </c>
      <c r="S727" s="34" t="s">
        <v>1062</v>
      </c>
      <c r="T727" s="56" t="s">
        <v>3061</v>
      </c>
      <c r="U727" s="56" t="s">
        <v>3061</v>
      </c>
      <c r="V727" s="56" t="s">
        <v>3061</v>
      </c>
      <c r="W727" s="7"/>
      <c r="X727"/>
    </row>
    <row r="728" spans="1:24" x14ac:dyDescent="0.25">
      <c r="A728" s="26">
        <v>205</v>
      </c>
      <c r="B728" s="1">
        <f>IFERROR(VLOOKUP(ТабПозиции[[#This Row],[orderNum]],ТабЗаказы[#Data],MATCH(B$7,ТабЗаказы[#Headers],0),0),"")</f>
        <v>45514</v>
      </c>
      <c r="C728" t="str">
        <f>MONTH(ТабПозиции[[#This Row],[date]])&amp;"/"&amp;YEAR(ТабПозиции[[#This Row],[date]])</f>
        <v>8/2024</v>
      </c>
      <c r="D728" s="1" t="str">
        <f>IFERROR(VLOOKUP(ТабПозиции[[#This Row],[orderNum]],ТабЗаказы[#Data],MATCH(D$7,ТабЗаказы[#Headers],0),0),"")</f>
        <v>Елена Ларисына</v>
      </c>
      <c r="E728" s="32" t="s">
        <v>1171</v>
      </c>
      <c r="F728" s="56" t="s">
        <v>3061</v>
      </c>
      <c r="H728" s="34">
        <v>45517</v>
      </c>
      <c r="I728" s="26">
        <v>1</v>
      </c>
      <c r="J728" s="26">
        <v>4310</v>
      </c>
      <c r="K728">
        <v>4310</v>
      </c>
      <c r="L728" s="26">
        <v>4622</v>
      </c>
      <c r="M728">
        <f t="shared" si="12"/>
        <v>4622</v>
      </c>
      <c r="O72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Row],[orderNum]],ТабПозиции[orderSumm])&gt;1500),ABS(M728*VLOOKUP(ТабПозиции[[#This Row],[orderNum]],ТабЗаказы[#Data],MATCH("Percent",ТабЗаказы[#Headers],0),0))/100,200/COUNTIF(ТабПозиции[orderNum],ТабПозиции[[#This Row],[orderNum]])),0),"")</f>
        <v>693</v>
      </c>
      <c r="P728">
        <f>IF(OR(ТабПозиции[[#This Row],[item]]="По штрихкоду",ТабПозиции[[#This Row],[item]]="Посылка"),ТабПозиции[[#This Row],[deliverySumm]]+ТабПозиции[[#This Row],[deliveryPost]],SUM(M728:O728))</f>
        <v>5315</v>
      </c>
      <c r="Q728" s="57">
        <v>5315</v>
      </c>
      <c r="R728" s="62">
        <f>ТабПозиции[[#This Row],[totalSumm]]-ТабПозиции[[#This Row],[payment]]</f>
        <v>0</v>
      </c>
      <c r="S728" s="34" t="s">
        <v>955</v>
      </c>
      <c r="T728" s="56" t="s">
        <v>3061</v>
      </c>
      <c r="U728" s="56" t="s">
        <v>3061</v>
      </c>
      <c r="V728" s="56" t="s">
        <v>3061</v>
      </c>
      <c r="W728" s="7"/>
      <c r="X728"/>
    </row>
    <row r="729" spans="1:24" x14ac:dyDescent="0.25">
      <c r="A729" s="26">
        <v>205</v>
      </c>
      <c r="B729" s="1">
        <f>IFERROR(VLOOKUP(ТабПозиции[[#This Row],[orderNum]],ТабЗаказы[#Data],MATCH(B$7,ТабЗаказы[#Headers],0),0),"")</f>
        <v>45514</v>
      </c>
      <c r="C729" t="str">
        <f>MONTH(ТабПозиции[[#This Row],[date]])&amp;"/"&amp;YEAR(ТабПозиции[[#This Row],[date]])</f>
        <v>8/2024</v>
      </c>
      <c r="D729" s="1" t="str">
        <f>IFERROR(VLOOKUP(ТабПозиции[[#This Row],[orderNum]],ТабЗаказы[#Data],MATCH(D$7,ТабЗаказы[#Headers],0),0),"")</f>
        <v>Елена Ларисына</v>
      </c>
      <c r="E729" s="32" t="s">
        <v>1179</v>
      </c>
      <c r="F729" s="56" t="s">
        <v>3061</v>
      </c>
      <c r="H729" s="34">
        <v>45518</v>
      </c>
      <c r="I729" s="26">
        <v>1</v>
      </c>
      <c r="J729" s="26">
        <v>978</v>
      </c>
      <c r="K729">
        <v>978</v>
      </c>
      <c r="L729" s="26">
        <v>1030</v>
      </c>
      <c r="M729">
        <f t="shared" si="12"/>
        <v>1030</v>
      </c>
      <c r="O72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Row],[orderNum]],ТабПозиции[orderSumm])&gt;1500),ABS(M729*VLOOKUP(ТабПозиции[[#This Row],[orderNum]],ТабЗаказы[#Data],MATCH("Percent",ТабЗаказы[#Headers],0),0))/100,200/COUNTIF(ТабПозиции[orderNum],ТабПозиции[[#This Row],[orderNum]])),0),"")</f>
        <v>155</v>
      </c>
      <c r="P729">
        <f>IF(OR(ТабПозиции[[#This Row],[item]]="По штрихкоду",ТабПозиции[[#This Row],[item]]="Посылка"),ТабПозиции[[#This Row],[deliverySumm]]+ТабПозиции[[#This Row],[deliveryPost]],SUM(M729:O729))</f>
        <v>1185</v>
      </c>
      <c r="Q729" s="57">
        <v>1185</v>
      </c>
      <c r="R729" s="62">
        <f>ТабПозиции[[#This Row],[totalSumm]]-ТабПозиции[[#This Row],[payment]]</f>
        <v>0</v>
      </c>
      <c r="S729" s="34" t="s">
        <v>955</v>
      </c>
      <c r="T729" s="56" t="s">
        <v>3061</v>
      </c>
      <c r="U729" s="56" t="s">
        <v>3061</v>
      </c>
      <c r="V729" s="56" t="s">
        <v>3061</v>
      </c>
      <c r="W729" s="7"/>
      <c r="X729"/>
    </row>
    <row r="730" spans="1:24" x14ac:dyDescent="0.25">
      <c r="A730" s="26">
        <v>205</v>
      </c>
      <c r="B730" s="1">
        <f>IFERROR(VLOOKUP(ТабПозиции[[#This Row],[orderNum]],ТабЗаказы[#Data],MATCH(B$7,ТабЗаказы[#Headers],0),0),"")</f>
        <v>45514</v>
      </c>
      <c r="C730" t="str">
        <f>MONTH(ТабПозиции[[#This Row],[date]])&amp;"/"&amp;YEAR(ТабПозиции[[#This Row],[date]])</f>
        <v>8/2024</v>
      </c>
      <c r="D730" s="1" t="str">
        <f>IFERROR(VLOOKUP(ТабПозиции[[#This Row],[orderNum]],ТабЗаказы[#Data],MATCH(D$7,ТабЗаказы[#Headers],0),0),"")</f>
        <v>Елена Ларисына</v>
      </c>
      <c r="E730" s="32" t="s">
        <v>1199</v>
      </c>
      <c r="F730" s="56" t="s">
        <v>3061</v>
      </c>
      <c r="H730" s="34">
        <v>45516</v>
      </c>
      <c r="I730" s="26">
        <v>1</v>
      </c>
      <c r="J730" s="26">
        <v>2239</v>
      </c>
      <c r="K730">
        <v>2239</v>
      </c>
      <c r="L730" s="26">
        <v>2367</v>
      </c>
      <c r="M730">
        <f t="shared" si="12"/>
        <v>2367</v>
      </c>
      <c r="O73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Row],[orderNum]],ТабПозиции[orderSumm])&gt;1500),ABS(M730*VLOOKUP(ТабПозиции[[#This Row],[orderNum]],ТабЗаказы[#Data],MATCH("Percent",ТабЗаказы[#Headers],0),0))/100,200/COUNTIF(ТабПозиции[orderNum],ТабПозиции[[#This Row],[orderNum]])),0),"")</f>
        <v>355</v>
      </c>
      <c r="P730">
        <f>IF(OR(ТабПозиции[[#This Row],[item]]="По штрихкоду",ТабПозиции[[#This Row],[item]]="Посылка"),ТабПозиции[[#This Row],[deliverySumm]]+ТабПозиции[[#This Row],[deliveryPost]],SUM(M730:O730))</f>
        <v>2722</v>
      </c>
      <c r="Q730" s="57">
        <v>2722</v>
      </c>
      <c r="R730" s="62">
        <f>ТабПозиции[[#This Row],[totalSumm]]-ТабПозиции[[#This Row],[payment]]</f>
        <v>0</v>
      </c>
      <c r="S730" s="34" t="s">
        <v>955</v>
      </c>
      <c r="T730" s="56" t="s">
        <v>3061</v>
      </c>
      <c r="U730" s="56" t="s">
        <v>3061</v>
      </c>
      <c r="V730" s="56" t="s">
        <v>3061</v>
      </c>
      <c r="W730" s="7"/>
      <c r="X730"/>
    </row>
    <row r="731" spans="1:24" x14ac:dyDescent="0.25">
      <c r="A731" s="26">
        <v>205</v>
      </c>
      <c r="B731" s="1">
        <f>IFERROR(VLOOKUP(ТабПозиции[[#This Row],[orderNum]],ТабЗаказы[#Data],MATCH(B$7,ТабЗаказы[#Headers],0),0),"")</f>
        <v>45514</v>
      </c>
      <c r="C731" t="str">
        <f>MONTH(ТабПозиции[[#This Row],[date]])&amp;"/"&amp;YEAR(ТабПозиции[[#This Row],[date]])</f>
        <v>8/2024</v>
      </c>
      <c r="D731" s="1" t="str">
        <f>IFERROR(VLOOKUP(ТабПозиции[[#This Row],[orderNum]],ТабЗаказы[#Data],MATCH(D$7,ТабЗаказы[#Headers],0),0),"")</f>
        <v>Елена Ларисына</v>
      </c>
      <c r="E731" s="32" t="s">
        <v>1200</v>
      </c>
      <c r="F731" s="56" t="s">
        <v>3061</v>
      </c>
      <c r="H731" s="34">
        <v>45518</v>
      </c>
      <c r="I731" s="26">
        <v>1</v>
      </c>
      <c r="J731" s="26">
        <v>353</v>
      </c>
      <c r="K731">
        <v>353</v>
      </c>
      <c r="L731" s="26">
        <v>360</v>
      </c>
      <c r="M731">
        <f t="shared" si="12"/>
        <v>360</v>
      </c>
      <c r="O73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Row],[orderNum]],ТабПозиции[orderSumm])&gt;1500),ABS(M731*VLOOKUP(ТабПозиции[[#This Row],[orderNum]],ТабЗаказы[#Data],MATCH("Percent",ТабЗаказы[#Headers],0),0))/100,200/COUNTIF(ТабПозиции[orderNum],ТабПозиции[[#This Row],[orderNum]])),0),"")</f>
        <v>54</v>
      </c>
      <c r="P731">
        <f>IF(OR(ТабПозиции[[#This Row],[item]]="По штрихкоду",ТабПозиции[[#This Row],[item]]="Посылка"),ТабПозиции[[#This Row],[deliverySumm]]+ТабПозиции[[#This Row],[deliveryPost]],SUM(M731:O731))</f>
        <v>414</v>
      </c>
      <c r="Q731" s="57">
        <v>414</v>
      </c>
      <c r="R731" s="62">
        <f>ТабПозиции[[#This Row],[totalSumm]]-ТабПозиции[[#This Row],[payment]]</f>
        <v>0</v>
      </c>
      <c r="S731" s="34" t="s">
        <v>955</v>
      </c>
      <c r="T731" s="56" t="s">
        <v>3061</v>
      </c>
      <c r="U731" s="56" t="s">
        <v>3061</v>
      </c>
      <c r="V731" s="56" t="s">
        <v>3061</v>
      </c>
      <c r="W731" s="7"/>
      <c r="X731"/>
    </row>
    <row r="732" spans="1:24" x14ac:dyDescent="0.25">
      <c r="A732" s="26">
        <v>206</v>
      </c>
      <c r="B732" s="1">
        <f>IFERROR(VLOOKUP(ТабПозиции[[#This Row],[orderNum]],ТабЗаказы[#Data],MATCH(B$7,ТабЗаказы[#Headers],0),0),"")</f>
        <v>45514</v>
      </c>
      <c r="C732" t="str">
        <f>MONTH(ТабПозиции[[#This Row],[date]])&amp;"/"&amp;YEAR(ТабПозиции[[#This Row],[date]])</f>
        <v>8/2024</v>
      </c>
      <c r="D732" s="1" t="str">
        <f>IFERROR(VLOOKUP(ТабПозиции[[#This Row],[orderNum]],ТабЗаказы[#Data],MATCH(D$7,ТабЗаказы[#Headers],0),0),"")</f>
        <v>Вадим</v>
      </c>
      <c r="E732" s="32" t="s">
        <v>1201</v>
      </c>
      <c r="F732" s="56" t="s">
        <v>3061</v>
      </c>
      <c r="H732" s="34">
        <v>45520</v>
      </c>
      <c r="I732" s="26">
        <v>1</v>
      </c>
      <c r="J732" s="26">
        <v>55000</v>
      </c>
      <c r="K732">
        <v>55000</v>
      </c>
      <c r="L732" s="26">
        <v>55000</v>
      </c>
      <c r="M732">
        <f t="shared" si="12"/>
        <v>55000</v>
      </c>
      <c r="N732" s="26">
        <v>613</v>
      </c>
      <c r="O73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Row],[orderNum]],ТабПозиции[orderSumm])&gt;1500),ABS(M732*VLOOKUP(ТабПозиции[[#This Row],[orderNum]],ТабЗаказы[#Data],MATCH("Percent",ТабЗаказы[#Headers],0),0))/100,200/COUNTIF(ТабПозиции[orderNum],ТабПозиции[[#This Row],[orderNum]])),0),"")</f>
        <v>5500</v>
      </c>
      <c r="P732">
        <f>IF(OR(ТабПозиции[[#This Row],[item]]="По штрихкоду",ТабПозиции[[#This Row],[item]]="Посылка"),ТабПозиции[[#This Row],[deliverySumm]]+ТабПозиции[[#This Row],[deliveryPost]],SUM(M732:O732))</f>
        <v>61113</v>
      </c>
      <c r="Q732" s="57">
        <f>82500-21387</f>
        <v>61113</v>
      </c>
      <c r="R732" s="62">
        <f>ТабПозиции[[#This Row],[totalSumm]]-ТабПозиции[[#This Row],[payment]]</f>
        <v>0</v>
      </c>
      <c r="S732" s="34" t="s">
        <v>1016</v>
      </c>
      <c r="T732" s="56" t="s">
        <v>3061</v>
      </c>
      <c r="U732" s="56" t="s">
        <v>3061</v>
      </c>
      <c r="V732" s="56" t="s">
        <v>3061</v>
      </c>
      <c r="W732" s="7"/>
      <c r="X732"/>
    </row>
    <row r="733" spans="1:24" x14ac:dyDescent="0.25">
      <c r="A733" s="26">
        <v>207</v>
      </c>
      <c r="B733" s="1">
        <f>IFERROR(VLOOKUP(ТабПозиции[[#This Row],[orderNum]],ТабЗаказы[#Data],MATCH(B$7,ТабЗаказы[#Headers],0),0),"")</f>
        <v>45516</v>
      </c>
      <c r="C733" t="str">
        <f>MONTH(ТабПозиции[[#This Row],[date]])&amp;"/"&amp;YEAR(ТабПозиции[[#This Row],[date]])</f>
        <v>8/2024</v>
      </c>
      <c r="D733" s="1" t="str">
        <f>IFERROR(VLOOKUP(ТабПозиции[[#This Row],[orderNum]],ТабЗаказы[#Data],MATCH(D$7,ТабЗаказы[#Headers],0),0),"")</f>
        <v>Руденко Юля</v>
      </c>
      <c r="E733" s="32" t="s">
        <v>1202</v>
      </c>
      <c r="F733" s="56" t="s">
        <v>3061</v>
      </c>
      <c r="H733" s="34">
        <v>45518</v>
      </c>
      <c r="I733" s="26">
        <v>1</v>
      </c>
      <c r="J733" s="26">
        <v>332</v>
      </c>
      <c r="K733">
        <v>332</v>
      </c>
      <c r="L733" s="26">
        <v>350</v>
      </c>
      <c r="M733">
        <f t="shared" si="12"/>
        <v>350</v>
      </c>
      <c r="O73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Row],[orderNum]],ТабПозиции[orderSumm])&gt;1500),ABS(M733*VLOOKUP(ТабПозиции[[#This Row],[orderNum]],ТабЗаказы[#Data],MATCH("Percent",ТабЗаказы[#Headers],0),0))/100,200/COUNTIF(ТабПозиции[orderNum],ТабПозиции[[#This Row],[orderNum]])),0),"")</f>
        <v>35</v>
      </c>
      <c r="P733">
        <f>IF(OR(ТабПозиции[[#This Row],[item]]="По штрихкоду",ТабПозиции[[#This Row],[item]]="Посылка"),ТабПозиции[[#This Row],[deliverySumm]]+ТабПозиции[[#This Row],[deliveryPost]],SUM(M733:O733))</f>
        <v>385</v>
      </c>
      <c r="Q733" s="57">
        <v>385</v>
      </c>
      <c r="R733" s="62">
        <f>ТабПозиции[[#This Row],[totalSumm]]-ТабПозиции[[#This Row],[payment]]</f>
        <v>0</v>
      </c>
      <c r="S733" s="34" t="s">
        <v>965</v>
      </c>
      <c r="T733" s="56" t="s">
        <v>3061</v>
      </c>
      <c r="U733" s="56" t="s">
        <v>3061</v>
      </c>
      <c r="V733" s="56" t="s">
        <v>3061</v>
      </c>
      <c r="W733" s="7"/>
      <c r="X733"/>
    </row>
    <row r="734" spans="1:24" x14ac:dyDescent="0.25">
      <c r="A734" s="26">
        <v>207</v>
      </c>
      <c r="B734" s="1">
        <f>IFERROR(VLOOKUP(ТабПозиции[[#This Row],[orderNum]],ТабЗаказы[#Data],MATCH(B$7,ТабЗаказы[#Headers],0),0),"")</f>
        <v>45516</v>
      </c>
      <c r="C734" t="str">
        <f>MONTH(ТабПозиции[[#This Row],[date]])&amp;"/"&amp;YEAR(ТабПозиции[[#This Row],[date]])</f>
        <v>8/2024</v>
      </c>
      <c r="D734" s="1" t="str">
        <f>IFERROR(VLOOKUP(ТабПозиции[[#This Row],[orderNum]],ТабЗаказы[#Data],MATCH(D$7,ТабЗаказы[#Headers],0),0),"")</f>
        <v>Руденко Юля</v>
      </c>
      <c r="E734" s="32" t="s">
        <v>1066</v>
      </c>
      <c r="F734" s="56" t="s">
        <v>3061</v>
      </c>
      <c r="H734" s="34">
        <v>45518</v>
      </c>
      <c r="I734" s="26">
        <v>1</v>
      </c>
      <c r="J734" s="26">
        <v>698</v>
      </c>
      <c r="K734">
        <v>698</v>
      </c>
      <c r="L734" s="26">
        <v>735</v>
      </c>
      <c r="M734">
        <f t="shared" si="12"/>
        <v>735</v>
      </c>
      <c r="O73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Row],[orderNum]],ТабПозиции[orderSumm])&gt;1500),ABS(M734*VLOOKUP(ТабПозиции[[#This Row],[orderNum]],ТабЗаказы[#Data],MATCH("Percent",ТабЗаказы[#Headers],0),0))/100,200/COUNTIF(ТабПозиции[orderNum],ТабПозиции[[#This Row],[orderNum]])),0),"")</f>
        <v>74</v>
      </c>
      <c r="P734">
        <f>IF(OR(ТабПозиции[[#This Row],[item]]="По штрихкоду",ТабПозиции[[#This Row],[item]]="Посылка"),ТабПозиции[[#This Row],[deliverySumm]]+ТабПозиции[[#This Row],[deliveryPost]],SUM(M734:O734))</f>
        <v>809</v>
      </c>
      <c r="Q734" s="57">
        <v>809</v>
      </c>
      <c r="R734" s="62">
        <f>ТабПозиции[[#This Row],[totalSumm]]-ТабПозиции[[#This Row],[payment]]</f>
        <v>0</v>
      </c>
      <c r="S734" s="34" t="s">
        <v>965</v>
      </c>
      <c r="T734" s="56" t="s">
        <v>3061</v>
      </c>
      <c r="U734" s="56" t="s">
        <v>3061</v>
      </c>
      <c r="V734" s="56" t="s">
        <v>3061</v>
      </c>
      <c r="W734" s="7"/>
      <c r="X734"/>
    </row>
    <row r="735" spans="1:24" x14ac:dyDescent="0.25">
      <c r="A735" s="26">
        <v>207</v>
      </c>
      <c r="B735" s="1">
        <f>IFERROR(VLOOKUP(ТабПозиции[[#This Row],[orderNum]],ТабЗаказы[#Data],MATCH(B$7,ТабЗаказы[#Headers],0),0),"")</f>
        <v>45516</v>
      </c>
      <c r="C735" t="str">
        <f>MONTH(ТабПозиции[[#This Row],[date]])&amp;"/"&amp;YEAR(ТабПозиции[[#This Row],[date]])</f>
        <v>8/2024</v>
      </c>
      <c r="D735" s="1" t="str">
        <f>IFERROR(VLOOKUP(ТабПозиции[[#This Row],[orderNum]],ТабЗаказы[#Data],MATCH(D$7,ТабЗаказы[#Headers],0),0),"")</f>
        <v>Руденко Юля</v>
      </c>
      <c r="E735" s="32" t="s">
        <v>1066</v>
      </c>
      <c r="F735" s="56" t="s">
        <v>3061</v>
      </c>
      <c r="H735" s="34">
        <v>45518</v>
      </c>
      <c r="I735" s="26">
        <v>1</v>
      </c>
      <c r="J735" s="26">
        <v>685</v>
      </c>
      <c r="K735">
        <v>685</v>
      </c>
      <c r="L735" s="26">
        <v>722</v>
      </c>
      <c r="M735">
        <f t="shared" si="12"/>
        <v>722</v>
      </c>
      <c r="O73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Row],[orderNum]],ТабПозиции[orderSumm])&gt;1500),ABS(M735*VLOOKUP(ТабПозиции[[#This Row],[orderNum]],ТабЗаказы[#Data],MATCH("Percent",ТабЗаказы[#Headers],0),0))/100,200/COUNTIF(ТабПозиции[orderNum],ТабПозиции[[#This Row],[orderNum]])),0),"")</f>
        <v>72</v>
      </c>
      <c r="P735">
        <f>IF(OR(ТабПозиции[[#This Row],[item]]="По штрихкоду",ТабПозиции[[#This Row],[item]]="Посылка"),ТабПозиции[[#This Row],[deliverySumm]]+ТабПозиции[[#This Row],[deliveryPost]],SUM(M735:O735))</f>
        <v>794</v>
      </c>
      <c r="Q735" s="57">
        <v>794</v>
      </c>
      <c r="R735" s="62">
        <f>ТабПозиции[[#This Row],[totalSumm]]-ТабПозиции[[#This Row],[payment]]</f>
        <v>0</v>
      </c>
      <c r="S735" s="34" t="s">
        <v>965</v>
      </c>
      <c r="T735" s="56" t="s">
        <v>3061</v>
      </c>
      <c r="U735" s="56" t="s">
        <v>3061</v>
      </c>
      <c r="V735" s="56" t="s">
        <v>3061</v>
      </c>
      <c r="W735" s="7"/>
      <c r="X735"/>
    </row>
    <row r="736" spans="1:24" x14ac:dyDescent="0.25">
      <c r="A736" s="26">
        <v>204</v>
      </c>
      <c r="B736" s="1">
        <f>IFERROR(VLOOKUP(ТабПозиции[[#This Row],[orderNum]],ТабЗаказы[#Data],MATCH(B$7,ТабЗаказы[#Headers],0),0),"")</f>
        <v>45514</v>
      </c>
      <c r="C736" t="str">
        <f>MONTH(ТабПозиции[[#This Row],[date]])&amp;"/"&amp;YEAR(ТабПозиции[[#This Row],[date]])</f>
        <v>8/2024</v>
      </c>
      <c r="D736" s="1" t="str">
        <f>IFERROR(VLOOKUP(ТабПозиции[[#This Row],[orderNum]],ТабЗаказы[#Data],MATCH(D$7,ТабЗаказы[#Headers],0),0),"")</f>
        <v>Максим телевизор</v>
      </c>
      <c r="E736" s="26" t="s">
        <v>815</v>
      </c>
      <c r="F736" s="56" t="s">
        <v>3061</v>
      </c>
      <c r="G736" s="28" t="s">
        <v>1203</v>
      </c>
      <c r="H736" s="34">
        <v>45521</v>
      </c>
      <c r="I736" s="26">
        <v>1</v>
      </c>
      <c r="J736" s="26">
        <v>13500</v>
      </c>
      <c r="K736">
        <v>13500</v>
      </c>
      <c r="L736" s="26">
        <v>13500</v>
      </c>
      <c r="M736">
        <f t="shared" ref="M736:M796" si="13">L736*I736</f>
        <v>13500</v>
      </c>
      <c r="O73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Row],[orderNum]],ТабПозиции[orderSumm])&gt;1500),ABS(M736*VLOOKUP(ТабПозиции[[#This Row],[orderNum]],ТабЗаказы[#Data],MATCH("Percent",ТабЗаказы[#Headers],0),0))/100,200/COUNTIF(ТабПозиции[orderNum],ТабПозиции[[#This Row],[orderNum]])),0),"")</f>
        <v>1350</v>
      </c>
      <c r="P736">
        <f>IF(OR(ТабПозиции[[#This Row],[item]]="По штрихкоду",ТабПозиции[[#This Row],[item]]="Посылка"),ТабПозиции[[#This Row],[deliverySumm]]+ТабПозиции[[#This Row],[deliveryPost]],SUM(M736:O736))</f>
        <v>1350</v>
      </c>
      <c r="Q736" s="57">
        <v>1350</v>
      </c>
      <c r="R736" s="62">
        <f>ТабПозиции[[#This Row],[totalSumm]]-ТабПозиции[[#This Row],[payment]]</f>
        <v>0</v>
      </c>
      <c r="S736" s="34" t="s">
        <v>1016</v>
      </c>
      <c r="T736" s="56" t="s">
        <v>3061</v>
      </c>
      <c r="U736" s="56" t="s">
        <v>3061</v>
      </c>
      <c r="V736" s="56" t="s">
        <v>3061</v>
      </c>
      <c r="W736" s="7"/>
      <c r="X736"/>
    </row>
    <row r="737" spans="1:24" x14ac:dyDescent="0.25">
      <c r="A737" s="26">
        <v>208</v>
      </c>
      <c r="B737" s="1">
        <f>IFERROR(VLOOKUP(ТабПозиции[[#This Row],[orderNum]],ТабЗаказы[#Data],MATCH(B$7,ТабЗаказы[#Headers],0),0),"")</f>
        <v>45517</v>
      </c>
      <c r="C737" t="str">
        <f>MONTH(ТабПозиции[[#This Row],[date]])&amp;"/"&amp;YEAR(ТабПозиции[[#This Row],[date]])</f>
        <v>8/2024</v>
      </c>
      <c r="D737" s="1" t="str">
        <f>IFERROR(VLOOKUP(ТабПозиции[[#This Row],[orderNum]],ТабЗаказы[#Data],MATCH(D$7,ТабЗаказы[#Headers],0),0),"")</f>
        <v>Лана</v>
      </c>
      <c r="E737" s="26" t="s">
        <v>32</v>
      </c>
      <c r="F737" s="56" t="s">
        <v>3061</v>
      </c>
      <c r="H737" s="34">
        <v>45517</v>
      </c>
      <c r="I737" s="26">
        <v>1</v>
      </c>
      <c r="J737" s="26">
        <v>3970</v>
      </c>
      <c r="K737">
        <v>3970</v>
      </c>
      <c r="L737" s="26">
        <v>3970</v>
      </c>
      <c r="M737">
        <f t="shared" si="13"/>
        <v>3970</v>
      </c>
      <c r="O73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Row],[orderNum]],ТабПозиции[orderSumm])&gt;1500),ABS(M737*VLOOKUP(ТабПозиции[[#This Row],[orderNum]],ТабЗаказы[#Data],MATCH("Percent",ТабЗаказы[#Headers],0),0))/100,200/COUNTIF(ТабПозиции[orderNum],ТабПозиции[[#This Row],[orderNum]])),0),"")</f>
        <v>596</v>
      </c>
      <c r="P737">
        <f>IF(OR(ТабПозиции[[#This Row],[item]]="По штрихкоду",ТабПозиции[[#This Row],[item]]="Посылка"),ТабПозиции[[#This Row],[deliverySumm]]+ТабПозиции[[#This Row],[deliveryPost]],SUM(M737:O737))</f>
        <v>596</v>
      </c>
      <c r="Q737" s="57">
        <v>596</v>
      </c>
      <c r="R737" s="62">
        <f>ТабПозиции[[#This Row],[totalSumm]]-ТабПозиции[[#This Row],[payment]]</f>
        <v>0</v>
      </c>
      <c r="S737" s="34" t="s">
        <v>544</v>
      </c>
      <c r="T737" s="56" t="s">
        <v>3061</v>
      </c>
      <c r="U737" s="56" t="s">
        <v>3061</v>
      </c>
      <c r="V737" s="56" t="s">
        <v>3061</v>
      </c>
      <c r="W737" s="7"/>
      <c r="X737"/>
    </row>
    <row r="738" spans="1:24" x14ac:dyDescent="0.25">
      <c r="A738" s="26">
        <v>209</v>
      </c>
      <c r="B738" s="1">
        <f>IFERROR(VLOOKUP(ТабПозиции[[#This Row],[orderNum]],ТабЗаказы[#Data],MATCH(B$7,ТабЗаказы[#Headers],0),0),"")</f>
        <v>45517</v>
      </c>
      <c r="C738" t="str">
        <f>MONTH(ТабПозиции[[#This Row],[date]])&amp;"/"&amp;YEAR(ТабПозиции[[#This Row],[date]])</f>
        <v>8/2024</v>
      </c>
      <c r="D738" s="1" t="str">
        <f>IFERROR(VLOOKUP(ТабПозиции[[#This Row],[orderNum]],ТабЗаказы[#Data],MATCH(D$7,ТабЗаказы[#Headers],0),0),"")</f>
        <v>Екатерина Сартана</v>
      </c>
      <c r="E738" s="26" t="s">
        <v>32</v>
      </c>
      <c r="F738" s="56" t="s">
        <v>3061</v>
      </c>
      <c r="H738" s="34">
        <v>45517</v>
      </c>
      <c r="I738" s="26">
        <v>1</v>
      </c>
      <c r="J738" s="26">
        <v>10871</v>
      </c>
      <c r="K738">
        <v>10871</v>
      </c>
      <c r="L738" s="26">
        <v>10871</v>
      </c>
      <c r="M738">
        <f t="shared" si="13"/>
        <v>10871</v>
      </c>
      <c r="N738" s="26">
        <v>200</v>
      </c>
      <c r="O73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Row],[orderNum]],ТабПозиции[orderSumm])&gt;1500),ABS(M738*VLOOKUP(ТабПозиции[[#This Row],[orderNum]],ТабЗаказы[#Data],MATCH("Percent",ТабЗаказы[#Headers],0),0))/100,200/COUNTIF(ТабПозиции[orderNum],ТабПозиции[[#This Row],[orderNum]])),0),"")</f>
        <v>1087</v>
      </c>
      <c r="P738">
        <f>IF(OR(ТабПозиции[[#This Row],[item]]="По штрихкоду",ТабПозиции[[#This Row],[item]]="Посылка"),ТабПозиции[[#This Row],[deliverySumm]]+ТабПозиции[[#This Row],[deliveryPost]],SUM(M738:O738))</f>
        <v>1287</v>
      </c>
      <c r="Q738" s="57">
        <v>1287</v>
      </c>
      <c r="R738" s="62">
        <f>ТабПозиции[[#This Row],[totalSumm]]-ТабПозиции[[#This Row],[payment]]</f>
        <v>0</v>
      </c>
      <c r="S738" s="34" t="s">
        <v>955</v>
      </c>
      <c r="T738" s="56" t="s">
        <v>3061</v>
      </c>
      <c r="U738" s="56" t="s">
        <v>3061</v>
      </c>
      <c r="V738" s="56" t="s">
        <v>3061</v>
      </c>
      <c r="W738" s="7"/>
      <c r="X738"/>
    </row>
    <row r="739" spans="1:24" x14ac:dyDescent="0.25">
      <c r="A739" s="26">
        <v>210</v>
      </c>
      <c r="B739" s="1">
        <f>IFERROR(VLOOKUP(ТабПозиции[[#This Row],[orderNum]],ТабЗаказы[#Data],MATCH(B$7,ТабЗаказы[#Headers],0),0),"")</f>
        <v>45520</v>
      </c>
      <c r="C739" t="str">
        <f>MONTH(ТабПозиции[[#This Row],[date]])&amp;"/"&amp;YEAR(ТабПозиции[[#This Row],[date]])</f>
        <v>8/2024</v>
      </c>
      <c r="D739" s="1" t="str">
        <f>IFERROR(VLOOKUP(ТабПозиции[[#This Row],[orderNum]],ТабЗаказы[#Data],MATCH(D$7,ТабЗаказы[#Headers],0),0),"")</f>
        <v>Дмитрий Виноградная 29</v>
      </c>
      <c r="E739" s="32" t="s">
        <v>1204</v>
      </c>
      <c r="F739" s="56" t="s">
        <v>3061</v>
      </c>
      <c r="G739" s="28" t="s">
        <v>1205</v>
      </c>
      <c r="H739" s="34">
        <v>45534</v>
      </c>
      <c r="I739" s="26">
        <v>1</v>
      </c>
      <c r="J739" s="26">
        <v>12688</v>
      </c>
      <c r="K739">
        <v>12688</v>
      </c>
      <c r="L739" s="26">
        <v>12688</v>
      </c>
      <c r="M739">
        <f t="shared" si="13"/>
        <v>12688</v>
      </c>
      <c r="O73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Row],[orderNum]],ТабПозиции[orderSumm])&gt;1500),ABS(M739*VLOOKUP(ТабПозиции[[#This Row],[orderNum]],ТабЗаказы[#Data],MATCH("Percent",ТабЗаказы[#Headers],0),0))/100,200/COUNTIF(ТабПозиции[orderNum],ТабПозиции[[#This Row],[orderNum]])),0),"")</f>
        <v>1269</v>
      </c>
      <c r="P739">
        <f>IF(OR(ТабПозиции[[#This Row],[item]]="По штрихкоду",ТабПозиции[[#This Row],[item]]="Посылка"),ТабПозиции[[#This Row],[deliverySumm]]+ТабПозиции[[#This Row],[deliveryPost]],SUM(M739:O739))</f>
        <v>13957</v>
      </c>
      <c r="Q739" s="57">
        <v>13957</v>
      </c>
      <c r="R739" s="62">
        <f>ТабПозиции[[#This Row],[totalSumm]]-ТабПозиции[[#This Row],[payment]]</f>
        <v>0</v>
      </c>
      <c r="S739" s="34" t="s">
        <v>1000</v>
      </c>
      <c r="T739" s="56" t="s">
        <v>3061</v>
      </c>
      <c r="U739" s="56" t="s">
        <v>3061</v>
      </c>
      <c r="V739" s="56" t="s">
        <v>3061</v>
      </c>
      <c r="W739" s="7"/>
      <c r="X739"/>
    </row>
    <row r="740" spans="1:24" x14ac:dyDescent="0.25">
      <c r="A740" s="26">
        <v>211</v>
      </c>
      <c r="B740" s="1">
        <f>IFERROR(VLOOKUP(ТабПозиции[[#This Row],[orderNum]],ТабЗаказы[#Data],MATCH(B$7,ТабЗаказы[#Headers],0),0),"")</f>
        <v>45520</v>
      </c>
      <c r="C740" t="str">
        <f>MONTH(ТабПозиции[[#This Row],[date]])&amp;"/"&amp;YEAR(ТабПозиции[[#This Row],[date]])</f>
        <v>8/2024</v>
      </c>
      <c r="D740" s="1" t="str">
        <f>IFERROR(VLOOKUP(ТабПозиции[[#This Row],[orderNum]],ТабЗаказы[#Data],MATCH(D$7,ТабЗаказы[#Headers],0),0),"")</f>
        <v>Елена Ларисына</v>
      </c>
      <c r="E740" s="32" t="s">
        <v>1206</v>
      </c>
      <c r="F740" s="56" t="s">
        <v>3061</v>
      </c>
      <c r="H740" s="34">
        <v>45524</v>
      </c>
      <c r="I740" s="26">
        <v>1</v>
      </c>
      <c r="J740" s="26">
        <v>1073</v>
      </c>
      <c r="K740">
        <v>1073</v>
      </c>
      <c r="L740" s="26">
        <v>1155</v>
      </c>
      <c r="M740">
        <f t="shared" si="13"/>
        <v>1155</v>
      </c>
      <c r="O74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Row],[orderNum]],ТабПозиции[orderSumm])&gt;1500),ABS(M740*VLOOKUP(ТабПозиции[[#This Row],[orderNum]],ТабЗаказы[#Data],MATCH("Percent",ТабЗаказы[#Headers],0),0))/100,200/COUNTIF(ТабПозиции[orderNum],ТабПозиции[[#This Row],[orderNum]])),0),"")</f>
        <v>100</v>
      </c>
      <c r="P740">
        <f>IF(OR(ТабПозиции[[#This Row],[item]]="По штрихкоду",ТабПозиции[[#This Row],[item]]="Посылка"),ТабПозиции[[#This Row],[deliverySumm]]+ТабПозиции[[#This Row],[deliveryPost]],SUM(M740:O740))</f>
        <v>1255</v>
      </c>
      <c r="Q740" s="57">
        <v>1255</v>
      </c>
      <c r="R740" s="62">
        <f>ТабПозиции[[#This Row],[totalSumm]]-ТабПозиции[[#This Row],[payment]]</f>
        <v>0</v>
      </c>
      <c r="S740" s="34" t="s">
        <v>955</v>
      </c>
      <c r="T740" s="56" t="s">
        <v>3061</v>
      </c>
      <c r="U740" s="56" t="s">
        <v>3061</v>
      </c>
      <c r="V740" s="56" t="s">
        <v>3061</v>
      </c>
      <c r="W740" s="7"/>
      <c r="X740"/>
    </row>
    <row r="741" spans="1:24" x14ac:dyDescent="0.25">
      <c r="A741" s="26">
        <v>211</v>
      </c>
      <c r="B741" s="1">
        <f>IFERROR(VLOOKUP(ТабПозиции[[#This Row],[orderNum]],ТабЗаказы[#Data],MATCH(B$7,ТабЗаказы[#Headers],0),0),"")</f>
        <v>45520</v>
      </c>
      <c r="C741" t="str">
        <f>MONTH(ТабПозиции[[#This Row],[date]])&amp;"/"&amp;YEAR(ТабПозиции[[#This Row],[date]])</f>
        <v>8/2024</v>
      </c>
      <c r="D741" s="1" t="str">
        <f>IFERROR(VLOOKUP(ТабПозиции[[#This Row],[orderNum]],ТабЗаказы[#Data],MATCH(D$7,ТабЗаказы[#Headers],0),0),"")</f>
        <v>Елена Ларисына</v>
      </c>
      <c r="E741" s="32" t="s">
        <v>1207</v>
      </c>
      <c r="F741" s="56" t="s">
        <v>3061</v>
      </c>
      <c r="H741" s="34">
        <v>45535</v>
      </c>
      <c r="I741" s="26">
        <v>1</v>
      </c>
      <c r="J741" s="26">
        <v>345</v>
      </c>
      <c r="K741">
        <v>345</v>
      </c>
      <c r="L741" s="26">
        <v>345</v>
      </c>
      <c r="M741">
        <f t="shared" si="13"/>
        <v>345</v>
      </c>
      <c r="O74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Row],[orderNum]],ТабПозиции[orderSumm])&gt;1500),ABS(M741*VLOOKUP(ТабПозиции[[#This Row],[orderNum]],ТабЗаказы[#Data],MATCH("Percent",ТабЗаказы[#Headers],0),0))/100,200/COUNTIF(ТабПозиции[orderNum],ТабПозиции[[#This Row],[orderNum]])),0),"")</f>
        <v>100</v>
      </c>
      <c r="P741">
        <f>IF(OR(ТабПозиции[[#This Row],[item]]="По штрихкоду",ТабПозиции[[#This Row],[item]]="Посылка"),ТабПозиции[[#This Row],[deliverySumm]]+ТабПозиции[[#This Row],[deliveryPost]],SUM(M741:O741))</f>
        <v>445</v>
      </c>
      <c r="Q741" s="57">
        <v>445</v>
      </c>
      <c r="R741" s="62">
        <f>ТабПозиции[[#This Row],[totalSumm]]-ТабПозиции[[#This Row],[payment]]</f>
        <v>0</v>
      </c>
      <c r="S741" s="34" t="s">
        <v>955</v>
      </c>
      <c r="T741" s="56" t="s">
        <v>3061</v>
      </c>
      <c r="U741" s="56" t="s">
        <v>3061</v>
      </c>
      <c r="V741" s="56" t="s">
        <v>3061</v>
      </c>
      <c r="W741" s="7"/>
      <c r="X741"/>
    </row>
    <row r="742" spans="1:24" x14ac:dyDescent="0.25">
      <c r="A742" s="26">
        <v>212</v>
      </c>
      <c r="B742" s="1">
        <f>IFERROR(VLOOKUP(ТабПозиции[[#This Row],[orderNum]],ТабЗаказы[#Data],MATCH(B$7,ТабЗаказы[#Headers],0),0),"")</f>
        <v>45520</v>
      </c>
      <c r="C742" t="str">
        <f>MONTH(ТабПозиции[[#This Row],[date]])&amp;"/"&amp;YEAR(ТабПозиции[[#This Row],[date]])</f>
        <v>8/2024</v>
      </c>
      <c r="D742" s="1" t="str">
        <f>IFERROR(VLOOKUP(ТабПозиции[[#This Row],[orderNum]],ТабЗаказы[#Data],MATCH(D$7,ТабЗаказы[#Headers],0),0),"")</f>
        <v>Максим рюкзак</v>
      </c>
      <c r="E742" s="32" t="s">
        <v>1208</v>
      </c>
      <c r="F742" s="56" t="s">
        <v>3061</v>
      </c>
      <c r="H742" s="34">
        <v>45520</v>
      </c>
      <c r="I742" s="26">
        <v>1</v>
      </c>
      <c r="J742" s="26">
        <v>233</v>
      </c>
      <c r="K742">
        <v>233</v>
      </c>
      <c r="L742" s="26">
        <v>233</v>
      </c>
      <c r="M742">
        <f t="shared" si="13"/>
        <v>233</v>
      </c>
      <c r="O74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Row],[orderNum]],ТабПозиции[orderSumm])&gt;1500),ABS(M742*VLOOKUP(ТабПозиции[[#This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742">
        <f>IF(OR(ТабПозиции[[#This Row],[item]]="По штрихкоду",ТабПозиции[[#This Row],[item]]="Посылка"),ТабПозиции[[#This Row],[deliverySumm]]+ТабПозиции[[#This Row],[deliveryPost]],SUM(M742:O742))</f>
        <v>433</v>
      </c>
      <c r="Q742" s="57">
        <v>433</v>
      </c>
      <c r="R742" s="62">
        <f>ТабПозиции[[#This Row],[totalSumm]]-ТабПозиции[[#This Row],[payment]]</f>
        <v>0</v>
      </c>
      <c r="S742" s="34" t="s">
        <v>955</v>
      </c>
      <c r="T742" s="56" t="s">
        <v>3061</v>
      </c>
      <c r="U742" s="56" t="s">
        <v>3061</v>
      </c>
      <c r="V742" s="56" t="s">
        <v>3061</v>
      </c>
      <c r="W742" s="7"/>
      <c r="X742"/>
    </row>
    <row r="743" spans="1:24" x14ac:dyDescent="0.25">
      <c r="A743" s="26">
        <v>213</v>
      </c>
      <c r="B743" s="1">
        <f>IFERROR(VLOOKUP(ТабПозиции[[#This Row],[orderNum]],ТабЗаказы[#Data],MATCH(B$7,ТабЗаказы[#Headers],0),0),"")</f>
        <v>45520</v>
      </c>
      <c r="C743" t="str">
        <f>MONTH(ТабПозиции[[#This Row],[date]])&amp;"/"&amp;YEAR(ТабПозиции[[#This Row],[date]])</f>
        <v>8/2024</v>
      </c>
      <c r="D743" s="1" t="str">
        <f>IFERROR(VLOOKUP(ТабПозиции[[#This Row],[orderNum]],ТабЗаказы[#Data],MATCH(D$7,ТабЗаказы[#Headers],0),0),"")</f>
        <v>Диана</v>
      </c>
      <c r="E743" s="26" t="s">
        <v>32</v>
      </c>
      <c r="F743" s="56" t="s">
        <v>3061</v>
      </c>
      <c r="H743" s="34">
        <v>45520</v>
      </c>
      <c r="I743" s="26">
        <v>1</v>
      </c>
      <c r="J743" s="26">
        <v>12991</v>
      </c>
      <c r="K743">
        <v>12991</v>
      </c>
      <c r="L743" s="26">
        <v>12991</v>
      </c>
      <c r="M743">
        <f t="shared" si="13"/>
        <v>12991</v>
      </c>
      <c r="O74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Row],[orderNum]],ТабПозиции[orderSumm])&gt;1500),ABS(M743*VLOOKUP(ТабПозиции[[#This Row],[orderNum]],ТабЗаказы[#Data],MATCH("Percent",ТабЗаказы[#Headers],0),0))/100,200/COUNTIF(ТабПозиции[orderNum],ТабПозиции[[#This Row],[orderNum]])),0),"")</f>
        <v>1299</v>
      </c>
      <c r="P743">
        <f>IF(OR(ТабПозиции[[#This Row],[item]]="По штрихкоду",ТабПозиции[[#This Row],[item]]="Посылка"),ТабПозиции[[#This Row],[deliverySumm]]+ТабПозиции[[#This Row],[deliveryPost]],SUM(M743:O743))</f>
        <v>1299</v>
      </c>
      <c r="Q743" s="57">
        <v>1299</v>
      </c>
      <c r="R743" s="62">
        <f>ТабПозиции[[#This Row],[totalSumm]]-ТабПозиции[[#This Row],[payment]]</f>
        <v>0</v>
      </c>
      <c r="S743" s="34" t="s">
        <v>965</v>
      </c>
      <c r="T743" s="56" t="s">
        <v>3061</v>
      </c>
      <c r="U743" s="56" t="s">
        <v>3061</v>
      </c>
      <c r="V743" s="56" t="s">
        <v>3061</v>
      </c>
      <c r="W743" s="7"/>
      <c r="X743"/>
    </row>
    <row r="744" spans="1:24" x14ac:dyDescent="0.25">
      <c r="A744" s="26">
        <v>214</v>
      </c>
      <c r="B744" s="1">
        <f>IFERROR(VLOOKUP(ТабПозиции[[#This Row],[orderNum]],ТабЗаказы[#Data],MATCH(B$7,ТабЗаказы[#Headers],0),0),"")</f>
        <v>45520</v>
      </c>
      <c r="C744" t="str">
        <f>MONTH(ТабПозиции[[#This Row],[date]])&amp;"/"&amp;YEAR(ТабПозиции[[#This Row],[date]])</f>
        <v>8/2024</v>
      </c>
      <c r="D744" s="1" t="str">
        <f>IFERROR(VLOOKUP(ТабПозиции[[#This Row],[orderNum]],ТабЗаказы[#Data],MATCH(D$7,ТабЗаказы[#Headers],0),0),"")</f>
        <v>Андрей Кулигин</v>
      </c>
      <c r="E744" s="26" t="s">
        <v>32</v>
      </c>
      <c r="F744" s="56" t="s">
        <v>3061</v>
      </c>
      <c r="H744" s="34">
        <v>45520</v>
      </c>
      <c r="I744" s="26">
        <v>1</v>
      </c>
      <c r="J744" s="26">
        <v>5915</v>
      </c>
      <c r="K744">
        <v>5915</v>
      </c>
      <c r="L744" s="26">
        <v>5915</v>
      </c>
      <c r="M744">
        <f t="shared" si="13"/>
        <v>5915</v>
      </c>
      <c r="O74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Row],[orderNum]],ТабПозиции[orderSumm])&gt;1500),ABS(M744*VLOOKUP(ТабПозиции[[#This Row],[orderNum]],ТабЗаказы[#Data],MATCH("Percent",ТабЗаказы[#Headers],0),0))/100,200/COUNTIF(ТабПозиции[orderNum],ТабПозиции[[#This Row],[orderNum]])),0),"")</f>
        <v>887</v>
      </c>
      <c r="P744">
        <f>IF(OR(ТабПозиции[[#This Row],[item]]="По штрихкоду",ТабПозиции[[#This Row],[item]]="Посылка"),ТабПозиции[[#This Row],[deliverySumm]]+ТабПозиции[[#This Row],[deliveryPost]],SUM(M744:O744))</f>
        <v>887</v>
      </c>
      <c r="Q744" s="57">
        <v>887</v>
      </c>
      <c r="R744" s="62">
        <f>ТабПозиции[[#This Row],[totalSumm]]-ТабПозиции[[#This Row],[payment]]</f>
        <v>0</v>
      </c>
      <c r="S744" s="34" t="s">
        <v>955</v>
      </c>
      <c r="T744" s="56" t="s">
        <v>3061</v>
      </c>
      <c r="U744" s="56" t="s">
        <v>3061</v>
      </c>
      <c r="V744" s="56" t="s">
        <v>3061</v>
      </c>
      <c r="W744" s="7"/>
      <c r="X744"/>
    </row>
    <row r="745" spans="1:24" x14ac:dyDescent="0.25">
      <c r="A745" s="26">
        <v>215</v>
      </c>
      <c r="B745" s="1">
        <f>IFERROR(VLOOKUP(ТабПозиции[[#This Row],[orderNum]],ТабЗаказы[#Data],MATCH(B$7,ТабЗаказы[#Headers],0),0),"")</f>
        <v>45520</v>
      </c>
      <c r="C745" t="str">
        <f>MONTH(ТабПозиции[[#This Row],[date]])&amp;"/"&amp;YEAR(ТабПозиции[[#This Row],[date]])</f>
        <v>8/2024</v>
      </c>
      <c r="D745" s="1" t="str">
        <f>IFERROR(VLOOKUP(ТабПозиции[[#This Row],[orderNum]],ТабЗаказы[#Data],MATCH(D$7,ТабЗаказы[#Headers],0),0),"")</f>
        <v>Лариса Кирова</v>
      </c>
      <c r="E745" s="32" t="s">
        <v>1209</v>
      </c>
      <c r="F745" s="56" t="s">
        <v>3061</v>
      </c>
      <c r="H745" s="34">
        <v>45522</v>
      </c>
      <c r="I745" s="26">
        <v>1</v>
      </c>
      <c r="J745" s="26">
        <v>239</v>
      </c>
      <c r="K745">
        <v>239</v>
      </c>
      <c r="L745" s="26">
        <v>244</v>
      </c>
      <c r="M745">
        <f t="shared" si="13"/>
        <v>244</v>
      </c>
      <c r="O74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Row],[orderNum]],ТабПозиции[orderSumm])&gt;1500),ABS(M745*VLOOKUP(ТабПозиции[[#This Row],[orderNum]],ТабЗаказы[#Data],MATCH("Percent",ТабЗаказы[#Headers],0),0))/100,200/COUNTIF(ТабПозиции[orderNum],ТабПозиции[[#This Row],[orderNum]])),0),"")</f>
        <v>37</v>
      </c>
      <c r="P745">
        <f>IF(OR(ТабПозиции[[#This Row],[item]]="По штрихкоду",ТабПозиции[[#This Row],[item]]="Посылка"),ТабПозиции[[#This Row],[deliverySumm]]+ТабПозиции[[#This Row],[deliveryPost]],SUM(M745:O745))</f>
        <v>281</v>
      </c>
      <c r="Q745" s="57">
        <v>281</v>
      </c>
      <c r="R745" s="62">
        <f>ТабПозиции[[#This Row],[totalSumm]]-ТабПозиции[[#This Row],[payment]]</f>
        <v>0</v>
      </c>
      <c r="S745" s="34" t="s">
        <v>955</v>
      </c>
      <c r="T745" s="56" t="s">
        <v>3061</v>
      </c>
      <c r="U745" s="56" t="s">
        <v>3061</v>
      </c>
      <c r="V745" s="56" t="s">
        <v>3061</v>
      </c>
      <c r="W745" s="7"/>
      <c r="X745"/>
    </row>
    <row r="746" spans="1:24" x14ac:dyDescent="0.25">
      <c r="A746" s="26">
        <v>215</v>
      </c>
      <c r="B746" s="1">
        <f>IFERROR(VLOOKUP(ТабПозиции[[#This Row],[orderNum]],ТабЗаказы[#Data],MATCH(B$7,ТабЗаказы[#Headers],0),0),"")</f>
        <v>45520</v>
      </c>
      <c r="C746" t="str">
        <f>MONTH(ТабПозиции[[#This Row],[date]])&amp;"/"&amp;YEAR(ТабПозиции[[#This Row],[date]])</f>
        <v>8/2024</v>
      </c>
      <c r="D746" s="1" t="str">
        <f>IFERROR(VLOOKUP(ТабПозиции[[#This Row],[orderNum]],ТабЗаказы[#Data],MATCH(D$7,ТабЗаказы[#Headers],0),0),"")</f>
        <v>Лариса Кирова</v>
      </c>
      <c r="E746" s="32" t="s">
        <v>1210</v>
      </c>
      <c r="F746" s="56" t="s">
        <v>3061</v>
      </c>
      <c r="H746" s="34">
        <v>45522</v>
      </c>
      <c r="I746" s="26">
        <v>1</v>
      </c>
      <c r="J746" s="26">
        <v>633</v>
      </c>
      <c r="K746">
        <v>633</v>
      </c>
      <c r="L746" s="26">
        <v>682</v>
      </c>
      <c r="M746">
        <f t="shared" si="13"/>
        <v>682</v>
      </c>
      <c r="O74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Row],[orderNum]],ТабПозиции[orderSumm])&gt;1500),ABS(M746*VLOOKUP(ТабПозиции[[#This Row],[orderNum]],ТабЗаказы[#Data],MATCH("Percent",ТабЗаказы[#Headers],0),0))/100,200/COUNTIF(ТабПозиции[orderNum],ТабПозиции[[#This Row],[orderNum]])),0),"")</f>
        <v>102</v>
      </c>
      <c r="P746">
        <f>IF(OR(ТабПозиции[[#This Row],[item]]="По штрихкоду",ТабПозиции[[#This Row],[item]]="Посылка"),ТабПозиции[[#This Row],[deliverySumm]]+ТабПозиции[[#This Row],[deliveryPost]],SUM(M746:O746))</f>
        <v>784</v>
      </c>
      <c r="Q746" s="57">
        <v>784</v>
      </c>
      <c r="R746" s="62">
        <f>ТабПозиции[[#This Row],[totalSumm]]-ТабПозиции[[#This Row],[payment]]</f>
        <v>0</v>
      </c>
      <c r="S746" s="34" t="s">
        <v>955</v>
      </c>
      <c r="T746" s="56" t="s">
        <v>3061</v>
      </c>
      <c r="U746" s="56" t="s">
        <v>3061</v>
      </c>
      <c r="V746" s="56" t="s">
        <v>3061</v>
      </c>
      <c r="W746" s="7"/>
      <c r="X746"/>
    </row>
    <row r="747" spans="1:24" x14ac:dyDescent="0.25">
      <c r="A747" s="26">
        <v>215</v>
      </c>
      <c r="B747" s="1">
        <f>IFERROR(VLOOKUP(ТабПозиции[[#This Row],[orderNum]],ТабЗаказы[#Data],MATCH(B$7,ТабЗаказы[#Headers],0),0),"")</f>
        <v>45520</v>
      </c>
      <c r="C747" t="str">
        <f>MONTH(ТабПозиции[[#This Row],[date]])&amp;"/"&amp;YEAR(ТабПозиции[[#This Row],[date]])</f>
        <v>8/2024</v>
      </c>
      <c r="D747" s="1" t="str">
        <f>IFERROR(VLOOKUP(ТабПозиции[[#This Row],[orderNum]],ТабЗаказы[#Data],MATCH(D$7,ТабЗаказы[#Headers],0),0),"")</f>
        <v>Лариса Кирова</v>
      </c>
      <c r="E747" s="32" t="s">
        <v>1211</v>
      </c>
      <c r="F747" s="56" t="s">
        <v>3061</v>
      </c>
      <c r="H747" s="34">
        <v>45522</v>
      </c>
      <c r="I747" s="26">
        <v>1</v>
      </c>
      <c r="J747" s="26">
        <v>495</v>
      </c>
      <c r="K747">
        <v>495</v>
      </c>
      <c r="L747" s="26">
        <v>531</v>
      </c>
      <c r="M747">
        <f t="shared" si="13"/>
        <v>531</v>
      </c>
      <c r="O74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Row],[orderNum]],ТабПозиции[orderSumm])&gt;1500),ABS(M747*VLOOKUP(ТабПозиции[[#This Row],[orderNum]],ТабЗаказы[#Data],MATCH("Percent",ТабЗаказы[#Headers],0),0))/100,200/COUNTIF(ТабПозиции[orderNum],ТабПозиции[[#This Row],[orderNum]])),0),"")</f>
        <v>80</v>
      </c>
      <c r="P747">
        <f>IF(OR(ТабПозиции[[#This Row],[item]]="По штрихкоду",ТабПозиции[[#This Row],[item]]="Посылка"),ТабПозиции[[#This Row],[deliverySumm]]+ТабПозиции[[#This Row],[deliveryPost]],SUM(M747:O747))</f>
        <v>611</v>
      </c>
      <c r="Q747" s="57">
        <v>611</v>
      </c>
      <c r="R747" s="62">
        <f>ТабПозиции[[#This Row],[totalSumm]]-ТабПозиции[[#This Row],[payment]]</f>
        <v>0</v>
      </c>
      <c r="S747" s="34" t="s">
        <v>955</v>
      </c>
      <c r="T747" s="56" t="s">
        <v>3061</v>
      </c>
      <c r="U747" s="56" t="s">
        <v>3061</v>
      </c>
      <c r="V747" s="56" t="s">
        <v>3061</v>
      </c>
      <c r="W747" s="7"/>
      <c r="X747"/>
    </row>
    <row r="748" spans="1:24" x14ac:dyDescent="0.25">
      <c r="A748" s="26">
        <v>215</v>
      </c>
      <c r="B748" s="1">
        <f>IFERROR(VLOOKUP(ТабПозиции[[#This Row],[orderNum]],ТабЗаказы[#Data],MATCH(B$7,ТабЗаказы[#Headers],0),0),"")</f>
        <v>45520</v>
      </c>
      <c r="C748" t="str">
        <f>MONTH(ТабПозиции[[#This Row],[date]])&amp;"/"&amp;YEAR(ТабПозиции[[#This Row],[date]])</f>
        <v>8/2024</v>
      </c>
      <c r="D748" s="1" t="str">
        <f>IFERROR(VLOOKUP(ТабПозиции[[#This Row],[orderNum]],ТабЗаказы[#Data],MATCH(D$7,ТабЗаказы[#Headers],0),0),"")</f>
        <v>Лариса Кирова</v>
      </c>
      <c r="E748" s="32" t="s">
        <v>1212</v>
      </c>
      <c r="F748" s="56" t="s">
        <v>3061</v>
      </c>
      <c r="H748" s="34">
        <v>45522</v>
      </c>
      <c r="I748" s="26">
        <v>1</v>
      </c>
      <c r="J748" s="26">
        <v>281</v>
      </c>
      <c r="K748">
        <v>281</v>
      </c>
      <c r="L748" s="26">
        <v>290</v>
      </c>
      <c r="M748">
        <f t="shared" si="13"/>
        <v>290</v>
      </c>
      <c r="O74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Row],[orderNum]],ТабПозиции[orderSumm])&gt;1500),ABS(M748*VLOOKUP(ТабПозиции[[#This Row],[orderNum]],ТабЗаказы[#Data],MATCH("Percent",ТабЗаказы[#Headers],0),0))/100,200/COUNTIF(ТабПозиции[orderNum],ТабПозиции[[#This Row],[orderNum]])),0),"")</f>
        <v>44</v>
      </c>
      <c r="P748">
        <f>IF(OR(ТабПозиции[[#This Row],[item]]="По штрихкоду",ТабПозиции[[#This Row],[item]]="Посылка"),ТабПозиции[[#This Row],[deliverySumm]]+ТабПозиции[[#This Row],[deliveryPost]],SUM(M748:O748))</f>
        <v>334</v>
      </c>
      <c r="Q748" s="57">
        <v>334</v>
      </c>
      <c r="R748" s="62">
        <f>ТабПозиции[[#This Row],[totalSumm]]-ТабПозиции[[#This Row],[payment]]</f>
        <v>0</v>
      </c>
      <c r="S748" s="34" t="s">
        <v>955</v>
      </c>
      <c r="T748" s="56" t="s">
        <v>3061</v>
      </c>
      <c r="U748" s="56" t="s">
        <v>3061</v>
      </c>
      <c r="V748" s="56" t="s">
        <v>3061</v>
      </c>
      <c r="W748" s="7"/>
      <c r="X748"/>
    </row>
    <row r="749" spans="1:24" x14ac:dyDescent="0.25">
      <c r="A749" s="26">
        <v>215</v>
      </c>
      <c r="B749" s="1">
        <f>IFERROR(VLOOKUP(ТабПозиции[[#This Row],[orderNum]],ТабЗаказы[#Data],MATCH(B$7,ТабЗаказы[#Headers],0),0),"")</f>
        <v>45520</v>
      </c>
      <c r="C749" t="str">
        <f>MONTH(ТабПозиции[[#This Row],[date]])&amp;"/"&amp;YEAR(ТабПозиции[[#This Row],[date]])</f>
        <v>8/2024</v>
      </c>
      <c r="D749" s="1" t="str">
        <f>IFERROR(VLOOKUP(ТабПозиции[[#This Row],[orderNum]],ТабЗаказы[#Data],MATCH(D$7,ТабЗаказы[#Headers],0),0),"")</f>
        <v>Лариса Кирова</v>
      </c>
      <c r="E749" s="32" t="s">
        <v>696</v>
      </c>
      <c r="F749" s="56" t="s">
        <v>3061</v>
      </c>
      <c r="H749" s="34">
        <v>45522</v>
      </c>
      <c r="I749" s="26">
        <v>1</v>
      </c>
      <c r="J749" s="26">
        <v>268</v>
      </c>
      <c r="K749">
        <v>268</v>
      </c>
      <c r="L749" s="26">
        <v>283</v>
      </c>
      <c r="M749">
        <f t="shared" si="13"/>
        <v>283</v>
      </c>
      <c r="O74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Row],[orderNum]],ТабПозиции[orderSumm])&gt;1500),ABS(M749*VLOOKUP(ТабПозиции[[#This Row],[orderNum]],ТабЗаказы[#Data],MATCH("Percent",ТабЗаказы[#Headers],0),0))/100,200/COUNTIF(ТабПозиции[orderNum],ТабПозиции[[#This Row],[orderNum]])),0),"")</f>
        <v>42</v>
      </c>
      <c r="P749">
        <f>IF(OR(ТабПозиции[[#This Row],[item]]="По штрихкоду",ТабПозиции[[#This Row],[item]]="Посылка"),ТабПозиции[[#This Row],[deliverySumm]]+ТабПозиции[[#This Row],[deliveryPost]],SUM(M749:O749))</f>
        <v>325</v>
      </c>
      <c r="Q749" s="57">
        <v>325</v>
      </c>
      <c r="R749" s="62">
        <f>ТабПозиции[[#This Row],[totalSumm]]-ТабПозиции[[#This Row],[payment]]</f>
        <v>0</v>
      </c>
      <c r="S749" s="34" t="s">
        <v>965</v>
      </c>
      <c r="T749" s="56" t="s">
        <v>3061</v>
      </c>
      <c r="U749" s="56" t="s">
        <v>3061</v>
      </c>
      <c r="V749" s="56" t="s">
        <v>3061</v>
      </c>
      <c r="W749" s="7"/>
      <c r="X749"/>
    </row>
    <row r="750" spans="1:24" x14ac:dyDescent="0.25">
      <c r="A750" s="26">
        <v>215</v>
      </c>
      <c r="B750" s="1">
        <f>IFERROR(VLOOKUP(ТабПозиции[[#This Row],[orderNum]],ТабЗаказы[#Data],MATCH(B$7,ТабЗаказы[#Headers],0),0),"")</f>
        <v>45520</v>
      </c>
      <c r="C750" t="str">
        <f>MONTH(ТабПозиции[[#This Row],[date]])&amp;"/"&amp;YEAR(ТабПозиции[[#This Row],[date]])</f>
        <v>8/2024</v>
      </c>
      <c r="D750" s="1" t="str">
        <f>IFERROR(VLOOKUP(ТабПозиции[[#This Row],[orderNum]],ТабЗаказы[#Data],MATCH(D$7,ТабЗаказы[#Headers],0),0),"")</f>
        <v>Лариса Кирова</v>
      </c>
      <c r="E750" s="32" t="s">
        <v>1213</v>
      </c>
      <c r="F750" s="56" t="s">
        <v>3061</v>
      </c>
      <c r="H750" s="34">
        <v>45524</v>
      </c>
      <c r="I750" s="26">
        <v>1</v>
      </c>
      <c r="J750" s="26">
        <v>256</v>
      </c>
      <c r="K750">
        <v>256</v>
      </c>
      <c r="L750" s="26">
        <v>270</v>
      </c>
      <c r="M750">
        <f t="shared" si="13"/>
        <v>270</v>
      </c>
      <c r="O75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Row],[orderNum]],ТабПозиции[orderSumm])&gt;1500),ABS(M750*VLOOKUP(ТабПозиции[[#This Row],[orderNum]],ТабЗаказы[#Data],MATCH("Percent",ТабЗаказы[#Headers],0),0))/100,200/COUNTIF(ТабПозиции[orderNum],ТабПозиции[[#This Row],[orderNum]])),0),"")</f>
        <v>41</v>
      </c>
      <c r="P750">
        <f>IF(OR(ТабПозиции[[#This Row],[item]]="По штрихкоду",ТабПозиции[[#This Row],[item]]="Посылка"),ТабПозиции[[#This Row],[deliverySumm]]+ТабПозиции[[#This Row],[deliveryPost]],SUM(M750:O750))</f>
        <v>311</v>
      </c>
      <c r="Q750" s="57">
        <v>311</v>
      </c>
      <c r="R750" s="62">
        <f>ТабПозиции[[#This Row],[totalSumm]]-ТабПозиции[[#This Row],[payment]]</f>
        <v>0</v>
      </c>
      <c r="S750" s="34" t="s">
        <v>965</v>
      </c>
      <c r="T750" s="56" t="s">
        <v>3061</v>
      </c>
      <c r="U750" s="56" t="s">
        <v>3061</v>
      </c>
      <c r="V750" s="56" t="s">
        <v>3061</v>
      </c>
      <c r="W750" s="7"/>
      <c r="X750"/>
    </row>
    <row r="751" spans="1:24" x14ac:dyDescent="0.25">
      <c r="A751" s="26">
        <v>215</v>
      </c>
      <c r="B751" s="1">
        <f>IFERROR(VLOOKUP(ТабПозиции[[#This Row],[orderNum]],ТабЗаказы[#Data],MATCH(B$7,ТабЗаказы[#Headers],0),0),"")</f>
        <v>45520</v>
      </c>
      <c r="C751" t="str">
        <f>MONTH(ТабПозиции[[#This Row],[date]])&amp;"/"&amp;YEAR(ТабПозиции[[#This Row],[date]])</f>
        <v>8/2024</v>
      </c>
      <c r="D751" s="1" t="str">
        <f>IFERROR(VLOOKUP(ТабПозиции[[#This Row],[orderNum]],ТабЗаказы[#Data],MATCH(D$7,ТабЗаказы[#Headers],0),0),"")</f>
        <v>Лариса Кирова</v>
      </c>
      <c r="E751" s="32" t="s">
        <v>1214</v>
      </c>
      <c r="F751" s="56" t="s">
        <v>3061</v>
      </c>
      <c r="H751" s="34">
        <v>45524</v>
      </c>
      <c r="I751" s="26">
        <v>1</v>
      </c>
      <c r="J751" s="26">
        <v>569</v>
      </c>
      <c r="K751">
        <v>569</v>
      </c>
      <c r="L751" s="26">
        <v>599</v>
      </c>
      <c r="M751">
        <f t="shared" si="13"/>
        <v>599</v>
      </c>
      <c r="O75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Row],[orderNum]],ТабПозиции[orderSumm])&gt;1500),ABS(M751*VLOOKUP(ТабПозиции[[#This Row],[orderNum]],ТабЗаказы[#Data],MATCH("Percent",ТабЗаказы[#Headers],0),0))/100,200/COUNTIF(ТабПозиции[orderNum],ТабПозиции[[#This Row],[orderNum]])),0),"")</f>
        <v>90</v>
      </c>
      <c r="P751">
        <f>IF(OR(ТабПозиции[[#This Row],[item]]="По штрихкоду",ТабПозиции[[#This Row],[item]]="Посылка"),ТабПозиции[[#This Row],[deliverySumm]]+ТабПозиции[[#This Row],[deliveryPost]],SUM(M751:O751))</f>
        <v>689</v>
      </c>
      <c r="Q751" s="57">
        <v>689</v>
      </c>
      <c r="R751" s="62">
        <f>ТабПозиции[[#This Row],[totalSumm]]-ТабПозиции[[#This Row],[payment]]</f>
        <v>0</v>
      </c>
      <c r="S751" s="34" t="s">
        <v>965</v>
      </c>
      <c r="T751" s="56" t="s">
        <v>3061</v>
      </c>
      <c r="U751" s="56" t="s">
        <v>3061</v>
      </c>
      <c r="V751" s="56" t="s">
        <v>3061</v>
      </c>
      <c r="W751" s="7"/>
      <c r="X751"/>
    </row>
    <row r="752" spans="1:24" x14ac:dyDescent="0.25">
      <c r="A752" s="26">
        <v>215</v>
      </c>
      <c r="B752" s="1">
        <f>IFERROR(VLOOKUP(ТабПозиции[[#This Row],[orderNum]],ТабЗаказы[#Data],MATCH(B$7,ТабЗаказы[#Headers],0),0),"")</f>
        <v>45520</v>
      </c>
      <c r="C752" t="str">
        <f>MONTH(ТабПозиции[[#This Row],[date]])&amp;"/"&amp;YEAR(ТабПозиции[[#This Row],[date]])</f>
        <v>8/2024</v>
      </c>
      <c r="D752" s="1" t="str">
        <f>IFERROR(VLOOKUP(ТабПозиции[[#This Row],[orderNum]],ТабЗаказы[#Data],MATCH(D$7,ТабЗаказы[#Headers],0),0),"")</f>
        <v>Лариса Кирова</v>
      </c>
      <c r="E752" s="32" t="s">
        <v>1215</v>
      </c>
      <c r="F752" s="56" t="s">
        <v>3061</v>
      </c>
      <c r="H752" s="34">
        <v>45522</v>
      </c>
      <c r="I752" s="26">
        <v>1</v>
      </c>
      <c r="J752" s="26">
        <v>153</v>
      </c>
      <c r="K752">
        <v>153</v>
      </c>
      <c r="L752" s="26">
        <v>162</v>
      </c>
      <c r="M752">
        <f t="shared" si="13"/>
        <v>162</v>
      </c>
      <c r="O75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Row],[orderNum]],ТабПозиции[orderSumm])&gt;1500),ABS(M752*VLOOKUP(ТабПозиции[[#This Row],[orderNum]],ТабЗаказы[#Data],MATCH("Percent",ТабЗаказы[#Headers],0),0))/100,200/COUNTIF(ТабПозиции[orderNum],ТабПозиции[[#This Row],[orderNum]])),0),"")</f>
        <v>24</v>
      </c>
      <c r="P752">
        <f>IF(OR(ТабПозиции[[#This Row],[item]]="По штрихкоду",ТабПозиции[[#This Row],[item]]="Посылка"),ТабПозиции[[#This Row],[deliverySumm]]+ТабПозиции[[#This Row],[deliveryPost]],SUM(M752:O752))</f>
        <v>186</v>
      </c>
      <c r="Q752" s="57">
        <v>186</v>
      </c>
      <c r="R752" s="62">
        <f>ТабПозиции[[#This Row],[totalSumm]]-ТабПозиции[[#This Row],[payment]]</f>
        <v>0</v>
      </c>
      <c r="S752" s="34" t="s">
        <v>965</v>
      </c>
      <c r="T752" s="56" t="s">
        <v>3061</v>
      </c>
      <c r="U752" s="56" t="s">
        <v>3061</v>
      </c>
      <c r="V752" s="56" t="s">
        <v>3061</v>
      </c>
      <c r="W752" s="7"/>
      <c r="X752"/>
    </row>
    <row r="753" spans="1:24" x14ac:dyDescent="0.25">
      <c r="A753" s="26">
        <v>215</v>
      </c>
      <c r="B753" s="1">
        <f>IFERROR(VLOOKUP(ТабПозиции[[#This Row],[orderNum]],ТабЗаказы[#Data],MATCH(B$7,ТабЗаказы[#Headers],0),0),"")</f>
        <v>45520</v>
      </c>
      <c r="C753" t="str">
        <f>MONTH(ТабПозиции[[#This Row],[date]])&amp;"/"&amp;YEAR(ТабПозиции[[#This Row],[date]])</f>
        <v>8/2024</v>
      </c>
      <c r="D753" s="1" t="str">
        <f>IFERROR(VLOOKUP(ТабПозиции[[#This Row],[orderNum]],ТабЗаказы[#Data],MATCH(D$7,ТабЗаказы[#Headers],0),0),"")</f>
        <v>Лариса Кирова</v>
      </c>
      <c r="E753" s="32" t="s">
        <v>1216</v>
      </c>
      <c r="F753" s="56" t="s">
        <v>3061</v>
      </c>
      <c r="H753" s="34">
        <v>45527</v>
      </c>
      <c r="I753" s="26">
        <v>1</v>
      </c>
      <c r="J753" s="26">
        <v>385</v>
      </c>
      <c r="K753">
        <v>385</v>
      </c>
      <c r="L753" s="26">
        <v>393</v>
      </c>
      <c r="M753">
        <f t="shared" si="13"/>
        <v>393</v>
      </c>
      <c r="O75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Row],[orderNum]],ТабПозиции[orderSumm])&gt;1500),ABS(M753*VLOOKUP(ТабПозиции[[#This Row],[orderNum]],ТабЗаказы[#Data],MATCH("Percent",ТабЗаказы[#Headers],0),0))/100,200/COUNTIF(ТабПозиции[orderNum],ТабПозиции[[#This Row],[orderNum]])),0),"")</f>
        <v>59</v>
      </c>
      <c r="P753">
        <f>IF(OR(ТабПозиции[[#This Row],[item]]="По штрихкоду",ТабПозиции[[#This Row],[item]]="Посылка"),ТабПозиции[[#This Row],[deliverySumm]]+ТабПозиции[[#This Row],[deliveryPost]],SUM(M753:O753))</f>
        <v>452</v>
      </c>
      <c r="Q753" s="57">
        <v>452</v>
      </c>
      <c r="R753" s="62">
        <f>ТабПозиции[[#This Row],[totalSumm]]-ТабПозиции[[#This Row],[payment]]</f>
        <v>0</v>
      </c>
      <c r="S753" s="34" t="s">
        <v>955</v>
      </c>
      <c r="T753" s="56" t="s">
        <v>3061</v>
      </c>
      <c r="U753" s="56" t="s">
        <v>3061</v>
      </c>
      <c r="V753" s="56" t="s">
        <v>3061</v>
      </c>
      <c r="W753" s="7"/>
      <c r="X753"/>
    </row>
    <row r="754" spans="1:24" x14ac:dyDescent="0.25">
      <c r="A754" s="26">
        <v>215</v>
      </c>
      <c r="B754" s="1">
        <f>IFERROR(VLOOKUP(ТабПозиции[[#This Row],[orderNum]],ТабЗаказы[#Data],MATCH(B$7,ТабЗаказы[#Headers],0),0),"")</f>
        <v>45520</v>
      </c>
      <c r="C754" t="str">
        <f>MONTH(ТабПозиции[[#This Row],[date]])&amp;"/"&amp;YEAR(ТабПозиции[[#This Row],[date]])</f>
        <v>8/2024</v>
      </c>
      <c r="D754" s="1" t="str">
        <f>IFERROR(VLOOKUP(ТабПозиции[[#This Row],[orderNum]],ТабЗаказы[#Data],MATCH(D$7,ТабЗаказы[#Headers],0),0),"")</f>
        <v>Лариса Кирова</v>
      </c>
      <c r="E754" s="32" t="s">
        <v>1217</v>
      </c>
      <c r="F754" s="56" t="s">
        <v>3061</v>
      </c>
      <c r="H754" s="34">
        <v>45522</v>
      </c>
      <c r="I754" s="26">
        <v>1</v>
      </c>
      <c r="J754" s="26">
        <v>253</v>
      </c>
      <c r="K754">
        <v>253</v>
      </c>
      <c r="L754" s="26">
        <v>261</v>
      </c>
      <c r="M754">
        <f t="shared" si="13"/>
        <v>261</v>
      </c>
      <c r="O75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Row],[orderNum]],ТабПозиции[orderSumm])&gt;1500),ABS(M754*VLOOKUP(ТабПозиции[[#This Row],[orderNum]],ТабЗаказы[#Data],MATCH("Percent",ТабЗаказы[#Headers],0),0))/100,200/COUNTIF(ТабПозиции[orderNum],ТабПозиции[[#This Row],[orderNum]])),0),"")</f>
        <v>39</v>
      </c>
      <c r="P754">
        <f>IF(OR(ТабПозиции[[#This Row],[item]]="По штрихкоду",ТабПозиции[[#This Row],[item]]="Посылка"),ТабПозиции[[#This Row],[deliverySumm]]+ТабПозиции[[#This Row],[deliveryPost]],SUM(M754:O754))</f>
        <v>300</v>
      </c>
      <c r="Q754" s="57">
        <v>300</v>
      </c>
      <c r="R754" s="62">
        <f>ТабПозиции[[#This Row],[totalSumm]]-ТабПозиции[[#This Row],[payment]]</f>
        <v>0</v>
      </c>
      <c r="S754" s="34" t="s">
        <v>955</v>
      </c>
      <c r="T754" s="56" t="s">
        <v>3061</v>
      </c>
      <c r="U754" s="56" t="s">
        <v>3061</v>
      </c>
      <c r="V754" s="56" t="s">
        <v>3061</v>
      </c>
      <c r="W754" s="7"/>
      <c r="X754"/>
    </row>
    <row r="755" spans="1:24" x14ac:dyDescent="0.25">
      <c r="A755" s="26">
        <v>215</v>
      </c>
      <c r="B755" s="1">
        <f>IFERROR(VLOOKUP(ТабПозиции[[#This Row],[orderNum]],ТабЗаказы[#Data],MATCH(B$7,ТабЗаказы[#Headers],0),0),"")</f>
        <v>45520</v>
      </c>
      <c r="C755" t="str">
        <f>MONTH(ТабПозиции[[#This Row],[date]])&amp;"/"&amp;YEAR(ТабПозиции[[#This Row],[date]])</f>
        <v>8/2024</v>
      </c>
      <c r="D755" s="1" t="str">
        <f>IFERROR(VLOOKUP(ТабПозиции[[#This Row],[orderNum]],ТабЗаказы[#Data],MATCH(D$7,ТабЗаказы[#Headers],0),0),"")</f>
        <v>Лариса Кирова</v>
      </c>
      <c r="E755" s="32" t="s">
        <v>1218</v>
      </c>
      <c r="F755" s="56" t="s">
        <v>3061</v>
      </c>
      <c r="H755" s="34">
        <v>45524</v>
      </c>
      <c r="I755" s="26">
        <v>1</v>
      </c>
      <c r="J755" s="26">
        <v>1241</v>
      </c>
      <c r="K755">
        <v>1241</v>
      </c>
      <c r="L755" s="26">
        <v>1307</v>
      </c>
      <c r="M755">
        <f t="shared" si="13"/>
        <v>1307</v>
      </c>
      <c r="O75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Row],[orderNum]],ТабПозиции[orderSumm])&gt;1500),ABS(M755*VLOOKUP(ТабПозиции[[#This Row],[orderNum]],ТабЗаказы[#Data],MATCH("Percent",ТабЗаказы[#Headers],0),0))/100,200/COUNTIF(ТабПозиции[orderNum],ТабПозиции[[#This Row],[orderNum]])),0),"")</f>
        <v>196</v>
      </c>
      <c r="P755">
        <f>IF(OR(ТабПозиции[[#This Row],[item]]="По штрихкоду",ТабПозиции[[#This Row],[item]]="Посылка"),ТабПозиции[[#This Row],[deliverySumm]]+ТабПозиции[[#This Row],[deliveryPost]],SUM(M755:O755))</f>
        <v>1503</v>
      </c>
      <c r="Q755" s="57">
        <v>1503</v>
      </c>
      <c r="R755" s="62">
        <f>ТабПозиции[[#This Row],[totalSumm]]-ТабПозиции[[#This Row],[payment]]</f>
        <v>0</v>
      </c>
      <c r="S755" s="34" t="s">
        <v>965</v>
      </c>
      <c r="T755" s="56" t="s">
        <v>3061</v>
      </c>
      <c r="U755" s="56" t="s">
        <v>3061</v>
      </c>
      <c r="V755" s="56" t="s">
        <v>3061</v>
      </c>
      <c r="W755" s="7"/>
      <c r="X755"/>
    </row>
    <row r="756" spans="1:24" x14ac:dyDescent="0.25">
      <c r="A756" s="26">
        <v>216</v>
      </c>
      <c r="B756" s="1">
        <f>IFERROR(VLOOKUP(ТабПозиции[[#This Row],[orderNum]],ТабЗаказы[#Data],MATCH(B$7,ТабЗаказы[#Headers],0),0),"")</f>
        <v>45521</v>
      </c>
      <c r="C756" t="str">
        <f>MONTH(ТабПозиции[[#This Row],[date]])&amp;"/"&amp;YEAR(ТабПозиции[[#This Row],[date]])</f>
        <v>8/2024</v>
      </c>
      <c r="D756" s="1" t="str">
        <f>IFERROR(VLOOKUP(ТабПозиции[[#This Row],[orderNum]],ТабЗаказы[#Data],MATCH(D$7,ТабЗаказы[#Headers],0),0),"")</f>
        <v>Александр Каскад</v>
      </c>
      <c r="E756" s="32" t="s">
        <v>1219</v>
      </c>
      <c r="F756" s="56" t="s">
        <v>3061</v>
      </c>
      <c r="H756" s="34">
        <v>45522</v>
      </c>
      <c r="I756" s="26">
        <v>1</v>
      </c>
      <c r="J756" s="26">
        <v>1159</v>
      </c>
      <c r="K756">
        <v>1159</v>
      </c>
      <c r="L756" s="26">
        <v>1250</v>
      </c>
      <c r="M756">
        <f t="shared" si="13"/>
        <v>1250</v>
      </c>
      <c r="O75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Row],[orderNum]],ТабПозиции[orderSumm])&gt;1500),ABS(M756*VLOOKUP(ТабПозиции[[#This Row],[orderNum]],ТабЗаказы[#Data],MATCH("Percent",ТабЗаказы[#Headers],0),0))/100,200/COUNTIF(ТабПозиции[orderNum],ТабПозиции[[#This Row],[orderNum]])),0),"")</f>
        <v>188</v>
      </c>
      <c r="P756">
        <f>IF(OR(ТабПозиции[[#This Row],[item]]="По штрихкоду",ТабПозиции[[#This Row],[item]]="Посылка"),ТабПозиции[[#This Row],[deliverySumm]]+ТабПозиции[[#This Row],[deliveryPost]],SUM(M756:O756))</f>
        <v>1438</v>
      </c>
      <c r="Q756" s="57">
        <v>1438</v>
      </c>
      <c r="R756" s="62">
        <f>ТабПозиции[[#This Row],[totalSumm]]-ТабПозиции[[#This Row],[payment]]</f>
        <v>0</v>
      </c>
      <c r="S756" s="34" t="s">
        <v>955</v>
      </c>
      <c r="T756" s="56" t="s">
        <v>3061</v>
      </c>
      <c r="U756" s="56" t="s">
        <v>3061</v>
      </c>
      <c r="V756" s="56" t="s">
        <v>3061</v>
      </c>
      <c r="W756" s="7"/>
      <c r="X756"/>
    </row>
    <row r="757" spans="1:24" x14ac:dyDescent="0.25">
      <c r="A757" s="26">
        <v>216</v>
      </c>
      <c r="B757" s="1">
        <f>IFERROR(VLOOKUP(ТабПозиции[[#This Row],[orderNum]],ТабЗаказы[#Data],MATCH(B$7,ТабЗаказы[#Headers],0),0),"")</f>
        <v>45521</v>
      </c>
      <c r="C757" t="str">
        <f>MONTH(ТабПозиции[[#This Row],[date]])&amp;"/"&amp;YEAR(ТабПозиции[[#This Row],[date]])</f>
        <v>8/2024</v>
      </c>
      <c r="D757" s="1" t="str">
        <f>IFERROR(VLOOKUP(ТабПозиции[[#This Row],[orderNum]],ТабЗаказы[#Data],MATCH(D$7,ТабЗаказы[#Headers],0),0),"")</f>
        <v>Александр Каскад</v>
      </c>
      <c r="E757" s="32" t="s">
        <v>1220</v>
      </c>
      <c r="F757" s="56" t="s">
        <v>3061</v>
      </c>
      <c r="G757" s="28" t="s">
        <v>1221</v>
      </c>
      <c r="H757" s="34">
        <v>45530</v>
      </c>
      <c r="I757" s="26">
        <v>1</v>
      </c>
      <c r="J757" s="26">
        <v>1000</v>
      </c>
      <c r="K757">
        <v>1000</v>
      </c>
      <c r="L757" s="26">
        <v>1000</v>
      </c>
      <c r="M757">
        <f t="shared" si="13"/>
        <v>1000</v>
      </c>
      <c r="N757" s="26">
        <v>1228.01</v>
      </c>
      <c r="O75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Row],[orderNum]],ТабПозиции[orderSumm])&gt;1500),ABS(M757*VLOOKUP(ТабПозиции[[#This Row],[orderNum]],ТабЗаказы[#Data],MATCH("Percent",ТабЗаказы[#Headers],0),0))/100,200/COUNTIF(ТабПозиции[orderNum],ТабПозиции[[#This Row],[orderNum]])),0),"")</f>
        <v>150</v>
      </c>
      <c r="P757">
        <f>IF(OR(ТабПозиции[[#This Row],[item]]="По штрихкоду",ТабПозиции[[#This Row],[item]]="Посылка"),ТабПозиции[[#This Row],[deliverySumm]]+ТабПозиции[[#This Row],[deliveryPost]],SUM(M757:O757))</f>
        <v>2378.0100000000002</v>
      </c>
      <c r="Q757" s="57">
        <v>2378.0100000000002</v>
      </c>
      <c r="R757" s="62">
        <f>ТабПозиции[[#This Row],[totalSumm]]-ТабПозиции[[#This Row],[payment]]</f>
        <v>0</v>
      </c>
      <c r="S757" s="34" t="s">
        <v>1016</v>
      </c>
      <c r="T757" s="56" t="s">
        <v>3061</v>
      </c>
      <c r="U757" s="56" t="s">
        <v>3061</v>
      </c>
      <c r="V757" s="56" t="s">
        <v>3061</v>
      </c>
      <c r="W757" s="7"/>
      <c r="X757"/>
    </row>
    <row r="758" spans="1:24" x14ac:dyDescent="0.25">
      <c r="A758" s="26">
        <v>191</v>
      </c>
      <c r="B758" s="1">
        <f>IFERROR(VLOOKUP(ТабПозиции[[#This Row],[orderNum]],ТабЗаказы[#Data],MATCH(B$7,ТабЗаказы[#Headers],0),0),"")</f>
        <v>45523</v>
      </c>
      <c r="C758" t="str">
        <f>MONTH(ТабПозиции[[#This Row],[date]])&amp;"/"&amp;YEAR(ТабПозиции[[#This Row],[date]])</f>
        <v>8/2024</v>
      </c>
      <c r="D758" s="1" t="str">
        <f>IFERROR(VLOOKUP(ТабПозиции[[#This Row],[orderNum]],ТабЗаказы[#Data],MATCH(D$7,ТабЗаказы[#Headers],0),0),"")</f>
        <v>Максим телевизор</v>
      </c>
      <c r="E758" s="26" t="s">
        <v>815</v>
      </c>
      <c r="F758" s="56" t="s">
        <v>3061</v>
      </c>
      <c r="G758" s="41" t="s">
        <v>1222</v>
      </c>
      <c r="H758" s="34">
        <v>45541</v>
      </c>
      <c r="I758" s="26">
        <v>1</v>
      </c>
      <c r="J758" s="26">
        <f>30990-1952</f>
        <v>29038</v>
      </c>
      <c r="K758">
        <v>29038</v>
      </c>
      <c r="L758" s="26">
        <v>29038</v>
      </c>
      <c r="M758">
        <f t="shared" si="13"/>
        <v>29038</v>
      </c>
      <c r="O75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Row],[orderNum]],ТабПозиции[orderSumm])&gt;1500),ABS(M758*VLOOKUP(ТабПозиции[[#This Row],[orderNum]],ТабЗаказы[#Data],MATCH("Percent",ТабЗаказы[#Headers],0),0))/100,200/COUNTIF(ТабПозиции[orderNum],ТабПозиции[[#This Row],[orderNum]])),0),"")</f>
        <v>2904</v>
      </c>
      <c r="P758">
        <f>IF(OR(ТабПозиции[[#This Row],[item]]="По штрихкоду",ТабПозиции[[#This Row],[item]]="Посылка"),ТабПозиции[[#This Row],[deliverySumm]]+ТабПозиции[[#This Row],[deliveryPost]],SUM(M758:O758))</f>
        <v>2904</v>
      </c>
      <c r="Q758" s="57">
        <v>2904</v>
      </c>
      <c r="R758" s="62">
        <f>ТабПозиции[[#This Row],[totalSumm]]-ТабПозиции[[#This Row],[payment]]</f>
        <v>0</v>
      </c>
      <c r="S758" s="34" t="s">
        <v>1016</v>
      </c>
      <c r="T758" s="56" t="s">
        <v>3061</v>
      </c>
      <c r="U758" s="56" t="s">
        <v>3061</v>
      </c>
      <c r="V758" s="56" t="s">
        <v>3061</v>
      </c>
      <c r="W758" s="7"/>
      <c r="X758"/>
    </row>
    <row r="759" spans="1:24" x14ac:dyDescent="0.25">
      <c r="A759" s="26">
        <v>191</v>
      </c>
      <c r="B759" s="1">
        <f>IFERROR(VLOOKUP(ТабПозиции[[#This Row],[orderNum]],ТабЗаказы[#Data],MATCH(B$7,ТабЗаказы[#Headers],0),0),"")</f>
        <v>45523</v>
      </c>
      <c r="C759" t="str">
        <f>MONTH(ТабПозиции[[#This Row],[date]])&amp;"/"&amp;YEAR(ТабПозиции[[#This Row],[date]])</f>
        <v>8/2024</v>
      </c>
      <c r="D759" s="1" t="str">
        <f>IFERROR(VLOOKUP(ТабПозиции[[#This Row],[orderNum]],ТабЗаказы[#Data],MATCH(D$7,ТабЗаказы[#Headers],0),0),"")</f>
        <v>Максим телевизор</v>
      </c>
      <c r="E759" s="26" t="s">
        <v>815</v>
      </c>
      <c r="F759" s="56" t="s">
        <v>3061</v>
      </c>
      <c r="G759" s="28" t="s">
        <v>1223</v>
      </c>
      <c r="H759" s="34">
        <v>45526</v>
      </c>
      <c r="I759" s="26">
        <v>1</v>
      </c>
      <c r="J759" s="26">
        <v>15000</v>
      </c>
      <c r="K759">
        <v>15000</v>
      </c>
      <c r="L759" s="26">
        <v>15000</v>
      </c>
      <c r="M759">
        <f t="shared" si="13"/>
        <v>15000</v>
      </c>
      <c r="N759" s="26">
        <v>0</v>
      </c>
      <c r="O75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Row],[orderNum]],ТабПозиции[orderSumm])&gt;1500),ABS(M759*VLOOKUP(ТабПозиции[[#This Row],[orderNum]],ТабЗаказы[#Data],MATCH("Percent",ТабЗаказы[#Headers],0),0))/100,200/COUNTIF(ТабПозиции[orderNum],ТабПозиции[[#This Row],[orderNum]])),0),"")</f>
        <v>1500</v>
      </c>
      <c r="P759">
        <f>IF(OR(ТабПозиции[[#This Row],[item]]="По штрихкоду",ТабПозиции[[#This Row],[item]]="Посылка"),ТабПозиции[[#This Row],[deliverySumm]]+ТабПозиции[[#This Row],[deliveryPost]],SUM(M759:O759))</f>
        <v>1500</v>
      </c>
      <c r="Q759" s="57">
        <v>1500</v>
      </c>
      <c r="R759" s="62">
        <f>ТабПозиции[[#This Row],[totalSumm]]-ТабПозиции[[#This Row],[payment]]</f>
        <v>0</v>
      </c>
      <c r="S759" s="34" t="s">
        <v>1016</v>
      </c>
      <c r="T759" s="56" t="s">
        <v>3061</v>
      </c>
      <c r="U759" s="56" t="s">
        <v>3061</v>
      </c>
      <c r="V759" s="56" t="s">
        <v>3061</v>
      </c>
      <c r="W759" s="7"/>
      <c r="X759"/>
    </row>
    <row r="760" spans="1:24" x14ac:dyDescent="0.25">
      <c r="A760" s="26">
        <v>191</v>
      </c>
      <c r="B760" s="1">
        <f>IFERROR(VLOOKUP(ТабПозиции[[#This Row],[orderNum]],ТабЗаказы[#Data],MATCH(B$7,ТабЗаказы[#Headers],0),0),"")</f>
        <v>45523</v>
      </c>
      <c r="C760" t="str">
        <f>MONTH(ТабПозиции[[#This Row],[date]])&amp;"/"&amp;YEAR(ТабПозиции[[#This Row],[date]])</f>
        <v>8/2024</v>
      </c>
      <c r="D760" s="1" t="str">
        <f>IFERROR(VLOOKUP(ТабПозиции[[#This Row],[orderNum]],ТабЗаказы[#Data],MATCH(D$7,ТабЗаказы[#Headers],0),0),"")</f>
        <v>Максим телевизор</v>
      </c>
      <c r="E760" s="26" t="s">
        <v>815</v>
      </c>
      <c r="F760" s="56" t="s">
        <v>3061</v>
      </c>
      <c r="G760" s="28" t="s">
        <v>1224</v>
      </c>
      <c r="H760" s="34">
        <v>45526</v>
      </c>
      <c r="I760" s="26">
        <v>1</v>
      </c>
      <c r="J760" s="26">
        <v>2650</v>
      </c>
      <c r="K760">
        <v>2650</v>
      </c>
      <c r="L760" s="26">
        <v>2650</v>
      </c>
      <c r="M760">
        <f t="shared" si="13"/>
        <v>2650</v>
      </c>
      <c r="N760" s="26">
        <v>0</v>
      </c>
      <c r="O76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Row],[orderNum]],ТабПозиции[orderSumm])&gt;1500),ABS(M760*VLOOKUP(ТабПозиции[[#This Row],[orderNum]],ТабЗаказы[#Data],MATCH("Percent",ТабЗаказы[#Headers],0),0))/100,200/COUNTIF(ТабПозиции[orderNum],ТабПозиции[[#This Row],[orderNum]])),0),"")</f>
        <v>265</v>
      </c>
      <c r="P760">
        <f>IF(OR(ТабПозиции[[#This Row],[item]]="По штрихкоду",ТабПозиции[[#This Row],[item]]="Посылка"),ТабПозиции[[#This Row],[deliverySumm]]+ТабПозиции[[#This Row],[deliveryPost]],SUM(M760:O760))</f>
        <v>265</v>
      </c>
      <c r="Q760" s="57">
        <v>265</v>
      </c>
      <c r="R760" s="62">
        <f>ТабПозиции[[#This Row],[totalSumm]]-ТабПозиции[[#This Row],[payment]]</f>
        <v>0</v>
      </c>
      <c r="S760" s="34" t="s">
        <v>1016</v>
      </c>
      <c r="T760" s="56" t="s">
        <v>3061</v>
      </c>
      <c r="U760" s="56" t="s">
        <v>3061</v>
      </c>
      <c r="V760" s="56" t="s">
        <v>3061</v>
      </c>
      <c r="W760" s="7"/>
      <c r="X760"/>
    </row>
    <row r="761" spans="1:24" x14ac:dyDescent="0.25">
      <c r="A761" s="26">
        <v>217</v>
      </c>
      <c r="B761" s="1">
        <f>IFERROR(VLOOKUP(ТабПозиции[[#This Row],[orderNum]],ТабЗаказы[#Data],MATCH(B$7,ТабЗаказы[#Headers],0),0),"")</f>
        <v>45523</v>
      </c>
      <c r="C761" t="str">
        <f>MONTH(ТабПозиции[[#This Row],[date]])&amp;"/"&amp;YEAR(ТабПозиции[[#This Row],[date]])</f>
        <v>8/2024</v>
      </c>
      <c r="D761" s="1" t="str">
        <f>IFERROR(VLOOKUP(ТабПозиции[[#This Row],[orderNum]],ТабЗаказы[#Data],MATCH(D$7,ТабЗаказы[#Headers],0),0),"")</f>
        <v>Юля Ларисына</v>
      </c>
      <c r="E761" s="32" t="s">
        <v>1225</v>
      </c>
      <c r="F761" s="56" t="s">
        <v>3061</v>
      </c>
      <c r="H761" s="34">
        <v>45525</v>
      </c>
      <c r="I761" s="26">
        <v>1</v>
      </c>
      <c r="J761" s="26">
        <v>581</v>
      </c>
      <c r="K761">
        <v>581</v>
      </c>
      <c r="L761" s="26">
        <v>612</v>
      </c>
      <c r="M761">
        <f t="shared" si="13"/>
        <v>612</v>
      </c>
      <c r="O76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Row],[orderNum]],ТабПозиции[orderSumm])&gt;1500),ABS(M761*VLOOKUP(ТабПозиции[[#This Row],[orderNum]],ТабЗаказы[#Data],MATCH("Percent",ТабЗаказы[#Headers],0),0))/100,200/COUNTIF(ТабПозиции[orderNum],ТабПозиции[[#This Row],[orderNum]])),0),"")</f>
        <v>92</v>
      </c>
      <c r="P761">
        <f>IF(OR(ТабПозиции[[#This Row],[item]]="По штрихкоду",ТабПозиции[[#This Row],[item]]="Посылка"),ТабПозиции[[#This Row],[deliverySumm]]+ТабПозиции[[#This Row],[deliveryPost]],SUM(M761:O761))</f>
        <v>704</v>
      </c>
      <c r="Q761" s="57">
        <v>704</v>
      </c>
      <c r="R761" s="62">
        <f>ТабПозиции[[#This Row],[totalSumm]]-ТабПозиции[[#This Row],[payment]]</f>
        <v>0</v>
      </c>
      <c r="S761" s="34" t="s">
        <v>965</v>
      </c>
      <c r="T761" s="56" t="s">
        <v>3061</v>
      </c>
      <c r="U761" s="56" t="s">
        <v>3061</v>
      </c>
      <c r="V761" s="56" t="s">
        <v>3061</v>
      </c>
      <c r="W761" s="7"/>
      <c r="X761"/>
    </row>
    <row r="762" spans="1:24" x14ac:dyDescent="0.25">
      <c r="A762" s="26">
        <v>217</v>
      </c>
      <c r="B762" s="1">
        <f>IFERROR(VLOOKUP(ТабПозиции[[#This Row],[orderNum]],ТабЗаказы[#Data],MATCH(B$7,ТабЗаказы[#Headers],0),0),"")</f>
        <v>45523</v>
      </c>
      <c r="C762" t="str">
        <f>MONTH(ТабПозиции[[#This Row],[date]])&amp;"/"&amp;YEAR(ТабПозиции[[#This Row],[date]])</f>
        <v>8/2024</v>
      </c>
      <c r="D762" s="1" t="str">
        <f>IFERROR(VLOOKUP(ТабПозиции[[#This Row],[orderNum]],ТабЗаказы[#Data],MATCH(D$7,ТабЗаказы[#Headers],0),0),"")</f>
        <v>Юля Ларисына</v>
      </c>
      <c r="E762" s="32" t="s">
        <v>1226</v>
      </c>
      <c r="F762" s="56" t="s">
        <v>3061</v>
      </c>
      <c r="H762" s="34">
        <v>45527</v>
      </c>
      <c r="I762" s="26">
        <v>1</v>
      </c>
      <c r="J762" s="26">
        <v>2584</v>
      </c>
      <c r="K762">
        <v>2584</v>
      </c>
      <c r="L762" s="26">
        <v>2720</v>
      </c>
      <c r="M762">
        <f t="shared" si="13"/>
        <v>2720</v>
      </c>
      <c r="O76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Row],[orderNum]],ТабПозиции[orderSumm])&gt;1500),ABS(M762*VLOOKUP(ТабПозиции[[#This Row],[orderNum]],ТабЗаказы[#Data],MATCH("Percent",ТабЗаказы[#Headers],0),0))/100,200/COUNTIF(ТабПозиции[orderNum],ТабПозиции[[#This Row],[orderNum]])),0),"")</f>
        <v>408</v>
      </c>
      <c r="P762">
        <f>IF(OR(ТабПозиции[[#This Row],[item]]="По штрихкоду",ТабПозиции[[#This Row],[item]]="Посылка"),ТабПозиции[[#This Row],[deliverySumm]]+ТабПозиции[[#This Row],[deliveryPost]],SUM(M762:O762))</f>
        <v>3128</v>
      </c>
      <c r="Q762" s="57">
        <v>3128</v>
      </c>
      <c r="R762" s="62">
        <f>ТабПозиции[[#This Row],[totalSumm]]-ТабПозиции[[#This Row],[payment]]</f>
        <v>0</v>
      </c>
      <c r="S762" s="34" t="s">
        <v>965</v>
      </c>
      <c r="T762" s="56" t="s">
        <v>3061</v>
      </c>
      <c r="U762" s="56" t="s">
        <v>3061</v>
      </c>
      <c r="V762" s="56" t="s">
        <v>3061</v>
      </c>
      <c r="W762" s="7"/>
      <c r="X762"/>
    </row>
    <row r="763" spans="1:24" x14ac:dyDescent="0.25">
      <c r="A763" s="26">
        <v>217</v>
      </c>
      <c r="B763" s="1">
        <f>IFERROR(VLOOKUP(ТабПозиции[[#This Row],[orderNum]],ТабЗаказы[#Data],MATCH(B$7,ТабЗаказы[#Headers],0),0),"")</f>
        <v>45523</v>
      </c>
      <c r="C763" t="str">
        <f>MONTH(ТабПозиции[[#This Row],[date]])&amp;"/"&amp;YEAR(ТабПозиции[[#This Row],[date]])</f>
        <v>8/2024</v>
      </c>
      <c r="D763" s="1" t="str">
        <f>IFERROR(VLOOKUP(ТабПозиции[[#This Row],[orderNum]],ТабЗаказы[#Data],MATCH(D$7,ТабЗаказы[#Headers],0),0),"")</f>
        <v>Юля Ларисына</v>
      </c>
      <c r="E763" s="32" t="s">
        <v>1227</v>
      </c>
      <c r="F763" s="56" t="s">
        <v>3061</v>
      </c>
      <c r="H763" s="34">
        <v>45526</v>
      </c>
      <c r="I763" s="26">
        <v>1</v>
      </c>
      <c r="J763" s="26">
        <v>885</v>
      </c>
      <c r="K763">
        <v>885</v>
      </c>
      <c r="L763" s="26">
        <v>932</v>
      </c>
      <c r="M763">
        <f t="shared" si="13"/>
        <v>932</v>
      </c>
      <c r="O76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Row],[orderNum]],ТабПозиции[orderSumm])&gt;1500),ABS(M763*VLOOKUP(ТабПозиции[[#This Row],[orderNum]],ТабЗаказы[#Data],MATCH("Percent",ТабЗаказы[#Headers],0),0))/100,200/COUNTIF(ТабПозиции[orderNum],ТабПозиции[[#This Row],[orderNum]])),0),"")</f>
        <v>140</v>
      </c>
      <c r="P763">
        <f>IF(OR(ТабПозиции[[#This Row],[item]]="По штрихкоду",ТабПозиции[[#This Row],[item]]="Посылка"),ТабПозиции[[#This Row],[deliverySumm]]+ТабПозиции[[#This Row],[deliveryPost]],SUM(M763:O763))</f>
        <v>1072</v>
      </c>
      <c r="Q763" s="57">
        <v>1072</v>
      </c>
      <c r="R763" s="62">
        <f>ТабПозиции[[#This Row],[totalSumm]]-ТабПозиции[[#This Row],[payment]]</f>
        <v>0</v>
      </c>
      <c r="S763" s="34" t="s">
        <v>965</v>
      </c>
      <c r="T763" s="56" t="s">
        <v>3061</v>
      </c>
      <c r="U763" s="56" t="s">
        <v>3061</v>
      </c>
      <c r="V763" s="56" t="s">
        <v>3061</v>
      </c>
      <c r="W763" s="7"/>
      <c r="X763"/>
    </row>
    <row r="764" spans="1:24" x14ac:dyDescent="0.25">
      <c r="A764" s="26">
        <v>217</v>
      </c>
      <c r="B764" s="1">
        <f>IFERROR(VLOOKUP(ТабПозиции[[#This Row],[orderNum]],ТабЗаказы[#Data],MATCH(B$7,ТабЗаказы[#Headers],0),0),"")</f>
        <v>45523</v>
      </c>
      <c r="C764" t="str">
        <f>MONTH(ТабПозиции[[#This Row],[date]])&amp;"/"&amp;YEAR(ТабПозиции[[#This Row],[date]])</f>
        <v>8/2024</v>
      </c>
      <c r="D764" s="1" t="str">
        <f>IFERROR(VLOOKUP(ТабПозиции[[#This Row],[orderNum]],ТабЗаказы[#Data],MATCH(D$7,ТабЗаказы[#Headers],0),0),"")</f>
        <v>Юля Ларисына</v>
      </c>
      <c r="E764" s="32" t="s">
        <v>1228</v>
      </c>
      <c r="F764" s="56" t="s">
        <v>3061</v>
      </c>
      <c r="H764" s="34">
        <v>45526</v>
      </c>
      <c r="I764" s="26">
        <v>1</v>
      </c>
      <c r="J764" s="26">
        <v>1970</v>
      </c>
      <c r="K764">
        <v>1970</v>
      </c>
      <c r="L764" s="26">
        <v>2074</v>
      </c>
      <c r="M764">
        <f t="shared" si="13"/>
        <v>2074</v>
      </c>
      <c r="O76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Row],[orderNum]],ТабПозиции[orderSumm])&gt;1500),ABS(M764*VLOOKUP(ТабПозиции[[#This Row],[orderNum]],ТабЗаказы[#Data],MATCH("Percent",ТабЗаказы[#Headers],0),0))/100,200/COUNTIF(ТабПозиции[orderNum],ТабПозиции[[#This Row],[orderNum]])),0),"")</f>
        <v>311</v>
      </c>
      <c r="P764">
        <f>IF(OR(ТабПозиции[[#This Row],[item]]="По штрихкоду",ТабПозиции[[#This Row],[item]]="Посылка"),ТабПозиции[[#This Row],[deliverySumm]]+ТабПозиции[[#This Row],[deliveryPost]],SUM(M764:O764))</f>
        <v>2385</v>
      </c>
      <c r="Q764" s="57">
        <v>2385</v>
      </c>
      <c r="R764" s="62">
        <f>ТабПозиции[[#This Row],[totalSumm]]-ТабПозиции[[#This Row],[payment]]</f>
        <v>0</v>
      </c>
      <c r="S764" s="34" t="s">
        <v>965</v>
      </c>
      <c r="T764" s="56" t="s">
        <v>3061</v>
      </c>
      <c r="U764" s="56" t="s">
        <v>3061</v>
      </c>
      <c r="V764" s="56" t="s">
        <v>3061</v>
      </c>
      <c r="W764" s="7"/>
      <c r="X764"/>
    </row>
    <row r="765" spans="1:24" x14ac:dyDescent="0.25">
      <c r="A765" s="26">
        <v>217</v>
      </c>
      <c r="B765" s="1">
        <f>IFERROR(VLOOKUP(ТабПозиции[[#This Row],[orderNum]],ТабЗаказы[#Data],MATCH(B$7,ТабЗаказы[#Headers],0),0),"")</f>
        <v>45523</v>
      </c>
      <c r="C765" t="str">
        <f>MONTH(ТабПозиции[[#This Row],[date]])&amp;"/"&amp;YEAR(ТабПозиции[[#This Row],[date]])</f>
        <v>8/2024</v>
      </c>
      <c r="D765" s="1" t="str">
        <f>IFERROR(VLOOKUP(ТабПозиции[[#This Row],[orderNum]],ТабЗаказы[#Data],MATCH(D$7,ТабЗаказы[#Headers],0),0),"")</f>
        <v>Юля Ларисына</v>
      </c>
      <c r="E765" s="32" t="s">
        <v>1229</v>
      </c>
      <c r="F765" s="56" t="s">
        <v>3061</v>
      </c>
      <c r="H765" s="34">
        <v>45525</v>
      </c>
      <c r="I765" s="26">
        <v>1</v>
      </c>
      <c r="J765" s="26">
        <v>594</v>
      </c>
      <c r="K765">
        <v>594</v>
      </c>
      <c r="L765" s="26">
        <v>626</v>
      </c>
      <c r="M765">
        <f t="shared" si="13"/>
        <v>626</v>
      </c>
      <c r="O76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Row],[orderNum]],ТабПозиции[orderSumm])&gt;1500),ABS(M765*VLOOKUP(ТабПозиции[[#This Row],[orderNum]],ТабЗаказы[#Data],MATCH("Percent",ТабЗаказы[#Headers],0),0))/100,200/COUNTIF(ТабПозиции[orderNum],ТабПозиции[[#This Row],[orderNum]])),0),"")</f>
        <v>94</v>
      </c>
      <c r="P765">
        <f>IF(OR(ТабПозиции[[#This Row],[item]]="По штрихкоду",ТабПозиции[[#This Row],[item]]="Посылка"),ТабПозиции[[#This Row],[deliverySumm]]+ТабПозиции[[#This Row],[deliveryPost]],SUM(M765:O765))</f>
        <v>720</v>
      </c>
      <c r="Q765" s="57">
        <v>720</v>
      </c>
      <c r="R765" s="62">
        <f>ТабПозиции[[#This Row],[totalSumm]]-ТабПозиции[[#This Row],[payment]]</f>
        <v>0</v>
      </c>
      <c r="S765" s="34" t="s">
        <v>965</v>
      </c>
      <c r="T765" s="56" t="s">
        <v>3061</v>
      </c>
      <c r="U765" s="56" t="s">
        <v>3061</v>
      </c>
      <c r="V765" s="56" t="s">
        <v>3061</v>
      </c>
      <c r="W765" s="7"/>
      <c r="X765"/>
    </row>
    <row r="766" spans="1:24" x14ac:dyDescent="0.25">
      <c r="A766" s="26">
        <v>217</v>
      </c>
      <c r="B766" s="1">
        <f>IFERROR(VLOOKUP(ТабПозиции[[#This Row],[orderNum]],ТабЗаказы[#Data],MATCH(B$7,ТабЗаказы[#Headers],0),0),"")</f>
        <v>45523</v>
      </c>
      <c r="C766" t="str">
        <f>MONTH(ТабПозиции[[#This Row],[date]])&amp;"/"&amp;YEAR(ТабПозиции[[#This Row],[date]])</f>
        <v>8/2024</v>
      </c>
      <c r="D766" s="1" t="str">
        <f>IFERROR(VLOOKUP(ТабПозиции[[#This Row],[orderNum]],ТабЗаказы[#Data],MATCH(D$7,ТабЗаказы[#Headers],0),0),"")</f>
        <v>Юля Ларисына</v>
      </c>
      <c r="E766" s="32" t="s">
        <v>574</v>
      </c>
      <c r="F766" s="56" t="s">
        <v>3061</v>
      </c>
      <c r="H766" s="34">
        <v>45527</v>
      </c>
      <c r="I766" s="26">
        <v>1</v>
      </c>
      <c r="J766" s="26">
        <v>419</v>
      </c>
      <c r="K766">
        <v>419</v>
      </c>
      <c r="L766" s="26">
        <v>442</v>
      </c>
      <c r="M766">
        <f t="shared" si="13"/>
        <v>442</v>
      </c>
      <c r="O76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Row],[orderNum]],ТабПозиции[orderSumm])&gt;1500),ABS(M766*VLOOKUP(ТабПозиции[[#This Row],[orderNum]],ТабЗаказы[#Data],MATCH("Percent",ТабЗаказы[#Headers],0),0))/100,200/COUNTIF(ТабПозиции[orderNum],ТабПозиции[[#This Row],[orderNum]])),0),"")</f>
        <v>66</v>
      </c>
      <c r="P766">
        <f>IF(OR(ТабПозиции[[#This Row],[item]]="По штрихкоду",ТабПозиции[[#This Row],[item]]="Посылка"),ТабПозиции[[#This Row],[deliverySumm]]+ТабПозиции[[#This Row],[deliveryPost]],SUM(M766:O766))</f>
        <v>508</v>
      </c>
      <c r="Q766" s="57">
        <v>508</v>
      </c>
      <c r="R766" s="62">
        <f>ТабПозиции[[#This Row],[totalSumm]]-ТабПозиции[[#This Row],[payment]]</f>
        <v>0</v>
      </c>
      <c r="S766" s="34" t="s">
        <v>965</v>
      </c>
      <c r="T766" s="56" t="s">
        <v>3061</v>
      </c>
      <c r="U766" s="56" t="s">
        <v>3061</v>
      </c>
      <c r="V766" s="56" t="s">
        <v>3061</v>
      </c>
      <c r="W766" s="7"/>
      <c r="X766"/>
    </row>
    <row r="767" spans="1:24" x14ac:dyDescent="0.25">
      <c r="A767" s="26">
        <v>217</v>
      </c>
      <c r="B767" s="1">
        <f>IFERROR(VLOOKUP(ТабПозиции[[#This Row],[orderNum]],ТабЗаказы[#Data],MATCH(B$7,ТабЗаказы[#Headers],0),0),"")</f>
        <v>45523</v>
      </c>
      <c r="C767" t="str">
        <f>MONTH(ТабПозиции[[#This Row],[date]])&amp;"/"&amp;YEAR(ТабПозиции[[#This Row],[date]])</f>
        <v>8/2024</v>
      </c>
      <c r="D767" s="1" t="str">
        <f>IFERROR(VLOOKUP(ТабПозиции[[#This Row],[orderNum]],ТабЗаказы[#Data],MATCH(D$7,ТабЗаказы[#Headers],0),0),"")</f>
        <v>Юля Ларисына</v>
      </c>
      <c r="E767" s="32" t="s">
        <v>1230</v>
      </c>
      <c r="F767" s="56" t="s">
        <v>3061</v>
      </c>
      <c r="G767" s="41"/>
      <c r="H767" s="34">
        <v>45526</v>
      </c>
      <c r="I767" s="26">
        <v>1</v>
      </c>
      <c r="J767" s="26">
        <v>373</v>
      </c>
      <c r="K767">
        <v>373</v>
      </c>
      <c r="L767" s="26">
        <v>393</v>
      </c>
      <c r="M767">
        <f t="shared" si="13"/>
        <v>393</v>
      </c>
      <c r="O76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Row],[orderNum]],ТабПозиции[orderSumm])&gt;1500),ABS(M767*VLOOKUP(ТабПозиции[[#This Row],[orderNum]],ТабЗаказы[#Data],MATCH("Percent",ТабЗаказы[#Headers],0),0))/100,200/COUNTIF(ТабПозиции[orderNum],ТабПозиции[[#This Row],[orderNum]])),0),"")</f>
        <v>59</v>
      </c>
      <c r="P767">
        <f>IF(OR(ТабПозиции[[#This Row],[item]]="По штрихкоду",ТабПозиции[[#This Row],[item]]="Посылка"),ТабПозиции[[#This Row],[deliverySumm]]+ТабПозиции[[#This Row],[deliveryPost]],SUM(M767:O767))</f>
        <v>452</v>
      </c>
      <c r="Q767" s="57">
        <v>452</v>
      </c>
      <c r="R767" s="62">
        <f>ТабПозиции[[#This Row],[totalSumm]]-ТабПозиции[[#This Row],[payment]]</f>
        <v>0</v>
      </c>
      <c r="S767" s="34" t="s">
        <v>965</v>
      </c>
      <c r="T767" s="56" t="s">
        <v>3061</v>
      </c>
      <c r="U767" s="56" t="s">
        <v>3061</v>
      </c>
      <c r="V767" s="56" t="s">
        <v>3061</v>
      </c>
      <c r="W767" s="7"/>
      <c r="X767"/>
    </row>
    <row r="768" spans="1:24" x14ac:dyDescent="0.25">
      <c r="A768" s="26">
        <v>219</v>
      </c>
      <c r="B768" s="1">
        <f>IFERROR(VLOOKUP(ТабПозиции[[#This Row],[orderNum]],ТабЗаказы[#Data],MATCH(B$7,ТабЗаказы[#Headers],0),0),"")</f>
        <v>45524</v>
      </c>
      <c r="C768" t="str">
        <f>MONTH(ТабПозиции[[#This Row],[date]])&amp;"/"&amp;YEAR(ТабПозиции[[#This Row],[date]])</f>
        <v>8/2024</v>
      </c>
      <c r="D768" s="1" t="str">
        <f>IFERROR(VLOOKUP(ТабПозиции[[#This Row],[orderNum]],ТабЗаказы[#Data],MATCH(D$7,ТабЗаказы[#Headers],0),0),"")</f>
        <v>Алена шмалко</v>
      </c>
      <c r="E768" s="32" t="s">
        <v>1231</v>
      </c>
      <c r="F768" s="56" t="s">
        <v>3061</v>
      </c>
      <c r="H768" s="34">
        <v>45526</v>
      </c>
      <c r="I768" s="26">
        <v>1</v>
      </c>
      <c r="J768" s="26">
        <v>2813</v>
      </c>
      <c r="K768">
        <v>2813</v>
      </c>
      <c r="L768" s="26">
        <v>2962</v>
      </c>
      <c r="M768">
        <f t="shared" si="13"/>
        <v>2962</v>
      </c>
      <c r="N768" s="26">
        <v>148</v>
      </c>
      <c r="O76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Row],[orderNum]],ТабПозиции[orderSumm])&gt;1500),ABS(M768*VLOOKUP(ТабПозиции[[#This Row],[orderNum]],ТабЗаказы[#Data],MATCH("Percent",ТабЗаказы[#Headers],0),0))/100,200/COUNTIF(ТабПозиции[orderNum],ТабПозиции[[#This Row],[orderNum]])),0),"")</f>
        <v>444</v>
      </c>
      <c r="P768">
        <f>IF(OR(ТабПозиции[[#This Row],[item]]="По штрихкоду",ТабПозиции[[#This Row],[item]]="Посылка"),ТабПозиции[[#This Row],[deliverySumm]]+ТабПозиции[[#This Row],[deliveryPost]],SUM(M768:O768))</f>
        <v>3554</v>
      </c>
      <c r="Q768" s="57">
        <v>3554</v>
      </c>
      <c r="R768" s="62">
        <f>ТабПозиции[[#This Row],[totalSumm]]-ТабПозиции[[#This Row],[payment]]</f>
        <v>0</v>
      </c>
      <c r="S768" s="34" t="s">
        <v>965</v>
      </c>
      <c r="T768" s="56" t="s">
        <v>3061</v>
      </c>
      <c r="U768" s="56" t="s">
        <v>3061</v>
      </c>
      <c r="V768" s="56" t="s">
        <v>3061</v>
      </c>
      <c r="W768" s="7"/>
      <c r="X768"/>
    </row>
    <row r="769" spans="1:24" x14ac:dyDescent="0.25">
      <c r="A769" s="26">
        <v>219</v>
      </c>
      <c r="B769" s="1">
        <f>IFERROR(VLOOKUP(ТабПозиции[[#This Row],[orderNum]],ТабЗаказы[#Data],MATCH(B$7,ТабЗаказы[#Headers],0),0),"")</f>
        <v>45524</v>
      </c>
      <c r="C769" t="str">
        <f>MONTH(ТабПозиции[[#This Row],[date]])&amp;"/"&amp;YEAR(ТабПозиции[[#This Row],[date]])</f>
        <v>8/2024</v>
      </c>
      <c r="D769" s="1" t="str">
        <f>IFERROR(VLOOKUP(ТабПозиции[[#This Row],[orderNum]],ТабЗаказы[#Data],MATCH(D$7,ТабЗаказы[#Headers],0),0),"")</f>
        <v>Алена шмалко</v>
      </c>
      <c r="E769" s="32" t="s">
        <v>1138</v>
      </c>
      <c r="F769" s="56" t="s">
        <v>3061</v>
      </c>
      <c r="H769" s="34">
        <v>45526</v>
      </c>
      <c r="I769" s="26">
        <v>1</v>
      </c>
      <c r="J769" s="26">
        <v>1322</v>
      </c>
      <c r="K769">
        <v>1322</v>
      </c>
      <c r="L769" s="26">
        <v>1392</v>
      </c>
      <c r="M769">
        <f t="shared" si="13"/>
        <v>1392</v>
      </c>
      <c r="O76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Row],[orderNum]],ТабПозиции[orderSumm])&gt;1500),ABS(M769*VLOOKUP(ТабПозиции[[#This Row],[orderNum]],ТабЗаказы[#Data],MATCH("Percent",ТабЗаказы[#Headers],0),0))/100,200/COUNTIF(ТабПозиции[orderNum],ТабПозиции[[#This Row],[orderNum]])),0),"")</f>
        <v>209</v>
      </c>
      <c r="P769">
        <f>IF(OR(ТабПозиции[[#This Row],[item]]="По штрихкоду",ТабПозиции[[#This Row],[item]]="Посылка"),ТабПозиции[[#This Row],[deliverySumm]]+ТабПозиции[[#This Row],[deliveryPost]],SUM(M769:O769))</f>
        <v>1601</v>
      </c>
      <c r="Q769" s="57">
        <v>1601</v>
      </c>
      <c r="R769" s="62">
        <f>ТабПозиции[[#This Row],[totalSumm]]-ТабПозиции[[#This Row],[payment]]</f>
        <v>0</v>
      </c>
      <c r="S769" s="34" t="s">
        <v>965</v>
      </c>
      <c r="T769" s="56" t="s">
        <v>3061</v>
      </c>
      <c r="U769" s="56" t="s">
        <v>3061</v>
      </c>
      <c r="V769" s="56" t="s">
        <v>3061</v>
      </c>
      <c r="W769" s="7"/>
      <c r="X769"/>
    </row>
    <row r="770" spans="1:24" x14ac:dyDescent="0.25">
      <c r="A770" s="26">
        <v>219</v>
      </c>
      <c r="B770" s="1">
        <f>IFERROR(VLOOKUP(ТабПозиции[[#This Row],[orderNum]],ТабЗаказы[#Data],MATCH(B$7,ТабЗаказы[#Headers],0),0),"")</f>
        <v>45524</v>
      </c>
      <c r="C770" t="str">
        <f>MONTH(ТабПозиции[[#This Row],[date]])&amp;"/"&amp;YEAR(ТабПозиции[[#This Row],[date]])</f>
        <v>8/2024</v>
      </c>
      <c r="D770" s="1" t="str">
        <f>IFERROR(VLOOKUP(ТабПозиции[[#This Row],[orderNum]],ТабЗаказы[#Data],MATCH(D$7,ТабЗаказы[#Headers],0),0),"")</f>
        <v>Алена шмалко</v>
      </c>
      <c r="E770" s="32" t="s">
        <v>1232</v>
      </c>
      <c r="F770" s="56" t="s">
        <v>3061</v>
      </c>
      <c r="H770" s="34">
        <v>45526</v>
      </c>
      <c r="I770" s="26">
        <v>1</v>
      </c>
      <c r="J770" s="26">
        <v>470</v>
      </c>
      <c r="K770">
        <v>470</v>
      </c>
      <c r="L770" s="26">
        <v>495</v>
      </c>
      <c r="M770">
        <f t="shared" si="13"/>
        <v>495</v>
      </c>
      <c r="O77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Row],[orderNum]],ТабПозиции[orderSumm])&gt;1500),ABS(M770*VLOOKUP(ТабПозиции[[#This Row],[orderNum]],ТабЗаказы[#Data],MATCH("Percent",ТабЗаказы[#Headers],0),0))/100,200/COUNTIF(ТабПозиции[orderNum],ТабПозиции[[#This Row],[orderNum]])),0),"")</f>
        <v>74</v>
      </c>
      <c r="P770">
        <f>IF(OR(ТабПозиции[[#This Row],[item]]="По штрихкоду",ТабПозиции[[#This Row],[item]]="Посылка"),ТабПозиции[[#This Row],[deliverySumm]]+ТабПозиции[[#This Row],[deliveryPost]],SUM(M770:O770))</f>
        <v>569</v>
      </c>
      <c r="Q770" s="57">
        <v>569</v>
      </c>
      <c r="R770" s="62">
        <f>ТабПозиции[[#This Row],[totalSumm]]-ТабПозиции[[#This Row],[payment]]</f>
        <v>0</v>
      </c>
      <c r="S770" s="34" t="s">
        <v>965</v>
      </c>
      <c r="T770" s="56" t="s">
        <v>3061</v>
      </c>
      <c r="U770" s="56" t="s">
        <v>3061</v>
      </c>
      <c r="V770" s="56" t="s">
        <v>3061</v>
      </c>
      <c r="W770" s="7"/>
      <c r="X770"/>
    </row>
    <row r="771" spans="1:24" x14ac:dyDescent="0.25">
      <c r="A771" s="26">
        <v>219</v>
      </c>
      <c r="B771" s="1">
        <f>IFERROR(VLOOKUP(ТабПозиции[[#This Row],[orderNum]],ТабЗаказы[#Data],MATCH(B$7,ТабЗаказы[#Headers],0),0),"")</f>
        <v>45524</v>
      </c>
      <c r="C771" t="str">
        <f>MONTH(ТабПозиции[[#This Row],[date]])&amp;"/"&amp;YEAR(ТабПозиции[[#This Row],[date]])</f>
        <v>8/2024</v>
      </c>
      <c r="D771" s="1" t="str">
        <f>IFERROR(VLOOKUP(ТабПозиции[[#This Row],[orderNum]],ТабЗаказы[#Data],MATCH(D$7,ТабЗаказы[#Headers],0),0),"")</f>
        <v>Алена шмалко</v>
      </c>
      <c r="E771" s="32" t="s">
        <v>1233</v>
      </c>
      <c r="F771" s="56" t="s">
        <v>3061</v>
      </c>
      <c r="H771" s="34">
        <v>45526</v>
      </c>
      <c r="I771" s="26">
        <v>1</v>
      </c>
      <c r="J771" s="26">
        <v>297</v>
      </c>
      <c r="K771">
        <v>297</v>
      </c>
      <c r="L771" s="26">
        <v>313</v>
      </c>
      <c r="M771">
        <f t="shared" si="13"/>
        <v>313</v>
      </c>
      <c r="O77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Row],[orderNum]],ТабПозиции[orderSumm])&gt;1500),ABS(M771*VLOOKUP(ТабПозиции[[#This Row],[orderNum]],ТабЗаказы[#Data],MATCH("Percent",ТабЗаказы[#Headers],0),0))/100,200/COUNTIF(ТабПозиции[orderNum],ТабПозиции[[#This Row],[orderNum]])),0),"")</f>
        <v>47</v>
      </c>
      <c r="P771">
        <f>IF(OR(ТабПозиции[[#This Row],[item]]="По штрихкоду",ТабПозиции[[#This Row],[item]]="Посылка"),ТабПозиции[[#This Row],[deliverySumm]]+ТабПозиции[[#This Row],[deliveryPost]],SUM(M771:O771))</f>
        <v>360</v>
      </c>
      <c r="Q771" s="57">
        <v>360</v>
      </c>
      <c r="R771" s="62">
        <f>ТабПозиции[[#This Row],[totalSumm]]-ТабПозиции[[#This Row],[payment]]</f>
        <v>0</v>
      </c>
      <c r="S771" s="34" t="s">
        <v>965</v>
      </c>
      <c r="T771" s="56" t="s">
        <v>3061</v>
      </c>
      <c r="U771" s="56" t="s">
        <v>3061</v>
      </c>
      <c r="V771" s="56" t="s">
        <v>3061</v>
      </c>
      <c r="W771" s="7"/>
      <c r="X771"/>
    </row>
    <row r="772" spans="1:24" x14ac:dyDescent="0.25">
      <c r="A772" s="26">
        <v>191</v>
      </c>
      <c r="B772" s="1">
        <f>IFERROR(VLOOKUP(ТабПозиции[[#This Row],[orderNum]],ТабЗаказы[#Data],MATCH(B$7,ТабЗаказы[#Headers],0),0),"")</f>
        <v>45523</v>
      </c>
      <c r="C772" t="str">
        <f>MONTH(ТабПозиции[[#This Row],[date]])&amp;"/"&amp;YEAR(ТабПозиции[[#This Row],[date]])</f>
        <v>8/2024</v>
      </c>
      <c r="D772" s="1" t="str">
        <f>IFERROR(VLOOKUP(ТабПозиции[[#This Row],[orderNum]],ТабЗаказы[#Data],MATCH(D$7,ТабЗаказы[#Headers],0),0),"")</f>
        <v>Максим телевизор</v>
      </c>
      <c r="E772" s="26" t="s">
        <v>815</v>
      </c>
      <c r="F772" s="56" t="s">
        <v>3061</v>
      </c>
      <c r="G772" s="41" t="s">
        <v>1234</v>
      </c>
      <c r="H772" s="34">
        <v>45547</v>
      </c>
      <c r="I772" s="26">
        <v>1</v>
      </c>
      <c r="J772" s="26">
        <v>11990</v>
      </c>
      <c r="K772">
        <v>11990</v>
      </c>
      <c r="L772" s="26">
        <v>11990</v>
      </c>
      <c r="M772">
        <f t="shared" si="13"/>
        <v>11990</v>
      </c>
      <c r="O77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Row],[orderNum]],ТабПозиции[orderSumm])&gt;1500),ABS(M772*VLOOKUP(ТабПозиции[[#This Row],[orderNum]],ТабЗаказы[#Data],MATCH("Percent",ТабЗаказы[#Headers],0),0))/100,200/COUNTIF(ТабПозиции[orderNum],ТабПозиции[[#This Row],[orderNum]])),0),"")</f>
        <v>1199</v>
      </c>
      <c r="P772">
        <f>IF(OR(ТабПозиции[[#This Row],[item]]="По штрихкоду",ТабПозиции[[#This Row],[item]]="Посылка"),ТабПозиции[[#This Row],[deliverySumm]]+ТабПозиции[[#This Row],[deliveryPost]],SUM(M772:O772))</f>
        <v>1199</v>
      </c>
      <c r="Q772" s="57">
        <v>1199</v>
      </c>
      <c r="R772" s="62">
        <f>ТабПозиции[[#This Row],[totalSumm]]-ТабПозиции[[#This Row],[payment]]</f>
        <v>0</v>
      </c>
      <c r="S772" s="34" t="s">
        <v>1016</v>
      </c>
      <c r="T772" s="56" t="s">
        <v>3061</v>
      </c>
      <c r="U772" s="56" t="s">
        <v>3061</v>
      </c>
      <c r="V772" s="56" t="s">
        <v>3061</v>
      </c>
      <c r="W772" s="7"/>
      <c r="X772"/>
    </row>
    <row r="773" spans="1:24" x14ac:dyDescent="0.25">
      <c r="A773" s="26">
        <v>191</v>
      </c>
      <c r="B773" s="1">
        <f>IFERROR(VLOOKUP(ТабПозиции[[#This Row],[orderNum]],ТабЗаказы[#Data],MATCH(B$7,ТабЗаказы[#Headers],0),0),"")</f>
        <v>45523</v>
      </c>
      <c r="C773" t="str">
        <f>MONTH(ТабПозиции[[#This Row],[date]])&amp;"/"&amp;YEAR(ТабПозиции[[#This Row],[date]])</f>
        <v>8/2024</v>
      </c>
      <c r="D773" s="1" t="str">
        <f>IFERROR(VLOOKUP(ТабПозиции[[#This Row],[orderNum]],ТабЗаказы[#Data],MATCH(D$7,ТабЗаказы[#Headers],0),0),"")</f>
        <v>Максим телевизор</v>
      </c>
      <c r="E773" s="26" t="s">
        <v>815</v>
      </c>
      <c r="F773" s="56" t="s">
        <v>3061</v>
      </c>
      <c r="G773" s="28" t="s">
        <v>1235</v>
      </c>
      <c r="H773" s="34">
        <v>45530</v>
      </c>
      <c r="I773" s="26">
        <v>1</v>
      </c>
      <c r="J773" s="26">
        <v>1999</v>
      </c>
      <c r="K773">
        <v>1999</v>
      </c>
      <c r="L773" s="26">
        <v>1999</v>
      </c>
      <c r="M773">
        <f t="shared" si="13"/>
        <v>1999</v>
      </c>
      <c r="O77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Row],[orderNum]],ТабПозиции[orderSumm])&gt;1500),ABS(M773*VLOOKUP(ТабПозиции[[#This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773">
        <v>200</v>
      </c>
      <c r="Q773" s="57">
        <v>200</v>
      </c>
      <c r="R773" s="62">
        <f>ТабПозиции[[#This Row],[totalSumm]]-ТабПозиции[[#This Row],[payment]]</f>
        <v>0</v>
      </c>
      <c r="S773" s="34" t="s">
        <v>1016</v>
      </c>
      <c r="T773" s="56" t="s">
        <v>3061</v>
      </c>
      <c r="U773" s="56" t="s">
        <v>3061</v>
      </c>
      <c r="V773" s="56" t="s">
        <v>3061</v>
      </c>
      <c r="W773" s="7"/>
      <c r="X773"/>
    </row>
    <row r="774" spans="1:24" x14ac:dyDescent="0.25">
      <c r="A774" s="26">
        <v>191</v>
      </c>
      <c r="B774" s="1">
        <f>IFERROR(VLOOKUP(ТабПозиции[[#This Row],[orderNum]],ТабЗаказы[#Data],MATCH(B$7,ТабЗаказы[#Headers],0),0),"")</f>
        <v>45523</v>
      </c>
      <c r="C774" t="str">
        <f>MONTH(ТабПозиции[[#This Row],[date]])&amp;"/"&amp;YEAR(ТабПозиции[[#This Row],[date]])</f>
        <v>8/2024</v>
      </c>
      <c r="D774" s="1" t="str">
        <f>IFERROR(VLOOKUP(ТабПозиции[[#This Row],[orderNum]],ТабЗаказы[#Data],MATCH(D$7,ТабЗаказы[#Headers],0),0),"")</f>
        <v>Максим телевизор</v>
      </c>
      <c r="E774" s="26" t="s">
        <v>815</v>
      </c>
      <c r="F774" s="56" t="s">
        <v>3061</v>
      </c>
      <c r="G774" s="41" t="s">
        <v>1236</v>
      </c>
      <c r="H774" s="34">
        <v>45547</v>
      </c>
      <c r="I774" s="26">
        <v>1</v>
      </c>
      <c r="J774" s="42">
        <v>31000</v>
      </c>
      <c r="K774" s="21">
        <v>31000</v>
      </c>
      <c r="L774" s="42">
        <v>31000</v>
      </c>
      <c r="M774">
        <f t="shared" si="13"/>
        <v>31000</v>
      </c>
      <c r="O77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Row],[orderNum]],ТабПозиции[orderSumm])&gt;1500),ABS(M774*VLOOKUP(ТабПозиции[[#This Row],[orderNum]],ТабЗаказы[#Data],MATCH("Percent",ТабЗаказы[#Headers],0),0))/100,200/COUNTIF(ТабПозиции[orderNum],ТабПозиции[[#This Row],[orderNum]])),0),"")</f>
        <v>3100</v>
      </c>
      <c r="P774">
        <f>IF(OR(ТабПозиции[[#This Row],[item]]="По штрихкоду",ТабПозиции[[#This Row],[item]]="Посылка"),ТабПозиции[[#This Row],[deliverySumm]]+ТабПозиции[[#This Row],[deliveryPost]],SUM(M774:O774))</f>
        <v>3100</v>
      </c>
      <c r="Q774" s="57">
        <v>3100</v>
      </c>
      <c r="R774" s="62">
        <f>ТабПозиции[[#This Row],[totalSumm]]-ТабПозиции[[#This Row],[payment]]</f>
        <v>0</v>
      </c>
      <c r="S774" s="34" t="s">
        <v>1016</v>
      </c>
      <c r="T774" s="56" t="s">
        <v>3061</v>
      </c>
      <c r="U774" s="56" t="s">
        <v>3061</v>
      </c>
      <c r="V774" s="56" t="s">
        <v>3061</v>
      </c>
      <c r="W774" s="7"/>
      <c r="X774"/>
    </row>
    <row r="775" spans="1:24" x14ac:dyDescent="0.25">
      <c r="A775" s="26">
        <v>227</v>
      </c>
      <c r="B775" s="1">
        <f>IFERROR(VLOOKUP(ТабПозиции[[#This Row],[orderNum]],ТабЗаказы[#Data],MATCH(B$7,ТабЗаказы[#Headers],0),0),"")</f>
        <v>45531</v>
      </c>
      <c r="C775" t="str">
        <f>MONTH(ТабПозиции[[#This Row],[date]])&amp;"/"&amp;YEAR(ТабПозиции[[#This Row],[date]])</f>
        <v>8/2024</v>
      </c>
      <c r="D775" s="1" t="str">
        <f>IFERROR(VLOOKUP(ТабПозиции[[#This Row],[orderNum]],ТабЗаказы[#Data],MATCH(D$7,ТабЗаказы[#Headers],0),0),"")</f>
        <v>Андрей Бердянское</v>
      </c>
      <c r="E775" s="26" t="s">
        <v>815</v>
      </c>
      <c r="F775" s="56" t="s">
        <v>3061</v>
      </c>
      <c r="G775" s="28" t="s">
        <v>1237</v>
      </c>
      <c r="H775" s="34">
        <v>45525</v>
      </c>
      <c r="I775" s="26">
        <v>1</v>
      </c>
      <c r="J775" s="26">
        <v>6900</v>
      </c>
      <c r="K775">
        <v>6900</v>
      </c>
      <c r="L775" s="26">
        <v>6900</v>
      </c>
      <c r="M775">
        <f t="shared" si="13"/>
        <v>6900</v>
      </c>
      <c r="O77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Row],[orderNum]],ТабПозиции[orderSumm])&gt;1500),ABS(M775*VLOOKUP(ТабПозиции[[#This Row],[orderNum]],ТабЗаказы[#Data],MATCH("Percent",ТабЗаказы[#Headers],0),0))/100,200/COUNTIF(ТабПозиции[orderNum],ТабПозиции[[#This Row],[orderNum]])),0),"")</f>
        <v>690</v>
      </c>
      <c r="P775">
        <f>IF(OR(ТабПозиции[[#This Row],[item]]="По штрихкоду",ТабПозиции[[#This Row],[item]]="Посылка"),ТабПозиции[[#This Row],[deliverySumm]]+ТабПозиции[[#This Row],[deliveryPost]],SUM(M775:O775))</f>
        <v>690</v>
      </c>
      <c r="Q775" s="57">
        <v>690</v>
      </c>
      <c r="R775" s="62">
        <f>ТабПозиции[[#This Row],[totalSumm]]-ТабПозиции[[#This Row],[payment]]</f>
        <v>0</v>
      </c>
      <c r="S775" s="34" t="s">
        <v>1016</v>
      </c>
      <c r="T775" s="56" t="s">
        <v>3061</v>
      </c>
      <c r="U775" s="56" t="s">
        <v>3061</v>
      </c>
      <c r="V775" s="56" t="s">
        <v>3061</v>
      </c>
      <c r="W775" s="7"/>
      <c r="X775"/>
    </row>
    <row r="776" spans="1:24" x14ac:dyDescent="0.25">
      <c r="A776" s="26">
        <v>220</v>
      </c>
      <c r="B776" s="1">
        <f>IFERROR(VLOOKUP(ТабПозиции[[#This Row],[orderNum]],ТабЗаказы[#Data],MATCH(B$7,ТабЗаказы[#Headers],0),0),"")</f>
        <v>45527</v>
      </c>
      <c r="C776" t="str">
        <f>MONTH(ТабПозиции[[#This Row],[date]])&amp;"/"&amp;YEAR(ТабПозиции[[#This Row],[date]])</f>
        <v>8/2024</v>
      </c>
      <c r="D776" s="1" t="str">
        <f>IFERROR(VLOOKUP(ТабПозиции[[#This Row],[orderNum]],ТабЗаказы[#Data],MATCH(D$7,ТабЗаказы[#Headers],0),0),"")</f>
        <v>Аннет</v>
      </c>
      <c r="E776" s="26" t="s">
        <v>32</v>
      </c>
      <c r="F776" s="56" t="s">
        <v>3061</v>
      </c>
      <c r="H776" s="34">
        <v>45527</v>
      </c>
      <c r="I776" s="26">
        <v>1</v>
      </c>
      <c r="J776" s="26">
        <v>13818</v>
      </c>
      <c r="K776">
        <v>13818</v>
      </c>
      <c r="L776" s="26">
        <v>13818</v>
      </c>
      <c r="M776">
        <f t="shared" si="13"/>
        <v>13818</v>
      </c>
      <c r="N776" s="26">
        <v>200</v>
      </c>
      <c r="O77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Row],[orderNum]],ТабПозиции[orderSumm])&gt;1500),ABS(M776*VLOOKUP(ТабПозиции[[#This Row],[orderNum]],ТабЗаказы[#Data],MATCH("Percent",ТабЗаказы[#Headers],0),0))/100,200/COUNTIF(ТабПозиции[orderNum],ТабПозиции[[#This Row],[orderNum]])),0),"")</f>
        <v>2073</v>
      </c>
      <c r="P776">
        <f>IF(OR(ТабПозиции[[#This Row],[item]]="По штрихкоду",ТабПозиции[[#This Row],[item]]="Посылка"),ТабПозиции[[#This Row],[deliverySumm]]+ТабПозиции[[#This Row],[deliveryPost]],SUM(M776:O776))</f>
        <v>2273</v>
      </c>
      <c r="Q776" s="57">
        <v>2273</v>
      </c>
      <c r="R776" s="62">
        <f>ТабПозиции[[#This Row],[totalSumm]]-ТабПозиции[[#This Row],[payment]]</f>
        <v>0</v>
      </c>
      <c r="S776" s="34" t="s">
        <v>544</v>
      </c>
      <c r="T776" s="56" t="s">
        <v>3061</v>
      </c>
      <c r="U776" s="56" t="s">
        <v>3061</v>
      </c>
      <c r="V776" s="56" t="s">
        <v>3061</v>
      </c>
      <c r="W776" s="7"/>
      <c r="X776"/>
    </row>
    <row r="777" spans="1:24" x14ac:dyDescent="0.25">
      <c r="A777" s="26">
        <v>221</v>
      </c>
      <c r="B777" s="1">
        <f>IFERROR(VLOOKUP(ТабПозиции[[#This Row],[orderNum]],ТабЗаказы[#Data],MATCH(B$7,ТабЗаказы[#Headers],0),0),"")</f>
        <v>45527</v>
      </c>
      <c r="C777" t="str">
        <f>MONTH(ТабПозиции[[#This Row],[date]])&amp;"/"&amp;YEAR(ТабПозиции[[#This Row],[date]])</f>
        <v>8/2024</v>
      </c>
      <c r="D777" s="1" t="str">
        <f>IFERROR(VLOOKUP(ТабПозиции[[#This Row],[orderNum]],ТабЗаказы[#Data],MATCH(D$7,ТабЗаказы[#Headers],0),0),"")</f>
        <v>Лана</v>
      </c>
      <c r="E777" s="26" t="s">
        <v>32</v>
      </c>
      <c r="F777" s="56" t="s">
        <v>3061</v>
      </c>
      <c r="H777" s="34">
        <v>45527</v>
      </c>
      <c r="I777" s="26">
        <v>1</v>
      </c>
      <c r="J777" s="26">
        <v>5561</v>
      </c>
      <c r="K777">
        <v>5561</v>
      </c>
      <c r="L777" s="26">
        <v>5561</v>
      </c>
      <c r="M777">
        <f t="shared" si="13"/>
        <v>5561</v>
      </c>
      <c r="O77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Row],[orderNum]],ТабПозиции[orderSumm])&gt;1500),ABS(M777*VLOOKUP(ТабПозиции[[#This Row],[orderNum]],ТабЗаказы[#Data],MATCH("Percent",ТабЗаказы[#Headers],0),0))/100,200/COUNTIF(ТабПозиции[orderNum],ТабПозиции[[#This Row],[orderNum]])),0),"")</f>
        <v>834</v>
      </c>
      <c r="P777">
        <f>IF(OR(ТабПозиции[[#This Row],[item]]="По штрихкоду",ТабПозиции[[#This Row],[item]]="Посылка"),ТабПозиции[[#This Row],[deliverySumm]]+ТабПозиции[[#This Row],[deliveryPost]],SUM(M777:O777))</f>
        <v>834</v>
      </c>
      <c r="Q777" s="57">
        <v>834</v>
      </c>
      <c r="R777" s="62">
        <f>ТабПозиции[[#This Row],[totalSumm]]-ТабПозиции[[#This Row],[payment]]</f>
        <v>0</v>
      </c>
      <c r="S777" s="34" t="s">
        <v>955</v>
      </c>
      <c r="T777" s="56" t="s">
        <v>3061</v>
      </c>
      <c r="U777" s="56" t="s">
        <v>3061</v>
      </c>
      <c r="V777" s="56" t="s">
        <v>3061</v>
      </c>
      <c r="W777" s="7"/>
      <c r="X777"/>
    </row>
    <row r="778" spans="1:24" x14ac:dyDescent="0.25">
      <c r="A778" s="26">
        <v>222</v>
      </c>
      <c r="B778" s="1">
        <f>IFERROR(VLOOKUP(ТабПозиции[[#This Row],[orderNum]],ТабЗаказы[#Data],MATCH(B$7,ТабЗаказы[#Headers],0),0),"")</f>
        <v>45527</v>
      </c>
      <c r="C778" t="str">
        <f>MONTH(ТабПозиции[[#This Row],[date]])&amp;"/"&amp;YEAR(ТабПозиции[[#This Row],[date]])</f>
        <v>8/2024</v>
      </c>
      <c r="D778" s="1" t="str">
        <f>IFERROR(VLOOKUP(ТабПозиции[[#This Row],[orderNum]],ТабЗаказы[#Data],MATCH(D$7,ТабЗаказы[#Headers],0),0),"")</f>
        <v>Елена Ларисына</v>
      </c>
      <c r="E778" s="32" t="s">
        <v>1238</v>
      </c>
      <c r="F778" s="56" t="s">
        <v>3061</v>
      </c>
      <c r="H778" s="34">
        <v>45533</v>
      </c>
      <c r="I778" s="26">
        <v>1</v>
      </c>
      <c r="J778" s="26">
        <v>527</v>
      </c>
      <c r="K778">
        <v>527</v>
      </c>
      <c r="L778" s="26">
        <v>560</v>
      </c>
      <c r="M778">
        <f t="shared" si="13"/>
        <v>560</v>
      </c>
      <c r="O77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Row],[orderNum]],ТабПозиции[orderSumm])&gt;1500),ABS(M778*VLOOKUP(ТабПозиции[[#This Row],[orderNum]],ТабЗаказы[#Data],MATCH("Percent",ТабЗаказы[#Headers],0),0))/100,200/COUNTIF(ТабПозиции[orderNum],ТабПозиции[[#This Row],[orderNum]])),0),"")</f>
        <v>84</v>
      </c>
      <c r="P778">
        <f>IF(OR(ТабПозиции[[#This Row],[item]]="По штрихкоду",ТабПозиции[[#This Row],[item]]="Посылка"),ТабПозиции[[#This Row],[deliverySumm]]+ТабПозиции[[#This Row],[deliveryPost]],SUM(M778:O778))</f>
        <v>644</v>
      </c>
      <c r="Q778" s="57">
        <v>644</v>
      </c>
      <c r="R778" s="62">
        <f>ТабПозиции[[#This Row],[totalSumm]]-ТабПозиции[[#This Row],[payment]]</f>
        <v>0</v>
      </c>
      <c r="S778" s="34" t="s">
        <v>955</v>
      </c>
      <c r="T778" s="56" t="s">
        <v>3061</v>
      </c>
      <c r="U778" s="56" t="s">
        <v>3061</v>
      </c>
      <c r="V778" s="56" t="s">
        <v>3061</v>
      </c>
      <c r="W778" s="7"/>
      <c r="X778"/>
    </row>
    <row r="779" spans="1:24" x14ac:dyDescent="0.25">
      <c r="A779" s="26">
        <v>223</v>
      </c>
      <c r="B779" s="1">
        <f>IFERROR(VLOOKUP(ТабПозиции[[#This Row],[orderNum]],ТабЗаказы[#Data],MATCH(B$7,ТабЗаказы[#Headers],0),0),"")</f>
        <v>45528</v>
      </c>
      <c r="C779" t="str">
        <f>MONTH(ТабПозиции[[#This Row],[date]])&amp;"/"&amp;YEAR(ТабПозиции[[#This Row],[date]])</f>
        <v>8/2024</v>
      </c>
      <c r="D779" s="1" t="str">
        <f>IFERROR(VLOOKUP(ТабПозиции[[#This Row],[orderNum]],ТабЗаказы[#Data],MATCH(D$7,ТабЗаказы[#Headers],0),0),"")</f>
        <v>Лариса Кирова</v>
      </c>
      <c r="E779" s="32" t="s">
        <v>982</v>
      </c>
      <c r="F779" s="56" t="s">
        <v>3061</v>
      </c>
      <c r="H779" s="34">
        <v>45531</v>
      </c>
      <c r="I779" s="26">
        <v>1</v>
      </c>
      <c r="J779" s="26">
        <v>155</v>
      </c>
      <c r="K779">
        <v>155</v>
      </c>
      <c r="L779" s="26">
        <v>158</v>
      </c>
      <c r="M779">
        <f t="shared" si="13"/>
        <v>158</v>
      </c>
      <c r="O77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Row],[orderNum]],ТабПозиции[orderSumm])&gt;1500),ABS(M779*VLOOKUP(ТабПозиции[[#This Row],[orderNum]],ТабЗаказы[#Data],MATCH("Percent",ТабЗаказы[#Headers],0),0))/100,200/COUNTIF(ТабПозиции[orderNum],ТабПозиции[[#This Row],[orderNum]])),0),"")</f>
        <v>67</v>
      </c>
      <c r="P779">
        <f>IF(OR(ТабПозиции[[#This Row],[item]]="По штрихкоду",ТабПозиции[[#This Row],[item]]="Посылка"),ТабПозиции[[#This Row],[deliverySumm]]+ТабПозиции[[#This Row],[deliveryPost]],SUM(M779:O779))</f>
        <v>225</v>
      </c>
      <c r="Q779" s="57">
        <v>225</v>
      </c>
      <c r="R779" s="62">
        <f>ТабПозиции[[#This Row],[totalSumm]]-ТабПозиции[[#This Row],[payment]]</f>
        <v>0</v>
      </c>
      <c r="S779" s="34" t="s">
        <v>955</v>
      </c>
      <c r="T779" s="56" t="s">
        <v>3061</v>
      </c>
      <c r="U779" s="56" t="s">
        <v>3061</v>
      </c>
      <c r="V779" s="56" t="s">
        <v>3061</v>
      </c>
      <c r="W779" s="7"/>
      <c r="X779"/>
    </row>
    <row r="780" spans="1:24" x14ac:dyDescent="0.25">
      <c r="A780" s="26">
        <v>223</v>
      </c>
      <c r="B780" s="1">
        <f>IFERROR(VLOOKUP(ТабПозиции[[#This Row],[orderNum]],ТабЗаказы[#Data],MATCH(B$7,ТабЗаказы[#Headers],0),0),"")</f>
        <v>45528</v>
      </c>
      <c r="C780" t="str">
        <f>MONTH(ТабПозиции[[#This Row],[date]])&amp;"/"&amp;YEAR(ТабПозиции[[#This Row],[date]])</f>
        <v>8/2024</v>
      </c>
      <c r="D780" s="1" t="str">
        <f>IFERROR(VLOOKUP(ТабПозиции[[#This Row],[orderNum]],ТабЗаказы[#Data],MATCH(D$7,ТабЗаказы[#Headers],0),0),"")</f>
        <v>Лариса Кирова</v>
      </c>
      <c r="E780" s="32" t="s">
        <v>960</v>
      </c>
      <c r="F780" s="56" t="s">
        <v>3061</v>
      </c>
      <c r="H780" s="34">
        <v>45529</v>
      </c>
      <c r="I780" s="26">
        <v>1</v>
      </c>
      <c r="J780" s="26">
        <v>123</v>
      </c>
      <c r="K780">
        <v>123</v>
      </c>
      <c r="L780" s="26">
        <v>126</v>
      </c>
      <c r="M780">
        <f t="shared" si="13"/>
        <v>126</v>
      </c>
      <c r="O78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Row],[orderNum]],ТабПозиции[orderSumm])&gt;1500),ABS(M780*VLOOKUP(ТабПозиции[[#This Row],[orderNum]],ТабЗаказы[#Data],MATCH("Percent",ТабЗаказы[#Headers],0),0))/100,200/COUNTIF(ТабПозиции[orderNum],ТабПозиции[[#This Row],[orderNum]])),0),"")</f>
        <v>67</v>
      </c>
      <c r="P780">
        <f>IF(OR(ТабПозиции[[#This Row],[item]]="По штрихкоду",ТабПозиции[[#This Row],[item]]="Посылка"),ТабПозиции[[#This Row],[deliverySumm]]+ТабПозиции[[#This Row],[deliveryPost]],SUM(M780:O780))</f>
        <v>193</v>
      </c>
      <c r="Q780" s="57">
        <v>193</v>
      </c>
      <c r="R780" s="62">
        <f>ТабПозиции[[#This Row],[totalSumm]]-ТабПозиции[[#This Row],[payment]]</f>
        <v>0</v>
      </c>
      <c r="S780" s="34" t="s">
        <v>955</v>
      </c>
      <c r="T780" s="56" t="s">
        <v>3061</v>
      </c>
      <c r="U780" s="56" t="s">
        <v>3061</v>
      </c>
      <c r="V780" s="56" t="s">
        <v>3061</v>
      </c>
      <c r="W780" s="7"/>
      <c r="X780"/>
    </row>
    <row r="781" spans="1:24" x14ac:dyDescent="0.25">
      <c r="A781" s="26">
        <v>223</v>
      </c>
      <c r="B781" s="1">
        <f>IFERROR(VLOOKUP(ТабПозиции[[#This Row],[orderNum]],ТабЗаказы[#Data],MATCH(B$7,ТабЗаказы[#Headers],0),0),"")</f>
        <v>45528</v>
      </c>
      <c r="C781" t="str">
        <f>MONTH(ТабПозиции[[#This Row],[date]])&amp;"/"&amp;YEAR(ТабПозиции[[#This Row],[date]])</f>
        <v>8/2024</v>
      </c>
      <c r="D781" s="1" t="str">
        <f>IFERROR(VLOOKUP(ТабПозиции[[#This Row],[orderNum]],ТабЗаказы[#Data],MATCH(D$7,ТабЗаказы[#Headers],0),0),"")</f>
        <v>Лариса Кирова</v>
      </c>
      <c r="E781" s="32" t="s">
        <v>574</v>
      </c>
      <c r="F781" s="56" t="s">
        <v>3061</v>
      </c>
      <c r="H781" s="34">
        <v>45529</v>
      </c>
      <c r="I781" s="26">
        <v>1</v>
      </c>
      <c r="J781" s="26">
        <v>549</v>
      </c>
      <c r="K781">
        <v>549</v>
      </c>
      <c r="L781" s="26">
        <v>589</v>
      </c>
      <c r="M781">
        <f t="shared" si="13"/>
        <v>589</v>
      </c>
      <c r="O78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Row],[orderNum]],ТабПозиции[orderSumm])&gt;1500),ABS(M781*VLOOKUP(ТабПозиции[[#This Row],[orderNum]],ТабЗаказы[#Data],MATCH("Percent",ТабЗаказы[#Headers],0),0))/100,200/COUNTIF(ТабПозиции[orderNum],ТабПозиции[[#This Row],[orderNum]])),0),"")</f>
        <v>67</v>
      </c>
      <c r="P781">
        <f>IF(OR(ТабПозиции[[#This Row],[item]]="По штрихкоду",ТабПозиции[[#This Row],[item]]="Посылка"),ТабПозиции[[#This Row],[deliverySumm]]+ТабПозиции[[#This Row],[deliveryPost]],SUM(M781:O781))</f>
        <v>656</v>
      </c>
      <c r="Q781" s="57">
        <v>656</v>
      </c>
      <c r="R781" s="62">
        <f>ТабПозиции[[#This Row],[totalSumm]]-ТабПозиции[[#This Row],[payment]]</f>
        <v>0</v>
      </c>
      <c r="S781" s="34" t="s">
        <v>955</v>
      </c>
      <c r="T781" s="56" t="s">
        <v>3061</v>
      </c>
      <c r="U781" s="56" t="s">
        <v>3061</v>
      </c>
      <c r="V781" s="56" t="s">
        <v>3061</v>
      </c>
      <c r="W781" s="7"/>
      <c r="X781"/>
    </row>
    <row r="782" spans="1:24" x14ac:dyDescent="0.25">
      <c r="A782" s="26">
        <v>224</v>
      </c>
      <c r="B782" s="1">
        <f>IFERROR(VLOOKUP(ТабПозиции[[#This Row],[orderNum]],ТабЗаказы[#Data],MATCH(B$7,ТабЗаказы[#Headers],0),0),"")</f>
        <v>45528</v>
      </c>
      <c r="C782" t="str">
        <f>MONTH(ТабПозиции[[#This Row],[date]])&amp;"/"&amp;YEAR(ТабПозиции[[#This Row],[date]])</f>
        <v>8/2024</v>
      </c>
      <c r="D782" s="1" t="str">
        <f>IFERROR(VLOOKUP(ТабПозиции[[#This Row],[orderNum]],ТабЗаказы[#Data],MATCH(D$7,ТабЗаказы[#Headers],0),0),"")</f>
        <v>Алла Калининград</v>
      </c>
      <c r="E782" s="32" t="s">
        <v>1239</v>
      </c>
      <c r="F782" s="56" t="s">
        <v>3061</v>
      </c>
      <c r="H782" s="34">
        <v>45530</v>
      </c>
      <c r="I782" s="26">
        <v>1</v>
      </c>
      <c r="J782" s="26">
        <v>1191</v>
      </c>
      <c r="K782">
        <v>1191</v>
      </c>
      <c r="L782" s="26">
        <v>1254</v>
      </c>
      <c r="M782">
        <f t="shared" si="13"/>
        <v>1254</v>
      </c>
      <c r="O78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Row],[orderNum]],ТабПозиции[orderSumm])&gt;1500),ABS(M782*VLOOKUP(ТабПозиции[[#This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782">
        <f>IF(OR(ТабПозиции[[#This Row],[item]]="По штрихкоду",ТабПозиции[[#This Row],[item]]="Посылка"),ТабПозиции[[#This Row],[deliverySumm]]+ТабПозиции[[#This Row],[deliveryPost]],SUM(M782:O782))</f>
        <v>1454</v>
      </c>
      <c r="Q782" s="57">
        <v>1454</v>
      </c>
      <c r="R782" s="62">
        <f>ТабПозиции[[#This Row],[totalSumm]]-ТабПозиции[[#This Row],[payment]]</f>
        <v>0</v>
      </c>
      <c r="S782" s="34" t="s">
        <v>965</v>
      </c>
      <c r="T782" s="56" t="s">
        <v>3061</v>
      </c>
      <c r="U782" s="56" t="s">
        <v>3061</v>
      </c>
      <c r="V782" s="56" t="s">
        <v>3061</v>
      </c>
      <c r="W782" s="7"/>
      <c r="X782"/>
    </row>
    <row r="783" spans="1:24" x14ac:dyDescent="0.25">
      <c r="A783" s="26">
        <v>191</v>
      </c>
      <c r="B783" s="1">
        <f>IFERROR(VLOOKUP(ТабПозиции[[#This Row],[orderNum]],ТабЗаказы[#Data],MATCH(B$7,ТабЗаказы[#Headers],0),0),"")</f>
        <v>45523</v>
      </c>
      <c r="C783" t="str">
        <f>MONTH(ТабПозиции[[#This Row],[date]])&amp;"/"&amp;YEAR(ТабПозиции[[#This Row],[date]])</f>
        <v>8/2024</v>
      </c>
      <c r="D783" s="1" t="str">
        <f>IFERROR(VLOOKUP(ТабПозиции[[#This Row],[orderNum]],ТабЗаказы[#Data],MATCH(D$7,ТабЗаказы[#Headers],0),0),"")</f>
        <v>Максим телевизор</v>
      </c>
      <c r="E783" s="26" t="s">
        <v>815</v>
      </c>
      <c r="F783" s="56" t="s">
        <v>3061</v>
      </c>
      <c r="G783" s="28" t="s">
        <v>1240</v>
      </c>
      <c r="H783" s="34">
        <v>45536</v>
      </c>
      <c r="I783" s="26">
        <v>1</v>
      </c>
      <c r="J783" s="26">
        <v>6850</v>
      </c>
      <c r="K783">
        <v>6850</v>
      </c>
      <c r="L783" s="26">
        <v>6850</v>
      </c>
      <c r="M783">
        <f t="shared" si="13"/>
        <v>6850</v>
      </c>
      <c r="N783" s="26">
        <v>320</v>
      </c>
      <c r="O78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Row],[orderNum]],ТабПозиции[orderSumm])&gt;1500),ABS(M783*VLOOKUP(ТабПозиции[[#This Row],[orderNum]],ТабЗаказы[#Data],MATCH("Percent",ТабЗаказы[#Headers],0),0))/100,200/COUNTIF(ТабПозиции[orderNum],ТабПозиции[[#This Row],[orderNum]])),0),"")</f>
        <v>685</v>
      </c>
      <c r="P783">
        <f>IF(OR(ТабПозиции[[#This Row],[item]]="По штрихкоду",ТабПозиции[[#This Row],[item]]="Посылка"),ТабПозиции[[#This Row],[deliverySumm]]+ТабПозиции[[#This Row],[deliveryPost]],SUM(M783:O783))</f>
        <v>1005</v>
      </c>
      <c r="Q783" s="57">
        <v>1005</v>
      </c>
      <c r="R783" s="62">
        <f>ТабПозиции[[#This Row],[totalSumm]]-ТабПозиции[[#This Row],[payment]]</f>
        <v>0</v>
      </c>
      <c r="S783" s="34" t="s">
        <v>1016</v>
      </c>
      <c r="T783" s="56" t="s">
        <v>3061</v>
      </c>
      <c r="U783" s="56" t="s">
        <v>3061</v>
      </c>
      <c r="V783" s="56" t="s">
        <v>3061</v>
      </c>
      <c r="W783" s="7"/>
      <c r="X783"/>
    </row>
    <row r="784" spans="1:24" x14ac:dyDescent="0.25">
      <c r="A784" s="26">
        <v>227</v>
      </c>
      <c r="B784" s="1">
        <f>IFERROR(VLOOKUP(ТабПозиции[[#This Row],[orderNum]],ТабЗаказы[#Data],MATCH(B$7,ТабЗаказы[#Headers],0),0),"")</f>
        <v>45531</v>
      </c>
      <c r="C784" t="str">
        <f>MONTH(ТабПозиции[[#This Row],[date]])&amp;"/"&amp;YEAR(ТабПозиции[[#This Row],[date]])</f>
        <v>8/2024</v>
      </c>
      <c r="D784" s="1" t="str">
        <f>IFERROR(VLOOKUP(ТабПозиции[[#This Row],[orderNum]],ТабЗаказы[#Data],MATCH(D$7,ТабЗаказы[#Headers],0),0),"")</f>
        <v>Андрей Бердянское</v>
      </c>
      <c r="E784" s="26" t="s">
        <v>815</v>
      </c>
      <c r="F784" s="56" t="s">
        <v>3061</v>
      </c>
      <c r="G784" s="28" t="s">
        <v>1241</v>
      </c>
      <c r="H784" s="34">
        <v>45534</v>
      </c>
      <c r="I784" s="26">
        <v>1</v>
      </c>
      <c r="J784" s="26">
        <v>80000</v>
      </c>
      <c r="K784">
        <v>80000</v>
      </c>
      <c r="L784" s="26">
        <v>80000</v>
      </c>
      <c r="M784">
        <f t="shared" si="13"/>
        <v>80000</v>
      </c>
      <c r="O78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Row],[orderNum]],ТабПозиции[orderSumm])&gt;1500),ABS(M784*VLOOKUP(ТабПозиции[[#This Row],[orderNum]],ТабЗаказы[#Data],MATCH("Percent",ТабЗаказы[#Headers],0),0))/100,200/COUNTIF(ТабПозиции[orderNum],ТабПозиции[[#This Row],[orderNum]])),0),"")</f>
        <v>8000</v>
      </c>
      <c r="P784">
        <f>IF(OR(ТабПозиции[[#This Row],[item]]="По штрихкоду",ТабПозиции[[#This Row],[item]]="Посылка"),ТабПозиции[[#This Row],[deliverySumm]]+ТабПозиции[[#This Row],[deliveryPost]],SUM(M784:O784))</f>
        <v>8000</v>
      </c>
      <c r="Q784" s="57">
        <v>8000</v>
      </c>
      <c r="R784" s="62">
        <f>ТабПозиции[[#This Row],[totalSumm]]-ТабПозиции[[#This Row],[payment]]</f>
        <v>0</v>
      </c>
      <c r="S784" s="34" t="s">
        <v>1016</v>
      </c>
      <c r="T784" s="56" t="s">
        <v>3061</v>
      </c>
      <c r="U784" s="56" t="s">
        <v>3061</v>
      </c>
      <c r="V784" s="56" t="s">
        <v>3061</v>
      </c>
      <c r="W784" s="7"/>
      <c r="X784"/>
    </row>
    <row r="785" spans="1:24" x14ac:dyDescent="0.25">
      <c r="A785" s="26">
        <v>225</v>
      </c>
      <c r="B785" s="1">
        <f>IFERROR(VLOOKUP(ТабПозиции[[#This Row],[orderNum]],ТабЗаказы[#Data],MATCH(B$7,ТабЗаказы[#Headers],0),0),"")</f>
        <v>45529</v>
      </c>
      <c r="C785" t="str">
        <f>MONTH(ТабПозиции[[#This Row],[date]])&amp;"/"&amp;YEAR(ТабПозиции[[#This Row],[date]])</f>
        <v>8/2024</v>
      </c>
      <c r="D785" s="1" t="str">
        <f>IFERROR(VLOOKUP(ТабПозиции[[#This Row],[orderNum]],ТабЗаказы[#Data],MATCH(D$7,ТабЗаказы[#Headers],0),0),"")</f>
        <v>АлисаСофия</v>
      </c>
      <c r="E785" s="32" t="s">
        <v>1242</v>
      </c>
      <c r="F785" s="56" t="s">
        <v>3061</v>
      </c>
      <c r="H785" s="34">
        <v>45531</v>
      </c>
      <c r="I785" s="26">
        <v>1</v>
      </c>
      <c r="J785" s="26">
        <v>1122</v>
      </c>
      <c r="K785">
        <v>1122</v>
      </c>
      <c r="L785" s="26">
        <v>1241</v>
      </c>
      <c r="M785">
        <f t="shared" si="13"/>
        <v>1241</v>
      </c>
      <c r="O78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Row],[orderNum]],ТабПозиции[orderSumm])&gt;1500),ABS(M785*VLOOKUP(ТабПозиции[[#This Row],[orderNum]],ТабЗаказы[#Data],MATCH("Percent",ТабЗаказы[#Headers],0),0))/100,200/COUNTIF(ТабПозиции[orderNum],ТабПозиции[[#This Row],[orderNum]])),0),"")</f>
        <v>186</v>
      </c>
      <c r="P785">
        <f>IF(OR(ТабПозиции[[#This Row],[item]]="По штрихкоду",ТабПозиции[[#This Row],[item]]="Посылка"),ТабПозиции[[#This Row],[deliverySumm]]+ТабПозиции[[#This Row],[deliveryPost]],SUM(M785:O785))</f>
        <v>1427</v>
      </c>
      <c r="Q785" s="57">
        <v>1427</v>
      </c>
      <c r="R785" s="62">
        <f>ТабПозиции[[#This Row],[totalSumm]]-ТабПозиции[[#This Row],[payment]]</f>
        <v>0</v>
      </c>
      <c r="S785" s="34" t="s">
        <v>955</v>
      </c>
      <c r="T785" s="56" t="s">
        <v>3061</v>
      </c>
      <c r="U785" s="56" t="s">
        <v>3061</v>
      </c>
      <c r="V785" s="56" t="s">
        <v>3061</v>
      </c>
      <c r="W785" s="7"/>
      <c r="X785"/>
    </row>
    <row r="786" spans="1:24" x14ac:dyDescent="0.25">
      <c r="A786" s="26">
        <v>225</v>
      </c>
      <c r="B786" s="1">
        <f>IFERROR(VLOOKUP(ТабПозиции[[#This Row],[orderNum]],ТабЗаказы[#Data],MATCH(B$7,ТабЗаказы[#Headers],0),0),"")</f>
        <v>45529</v>
      </c>
      <c r="C786" t="str">
        <f>MONTH(ТабПозиции[[#This Row],[date]])&amp;"/"&amp;YEAR(ТабПозиции[[#This Row],[date]])</f>
        <v>8/2024</v>
      </c>
      <c r="D786" s="1" t="str">
        <f>IFERROR(VLOOKUP(ТабПозиции[[#This Row],[orderNum]],ТабЗаказы[#Data],MATCH(D$7,ТабЗаказы[#Headers],0),0),"")</f>
        <v>АлисаСофия</v>
      </c>
      <c r="E786" s="32" t="s">
        <v>1243</v>
      </c>
      <c r="F786" s="56" t="s">
        <v>3061</v>
      </c>
      <c r="H786" s="34">
        <v>45533</v>
      </c>
      <c r="I786" s="26">
        <v>1</v>
      </c>
      <c r="J786" s="26">
        <v>937</v>
      </c>
      <c r="K786">
        <v>937</v>
      </c>
      <c r="L786" s="26">
        <v>982</v>
      </c>
      <c r="M786">
        <f t="shared" si="13"/>
        <v>982</v>
      </c>
      <c r="O78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Row],[orderNum]],ТабПозиции[orderSumm])&gt;1500),ABS(M786*VLOOKUP(ТабПозиции[[#This Row],[orderNum]],ТабЗаказы[#Data],MATCH("Percent",ТабЗаказы[#Headers],0),0))/100,200/COUNTIF(ТабПозиции[orderNum],ТабПозиции[[#This Row],[orderNum]])),0),"")</f>
        <v>147</v>
      </c>
      <c r="P786">
        <f>IF(OR(ТабПозиции[[#This Row],[item]]="По штрихкоду",ТабПозиции[[#This Row],[item]]="Посылка"),ТабПозиции[[#This Row],[deliverySumm]]+ТабПозиции[[#This Row],[deliveryPost]],SUM(M786:O786))</f>
        <v>1129</v>
      </c>
      <c r="Q786" s="57">
        <v>1129</v>
      </c>
      <c r="R786" s="62">
        <f>ТабПозиции[[#This Row],[totalSumm]]-ТабПозиции[[#This Row],[payment]]</f>
        <v>0</v>
      </c>
      <c r="S786" s="34" t="s">
        <v>955</v>
      </c>
      <c r="T786" s="56" t="s">
        <v>3061</v>
      </c>
      <c r="U786" s="56" t="s">
        <v>3061</v>
      </c>
      <c r="V786" s="56" t="s">
        <v>3061</v>
      </c>
      <c r="W786" s="7"/>
      <c r="X786"/>
    </row>
    <row r="787" spans="1:24" x14ac:dyDescent="0.25">
      <c r="A787" s="26">
        <v>225</v>
      </c>
      <c r="B787" s="1">
        <f>IFERROR(VLOOKUP(ТабПозиции[[#This Row],[orderNum]],ТабЗаказы[#Data],MATCH(B$7,ТабЗаказы[#Headers],0),0),"")</f>
        <v>45529</v>
      </c>
      <c r="C787" t="str">
        <f>MONTH(ТабПозиции[[#This Row],[date]])&amp;"/"&amp;YEAR(ТабПозиции[[#This Row],[date]])</f>
        <v>8/2024</v>
      </c>
      <c r="D787" s="1" t="str">
        <f>IFERROR(VLOOKUP(ТабПозиции[[#This Row],[orderNum]],ТабЗаказы[#Data],MATCH(D$7,ТабЗаказы[#Headers],0),0),"")</f>
        <v>АлисаСофия</v>
      </c>
      <c r="E787" s="32" t="s">
        <v>1244</v>
      </c>
      <c r="F787" s="56" t="s">
        <v>3061</v>
      </c>
      <c r="H787" s="34">
        <v>45533</v>
      </c>
      <c r="I787" s="26">
        <v>1</v>
      </c>
      <c r="J787" s="26">
        <v>899</v>
      </c>
      <c r="K787">
        <v>899</v>
      </c>
      <c r="L787" s="26">
        <v>943</v>
      </c>
      <c r="M787">
        <f t="shared" si="13"/>
        <v>943</v>
      </c>
      <c r="O78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Row],[orderNum]],ТабПозиции[orderSumm])&gt;1500),ABS(M787*VLOOKUP(ТабПозиции[[#This Row],[orderNum]],ТабЗаказы[#Data],MATCH("Percent",ТабЗаказы[#Headers],0),0))/100,200/COUNTIF(ТабПозиции[orderNum],ТабПозиции[[#This Row],[orderNum]])),0),"")</f>
        <v>141</v>
      </c>
      <c r="P787">
        <f>IF(OR(ТабПозиции[[#This Row],[item]]="По штрихкоду",ТабПозиции[[#This Row],[item]]="Посылка"),ТабПозиции[[#This Row],[deliverySumm]]+ТабПозиции[[#This Row],[deliveryPost]],SUM(M787:O787))</f>
        <v>1084</v>
      </c>
      <c r="Q787" s="57">
        <v>1084</v>
      </c>
      <c r="R787" s="62">
        <f>ТабПозиции[[#This Row],[totalSumm]]-ТабПозиции[[#This Row],[payment]]</f>
        <v>0</v>
      </c>
      <c r="S787" s="34" t="s">
        <v>955</v>
      </c>
      <c r="T787" s="56" t="s">
        <v>3061</v>
      </c>
      <c r="U787" s="56" t="s">
        <v>3061</v>
      </c>
      <c r="V787" s="56" t="s">
        <v>3061</v>
      </c>
      <c r="W787" s="7"/>
      <c r="X787"/>
    </row>
    <row r="788" spans="1:24" x14ac:dyDescent="0.25">
      <c r="A788" s="26">
        <v>226</v>
      </c>
      <c r="B788" s="1">
        <f>IFERROR(VLOOKUP(ТабПозиции[[#This Row],[orderNum]],ТабЗаказы[#Data],MATCH(B$7,ТабЗаказы[#Headers],0),0),"")</f>
        <v>45530</v>
      </c>
      <c r="C788" t="str">
        <f>MONTH(ТабПозиции[[#This Row],[date]])&amp;"/"&amp;YEAR(ТабПозиции[[#This Row],[date]])</f>
        <v>8/2024</v>
      </c>
      <c r="D788" s="1" t="str">
        <f>IFERROR(VLOOKUP(ТабПозиции[[#This Row],[orderNum]],ТабЗаказы[#Data],MATCH(D$7,ТабЗаказы[#Headers],0),0),"")</f>
        <v>Юля Ларисына</v>
      </c>
      <c r="E788" s="32" t="s">
        <v>1245</v>
      </c>
      <c r="F788" s="56" t="s">
        <v>3061</v>
      </c>
      <c r="H788" s="34">
        <v>45533</v>
      </c>
      <c r="I788" s="26">
        <v>1</v>
      </c>
      <c r="J788" s="26">
        <v>665</v>
      </c>
      <c r="K788">
        <v>665</v>
      </c>
      <c r="L788" s="26">
        <v>701</v>
      </c>
      <c r="M788">
        <f t="shared" si="13"/>
        <v>701</v>
      </c>
      <c r="O78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Row],[orderNum]],ТабПозиции[orderSumm])&gt;1500),ABS(M788*VLOOKUP(ТабПозиции[[#This Row],[orderNum]],ТабЗаказы[#Data],MATCH("Percent",ТабЗаказы[#Headers],0),0))/100,200/COUNTIF(ТабПозиции[orderNum],ТабПозиции[[#This Row],[orderNum]])),0),"")</f>
        <v>105</v>
      </c>
      <c r="P788">
        <f>IF(OR(ТабПозиции[[#This Row],[item]]="По штрихкоду",ТабПозиции[[#This Row],[item]]="Посылка"),ТабПозиции[[#This Row],[deliverySumm]]+ТабПозиции[[#This Row],[deliveryPost]],SUM(M788:O788))</f>
        <v>806</v>
      </c>
      <c r="Q788" s="57">
        <v>806</v>
      </c>
      <c r="R788" s="62">
        <f>ТабПозиции[[#This Row],[totalSumm]]-ТабПозиции[[#This Row],[payment]]</f>
        <v>0</v>
      </c>
      <c r="S788" s="34" t="s">
        <v>965</v>
      </c>
      <c r="T788" s="56" t="s">
        <v>3061</v>
      </c>
      <c r="U788" s="56" t="s">
        <v>3061</v>
      </c>
      <c r="V788" s="56" t="s">
        <v>3061</v>
      </c>
      <c r="W788" s="7"/>
      <c r="X788"/>
    </row>
    <row r="789" spans="1:24" x14ac:dyDescent="0.25">
      <c r="A789" s="26">
        <v>226</v>
      </c>
      <c r="B789" s="1">
        <f>IFERROR(VLOOKUP(ТабПозиции[[#This Row],[orderNum]],ТабЗаказы[#Data],MATCH(B$7,ТабЗаказы[#Headers],0),0),"")</f>
        <v>45530</v>
      </c>
      <c r="C789" t="str">
        <f>MONTH(ТабПозиции[[#This Row],[date]])&amp;"/"&amp;YEAR(ТабПозиции[[#This Row],[date]])</f>
        <v>8/2024</v>
      </c>
      <c r="D789" s="1" t="str">
        <f>IFERROR(VLOOKUP(ТабПозиции[[#This Row],[orderNum]],ТабЗаказы[#Data],MATCH(D$7,ТабЗаказы[#Headers],0),0),"")</f>
        <v>Юля Ларисына</v>
      </c>
      <c r="E789" s="32" t="s">
        <v>1246</v>
      </c>
      <c r="F789" s="56" t="s">
        <v>3061</v>
      </c>
      <c r="H789" s="34">
        <v>45533</v>
      </c>
      <c r="I789" s="26">
        <v>1</v>
      </c>
      <c r="J789" s="26">
        <v>688</v>
      </c>
      <c r="K789">
        <v>688</v>
      </c>
      <c r="L789" s="26">
        <v>725</v>
      </c>
      <c r="M789">
        <f t="shared" si="13"/>
        <v>725</v>
      </c>
      <c r="O78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Row],[orderNum]],ТабПозиции[orderSumm])&gt;1500),ABS(M789*VLOOKUP(ТабПозиции[[#This Row],[orderNum]],ТабЗаказы[#Data],MATCH("Percent",ТабЗаказы[#Headers],0),0))/100,200/COUNTIF(ТабПозиции[orderNum],ТабПозиции[[#This Row],[orderNum]])),0),"")</f>
        <v>109</v>
      </c>
      <c r="P789">
        <f>IF(OR(ТабПозиции[[#This Row],[item]]="По штрихкоду",ТабПозиции[[#This Row],[item]]="Посылка"),ТабПозиции[[#This Row],[deliverySumm]]+ТабПозиции[[#This Row],[deliveryPost]],SUM(M789:O789))</f>
        <v>834</v>
      </c>
      <c r="Q789" s="57">
        <v>834</v>
      </c>
      <c r="R789" s="62">
        <f>ТабПозиции[[#This Row],[totalSumm]]-ТабПозиции[[#This Row],[payment]]</f>
        <v>0</v>
      </c>
      <c r="S789" s="34" t="s">
        <v>965</v>
      </c>
      <c r="T789" s="56" t="s">
        <v>3061</v>
      </c>
      <c r="U789" s="56" t="s">
        <v>3061</v>
      </c>
      <c r="V789" s="56" t="s">
        <v>3061</v>
      </c>
      <c r="W789" s="7"/>
      <c r="X789"/>
    </row>
    <row r="790" spans="1:24" x14ac:dyDescent="0.25">
      <c r="A790" s="26">
        <v>226</v>
      </c>
      <c r="B790" s="1">
        <f>IFERROR(VLOOKUP(ТабПозиции[[#This Row],[orderNum]],ТабЗаказы[#Data],MATCH(B$7,ТабЗаказы[#Headers],0),0),"")</f>
        <v>45530</v>
      </c>
      <c r="C790" t="str">
        <f>MONTH(ТабПозиции[[#This Row],[date]])&amp;"/"&amp;YEAR(ТабПозиции[[#This Row],[date]])</f>
        <v>8/2024</v>
      </c>
      <c r="D790" s="1" t="str">
        <f>IFERROR(VLOOKUP(ТабПозиции[[#This Row],[orderNum]],ТабЗаказы[#Data],MATCH(D$7,ТабЗаказы[#Headers],0),0),"")</f>
        <v>Юля Ларисына</v>
      </c>
      <c r="E790" s="32" t="s">
        <v>1247</v>
      </c>
      <c r="F790" s="56" t="s">
        <v>3061</v>
      </c>
      <c r="H790" s="34">
        <v>45532</v>
      </c>
      <c r="I790" s="26">
        <v>1</v>
      </c>
      <c r="J790" s="26">
        <v>314</v>
      </c>
      <c r="K790">
        <v>314</v>
      </c>
      <c r="L790" s="26">
        <v>331</v>
      </c>
      <c r="M790">
        <f t="shared" si="13"/>
        <v>331</v>
      </c>
      <c r="O79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Row],[orderNum]],ТабПозиции[orderSumm])&gt;1500),ABS(M790*VLOOKUP(ТабПозиции[[#This Row],[orderNum]],ТабЗаказы[#Data],MATCH("Percent",ТабЗаказы[#Headers],0),0))/100,200/COUNTIF(ТабПозиции[orderNum],ТабПозиции[[#This Row],[orderNum]])),0),"")</f>
        <v>50</v>
      </c>
      <c r="P790">
        <f>IF(OR(ТабПозиции[[#This Row],[item]]="По штрихкоду",ТабПозиции[[#This Row],[item]]="Посылка"),ТабПозиции[[#This Row],[deliverySumm]]+ТабПозиции[[#This Row],[deliveryPost]],SUM(M790:O790))</f>
        <v>381</v>
      </c>
      <c r="Q790" s="57">
        <v>381</v>
      </c>
      <c r="R790" s="62">
        <f>ТабПозиции[[#This Row],[totalSumm]]-ТабПозиции[[#This Row],[payment]]</f>
        <v>0</v>
      </c>
      <c r="S790" s="34" t="s">
        <v>965</v>
      </c>
      <c r="T790" s="56" t="s">
        <v>3061</v>
      </c>
      <c r="U790" s="56" t="s">
        <v>3061</v>
      </c>
      <c r="V790" s="56" t="s">
        <v>3061</v>
      </c>
      <c r="W790" s="7"/>
      <c r="X790"/>
    </row>
    <row r="791" spans="1:24" x14ac:dyDescent="0.25">
      <c r="A791" s="26">
        <v>226</v>
      </c>
      <c r="B791" s="1">
        <f>IFERROR(VLOOKUP(ТабПозиции[[#This Row],[orderNum]],ТабЗаказы[#Data],MATCH(B$7,ТабЗаказы[#Headers],0),0),"")</f>
        <v>45530</v>
      </c>
      <c r="C791" t="str">
        <f>MONTH(ТабПозиции[[#This Row],[date]])&amp;"/"&amp;YEAR(ТабПозиции[[#This Row],[date]])</f>
        <v>8/2024</v>
      </c>
      <c r="D791" s="1" t="str">
        <f>IFERROR(VLOOKUP(ТабПозиции[[#This Row],[orderNum]],ТабЗаказы[#Data],MATCH(D$7,ТабЗаказы[#Headers],0),0),"")</f>
        <v>Юля Ларисына</v>
      </c>
      <c r="E791" s="32" t="s">
        <v>1248</v>
      </c>
      <c r="F791" s="56" t="s">
        <v>3061</v>
      </c>
      <c r="H791" s="34">
        <v>45532</v>
      </c>
      <c r="I791" s="26">
        <v>1</v>
      </c>
      <c r="J791" s="26">
        <v>553</v>
      </c>
      <c r="K791">
        <v>553</v>
      </c>
      <c r="L791" s="26">
        <v>583</v>
      </c>
      <c r="M791">
        <f t="shared" si="13"/>
        <v>583</v>
      </c>
      <c r="O79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Row],[orderNum]],ТабПозиции[orderSumm])&gt;1500),ABS(M791*VLOOKUP(ТабПозиции[[#This Row],[orderNum]],ТабЗаказы[#Data],MATCH("Percent",ТабЗаказы[#Headers],0),0))/100,200/COUNTIF(ТабПозиции[orderNum],ТабПозиции[[#This Row],[orderNum]])),0),"")</f>
        <v>87</v>
      </c>
      <c r="P791">
        <f>IF(OR(ТабПозиции[[#This Row],[item]]="По штрихкоду",ТабПозиции[[#This Row],[item]]="Посылка"),ТабПозиции[[#This Row],[deliverySumm]]+ТабПозиции[[#This Row],[deliveryPost]],SUM(M791:O791))</f>
        <v>670</v>
      </c>
      <c r="Q791" s="57">
        <v>670</v>
      </c>
      <c r="R791" s="62">
        <f>ТабПозиции[[#This Row],[totalSumm]]-ТабПозиции[[#This Row],[payment]]</f>
        <v>0</v>
      </c>
      <c r="S791" s="34" t="s">
        <v>965</v>
      </c>
      <c r="T791" s="56" t="s">
        <v>3061</v>
      </c>
      <c r="U791" s="56" t="s">
        <v>3061</v>
      </c>
      <c r="V791" s="56" t="s">
        <v>3061</v>
      </c>
      <c r="W791" s="7"/>
      <c r="X791"/>
    </row>
    <row r="792" spans="1:24" x14ac:dyDescent="0.25">
      <c r="A792" s="26">
        <v>226</v>
      </c>
      <c r="B792" s="1">
        <f>IFERROR(VLOOKUP(ТабПозиции[[#This Row],[orderNum]],ТабЗаказы[#Data],MATCH(B$7,ТабЗаказы[#Headers],0),0),"")</f>
        <v>45530</v>
      </c>
      <c r="C792" t="str">
        <f>MONTH(ТабПозиции[[#This Row],[date]])&amp;"/"&amp;YEAR(ТабПозиции[[#This Row],[date]])</f>
        <v>8/2024</v>
      </c>
      <c r="D792" s="1" t="str">
        <f>IFERROR(VLOOKUP(ТабПозиции[[#This Row],[orderNum]],ТабЗаказы[#Data],MATCH(D$7,ТабЗаказы[#Headers],0),0),"")</f>
        <v>Юля Ларисына</v>
      </c>
      <c r="E792" s="32" t="s">
        <v>1249</v>
      </c>
      <c r="F792" s="56" t="s">
        <v>3061</v>
      </c>
      <c r="H792" s="34">
        <v>45534</v>
      </c>
      <c r="I792" s="26">
        <v>1</v>
      </c>
      <c r="J792" s="26">
        <v>427</v>
      </c>
      <c r="K792">
        <v>427</v>
      </c>
      <c r="L792" s="26">
        <v>450</v>
      </c>
      <c r="M792">
        <f t="shared" si="13"/>
        <v>450</v>
      </c>
      <c r="O79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Row],[orderNum]],ТабПозиции[orderSumm])&gt;1500),ABS(M792*VLOOKUP(ТабПозиции[[#This Row],[orderNum]],ТабЗаказы[#Data],MATCH("Percent",ТабЗаказы[#Headers],0),0))/100,200/COUNTIF(ТабПозиции[orderNum],ТабПозиции[[#This Row],[orderNum]])),0),"")</f>
        <v>68</v>
      </c>
      <c r="P792">
        <f>IF(OR(ТабПозиции[[#This Row],[item]]="По штрихкоду",ТабПозиции[[#This Row],[item]]="Посылка"),ТабПозиции[[#This Row],[deliverySumm]]+ТабПозиции[[#This Row],[deliveryPost]],SUM(M792:O792))</f>
        <v>518</v>
      </c>
      <c r="Q792" s="57">
        <v>518</v>
      </c>
      <c r="R792" s="62">
        <f>ТабПозиции[[#This Row],[totalSumm]]-ТабПозиции[[#This Row],[payment]]</f>
        <v>0</v>
      </c>
      <c r="S792" s="34" t="s">
        <v>965</v>
      </c>
      <c r="T792" s="56" t="s">
        <v>3061</v>
      </c>
      <c r="U792" s="56" t="s">
        <v>3061</v>
      </c>
      <c r="V792" s="56" t="s">
        <v>3061</v>
      </c>
      <c r="W792" s="7"/>
      <c r="X792"/>
    </row>
    <row r="793" spans="1:24" x14ac:dyDescent="0.25">
      <c r="A793" s="26">
        <v>226</v>
      </c>
      <c r="B793" s="1">
        <f>IFERROR(VLOOKUP(ТабПозиции[[#This Row],[orderNum]],ТабЗаказы[#Data],MATCH(B$7,ТабЗаказы[#Headers],0),0),"")</f>
        <v>45530</v>
      </c>
      <c r="C793" t="str">
        <f>MONTH(ТабПозиции[[#This Row],[date]])&amp;"/"&amp;YEAR(ТабПозиции[[#This Row],[date]])</f>
        <v>8/2024</v>
      </c>
      <c r="D793" s="1" t="str">
        <f>IFERROR(VLOOKUP(ТабПозиции[[#This Row],[orderNum]],ТабЗаказы[#Data],MATCH(D$7,ТабЗаказы[#Headers],0),0),"")</f>
        <v>Юля Ларисына</v>
      </c>
      <c r="E793" s="32" t="s">
        <v>1250</v>
      </c>
      <c r="F793" s="56" t="s">
        <v>3061</v>
      </c>
      <c r="H793" s="34">
        <v>45534</v>
      </c>
      <c r="I793" s="26">
        <v>1</v>
      </c>
      <c r="J793" s="26">
        <v>253</v>
      </c>
      <c r="K793">
        <v>253</v>
      </c>
      <c r="L793" s="26">
        <v>267</v>
      </c>
      <c r="M793">
        <f t="shared" si="13"/>
        <v>267</v>
      </c>
      <c r="O79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Row],[orderNum]],ТабПозиции[orderSumm])&gt;1500),ABS(M793*VLOOKUP(ТабПозиции[[#This Row],[orderNum]],ТабЗаказы[#Data],MATCH("Percent",ТабЗаказы[#Headers],0),0))/100,200/COUNTIF(ТабПозиции[orderNum],ТабПозиции[[#This Row],[orderNum]])),0),"")</f>
        <v>40</v>
      </c>
      <c r="P793">
        <f>IF(OR(ТабПозиции[[#This Row],[item]]="По штрихкоду",ТабПозиции[[#This Row],[item]]="Посылка"),ТабПозиции[[#This Row],[deliverySumm]]+ТабПозиции[[#This Row],[deliveryPost]],SUM(M793:O793))</f>
        <v>307</v>
      </c>
      <c r="Q793" s="57">
        <v>307</v>
      </c>
      <c r="R793" s="62">
        <f>ТабПозиции[[#This Row],[totalSumm]]-ТабПозиции[[#This Row],[payment]]</f>
        <v>0</v>
      </c>
      <c r="S793" s="34" t="s">
        <v>965</v>
      </c>
      <c r="T793" s="56" t="s">
        <v>3061</v>
      </c>
      <c r="U793" s="56" t="s">
        <v>3061</v>
      </c>
      <c r="V793" s="56" t="s">
        <v>3061</v>
      </c>
      <c r="W793" s="7"/>
      <c r="X793"/>
    </row>
    <row r="794" spans="1:24" x14ac:dyDescent="0.25">
      <c r="A794" s="26">
        <v>226</v>
      </c>
      <c r="B794" s="1">
        <f>IFERROR(VLOOKUP(ТабПозиции[[#This Row],[orderNum]],ТабЗаказы[#Data],MATCH(B$7,ТабЗаказы[#Headers],0),0),"")</f>
        <v>45530</v>
      </c>
      <c r="C794" t="str">
        <f>MONTH(ТабПозиции[[#This Row],[date]])&amp;"/"&amp;YEAR(ТабПозиции[[#This Row],[date]])</f>
        <v>8/2024</v>
      </c>
      <c r="D794" s="1" t="str">
        <f>IFERROR(VLOOKUP(ТабПозиции[[#This Row],[orderNum]],ТабЗаказы[#Data],MATCH(D$7,ТабЗаказы[#Headers],0),0),"")</f>
        <v>Юля Ларисына</v>
      </c>
      <c r="E794" s="32" t="s">
        <v>1251</v>
      </c>
      <c r="F794" s="56" t="s">
        <v>3061</v>
      </c>
      <c r="H794" s="34">
        <v>45532</v>
      </c>
      <c r="I794" s="26">
        <v>1</v>
      </c>
      <c r="J794" s="26">
        <v>169</v>
      </c>
      <c r="K794">
        <v>169</v>
      </c>
      <c r="L794" s="26">
        <v>178</v>
      </c>
      <c r="M794">
        <f t="shared" si="13"/>
        <v>178</v>
      </c>
      <c r="O79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Row],[orderNum]],ТабПозиции[orderSumm])&gt;1500),ABS(M794*VLOOKUP(ТабПозиции[[#This Row],[orderNum]],ТабЗаказы[#Data],MATCH("Percent",ТабЗаказы[#Headers],0),0))/100,200/COUNTIF(ТабПозиции[orderNum],ТабПозиции[[#This Row],[orderNum]])),0),"")</f>
        <v>27</v>
      </c>
      <c r="P794">
        <f>IF(OR(ТабПозиции[[#This Row],[item]]="По штрихкоду",ТабПозиции[[#This Row],[item]]="Посылка"),ТабПозиции[[#This Row],[deliverySumm]]+ТабПозиции[[#This Row],[deliveryPost]],SUM(M794:O794))</f>
        <v>205</v>
      </c>
      <c r="Q794" s="57">
        <v>205</v>
      </c>
      <c r="R794" s="62">
        <f>ТабПозиции[[#This Row],[totalSumm]]-ТабПозиции[[#This Row],[payment]]</f>
        <v>0</v>
      </c>
      <c r="S794" s="34" t="s">
        <v>965</v>
      </c>
      <c r="T794" s="56" t="s">
        <v>3061</v>
      </c>
      <c r="U794" s="56" t="s">
        <v>3061</v>
      </c>
      <c r="V794" s="56" t="s">
        <v>3061</v>
      </c>
      <c r="W794" s="7"/>
      <c r="X794"/>
    </row>
    <row r="795" spans="1:24" x14ac:dyDescent="0.25">
      <c r="A795" s="26">
        <v>226</v>
      </c>
      <c r="B795" s="1">
        <f>IFERROR(VLOOKUP(ТабПозиции[[#This Row],[orderNum]],ТабЗаказы[#Data],MATCH(B$7,ТабЗаказы[#Headers],0),0),"")</f>
        <v>45530</v>
      </c>
      <c r="C795" t="str">
        <f>MONTH(ТабПозиции[[#This Row],[date]])&amp;"/"&amp;YEAR(ТабПозиции[[#This Row],[date]])</f>
        <v>8/2024</v>
      </c>
      <c r="D795" s="1" t="str">
        <f>IFERROR(VLOOKUP(ТабПозиции[[#This Row],[orderNum]],ТабЗаказы[#Data],MATCH(D$7,ТабЗаказы[#Headers],0),0),"")</f>
        <v>Юля Ларисына</v>
      </c>
      <c r="E795" s="32" t="s">
        <v>981</v>
      </c>
      <c r="F795" s="56" t="s">
        <v>3061</v>
      </c>
      <c r="H795" s="34">
        <v>45532</v>
      </c>
      <c r="I795" s="26">
        <v>1</v>
      </c>
      <c r="J795" s="26">
        <v>493</v>
      </c>
      <c r="K795">
        <v>493</v>
      </c>
      <c r="L795" s="26">
        <v>519</v>
      </c>
      <c r="M795">
        <f t="shared" si="13"/>
        <v>519</v>
      </c>
      <c r="O79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Row],[orderNum]],ТабПозиции[orderSumm])&gt;1500),ABS(M795*VLOOKUP(ТабПозиции[[#This Row],[orderNum]],ТабЗаказы[#Data],MATCH("Percent",ТабЗаказы[#Headers],0),0))/100,200/COUNTIF(ТабПозиции[orderNum],ТабПозиции[[#This Row],[orderNum]])),0),"")</f>
        <v>78</v>
      </c>
      <c r="P795">
        <f>IF(OR(ТабПозиции[[#This Row],[item]]="По штрихкоду",ТабПозиции[[#This Row],[item]]="Посылка"),ТабПозиции[[#This Row],[deliverySumm]]+ТабПозиции[[#This Row],[deliveryPost]],SUM(M795:O795))</f>
        <v>597</v>
      </c>
      <c r="Q795" s="57">
        <v>597</v>
      </c>
      <c r="R795" s="62">
        <f>ТабПозиции[[#This Row],[totalSumm]]-ТабПозиции[[#This Row],[payment]]</f>
        <v>0</v>
      </c>
      <c r="S795" s="34" t="s">
        <v>965</v>
      </c>
      <c r="T795" s="56" t="s">
        <v>3061</v>
      </c>
      <c r="U795" s="56" t="s">
        <v>3061</v>
      </c>
      <c r="V795" s="56" t="s">
        <v>3061</v>
      </c>
      <c r="W795" s="7"/>
      <c r="X795"/>
    </row>
    <row r="796" spans="1:24" x14ac:dyDescent="0.25">
      <c r="A796" s="26">
        <v>227</v>
      </c>
      <c r="B796" s="1">
        <f>IFERROR(VLOOKUP(ТабПозиции[[#This Row],[orderNum]],ТабЗаказы[#Data],MATCH(B$7,ТабЗаказы[#Headers],0),0),"")</f>
        <v>45531</v>
      </c>
      <c r="C796" t="str">
        <f>MONTH(ТабПозиции[[#This Row],[date]])&amp;"/"&amp;YEAR(ТабПозиции[[#This Row],[date]])</f>
        <v>8/2024</v>
      </c>
      <c r="D796" s="1" t="str">
        <f>IFERROR(VLOOKUP(ТабПозиции[[#This Row],[orderNum]],ТабЗаказы[#Data],MATCH(D$7,ТабЗаказы[#Headers],0),0),"")</f>
        <v>Андрей Бердянское</v>
      </c>
      <c r="E796" s="26" t="s">
        <v>815</v>
      </c>
      <c r="F796" s="56" t="s">
        <v>3061</v>
      </c>
      <c r="G796" s="28" t="s">
        <v>1252</v>
      </c>
      <c r="H796" s="34">
        <v>45535</v>
      </c>
      <c r="I796" s="26">
        <v>1</v>
      </c>
      <c r="J796" s="26">
        <v>19000</v>
      </c>
      <c r="K796">
        <v>19000</v>
      </c>
      <c r="L796" s="26">
        <v>19000</v>
      </c>
      <c r="M796">
        <f t="shared" si="13"/>
        <v>19000</v>
      </c>
      <c r="O79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Row],[orderNum]],ТабПозиции[orderSumm])&gt;1500),ABS(M796*VLOOKUP(ТабПозиции[[#This Row],[orderNum]],ТабЗаказы[#Data],MATCH("Percent",ТабЗаказы[#Headers],0),0))/100,200/COUNTIF(ТабПозиции[orderNum],ТабПозиции[[#This Row],[orderNum]])),0),"")</f>
        <v>1900</v>
      </c>
      <c r="P796">
        <f>IF(OR(ТабПозиции[[#This Row],[item]]="По штрихкоду",ТабПозиции[[#This Row],[item]]="Посылка"),ТабПозиции[[#This Row],[deliverySumm]]+ТабПозиции[[#This Row],[deliveryPost]],SUM(M796:O796))</f>
        <v>1900</v>
      </c>
      <c r="Q796" s="57">
        <v>1900</v>
      </c>
      <c r="R796" s="62">
        <f>ТабПозиции[[#This Row],[totalSumm]]-ТабПозиции[[#This Row],[payment]]</f>
        <v>0</v>
      </c>
      <c r="S796" s="34" t="s">
        <v>1016</v>
      </c>
      <c r="T796" s="56" t="s">
        <v>3061</v>
      </c>
      <c r="U796" s="56" t="s">
        <v>3061</v>
      </c>
      <c r="V796" s="56" t="s">
        <v>3061</v>
      </c>
      <c r="W796" s="7"/>
      <c r="X796"/>
    </row>
    <row r="797" spans="1:24" x14ac:dyDescent="0.25">
      <c r="A797" s="26">
        <v>191</v>
      </c>
      <c r="B797" s="1">
        <f>IFERROR(VLOOKUP(ТабПозиции[[#This Row],[orderNum]],ТабЗаказы[#Data],MATCH(B$7,ТабЗаказы[#Headers],0),0),"")</f>
        <v>45523</v>
      </c>
      <c r="C797" t="str">
        <f>MONTH(ТабПозиции[[#This Row],[date]])&amp;"/"&amp;YEAR(ТабПозиции[[#This Row],[date]])</f>
        <v>8/2024</v>
      </c>
      <c r="D797" s="1" t="str">
        <f>IFERROR(VLOOKUP(ТабПозиции[[#This Row],[orderNum]],ТабЗаказы[#Data],MATCH(D$7,ТабЗаказы[#Headers],0),0),"")</f>
        <v>Максим телевизор</v>
      </c>
      <c r="E797" s="26" t="s">
        <v>815</v>
      </c>
      <c r="F797" s="56" t="s">
        <v>3061</v>
      </c>
      <c r="G797" s="28" t="s">
        <v>1253</v>
      </c>
      <c r="H797" s="34">
        <v>45532</v>
      </c>
      <c r="I797" s="26">
        <v>1</v>
      </c>
      <c r="J797" s="26">
        <v>10000</v>
      </c>
      <c r="K797">
        <v>10000</v>
      </c>
      <c r="L797" s="26">
        <v>10000</v>
      </c>
      <c r="M797">
        <f t="shared" ref="M797:M858" si="14">L797*I797</f>
        <v>10000</v>
      </c>
      <c r="N797" s="26">
        <v>859</v>
      </c>
      <c r="O79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Row],[orderNum]],ТабПозиции[orderSumm])&gt;1500),ABS(M797*VLOOKUP(ТабПозиции[[#This Row],[orderNum]],ТабЗаказы[#Data],MATCH("Percent",ТабЗаказы[#Headers],0),0))/100,200/COUNTIF(ТабПозиции[orderNum],ТабПозиции[[#This Row],[orderNum]])),0),"")</f>
        <v>1000</v>
      </c>
      <c r="P797">
        <f>IF(OR(ТабПозиции[[#This Row],[item]]="По штрихкоду",ТабПозиции[[#This Row],[item]]="Посылка"),ТабПозиции[[#This Row],[deliverySumm]]+ТабПозиции[[#This Row],[deliveryPost]],SUM(M797:O797))</f>
        <v>1859</v>
      </c>
      <c r="Q797" s="57">
        <v>1859</v>
      </c>
      <c r="R797" s="62">
        <f>ТабПозиции[[#This Row],[totalSumm]]-ТабПозиции[[#This Row],[payment]]</f>
        <v>0</v>
      </c>
      <c r="S797" s="34" t="s">
        <v>1016</v>
      </c>
      <c r="T797" s="56" t="s">
        <v>3061</v>
      </c>
      <c r="U797" s="56" t="s">
        <v>3061</v>
      </c>
      <c r="V797" s="56" t="s">
        <v>3061</v>
      </c>
      <c r="W797" s="7"/>
      <c r="X797"/>
    </row>
    <row r="798" spans="1:24" x14ac:dyDescent="0.25">
      <c r="A798" s="26">
        <v>197</v>
      </c>
      <c r="B798" s="1">
        <f>IFERROR(VLOOKUP(ТабПозиции[[#This Row],[orderNum]],ТабЗаказы[#Data],MATCH(B$7,ТабЗаказы[#Headers],0),0),"")</f>
        <v>45532</v>
      </c>
      <c r="C798" t="str">
        <f>MONTH(ТабПозиции[[#This Row],[date]])&amp;"/"&amp;YEAR(ТабПозиции[[#This Row],[date]])</f>
        <v>8/2024</v>
      </c>
      <c r="D798" s="1" t="str">
        <f>IFERROR(VLOOKUP(ТабПозиции[[#This Row],[orderNum]],ТабЗаказы[#Data],MATCH(D$7,ТабЗаказы[#Headers],0),0),"")</f>
        <v>Руденко Юля</v>
      </c>
      <c r="E798" s="32" t="s">
        <v>1254</v>
      </c>
      <c r="F798" s="56" t="s">
        <v>3061</v>
      </c>
      <c r="H798" s="34">
        <v>45535</v>
      </c>
      <c r="I798" s="26">
        <v>1</v>
      </c>
      <c r="J798" s="26">
        <v>117</v>
      </c>
      <c r="K798">
        <v>117</v>
      </c>
      <c r="L798" s="26">
        <v>124</v>
      </c>
      <c r="M798">
        <f t="shared" si="14"/>
        <v>124</v>
      </c>
      <c r="O79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Row],[orderNum]],ТабПозиции[orderSumm])&gt;1500),ABS(M798*VLOOKUP(ТабПозиции[[#This Row],[orderNum]],ТабЗаказы[#Data],MATCH("Percent",ТабЗаказы[#Headers],0),0))/100,200/COUNTIF(ТабПозиции[orderNum],ТабПозиции[[#This Row],[orderNum]])),0),"")</f>
        <v>33</v>
      </c>
      <c r="P798">
        <f>IF(OR(ТабПозиции[[#This Row],[item]]="По штрихкоду",ТабПозиции[[#This Row],[item]]="Посылка"),ТабПозиции[[#This Row],[deliverySumm]]+ТабПозиции[[#This Row],[deliveryPost]],SUM(M798:O798))</f>
        <v>157</v>
      </c>
      <c r="Q798" s="57">
        <v>157</v>
      </c>
      <c r="R798" s="62">
        <f>ТабПозиции[[#This Row],[totalSumm]]-ТабПозиции[[#This Row],[payment]]</f>
        <v>0</v>
      </c>
      <c r="S798" s="34" t="s">
        <v>965</v>
      </c>
      <c r="T798" s="56" t="s">
        <v>3061</v>
      </c>
      <c r="U798" s="56" t="s">
        <v>3061</v>
      </c>
      <c r="V798" s="56" t="s">
        <v>3061</v>
      </c>
      <c r="W798" s="7"/>
      <c r="X798"/>
    </row>
    <row r="799" spans="1:24" x14ac:dyDescent="0.25">
      <c r="A799" s="26">
        <v>197</v>
      </c>
      <c r="B799" s="1">
        <f>IFERROR(VLOOKUP(ТабПозиции[[#This Row],[orderNum]],ТабЗаказы[#Data],MATCH(B$7,ТабЗаказы[#Headers],0),0),"")</f>
        <v>45532</v>
      </c>
      <c r="C799" t="str">
        <f>MONTH(ТабПозиции[[#This Row],[date]])&amp;"/"&amp;YEAR(ТабПозиции[[#This Row],[date]])</f>
        <v>8/2024</v>
      </c>
      <c r="D799" s="1" t="str">
        <f>IFERROR(VLOOKUP(ТабПозиции[[#This Row],[orderNum]],ТабЗаказы[#Data],MATCH(D$7,ТабЗаказы[#Headers],0),0),"")</f>
        <v>Руденко Юля</v>
      </c>
      <c r="E799" s="32" t="s">
        <v>1255</v>
      </c>
      <c r="F799" s="56" t="s">
        <v>3061</v>
      </c>
      <c r="H799" s="34">
        <v>45536</v>
      </c>
      <c r="I799" s="26">
        <v>1</v>
      </c>
      <c r="J799" s="26">
        <v>135</v>
      </c>
      <c r="K799">
        <v>135</v>
      </c>
      <c r="L799" s="26">
        <v>143</v>
      </c>
      <c r="M799">
        <f t="shared" si="14"/>
        <v>143</v>
      </c>
      <c r="O79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Row],[orderNum]],ТабПозиции[orderSumm])&gt;1500),ABS(M799*VLOOKUP(ТабПозиции[[#This Row],[orderNum]],ТабЗаказы[#Data],MATCH("Percent",ТабЗаказы[#Headers],0),0))/100,200/COUNTIF(ТабПозиции[orderNum],ТабПозиции[[#This Row],[orderNum]])),0),"")</f>
        <v>33</v>
      </c>
      <c r="P799">
        <f>IF(OR(ТабПозиции[[#This Row],[item]]="По штрихкоду",ТабПозиции[[#This Row],[item]]="Посылка"),ТабПозиции[[#This Row],[deliverySumm]]+ТабПозиции[[#This Row],[deliveryPost]],SUM(M799:O799))</f>
        <v>176</v>
      </c>
      <c r="Q799" s="57">
        <v>176</v>
      </c>
      <c r="R799" s="62">
        <f>ТабПозиции[[#This Row],[totalSumm]]-ТабПозиции[[#This Row],[payment]]</f>
        <v>0</v>
      </c>
      <c r="S799" s="34" t="s">
        <v>965</v>
      </c>
      <c r="T799" s="56" t="s">
        <v>3061</v>
      </c>
      <c r="U799" s="56" t="s">
        <v>3061</v>
      </c>
      <c r="V799" s="56" t="s">
        <v>3061</v>
      </c>
      <c r="W799" s="7"/>
      <c r="X799"/>
    </row>
    <row r="800" spans="1:24" x14ac:dyDescent="0.25">
      <c r="A800" s="26">
        <v>197</v>
      </c>
      <c r="B800" s="1">
        <f>IFERROR(VLOOKUP(ТабПозиции[[#This Row],[orderNum]],ТабЗаказы[#Data],MATCH(B$7,ТабЗаказы[#Headers],0),0),"")</f>
        <v>45532</v>
      </c>
      <c r="C800" t="str">
        <f>MONTH(ТабПозиции[[#This Row],[date]])&amp;"/"&amp;YEAR(ТабПозиции[[#This Row],[date]])</f>
        <v>8/2024</v>
      </c>
      <c r="D800" s="1" t="str">
        <f>IFERROR(VLOOKUP(ТабПозиции[[#This Row],[orderNum]],ТабЗаказы[#Data],MATCH(D$7,ТабЗаказы[#Headers],0),0),"")</f>
        <v>Руденко Юля</v>
      </c>
      <c r="E800" s="32" t="s">
        <v>1256</v>
      </c>
      <c r="F800" s="56" t="s">
        <v>3061</v>
      </c>
      <c r="H800" s="34">
        <v>45535</v>
      </c>
      <c r="I800" s="26">
        <v>1</v>
      </c>
      <c r="J800" s="26">
        <v>122</v>
      </c>
      <c r="K800">
        <v>122</v>
      </c>
      <c r="L800" s="26">
        <v>129</v>
      </c>
      <c r="M800">
        <f t="shared" si="14"/>
        <v>129</v>
      </c>
      <c r="O80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Row],[orderNum]],ТабПозиции[orderSumm])&gt;1500),ABS(M800*VLOOKUP(ТабПозиции[[#This Row],[orderNum]],ТабЗаказы[#Data],MATCH("Percent",ТабЗаказы[#Headers],0),0))/100,200/COUNTIF(ТабПозиции[orderNum],ТабПозиции[[#This Row],[orderNum]])),0),"")</f>
        <v>33</v>
      </c>
      <c r="P800">
        <f>IF(OR(ТабПозиции[[#This Row],[item]]="По штрихкоду",ТабПозиции[[#This Row],[item]]="Посылка"),ТабПозиции[[#This Row],[deliverySumm]]+ТабПозиции[[#This Row],[deliveryPost]],SUM(M800:O800))</f>
        <v>162</v>
      </c>
      <c r="Q800" s="57">
        <v>162</v>
      </c>
      <c r="R800" s="62">
        <f>ТабПозиции[[#This Row],[totalSumm]]-ТабПозиции[[#This Row],[payment]]</f>
        <v>0</v>
      </c>
      <c r="S800" s="34" t="s">
        <v>965</v>
      </c>
      <c r="T800" s="56" t="s">
        <v>3061</v>
      </c>
      <c r="U800" s="56" t="s">
        <v>3061</v>
      </c>
      <c r="V800" s="56" t="s">
        <v>3061</v>
      </c>
      <c r="W800" s="7"/>
      <c r="X800"/>
    </row>
    <row r="801" spans="1:24" x14ac:dyDescent="0.25">
      <c r="A801" s="26">
        <v>197</v>
      </c>
      <c r="B801" s="1">
        <f>IFERROR(VLOOKUP(ТабПозиции[[#This Row],[orderNum]],ТабЗаказы[#Data],MATCH(B$7,ТабЗаказы[#Headers],0),0),"")</f>
        <v>45532</v>
      </c>
      <c r="C801" t="str">
        <f>MONTH(ТабПозиции[[#This Row],[date]])&amp;"/"&amp;YEAR(ТабПозиции[[#This Row],[date]])</f>
        <v>8/2024</v>
      </c>
      <c r="D801" s="1" t="str">
        <f>IFERROR(VLOOKUP(ТабПозиции[[#This Row],[orderNum]],ТабЗаказы[#Data],MATCH(D$7,ТабЗаказы[#Headers],0),0),"")</f>
        <v>Руденко Юля</v>
      </c>
      <c r="E801" s="32" t="s">
        <v>1257</v>
      </c>
      <c r="F801" s="56" t="s">
        <v>3061</v>
      </c>
      <c r="H801" s="34">
        <v>45535</v>
      </c>
      <c r="I801" s="26">
        <v>1</v>
      </c>
      <c r="J801" s="26">
        <v>128</v>
      </c>
      <c r="K801">
        <v>128</v>
      </c>
      <c r="L801" s="26">
        <v>135</v>
      </c>
      <c r="M801">
        <f t="shared" si="14"/>
        <v>135</v>
      </c>
      <c r="O80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Row],[orderNum]],ТабПозиции[orderSumm])&gt;1500),ABS(M801*VLOOKUP(ТабПозиции[[#This Row],[orderNum]],ТабЗаказы[#Data],MATCH("Percent",ТабЗаказы[#Headers],0),0))/100,200/COUNTIF(ТабПозиции[orderNum],ТабПозиции[[#This Row],[orderNum]])),0),"")</f>
        <v>33</v>
      </c>
      <c r="P801">
        <f>IF(OR(ТабПозиции[[#This Row],[item]]="По штрихкоду",ТабПозиции[[#This Row],[item]]="Посылка"),ТабПозиции[[#This Row],[deliverySumm]]+ТабПозиции[[#This Row],[deliveryPost]],SUM(M801:O801))</f>
        <v>168</v>
      </c>
      <c r="Q801" s="57">
        <v>168</v>
      </c>
      <c r="R801" s="62">
        <f>ТабПозиции[[#This Row],[totalSumm]]-ТабПозиции[[#This Row],[payment]]</f>
        <v>0</v>
      </c>
      <c r="S801" s="34" t="s">
        <v>965</v>
      </c>
      <c r="T801" s="56" t="s">
        <v>3061</v>
      </c>
      <c r="U801" s="56" t="s">
        <v>3061</v>
      </c>
      <c r="V801" s="56" t="s">
        <v>3061</v>
      </c>
      <c r="W801" s="7"/>
      <c r="X801"/>
    </row>
    <row r="802" spans="1:24" x14ac:dyDescent="0.25">
      <c r="A802" s="26">
        <v>197</v>
      </c>
      <c r="B802" s="1">
        <f>IFERROR(VLOOKUP(ТабПозиции[[#This Row],[orderNum]],ТабЗаказы[#Data],MATCH(B$7,ТабЗаказы[#Headers],0),0),"")</f>
        <v>45532</v>
      </c>
      <c r="C802" t="str">
        <f>MONTH(ТабПозиции[[#This Row],[date]])&amp;"/"&amp;YEAR(ТабПозиции[[#This Row],[date]])</f>
        <v>8/2024</v>
      </c>
      <c r="D802" s="1" t="str">
        <f>IFERROR(VLOOKUP(ТабПозиции[[#This Row],[orderNum]],ТабЗаказы[#Data],MATCH(D$7,ТабЗаказы[#Headers],0),0),"")</f>
        <v>Руденко Юля</v>
      </c>
      <c r="E802" s="32" t="s">
        <v>1258</v>
      </c>
      <c r="F802" s="56" t="s">
        <v>3061</v>
      </c>
      <c r="H802" s="34">
        <v>45539</v>
      </c>
      <c r="I802" s="26">
        <v>1</v>
      </c>
      <c r="J802" s="26">
        <v>140</v>
      </c>
      <c r="K802">
        <v>140</v>
      </c>
      <c r="L802" s="26">
        <v>148</v>
      </c>
      <c r="M802">
        <f t="shared" si="14"/>
        <v>148</v>
      </c>
      <c r="O80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Row],[orderNum]],ТабПозиции[orderSumm])&gt;1500),ABS(M802*VLOOKUP(ТабПозиции[[#This Row],[orderNum]],ТабЗаказы[#Data],MATCH("Percent",ТабЗаказы[#Headers],0),0))/100,200/COUNTIF(ТабПозиции[orderNum],ТабПозиции[[#This Row],[orderNum]])),0),"")</f>
        <v>33</v>
      </c>
      <c r="P802">
        <f>IF(OR(ТабПозиции[[#This Row],[item]]="По штрихкоду",ТабПозиции[[#This Row],[item]]="Посылка"),ТабПозиции[[#This Row],[deliverySumm]]+ТабПозиции[[#This Row],[deliveryPost]],SUM(M802:O802))</f>
        <v>181</v>
      </c>
      <c r="Q802" s="57">
        <v>181</v>
      </c>
      <c r="R802" s="62">
        <f>ТабПозиции[[#This Row],[totalSumm]]-ТабПозиции[[#This Row],[payment]]</f>
        <v>0</v>
      </c>
      <c r="S802" s="34" t="s">
        <v>965</v>
      </c>
      <c r="T802" s="56" t="s">
        <v>3061</v>
      </c>
      <c r="U802" s="56" t="s">
        <v>3061</v>
      </c>
      <c r="V802" s="56" t="s">
        <v>3061</v>
      </c>
      <c r="W802" s="7"/>
      <c r="X802"/>
    </row>
    <row r="803" spans="1:24" x14ac:dyDescent="0.25">
      <c r="A803" s="26">
        <v>197</v>
      </c>
      <c r="B803" s="1">
        <f>IFERROR(VLOOKUP(ТабПозиции[[#This Row],[orderNum]],ТабЗаказы[#Data],MATCH(B$7,ТабЗаказы[#Headers],0),0),"")</f>
        <v>45532</v>
      </c>
      <c r="C803" t="str">
        <f>MONTH(ТабПозиции[[#This Row],[date]])&amp;"/"&amp;YEAR(ТабПозиции[[#This Row],[date]])</f>
        <v>8/2024</v>
      </c>
      <c r="D803" s="1" t="str">
        <f>IFERROR(VLOOKUP(ТабПозиции[[#This Row],[orderNum]],ТабЗаказы[#Data],MATCH(D$7,ТабЗаказы[#Headers],0),0),"")</f>
        <v>Руденко Юля</v>
      </c>
      <c r="E803" s="32" t="s">
        <v>1259</v>
      </c>
      <c r="F803" s="56" t="s">
        <v>3061</v>
      </c>
      <c r="H803" s="34">
        <v>45535</v>
      </c>
      <c r="I803" s="26">
        <v>1</v>
      </c>
      <c r="J803" s="26">
        <v>128</v>
      </c>
      <c r="K803">
        <v>128</v>
      </c>
      <c r="L803" s="26">
        <v>135</v>
      </c>
      <c r="M803">
        <f t="shared" si="14"/>
        <v>135</v>
      </c>
      <c r="O80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Row],[orderNum]],ТабПозиции[orderSumm])&gt;1500),ABS(M803*VLOOKUP(ТабПозиции[[#This Row],[orderNum]],ТабЗаказы[#Data],MATCH("Percent",ТабЗаказы[#Headers],0),0))/100,200/COUNTIF(ТабПозиции[orderNum],ТабПозиции[[#This Row],[orderNum]])),0),"")</f>
        <v>33</v>
      </c>
      <c r="P803">
        <f>IF(OR(ТабПозиции[[#This Row],[item]]="По штрихкоду",ТабПозиции[[#This Row],[item]]="Посылка"),ТабПозиции[[#This Row],[deliverySumm]]+ТабПозиции[[#This Row],[deliveryPost]],SUM(M803:O803))</f>
        <v>168</v>
      </c>
      <c r="Q803" s="57">
        <v>168</v>
      </c>
      <c r="R803" s="62">
        <f>ТабПозиции[[#This Row],[totalSumm]]-ТабПозиции[[#This Row],[payment]]</f>
        <v>0</v>
      </c>
      <c r="S803" s="34" t="s">
        <v>965</v>
      </c>
      <c r="T803" s="56" t="s">
        <v>3061</v>
      </c>
      <c r="U803" s="56" t="s">
        <v>3061</v>
      </c>
      <c r="V803" s="56" t="s">
        <v>3061</v>
      </c>
      <c r="W803" s="7"/>
      <c r="X803"/>
    </row>
    <row r="804" spans="1:24" x14ac:dyDescent="0.25">
      <c r="A804" s="26">
        <v>222</v>
      </c>
      <c r="B804" s="1">
        <f>IFERROR(VLOOKUP(ТабПозиции[[#This Row],[orderNum]],ТабЗаказы[#Data],MATCH(B$7,ТабЗаказы[#Headers],0),0),"")</f>
        <v>45527</v>
      </c>
      <c r="C804" t="str">
        <f>MONTH(ТабПозиции[[#This Row],[date]])&amp;"/"&amp;YEAR(ТабПозиции[[#This Row],[date]])</f>
        <v>8/2024</v>
      </c>
      <c r="D804" s="1" t="str">
        <f>IFERROR(VLOOKUP(ТабПозиции[[#This Row],[orderNum]],ТабЗаказы[#Data],MATCH(D$7,ТабЗаказы[#Headers],0),0),"")</f>
        <v>Елена Ларисына</v>
      </c>
      <c r="E804" s="32" t="s">
        <v>1260</v>
      </c>
      <c r="F804" s="56" t="s">
        <v>3061</v>
      </c>
      <c r="H804" s="34">
        <v>45535</v>
      </c>
      <c r="I804" s="26">
        <v>1</v>
      </c>
      <c r="J804" s="26">
        <v>398</v>
      </c>
      <c r="K804">
        <v>398</v>
      </c>
      <c r="L804" s="26">
        <v>406</v>
      </c>
      <c r="M804">
        <f t="shared" si="14"/>
        <v>406</v>
      </c>
      <c r="O80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Row],[orderNum]],ТабПозиции[orderSumm])&gt;1500),ABS(M804*VLOOKUP(ТабПозиции[[#This Row],[orderNum]],ТабЗаказы[#Data],MATCH("Percent",ТабЗаказы[#Headers],0),0))/100,200/COUNTIF(ТабПозиции[orderNum],ТабПозиции[[#This Row],[orderNum]])),0),"")</f>
        <v>61</v>
      </c>
      <c r="P804">
        <f>IF(OR(ТабПозиции[[#This Row],[item]]="По штрихкоду",ТабПозиции[[#This Row],[item]]="Посылка"),ТабПозиции[[#This Row],[deliverySumm]]+ТабПозиции[[#This Row],[deliveryPost]],SUM(M804:O804))</f>
        <v>467</v>
      </c>
      <c r="Q804" s="57">
        <v>467</v>
      </c>
      <c r="R804" s="62">
        <f>ТабПозиции[[#This Row],[totalSumm]]-ТабПозиции[[#This Row],[payment]]</f>
        <v>0</v>
      </c>
      <c r="S804" s="34" t="s">
        <v>955</v>
      </c>
      <c r="T804" s="56" t="s">
        <v>3061</v>
      </c>
      <c r="U804" s="56" t="s">
        <v>3061</v>
      </c>
      <c r="V804" s="56" t="s">
        <v>3061</v>
      </c>
      <c r="W804" s="7"/>
      <c r="X804"/>
    </row>
    <row r="805" spans="1:24" x14ac:dyDescent="0.25">
      <c r="A805" s="26">
        <v>222</v>
      </c>
      <c r="B805" s="1">
        <f>IFERROR(VLOOKUP(ТабПозиции[[#This Row],[orderNum]],ТабЗаказы[#Data],MATCH(B$7,ТабЗаказы[#Headers],0),0),"")</f>
        <v>45527</v>
      </c>
      <c r="C805" t="str">
        <f>MONTH(ТабПозиции[[#This Row],[date]])&amp;"/"&amp;YEAR(ТабПозиции[[#This Row],[date]])</f>
        <v>8/2024</v>
      </c>
      <c r="D805" s="1" t="str">
        <f>IFERROR(VLOOKUP(ТабПозиции[[#This Row],[orderNum]],ТабЗаказы[#Data],MATCH(D$7,ТабЗаказы[#Headers],0),0),"")</f>
        <v>Елена Ларисына</v>
      </c>
      <c r="E805" s="32" t="s">
        <v>1261</v>
      </c>
      <c r="F805" s="56" t="s">
        <v>3061</v>
      </c>
      <c r="H805" s="34">
        <v>45535</v>
      </c>
      <c r="I805" s="26">
        <v>1</v>
      </c>
      <c r="J805" s="26">
        <v>147</v>
      </c>
      <c r="K805">
        <v>147</v>
      </c>
      <c r="L805" s="26">
        <v>150</v>
      </c>
      <c r="M805">
        <f t="shared" si="14"/>
        <v>150</v>
      </c>
      <c r="O80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Row],[orderNum]],ТабПозиции[orderSumm])&gt;1500),ABS(M805*VLOOKUP(ТабПозиции[[#This Row],[orderNum]],ТабЗаказы[#Data],MATCH("Percent",ТабЗаказы[#Headers],0),0))/100,200/COUNTIF(ТабПозиции[orderNum],ТабПозиции[[#This Row],[orderNum]])),0),"")</f>
        <v>23</v>
      </c>
      <c r="P805">
        <f>IF(OR(ТабПозиции[[#This Row],[item]]="По штрихкоду",ТабПозиции[[#This Row],[item]]="Посылка"),ТабПозиции[[#This Row],[deliverySumm]]+ТабПозиции[[#This Row],[deliveryPost]],SUM(M805:O805))</f>
        <v>173</v>
      </c>
      <c r="Q805" s="57">
        <v>173</v>
      </c>
      <c r="R805" s="62">
        <f>ТабПозиции[[#This Row],[totalSumm]]-ТабПозиции[[#This Row],[payment]]</f>
        <v>0</v>
      </c>
      <c r="S805" s="34" t="s">
        <v>955</v>
      </c>
      <c r="T805" s="56" t="s">
        <v>3061</v>
      </c>
      <c r="U805" s="56" t="s">
        <v>3061</v>
      </c>
      <c r="V805" s="56" t="s">
        <v>3061</v>
      </c>
      <c r="W805" s="7"/>
      <c r="X805"/>
    </row>
    <row r="806" spans="1:24" x14ac:dyDescent="0.25">
      <c r="A806" s="26">
        <v>222</v>
      </c>
      <c r="B806" s="1">
        <f>IFERROR(VLOOKUP(ТабПозиции[[#This Row],[orderNum]],ТабЗаказы[#Data],MATCH(B$7,ТабЗаказы[#Headers],0),0),"")</f>
        <v>45527</v>
      </c>
      <c r="C806" t="str">
        <f>MONTH(ТабПозиции[[#This Row],[date]])&amp;"/"&amp;YEAR(ТабПозиции[[#This Row],[date]])</f>
        <v>8/2024</v>
      </c>
      <c r="D806" s="1" t="str">
        <f>IFERROR(VLOOKUP(ТабПозиции[[#This Row],[orderNum]],ТабЗаказы[#Data],MATCH(D$7,ТабЗаказы[#Headers],0),0),"")</f>
        <v>Елена Ларисына</v>
      </c>
      <c r="E806" s="32" t="s">
        <v>1262</v>
      </c>
      <c r="F806" s="56" t="s">
        <v>3061</v>
      </c>
      <c r="H806" s="34">
        <v>45541</v>
      </c>
      <c r="I806" s="26">
        <v>5</v>
      </c>
      <c r="J806" s="26">
        <v>661</v>
      </c>
      <c r="K806">
        <v>3305</v>
      </c>
      <c r="L806" s="26">
        <v>696</v>
      </c>
      <c r="M806">
        <f t="shared" si="14"/>
        <v>3480</v>
      </c>
      <c r="O80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Row],[orderNum]],ТабПозиции[orderSumm])&gt;1500),ABS(M806*VLOOKUP(ТабПозиции[[#This Row],[orderNum]],ТабЗаказы[#Data],MATCH("Percent",ТабЗаказы[#Headers],0),0))/100,200/COUNTIF(ТабПозиции[orderNum],ТабПозиции[[#This Row],[orderNum]])),0),"")</f>
        <v>522</v>
      </c>
      <c r="P806">
        <f>IF(OR(ТабПозиции[[#This Row],[item]]="По штрихкоду",ТабПозиции[[#This Row],[item]]="Посылка"),ТабПозиции[[#This Row],[deliverySumm]]+ТабПозиции[[#This Row],[deliveryPost]],SUM(M806:O806))</f>
        <v>4002</v>
      </c>
      <c r="Q806" s="57">
        <v>4002</v>
      </c>
      <c r="R806" s="62">
        <f>ТабПозиции[[#This Row],[totalSumm]]-ТабПозиции[[#This Row],[payment]]</f>
        <v>0</v>
      </c>
      <c r="S806" s="34" t="s">
        <v>965</v>
      </c>
      <c r="T806" s="56" t="s">
        <v>3061</v>
      </c>
      <c r="U806" s="56" t="s">
        <v>3061</v>
      </c>
      <c r="V806" s="56" t="s">
        <v>3061</v>
      </c>
      <c r="W806" s="7"/>
      <c r="X806"/>
    </row>
    <row r="807" spans="1:24" x14ac:dyDescent="0.25">
      <c r="A807" s="26">
        <v>222</v>
      </c>
      <c r="B807" s="1">
        <f>IFERROR(VLOOKUP(ТабПозиции[[#This Row],[orderNum]],ТабЗаказы[#Data],MATCH(B$7,ТабЗаказы[#Headers],0),0),"")</f>
        <v>45527</v>
      </c>
      <c r="C807" t="str">
        <f>MONTH(ТабПозиции[[#This Row],[date]])&amp;"/"&amp;YEAR(ТабПозиции[[#This Row],[date]])</f>
        <v>8/2024</v>
      </c>
      <c r="D807" s="1" t="str">
        <f>IFERROR(VLOOKUP(ТабПозиции[[#This Row],[orderNum]],ТабЗаказы[#Data],MATCH(D$7,ТабЗаказы[#Headers],0),0),"")</f>
        <v>Елена Ларисына</v>
      </c>
      <c r="E807" s="32" t="s">
        <v>1263</v>
      </c>
      <c r="F807" s="56" t="s">
        <v>3061</v>
      </c>
      <c r="H807" s="34">
        <v>45535</v>
      </c>
      <c r="I807" s="26">
        <v>1</v>
      </c>
      <c r="J807" s="26">
        <v>1476</v>
      </c>
      <c r="K807">
        <v>1476</v>
      </c>
      <c r="L807" s="26">
        <v>1583</v>
      </c>
      <c r="M807">
        <f t="shared" si="14"/>
        <v>1583</v>
      </c>
      <c r="O80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Row],[orderNum]],ТабПозиции[orderSumm])&gt;1500),ABS(M807*VLOOKUP(ТабПозиции[[#This Row],[orderNum]],ТабЗаказы[#Data],MATCH("Percent",ТабЗаказы[#Headers],0),0))/100,200/COUNTIF(ТабПозиции[orderNum],ТабПозиции[[#This Row],[orderNum]])),0),"")</f>
        <v>237</v>
      </c>
      <c r="P807">
        <f>IF(OR(ТабПозиции[[#This Row],[item]]="По штрихкоду",ТабПозиции[[#This Row],[item]]="Посылка"),ТабПозиции[[#This Row],[deliverySumm]]+ТабПозиции[[#This Row],[deliveryPost]],SUM(M807:O807))</f>
        <v>1820</v>
      </c>
      <c r="Q807" s="57">
        <v>1820</v>
      </c>
      <c r="R807" s="62">
        <f>ТабПозиции[[#This Row],[totalSumm]]-ТабПозиции[[#This Row],[payment]]</f>
        <v>0</v>
      </c>
      <c r="S807" s="34" t="s">
        <v>955</v>
      </c>
      <c r="T807" s="56" t="s">
        <v>3061</v>
      </c>
      <c r="U807" s="56" t="s">
        <v>3061</v>
      </c>
      <c r="V807" s="56" t="s">
        <v>3061</v>
      </c>
      <c r="W807" s="7"/>
      <c r="X807"/>
    </row>
    <row r="808" spans="1:24" x14ac:dyDescent="0.25">
      <c r="A808" s="26">
        <v>228</v>
      </c>
      <c r="B808" s="1">
        <f>IFERROR(VLOOKUP(ТабПозиции[[#This Row],[orderNum]],ТабЗаказы[#Data],MATCH(B$7,ТабЗаказы[#Headers],0),0),"")</f>
        <v>45534</v>
      </c>
      <c r="C808" t="str">
        <f>MONTH(ТабПозиции[[#This Row],[date]])&amp;"/"&amp;YEAR(ТабПозиции[[#This Row],[date]])</f>
        <v>8/2024</v>
      </c>
      <c r="D808" s="1" t="str">
        <f>IFERROR(VLOOKUP(ТабПозиции[[#This Row],[orderNum]],ТабЗаказы[#Data],MATCH(D$7,ТабЗаказы[#Headers],0),0),"")</f>
        <v>Лана</v>
      </c>
      <c r="E808" s="26" t="s">
        <v>32</v>
      </c>
      <c r="F808" s="56" t="s">
        <v>3061</v>
      </c>
      <c r="H808" s="34">
        <v>45534</v>
      </c>
      <c r="I808" s="26">
        <v>1</v>
      </c>
      <c r="J808" s="26">
        <v>2018</v>
      </c>
      <c r="K808">
        <v>2018</v>
      </c>
      <c r="L808" s="26">
        <v>2018</v>
      </c>
      <c r="M808">
        <f t="shared" si="14"/>
        <v>2018</v>
      </c>
      <c r="O80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Row],[orderNum]],ТабПозиции[orderSumm])&gt;1500),ABS(M808*VLOOKUP(ТабПозиции[[#This Row],[orderNum]],ТабЗаказы[#Data],MATCH("Percent",ТабЗаказы[#Headers],0),0))/100,200/COUNTIF(ТабПозиции[orderNum],ТабПозиции[[#This Row],[orderNum]])),0),"")</f>
        <v>303</v>
      </c>
      <c r="P808">
        <f>IF(OR(ТабПозиции[[#This Row],[item]]="По штрихкоду",ТабПозиции[[#This Row],[item]]="Посылка"),ТабПозиции[[#This Row],[deliverySumm]]+ТабПозиции[[#This Row],[deliveryPost]],SUM(M808:O808))</f>
        <v>303</v>
      </c>
      <c r="Q808" s="57">
        <v>303</v>
      </c>
      <c r="R808" s="62">
        <f>ТабПозиции[[#This Row],[totalSumm]]-ТабПозиции[[#This Row],[payment]]</f>
        <v>0</v>
      </c>
      <c r="S808" s="34" t="s">
        <v>955</v>
      </c>
      <c r="T808" s="56" t="s">
        <v>3061</v>
      </c>
      <c r="U808" s="56" t="s">
        <v>3061</v>
      </c>
      <c r="V808" s="56" t="s">
        <v>3061</v>
      </c>
      <c r="W808" s="7"/>
      <c r="X808"/>
    </row>
    <row r="809" spans="1:24" x14ac:dyDescent="0.25">
      <c r="A809" s="26">
        <v>229</v>
      </c>
      <c r="B809" s="1">
        <f>IFERROR(VLOOKUP(ТабПозиции[[#This Row],[orderNum]],ТабЗаказы[#Data],MATCH(B$7,ТабЗаказы[#Headers],0),0),"")</f>
        <v>45534</v>
      </c>
      <c r="C809" t="str">
        <f>MONTH(ТабПозиции[[#This Row],[date]])&amp;"/"&amp;YEAR(ТабПозиции[[#This Row],[date]])</f>
        <v>8/2024</v>
      </c>
      <c r="D809" s="1" t="str">
        <f>IFERROR(VLOOKUP(ТабПозиции[[#This Row],[orderNum]],ТабЗаказы[#Data],MATCH(D$7,ТабЗаказы[#Headers],0),0),"")</f>
        <v>Андрей Кулигин</v>
      </c>
      <c r="E809" s="26" t="s">
        <v>32</v>
      </c>
      <c r="F809" s="56" t="s">
        <v>3061</v>
      </c>
      <c r="H809" s="34">
        <v>45534</v>
      </c>
      <c r="I809" s="26">
        <v>1</v>
      </c>
      <c r="J809" s="26">
        <v>2309</v>
      </c>
      <c r="K809">
        <v>2309</v>
      </c>
      <c r="L809" s="26">
        <v>2309</v>
      </c>
      <c r="M809">
        <f t="shared" si="14"/>
        <v>2309</v>
      </c>
      <c r="O80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Row],[orderNum]],ТабПозиции[orderSumm])&gt;1500),ABS(M809*VLOOKUP(ТабПозиции[[#This Row],[orderNum]],ТабЗаказы[#Data],MATCH("Percent",ТабЗаказы[#Headers],0),0))/100,200/COUNTIF(ТабПозиции[orderNum],ТабПозиции[[#This Row],[orderNum]])),0),"")</f>
        <v>346</v>
      </c>
      <c r="P809">
        <f>IF(OR(ТабПозиции[[#This Row],[item]]="По штрихкоду",ТабПозиции[[#This Row],[item]]="Посылка"),ТабПозиции[[#This Row],[deliverySumm]]+ТабПозиции[[#This Row],[deliveryPost]],SUM(M809:O809))</f>
        <v>346</v>
      </c>
      <c r="Q809" s="57">
        <v>346</v>
      </c>
      <c r="R809" s="62">
        <f>ТабПозиции[[#This Row],[totalSumm]]-ТабПозиции[[#This Row],[payment]]</f>
        <v>0</v>
      </c>
      <c r="S809" s="34" t="s">
        <v>955</v>
      </c>
      <c r="T809" s="56" t="s">
        <v>3061</v>
      </c>
      <c r="U809" s="56" t="s">
        <v>3061</v>
      </c>
      <c r="V809" s="56" t="s">
        <v>3061</v>
      </c>
      <c r="W809" s="7"/>
      <c r="X809"/>
    </row>
    <row r="810" spans="1:24" x14ac:dyDescent="0.25">
      <c r="A810" s="26">
        <v>230</v>
      </c>
      <c r="B810" s="1">
        <f>IFERROR(VLOOKUP(ТабПозиции[[#This Row],[orderNum]],ТабЗаказы[#Data],MATCH(B$7,ТабЗаказы[#Headers],0),0),"")</f>
        <v>45536</v>
      </c>
      <c r="C810" t="str">
        <f>MONTH(ТабПозиции[[#This Row],[date]])&amp;"/"&amp;YEAR(ТабПозиции[[#This Row],[date]])</f>
        <v>9/2024</v>
      </c>
      <c r="D810" s="1" t="str">
        <f>IFERROR(VLOOKUP(ТабПозиции[[#This Row],[orderNum]],ТабЗаказы[#Data],MATCH(D$7,ТабЗаказы[#Headers],0),0),"")</f>
        <v>Максим рюкзак</v>
      </c>
      <c r="E810" s="32" t="s">
        <v>1347</v>
      </c>
      <c r="F810" s="56" t="s">
        <v>3061</v>
      </c>
      <c r="H810" s="34">
        <v>45539</v>
      </c>
      <c r="I810" s="26">
        <v>1</v>
      </c>
      <c r="J810" s="26">
        <v>1022</v>
      </c>
      <c r="K810">
        <v>1022</v>
      </c>
      <c r="L810" s="26">
        <v>1132</v>
      </c>
      <c r="M810">
        <f t="shared" si="14"/>
        <v>1132</v>
      </c>
      <c r="O81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Row],[orderNum]],ТабПозиции[orderSumm])&gt;1500),ABS(M810*VLOOKUP(ТабПозиции[[#This Row],[orderNum]],ТабЗаказы[#Data],MATCH("Percent",ТабЗаказы[#Headers],0),0))/100,200/COUNTIF(ТабПозиции[orderNum],ТабПозиции[[#This Row],[orderNum]])),0),"")</f>
        <v>170</v>
      </c>
      <c r="P810">
        <f>IF(OR(ТабПозиции[[#This Row],[item]]="По штрихкоду",ТабПозиции[[#This Row],[item]]="Посылка"),ТабПозиции[[#This Row],[deliverySumm]]+ТабПозиции[[#This Row],[deliveryPost]],SUM(M810:O810))</f>
        <v>1302</v>
      </c>
      <c r="Q810" s="57">
        <v>1302</v>
      </c>
      <c r="R810" s="62">
        <f>ТабПозиции[[#This Row],[totalSumm]]-ТабПозиции[[#This Row],[payment]]</f>
        <v>0</v>
      </c>
      <c r="S810" s="34" t="s">
        <v>955</v>
      </c>
      <c r="T810" s="56" t="s">
        <v>3061</v>
      </c>
      <c r="U810" s="56" t="s">
        <v>3061</v>
      </c>
      <c r="V810" s="56" t="s">
        <v>3061</v>
      </c>
      <c r="W810" s="7"/>
      <c r="X810"/>
    </row>
    <row r="811" spans="1:24" x14ac:dyDescent="0.25">
      <c r="A811" s="26">
        <v>230</v>
      </c>
      <c r="B811" s="1">
        <f>IFERROR(VLOOKUP(ТабПозиции[[#This Row],[orderNum]],ТабЗаказы[#Data],MATCH(B$7,ТабЗаказы[#Headers],0),0),"")</f>
        <v>45536</v>
      </c>
      <c r="C811" t="str">
        <f>MONTH(ТабПозиции[[#This Row],[date]])&amp;"/"&amp;YEAR(ТабПозиции[[#This Row],[date]])</f>
        <v>9/2024</v>
      </c>
      <c r="D811" s="1" t="str">
        <f>IFERROR(VLOOKUP(ТабПозиции[[#This Row],[orderNum]],ТабЗаказы[#Data],MATCH(D$7,ТабЗаказы[#Headers],0),0),"")</f>
        <v>Максим рюкзак</v>
      </c>
      <c r="E811" s="32" t="s">
        <v>1348</v>
      </c>
      <c r="F811" s="56" t="s">
        <v>3061</v>
      </c>
      <c r="H811" s="34">
        <v>45543</v>
      </c>
      <c r="I811" s="26">
        <v>1</v>
      </c>
      <c r="J811" s="26">
        <v>355</v>
      </c>
      <c r="K811">
        <v>355</v>
      </c>
      <c r="L811" s="26">
        <v>362</v>
      </c>
      <c r="M811">
        <f t="shared" si="14"/>
        <v>362</v>
      </c>
      <c r="O81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Row],[orderNum]],ТабПозиции[orderSumm])&gt;1500),ABS(M811*VLOOKUP(ТабПозиции[[#This Row],[orderNum]],ТабЗаказы[#Data],MATCH("Percent",ТабЗаказы[#Headers],0),0))/100,200/COUNTIF(ТабПозиции[orderNum],ТабПозиции[[#This Row],[orderNum]])),0),"")</f>
        <v>54</v>
      </c>
      <c r="P811">
        <f>IF(OR(ТабПозиции[[#This Row],[item]]="По штрихкоду",ТабПозиции[[#This Row],[item]]="Посылка"),ТабПозиции[[#This Row],[deliverySumm]]+ТабПозиции[[#This Row],[deliveryPost]],SUM(M811:O811))</f>
        <v>416</v>
      </c>
      <c r="Q811" s="57">
        <v>416</v>
      </c>
      <c r="R811" s="62">
        <f>ТабПозиции[[#This Row],[totalSumm]]-ТабПозиции[[#This Row],[payment]]</f>
        <v>0</v>
      </c>
      <c r="S811" s="34" t="s">
        <v>955</v>
      </c>
      <c r="T811" s="56" t="s">
        <v>3061</v>
      </c>
      <c r="U811" s="56" t="s">
        <v>3061</v>
      </c>
      <c r="V811" s="56" t="s">
        <v>3061</v>
      </c>
      <c r="W811" s="7"/>
      <c r="X811"/>
    </row>
    <row r="812" spans="1:24" x14ac:dyDescent="0.25">
      <c r="A812" s="26">
        <v>230</v>
      </c>
      <c r="B812" s="1">
        <f>IFERROR(VLOOKUP(ТабПозиции[[#This Row],[orderNum]],ТабЗаказы[#Data],MATCH(B$7,ТабЗаказы[#Headers],0),0),"")</f>
        <v>45536</v>
      </c>
      <c r="C812" t="str">
        <f>MONTH(ТабПозиции[[#This Row],[date]])&amp;"/"&amp;YEAR(ТабПозиции[[#This Row],[date]])</f>
        <v>9/2024</v>
      </c>
      <c r="D812" s="1" t="str">
        <f>IFERROR(VLOOKUP(ТабПозиции[[#This Row],[orderNum]],ТабЗаказы[#Data],MATCH(D$7,ТабЗаказы[#Headers],0),0),"")</f>
        <v>Максим рюкзак</v>
      </c>
      <c r="E812" s="32" t="s">
        <v>1349</v>
      </c>
      <c r="F812" s="56" t="s">
        <v>3061</v>
      </c>
      <c r="H812" s="34">
        <v>45538</v>
      </c>
      <c r="I812" s="26">
        <v>1</v>
      </c>
      <c r="J812" s="26">
        <v>330</v>
      </c>
      <c r="K812">
        <v>330</v>
      </c>
      <c r="L812" s="26">
        <v>337</v>
      </c>
      <c r="M812">
        <f t="shared" si="14"/>
        <v>337</v>
      </c>
      <c r="O81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Row],[orderNum]],ТабПозиции[orderSumm])&gt;1500),ABS(M812*VLOOKUP(ТабПозиции[[#This Row],[orderNum]],ТабЗаказы[#Data],MATCH("Percent",ТабЗаказы[#Headers],0),0))/100,200/COUNTIF(ТабПозиции[orderNum],ТабПозиции[[#This Row],[orderNum]])),0),"")</f>
        <v>51</v>
      </c>
      <c r="P812">
        <f>IF(OR(ТабПозиции[[#This Row],[item]]="По штрихкоду",ТабПозиции[[#This Row],[item]]="Посылка"),ТабПозиции[[#This Row],[deliverySumm]]+ТабПозиции[[#This Row],[deliveryPost]],SUM(M812:O812))</f>
        <v>388</v>
      </c>
      <c r="Q812" s="57">
        <v>388</v>
      </c>
      <c r="R812" s="62">
        <f>ТабПозиции[[#This Row],[totalSumm]]-ТабПозиции[[#This Row],[payment]]</f>
        <v>0</v>
      </c>
      <c r="S812" s="34" t="s">
        <v>955</v>
      </c>
      <c r="T812" s="56" t="s">
        <v>3061</v>
      </c>
      <c r="U812" s="56" t="s">
        <v>3061</v>
      </c>
      <c r="V812" s="56" t="s">
        <v>3061</v>
      </c>
      <c r="W812" s="7"/>
      <c r="X812"/>
    </row>
    <row r="813" spans="1:24" x14ac:dyDescent="0.25">
      <c r="A813" s="26">
        <v>230</v>
      </c>
      <c r="B813" s="1">
        <f>IFERROR(VLOOKUP(ТабПозиции[[#This Row],[orderNum]],ТабЗаказы[#Data],MATCH(B$7,ТабЗаказы[#Headers],0),0),"")</f>
        <v>45536</v>
      </c>
      <c r="C813" t="str">
        <f>MONTH(ТабПозиции[[#This Row],[date]])&amp;"/"&amp;YEAR(ТабПозиции[[#This Row],[date]])</f>
        <v>9/2024</v>
      </c>
      <c r="D813" s="1" t="str">
        <f>IFERROR(VLOOKUP(ТабПозиции[[#This Row],[orderNum]],ТабЗаказы[#Data],MATCH(D$7,ТабЗаказы[#Headers],0),0),"")</f>
        <v>Максим рюкзак</v>
      </c>
      <c r="E813" s="32" t="s">
        <v>1350</v>
      </c>
      <c r="F813" s="56" t="s">
        <v>3061</v>
      </c>
      <c r="H813" s="34">
        <v>45538</v>
      </c>
      <c r="I813" s="26">
        <v>1</v>
      </c>
      <c r="J813" s="26">
        <v>1007</v>
      </c>
      <c r="K813">
        <v>1007</v>
      </c>
      <c r="L813" s="26">
        <v>1104</v>
      </c>
      <c r="M813">
        <f t="shared" si="14"/>
        <v>1104</v>
      </c>
      <c r="O81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Row],[orderNum]],ТабПозиции[orderSumm])&gt;1500),ABS(M813*VLOOKUP(ТабПозиции[[#This Row],[orderNum]],ТабЗаказы[#Data],MATCH("Percent",ТабЗаказы[#Headers],0),0))/100,200/COUNTIF(ТабПозиции[orderNum],ТабПозиции[[#This Row],[orderNum]])),0),"")</f>
        <v>166</v>
      </c>
      <c r="P813">
        <f>IF(OR(ТабПозиции[[#This Row],[item]]="По штрихкоду",ТабПозиции[[#This Row],[item]]="Посылка"),ТабПозиции[[#This Row],[deliverySumm]]+ТабПозиции[[#This Row],[deliveryPost]],SUM(M813:O813))</f>
        <v>1270</v>
      </c>
      <c r="Q813" s="57">
        <v>1270</v>
      </c>
      <c r="R813" s="62">
        <f>ТабПозиции[[#This Row],[totalSumm]]-ТабПозиции[[#This Row],[payment]]</f>
        <v>0</v>
      </c>
      <c r="S813" s="34" t="s">
        <v>955</v>
      </c>
      <c r="T813" s="56" t="s">
        <v>3061</v>
      </c>
      <c r="U813" s="56" t="s">
        <v>3061</v>
      </c>
      <c r="V813" s="56" t="s">
        <v>3061</v>
      </c>
      <c r="W813" s="7"/>
      <c r="X813"/>
    </row>
    <row r="814" spans="1:24" x14ac:dyDescent="0.25">
      <c r="A814" s="26">
        <v>231</v>
      </c>
      <c r="B814" s="1">
        <f>IFERROR(VLOOKUP(ТабПозиции[[#This Row],[orderNum]],ТабЗаказы[#Data],MATCH(B$7,ТабЗаказы[#Headers],0),0),"")</f>
        <v>45537</v>
      </c>
      <c r="C814" t="str">
        <f>MONTH(ТабПозиции[[#This Row],[date]])&amp;"/"&amp;YEAR(ТабПозиции[[#This Row],[date]])</f>
        <v>9/2024</v>
      </c>
      <c r="D814" s="1" t="str">
        <f>IFERROR(VLOOKUP(ТабПозиции[[#This Row],[orderNum]],ТабЗаказы[#Data],MATCH(D$7,ТабЗаказы[#Headers],0),0),"")</f>
        <v>Владимир Зайцев</v>
      </c>
      <c r="E814" s="32" t="s">
        <v>1352</v>
      </c>
      <c r="F814" s="56" t="s">
        <v>3061</v>
      </c>
      <c r="H814" s="34">
        <v>45540</v>
      </c>
      <c r="I814" s="26">
        <v>1</v>
      </c>
      <c r="J814" s="26">
        <v>1282</v>
      </c>
      <c r="K814">
        <v>1282</v>
      </c>
      <c r="L814" s="26">
        <v>1391</v>
      </c>
      <c r="M814">
        <f t="shared" si="14"/>
        <v>1391</v>
      </c>
      <c r="O81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Row],[orderNum]],ТабПозиции[orderSumm])&gt;1500),ABS(M814*VLOOKUP(ТабПозиции[[#This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814">
        <f>IF(OR(ТабПозиции[[#This Row],[item]]="По штрихкоду",ТабПозиции[[#This Row],[item]]="Посылка"),ТабПозиции[[#This Row],[deliverySumm]]+ТабПозиции[[#This Row],[deliveryPost]],SUM(M814:O814))</f>
        <v>1591</v>
      </c>
      <c r="Q814" s="57">
        <v>1591</v>
      </c>
      <c r="R814" s="62">
        <f>ТабПозиции[[#This Row],[totalSumm]]-ТабПозиции[[#This Row],[payment]]</f>
        <v>0</v>
      </c>
      <c r="S814" s="34" t="s">
        <v>955</v>
      </c>
      <c r="T814" s="56" t="s">
        <v>3061</v>
      </c>
      <c r="U814" s="56" t="s">
        <v>3061</v>
      </c>
      <c r="V814" s="56" t="s">
        <v>3061</v>
      </c>
      <c r="W814" s="7"/>
      <c r="X814"/>
    </row>
    <row r="815" spans="1:24" x14ac:dyDescent="0.25">
      <c r="A815" s="26">
        <v>233</v>
      </c>
      <c r="B815" s="1">
        <f>IFERROR(VLOOKUP(ТабПозиции[[#This Row],[orderNum]],ТабЗаказы[#Data],MATCH(B$7,ТабЗаказы[#Headers],0),0),"")</f>
        <v>45537</v>
      </c>
      <c r="C815" t="str">
        <f>MONTH(ТабПозиции[[#This Row],[date]])&amp;"/"&amp;YEAR(ТабПозиции[[#This Row],[date]])</f>
        <v>9/2024</v>
      </c>
      <c r="D815" s="1" t="str">
        <f>IFERROR(VLOOKUP(ТабПозиции[[#This Row],[orderNum]],ТабЗаказы[#Data],MATCH(D$7,ТабЗаказы[#Headers],0),0),"")</f>
        <v>Галина Агабекова(церковь)</v>
      </c>
      <c r="E815" s="32" t="s">
        <v>1354</v>
      </c>
      <c r="F815" s="56" t="s">
        <v>3061</v>
      </c>
      <c r="H815" s="34">
        <v>45541</v>
      </c>
      <c r="I815" s="26">
        <v>1</v>
      </c>
      <c r="J815" s="26">
        <v>247</v>
      </c>
      <c r="K815">
        <v>247</v>
      </c>
      <c r="L815" s="26">
        <v>252</v>
      </c>
      <c r="M815">
        <f t="shared" si="14"/>
        <v>252</v>
      </c>
      <c r="O81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Row],[orderNum]],ТабПозиции[orderSumm])&gt;1500),ABS(M815*VLOOKUP(ТабПозиции[[#This Row],[orderNum]],ТабЗаказы[#Data],MATCH("Percent",ТабЗаказы[#Headers],0),0))/100,200/COUNTIF(ТабПозиции[orderNum],ТабПозиции[[#This Row],[orderNum]])),0),"")</f>
        <v>38</v>
      </c>
      <c r="P815">
        <f>IF(OR(ТабПозиции[[#This Row],[item]]="По штрихкоду",ТабПозиции[[#This Row],[item]]="Посылка"),ТабПозиции[[#This Row],[deliverySumm]]+ТабПозиции[[#This Row],[deliveryPost]],SUM(M815:O815))</f>
        <v>290</v>
      </c>
      <c r="Q815" s="57">
        <v>290</v>
      </c>
      <c r="R815" s="62">
        <f>ТабПозиции[[#This Row],[totalSumm]]-ТабПозиции[[#This Row],[payment]]</f>
        <v>0</v>
      </c>
      <c r="S815" s="34" t="s">
        <v>955</v>
      </c>
      <c r="T815" s="56" t="s">
        <v>3061</v>
      </c>
      <c r="U815" s="56" t="s">
        <v>3061</v>
      </c>
      <c r="V815" s="56" t="s">
        <v>3061</v>
      </c>
      <c r="W815" s="7"/>
      <c r="X815"/>
    </row>
    <row r="816" spans="1:24" x14ac:dyDescent="0.25">
      <c r="A816" s="26">
        <v>233</v>
      </c>
      <c r="B816" s="1">
        <f>IFERROR(VLOOKUP(ТабПозиции[[#This Row],[orderNum]],ТабЗаказы[#Data],MATCH(B$7,ТабЗаказы[#Headers],0),0),"")</f>
        <v>45537</v>
      </c>
      <c r="C816" t="str">
        <f>MONTH(ТабПозиции[[#This Row],[date]])&amp;"/"&amp;YEAR(ТабПозиции[[#This Row],[date]])</f>
        <v>9/2024</v>
      </c>
      <c r="D816" s="1" t="str">
        <f>IFERROR(VLOOKUP(ТабПозиции[[#This Row],[orderNum]],ТабЗаказы[#Data],MATCH(D$7,ТабЗаказы[#Headers],0),0),"")</f>
        <v>Галина Агабекова(церковь)</v>
      </c>
      <c r="E816" s="32" t="s">
        <v>1355</v>
      </c>
      <c r="F816" s="56" t="s">
        <v>3061</v>
      </c>
      <c r="H816" s="34">
        <v>45539</v>
      </c>
      <c r="I816" s="26">
        <v>1</v>
      </c>
      <c r="J816" s="26">
        <v>242</v>
      </c>
      <c r="K816">
        <v>242</v>
      </c>
      <c r="L816" s="26">
        <v>255</v>
      </c>
      <c r="M816">
        <f t="shared" si="14"/>
        <v>255</v>
      </c>
      <c r="O81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Row],[orderNum]],ТабПозиции[orderSumm])&gt;1500),ABS(M816*VLOOKUP(ТабПозиции[[#This Row],[orderNum]],ТабЗаказы[#Data],MATCH("Percent",ТабЗаказы[#Headers],0),0))/100,200/COUNTIF(ТабПозиции[orderNum],ТабПозиции[[#This Row],[orderNum]])),0),"")</f>
        <v>38</v>
      </c>
      <c r="P816">
        <f>IF(OR(ТабПозиции[[#This Row],[item]]="По штрихкоду",ТабПозиции[[#This Row],[item]]="Посылка"),ТабПозиции[[#This Row],[deliverySumm]]+ТабПозиции[[#This Row],[deliveryPost]],SUM(M816:O816))</f>
        <v>293</v>
      </c>
      <c r="Q816" s="57">
        <v>293</v>
      </c>
      <c r="R816" s="62">
        <f>ТабПозиции[[#This Row],[totalSumm]]-ТабПозиции[[#This Row],[payment]]</f>
        <v>0</v>
      </c>
      <c r="S816" s="34" t="s">
        <v>965</v>
      </c>
      <c r="T816" s="56" t="s">
        <v>3061</v>
      </c>
      <c r="U816" s="56" t="s">
        <v>3061</v>
      </c>
      <c r="V816" s="56" t="s">
        <v>3061</v>
      </c>
      <c r="W816" s="7"/>
      <c r="X816"/>
    </row>
    <row r="817" spans="1:24" x14ac:dyDescent="0.25">
      <c r="A817" s="26">
        <v>233</v>
      </c>
      <c r="B817" s="1">
        <f>IFERROR(VLOOKUP(ТабПозиции[[#This Row],[orderNum]],ТабЗаказы[#Data],MATCH(B$7,ТабЗаказы[#Headers],0),0),"")</f>
        <v>45537</v>
      </c>
      <c r="C817" t="str">
        <f>MONTH(ТабПозиции[[#This Row],[date]])&amp;"/"&amp;YEAR(ТабПозиции[[#This Row],[date]])</f>
        <v>9/2024</v>
      </c>
      <c r="D817" s="1" t="str">
        <f>IFERROR(VLOOKUP(ТабПозиции[[#This Row],[orderNum]],ТабЗаказы[#Data],MATCH(D$7,ТабЗаказы[#Headers],0),0),"")</f>
        <v>Галина Агабекова(церковь)</v>
      </c>
      <c r="E817" s="32" t="s">
        <v>1356</v>
      </c>
      <c r="F817" s="56" t="s">
        <v>3061</v>
      </c>
      <c r="H817" s="34">
        <v>45539</v>
      </c>
      <c r="I817" s="26">
        <v>1</v>
      </c>
      <c r="J817" s="26">
        <v>311</v>
      </c>
      <c r="K817">
        <v>311</v>
      </c>
      <c r="L817" s="26">
        <v>328</v>
      </c>
      <c r="M817">
        <f t="shared" si="14"/>
        <v>328</v>
      </c>
      <c r="O81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Row],[orderNum]],ТабПозиции[orderSumm])&gt;1500),ABS(M817*VLOOKUP(ТабПозиции[[#This Row],[orderNum]],ТабЗаказы[#Data],MATCH("Percent",ТабЗаказы[#Headers],0),0))/100,200/COUNTIF(ТабПозиции[orderNum],ТабПозиции[[#This Row],[orderNum]])),0),"")</f>
        <v>49</v>
      </c>
      <c r="P817">
        <f>IF(OR(ТабПозиции[[#This Row],[item]]="По штрихкоду",ТабПозиции[[#This Row],[item]]="Посылка"),ТабПозиции[[#This Row],[deliverySumm]]+ТабПозиции[[#This Row],[deliveryPost]],SUM(M817:O817))</f>
        <v>377</v>
      </c>
      <c r="Q817" s="57">
        <v>377</v>
      </c>
      <c r="R817" s="62">
        <f>ТабПозиции[[#This Row],[totalSumm]]-ТабПозиции[[#This Row],[payment]]</f>
        <v>0</v>
      </c>
      <c r="S817" s="34" t="s">
        <v>965</v>
      </c>
      <c r="T817" s="56" t="s">
        <v>3061</v>
      </c>
      <c r="U817" s="56" t="s">
        <v>3061</v>
      </c>
      <c r="V817" s="56" t="s">
        <v>3061</v>
      </c>
      <c r="W817" s="7"/>
      <c r="X817"/>
    </row>
    <row r="818" spans="1:24" x14ac:dyDescent="0.25">
      <c r="A818" s="26">
        <v>233</v>
      </c>
      <c r="B818" s="1">
        <f>IFERROR(VLOOKUP(ТабПозиции[[#This Row],[orderNum]],ТабЗаказы[#Data],MATCH(B$7,ТабЗаказы[#Headers],0),0),"")</f>
        <v>45537</v>
      </c>
      <c r="C818" t="str">
        <f>MONTH(ТабПозиции[[#This Row],[date]])&amp;"/"&amp;YEAR(ТабПозиции[[#This Row],[date]])</f>
        <v>9/2024</v>
      </c>
      <c r="D818" s="1" t="str">
        <f>IFERROR(VLOOKUP(ТабПозиции[[#This Row],[orderNum]],ТабЗаказы[#Data],MATCH(D$7,ТабЗаказы[#Headers],0),0),"")</f>
        <v>Галина Агабекова(церковь)</v>
      </c>
      <c r="E818" s="32" t="s">
        <v>1357</v>
      </c>
      <c r="F818" s="56" t="s">
        <v>3061</v>
      </c>
      <c r="H818" s="34">
        <v>45542</v>
      </c>
      <c r="I818" s="26">
        <v>1</v>
      </c>
      <c r="J818" s="26">
        <v>816</v>
      </c>
      <c r="K818">
        <v>816</v>
      </c>
      <c r="L818" s="26">
        <v>816</v>
      </c>
      <c r="M818">
        <f t="shared" si="14"/>
        <v>816</v>
      </c>
      <c r="N818" s="26">
        <v>199</v>
      </c>
      <c r="O81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Row],[orderNum]],ТабПозиции[orderSumm])&gt;1500),ABS(M818*VLOOKUP(ТабПозиции[[#This Row],[orderNum]],ТабЗаказы[#Data],MATCH("Percent",ТабЗаказы[#Headers],0),0))/100,200/COUNTIF(ТабПозиции[orderNum],ТабПозиции[[#This Row],[orderNum]])),0),"")</f>
        <v>122</v>
      </c>
      <c r="P818">
        <f>IF(OR(ТабПозиции[[#This Row],[item]]="По штрихкоду",ТабПозиции[[#This Row],[item]]="Посылка"),ТабПозиции[[#This Row],[deliverySumm]]+ТабПозиции[[#This Row],[deliveryPost]],SUM(M818:O818))</f>
        <v>1137</v>
      </c>
      <c r="Q818" s="57">
        <v>1137</v>
      </c>
      <c r="R818" s="62">
        <f>ТабПозиции[[#This Row],[totalSumm]]-ТабПозиции[[#This Row],[payment]]</f>
        <v>0</v>
      </c>
      <c r="S818" s="34" t="s">
        <v>1011</v>
      </c>
      <c r="T818" s="56" t="s">
        <v>3061</v>
      </c>
      <c r="U818" s="56" t="s">
        <v>3061</v>
      </c>
      <c r="V818" s="56" t="s">
        <v>3061</v>
      </c>
      <c r="W818" s="7"/>
      <c r="X818"/>
    </row>
    <row r="819" spans="1:24" x14ac:dyDescent="0.25">
      <c r="A819" s="26">
        <v>233</v>
      </c>
      <c r="B819" s="1">
        <f>IFERROR(VLOOKUP(ТабПозиции[[#This Row],[orderNum]],ТабЗаказы[#Data],MATCH(B$7,ТабЗаказы[#Headers],0),0),"")</f>
        <v>45537</v>
      </c>
      <c r="C819" t="str">
        <f>MONTH(ТабПозиции[[#This Row],[date]])&amp;"/"&amp;YEAR(ТабПозиции[[#This Row],[date]])</f>
        <v>9/2024</v>
      </c>
      <c r="D819" s="1" t="str">
        <f>IFERROR(VLOOKUP(ТабПозиции[[#This Row],[orderNum]],ТабЗаказы[#Data],MATCH(D$7,ТабЗаказы[#Headers],0),0),"")</f>
        <v>Галина Агабекова(церковь)</v>
      </c>
      <c r="E819" s="26" t="s">
        <v>1188</v>
      </c>
      <c r="F819" s="56" t="s">
        <v>3061</v>
      </c>
      <c r="H819" s="34">
        <v>45542</v>
      </c>
      <c r="I819" s="26">
        <v>4</v>
      </c>
      <c r="J819" s="26">
        <v>750</v>
      </c>
      <c r="K819">
        <v>3000</v>
      </c>
      <c r="L819" s="26">
        <v>750</v>
      </c>
      <c r="M819">
        <f t="shared" si="14"/>
        <v>3000</v>
      </c>
      <c r="N819" s="26">
        <v>509</v>
      </c>
      <c r="O81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Row],[orderNum]],ТабПозиции[orderSumm])&gt;1500),ABS(M819*VLOOKUP(ТабПозиции[[#This Row],[orderNum]],ТабЗаказы[#Data],MATCH("Percent",ТабЗаказы[#Headers],0),0))/100,200/COUNTIF(ТабПозиции[orderNum],ТабПозиции[[#This Row],[orderNum]])),0),"")</f>
        <v>450</v>
      </c>
      <c r="P819">
        <f>IF(OR(ТабПозиции[[#This Row],[item]]="По штрихкоду",ТабПозиции[[#This Row],[item]]="Посылка"),ТабПозиции[[#This Row],[deliverySumm]]+ТабПозиции[[#This Row],[deliveryPost]],SUM(M819:O819))</f>
        <v>3959</v>
      </c>
      <c r="Q819" s="57">
        <v>3959</v>
      </c>
      <c r="R819" s="62">
        <f>ТабПозиции[[#This Row],[totalSumm]]-ТабПозиции[[#This Row],[payment]]</f>
        <v>0</v>
      </c>
      <c r="S819" s="34" t="s">
        <v>1062</v>
      </c>
      <c r="T819" s="56" t="s">
        <v>3061</v>
      </c>
      <c r="U819" s="56" t="s">
        <v>3061</v>
      </c>
      <c r="V819" s="56" t="s">
        <v>3061</v>
      </c>
      <c r="W819" s="7"/>
      <c r="X819"/>
    </row>
    <row r="820" spans="1:24" x14ac:dyDescent="0.25">
      <c r="A820" s="26">
        <v>234</v>
      </c>
      <c r="B820" s="1">
        <f>IFERROR(VLOOKUP(ТабПозиции[[#This Row],[orderNum]],ТабЗаказы[#Data],MATCH(B$7,ТабЗаказы[#Headers],0),0),"")</f>
        <v>45538</v>
      </c>
      <c r="C820" t="str">
        <f>MONTH(ТабПозиции[[#This Row],[date]])&amp;"/"&amp;YEAR(ТабПозиции[[#This Row],[date]])</f>
        <v>9/2024</v>
      </c>
      <c r="D820" s="1" t="str">
        <f>IFERROR(VLOOKUP(ТабПозиции[[#This Row],[orderNum]],ТабЗаказы[#Data],MATCH(D$7,ТабЗаказы[#Headers],0),0),"")</f>
        <v>Максим телевизор</v>
      </c>
      <c r="E820" s="26" t="s">
        <v>815</v>
      </c>
      <c r="F820" s="56" t="s">
        <v>3061</v>
      </c>
      <c r="G820" s="43" t="s">
        <v>1358</v>
      </c>
      <c r="H820" s="34">
        <v>45558</v>
      </c>
      <c r="I820" s="26">
        <v>1</v>
      </c>
      <c r="J820" s="26">
        <v>10000</v>
      </c>
      <c r="K820">
        <v>10000</v>
      </c>
      <c r="L820" s="26">
        <v>10000</v>
      </c>
      <c r="M820">
        <f t="shared" si="14"/>
        <v>10000</v>
      </c>
      <c r="O82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Row],[orderNum]],ТабПозиции[orderSumm])&gt;1500),ABS(M820*VLOOKUP(ТабПозиции[[#This Row],[orderNum]],ТабЗаказы[#Data],MATCH("Percent",ТабЗаказы[#Headers],0),0))/100,200/COUNTIF(ТабПозиции[orderNum],ТабПозиции[[#This Row],[orderNum]])),0),"")</f>
        <v>1000</v>
      </c>
      <c r="P820">
        <f>IF(OR(ТабПозиции[[#This Row],[item]]="По штрихкоду",ТабПозиции[[#This Row],[item]]="Посылка"),ТабПозиции[[#This Row],[deliverySumm]]+ТабПозиции[[#This Row],[deliveryPost]],SUM(M820:O820))</f>
        <v>1000</v>
      </c>
      <c r="Q820" s="57">
        <v>1000</v>
      </c>
      <c r="R820" s="62">
        <f>ТабПозиции[[#This Row],[totalSumm]]-ТабПозиции[[#This Row],[payment]]</f>
        <v>0</v>
      </c>
      <c r="S820" s="34" t="s">
        <v>1016</v>
      </c>
      <c r="T820" s="56" t="s">
        <v>3061</v>
      </c>
      <c r="U820" s="56" t="s">
        <v>3061</v>
      </c>
      <c r="V820" s="56" t="s">
        <v>3061</v>
      </c>
      <c r="W820" s="7"/>
      <c r="X820"/>
    </row>
    <row r="821" spans="1:24" x14ac:dyDescent="0.25">
      <c r="A821" s="26">
        <v>234</v>
      </c>
      <c r="B821" s="1">
        <f>IFERROR(VLOOKUP(ТабПозиции[[#This Row],[orderNum]],ТабЗаказы[#Data],MATCH(B$7,ТабЗаказы[#Headers],0),0),"")</f>
        <v>45538</v>
      </c>
      <c r="C821" t="str">
        <f>MONTH(ТабПозиции[[#This Row],[date]])&amp;"/"&amp;YEAR(ТабПозиции[[#This Row],[date]])</f>
        <v>9/2024</v>
      </c>
      <c r="D821" s="1" t="str">
        <f>IFERROR(VLOOKUP(ТабПозиции[[#This Row],[orderNum]],ТабЗаказы[#Data],MATCH(D$7,ТабЗаказы[#Headers],0),0),"")</f>
        <v>Максим телевизор</v>
      </c>
      <c r="E821" s="26" t="s">
        <v>815</v>
      </c>
      <c r="F821" s="56" t="s">
        <v>3061</v>
      </c>
      <c r="G821" s="28" t="s">
        <v>1359</v>
      </c>
      <c r="H821" s="34">
        <v>45540</v>
      </c>
      <c r="I821" s="26">
        <v>1</v>
      </c>
      <c r="J821" s="26">
        <v>5750</v>
      </c>
      <c r="K821">
        <v>5750</v>
      </c>
      <c r="L821" s="26">
        <v>5750</v>
      </c>
      <c r="M821">
        <f t="shared" si="14"/>
        <v>5750</v>
      </c>
      <c r="O82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Row],[orderNum]],ТабПозиции[orderSumm])&gt;1500),ABS(M821*VLOOKUP(ТабПозиции[[#This Row],[orderNum]],ТабЗаказы[#Data],MATCH("Percent",ТабЗаказы[#Headers],0),0))/100,200/COUNTIF(ТабПозиции[orderNum],ТабПозиции[[#This Row],[orderNum]])),0),"")</f>
        <v>575</v>
      </c>
      <c r="P821">
        <f>IF(OR(ТабПозиции[[#This Row],[item]]="По штрихкоду",ТабПозиции[[#This Row],[item]]="Посылка"),ТабПозиции[[#This Row],[deliverySumm]]+ТабПозиции[[#This Row],[deliveryPost]],SUM(M821:O821))</f>
        <v>575</v>
      </c>
      <c r="Q821" s="57">
        <v>575</v>
      </c>
      <c r="R821" s="62">
        <f>ТабПозиции[[#This Row],[totalSumm]]-ТабПозиции[[#This Row],[payment]]</f>
        <v>0</v>
      </c>
      <c r="S821" s="34" t="s">
        <v>1016</v>
      </c>
      <c r="T821" s="56" t="s">
        <v>3061</v>
      </c>
      <c r="U821" s="56" t="s">
        <v>3061</v>
      </c>
      <c r="V821" s="56" t="s">
        <v>3061</v>
      </c>
      <c r="W821" s="7"/>
      <c r="X821"/>
    </row>
    <row r="822" spans="1:24" x14ac:dyDescent="0.25">
      <c r="A822" s="26">
        <v>234</v>
      </c>
      <c r="B822" s="1">
        <f>IFERROR(VLOOKUP(ТабПозиции[[#This Row],[orderNum]],ТабЗаказы[#Data],MATCH(B$7,ТабЗаказы[#Headers],0),0),"")</f>
        <v>45538</v>
      </c>
      <c r="C822" t="str">
        <f>MONTH(ТабПозиции[[#This Row],[date]])&amp;"/"&amp;YEAR(ТабПозиции[[#This Row],[date]])</f>
        <v>9/2024</v>
      </c>
      <c r="D822" s="1" t="str">
        <f>IFERROR(VLOOKUP(ТабПозиции[[#This Row],[orderNum]],ТабЗаказы[#Data],MATCH(D$7,ТабЗаказы[#Headers],0),0),"")</f>
        <v>Максим телевизор</v>
      </c>
      <c r="E822" s="26" t="s">
        <v>815</v>
      </c>
      <c r="F822" s="56" t="s">
        <v>3061</v>
      </c>
      <c r="G822" s="28" t="s">
        <v>1360</v>
      </c>
      <c r="H822" s="34">
        <v>45545</v>
      </c>
      <c r="I822" s="26">
        <v>1</v>
      </c>
      <c r="J822" s="26">
        <v>9000</v>
      </c>
      <c r="K822">
        <v>9000</v>
      </c>
      <c r="L822" s="26">
        <v>9000</v>
      </c>
      <c r="M822">
        <f t="shared" si="14"/>
        <v>9000</v>
      </c>
      <c r="O82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Row],[orderNum]],ТабПозиции[orderSumm])&gt;1500),ABS(M822*VLOOKUP(ТабПозиции[[#This Row],[orderNum]],ТабЗаказы[#Data],MATCH("Percent",ТабЗаказы[#Headers],0),0))/100,200/COUNTIF(ТабПозиции[orderNum],ТабПозиции[[#This Row],[orderNum]])),0),"")</f>
        <v>900</v>
      </c>
      <c r="P822">
        <f>IF(OR(ТабПозиции[[#This Row],[item]]="По штрихкоду",ТабПозиции[[#This Row],[item]]="Посылка"),ТабПозиции[[#This Row],[deliverySumm]]+ТабПозиции[[#This Row],[deliveryPost]],SUM(M822:O822))</f>
        <v>900</v>
      </c>
      <c r="Q822" s="57">
        <v>900</v>
      </c>
      <c r="R822" s="62">
        <f>ТабПозиции[[#This Row],[totalSumm]]-ТабПозиции[[#This Row],[payment]]</f>
        <v>0</v>
      </c>
      <c r="S822" s="34" t="s">
        <v>1016</v>
      </c>
      <c r="T822" s="56" t="s">
        <v>3061</v>
      </c>
      <c r="U822" s="56" t="s">
        <v>3061</v>
      </c>
      <c r="V822" s="56" t="s">
        <v>3061</v>
      </c>
      <c r="W822" s="7"/>
      <c r="X822"/>
    </row>
    <row r="823" spans="1:24" x14ac:dyDescent="0.25">
      <c r="A823" s="26">
        <v>235</v>
      </c>
      <c r="B823" s="1">
        <f>IFERROR(VLOOKUP(ТабПозиции[[#This Row],[orderNum]],ТабЗаказы[#Data],MATCH(B$7,ТабЗаказы[#Headers],0),0),"")</f>
        <v>45539</v>
      </c>
      <c r="C823" t="str">
        <f>MONTH(ТабПозиции[[#This Row],[date]])&amp;"/"&amp;YEAR(ТабПозиции[[#This Row],[date]])</f>
        <v>9/2024</v>
      </c>
      <c r="D823" s="1" t="str">
        <f>IFERROR(VLOOKUP(ТабПозиции[[#This Row],[orderNum]],ТабЗаказы[#Data],MATCH(D$7,ТабЗаказы[#Headers],0),0),"")</f>
        <v>Юля Ларисына</v>
      </c>
      <c r="E823" s="32" t="s">
        <v>1361</v>
      </c>
      <c r="F823" s="56" t="s">
        <v>3061</v>
      </c>
      <c r="H823" s="34">
        <v>45542</v>
      </c>
      <c r="I823" s="26">
        <v>1</v>
      </c>
      <c r="J823" s="26">
        <v>1702</v>
      </c>
      <c r="K823">
        <v>1702</v>
      </c>
      <c r="L823" s="26">
        <v>1792</v>
      </c>
      <c r="M823">
        <f t="shared" si="14"/>
        <v>1792</v>
      </c>
      <c r="O82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Row],[orderNum]],ТабПозиции[orderSumm])&gt;1500),ABS(M823*VLOOKUP(ТабПозиции[[#This Row],[orderNum]],ТабЗаказы[#Data],MATCH("Percent",ТабЗаказы[#Headers],0),0))/100,200/COUNTIF(ТабПозиции[orderNum],ТабПозиции[[#This Row],[orderNum]])),0),"")</f>
        <v>269</v>
      </c>
      <c r="P823">
        <f>IF(OR(ТабПозиции[[#This Row],[item]]="По штрихкоду",ТабПозиции[[#This Row],[item]]="Посылка"),ТабПозиции[[#This Row],[deliverySumm]]+ТабПозиции[[#This Row],[deliveryPost]],SUM(M823:O823))</f>
        <v>2061</v>
      </c>
      <c r="Q823" s="57">
        <v>2061</v>
      </c>
      <c r="R823" s="62">
        <f>ТабПозиции[[#This Row],[totalSumm]]-ТабПозиции[[#This Row],[payment]]</f>
        <v>0</v>
      </c>
      <c r="S823" s="34" t="s">
        <v>965</v>
      </c>
      <c r="T823" s="56" t="s">
        <v>3061</v>
      </c>
      <c r="U823" s="56" t="s">
        <v>3061</v>
      </c>
      <c r="V823" s="56" t="s">
        <v>3061</v>
      </c>
      <c r="W823" s="7"/>
      <c r="X823"/>
    </row>
    <row r="824" spans="1:24" x14ac:dyDescent="0.25">
      <c r="A824" s="26">
        <v>235</v>
      </c>
      <c r="B824" s="1">
        <f>IFERROR(VLOOKUP(ТабПозиции[[#This Row],[orderNum]],ТабЗаказы[#Data],MATCH(B$7,ТабЗаказы[#Headers],0),0),"")</f>
        <v>45539</v>
      </c>
      <c r="C824" t="str">
        <f>MONTH(ТабПозиции[[#This Row],[date]])&amp;"/"&amp;YEAR(ТабПозиции[[#This Row],[date]])</f>
        <v>9/2024</v>
      </c>
      <c r="D824" s="1" t="str">
        <f>IFERROR(VLOOKUP(ТабПозиции[[#This Row],[orderNum]],ТабЗаказы[#Data],MATCH(D$7,ТабЗаказы[#Headers],0),0),"")</f>
        <v>Юля Ларисына</v>
      </c>
      <c r="E824" s="32" t="s">
        <v>1362</v>
      </c>
      <c r="F824" s="56" t="s">
        <v>3061</v>
      </c>
      <c r="H824" s="34">
        <v>45541</v>
      </c>
      <c r="I824" s="26">
        <v>1</v>
      </c>
      <c r="J824" s="26">
        <v>2052</v>
      </c>
      <c r="K824">
        <v>2052</v>
      </c>
      <c r="L824" s="26">
        <v>2160</v>
      </c>
      <c r="M824">
        <f t="shared" si="14"/>
        <v>2160</v>
      </c>
      <c r="O82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Row],[orderNum]],ТабПозиции[orderSumm])&gt;1500),ABS(M824*VLOOKUP(ТабПозиции[[#This Row],[orderNum]],ТабЗаказы[#Data],MATCH("Percent",ТабЗаказы[#Headers],0),0))/100,200/COUNTIF(ТабПозиции[orderNum],ТабПозиции[[#This Row],[orderNum]])),0),"")</f>
        <v>324</v>
      </c>
      <c r="P824">
        <f>IF(OR(ТабПозиции[[#This Row],[item]]="По штрихкоду",ТабПозиции[[#This Row],[item]]="Посылка"),ТабПозиции[[#This Row],[deliverySumm]]+ТабПозиции[[#This Row],[deliveryPost]],SUM(M824:O824))</f>
        <v>2484</v>
      </c>
      <c r="Q824" s="57">
        <v>2484</v>
      </c>
      <c r="R824" s="62">
        <f>ТабПозиции[[#This Row],[totalSumm]]-ТабПозиции[[#This Row],[payment]]</f>
        <v>0</v>
      </c>
      <c r="S824" s="34" t="s">
        <v>965</v>
      </c>
      <c r="T824" s="56" t="s">
        <v>3061</v>
      </c>
      <c r="U824" s="56" t="s">
        <v>3061</v>
      </c>
      <c r="V824" s="56" t="s">
        <v>3061</v>
      </c>
      <c r="W824" s="7"/>
      <c r="X824"/>
    </row>
    <row r="825" spans="1:24" x14ac:dyDescent="0.25">
      <c r="A825" s="26">
        <v>235</v>
      </c>
      <c r="B825" s="1">
        <f>IFERROR(VLOOKUP(ТабПозиции[[#This Row],[orderNum]],ТабЗаказы[#Data],MATCH(B$7,ТабЗаказы[#Headers],0),0),"")</f>
        <v>45539</v>
      </c>
      <c r="C825" t="str">
        <f>MONTH(ТабПозиции[[#This Row],[date]])&amp;"/"&amp;YEAR(ТабПозиции[[#This Row],[date]])</f>
        <v>9/2024</v>
      </c>
      <c r="D825" s="1" t="str">
        <f>IFERROR(VLOOKUP(ТабПозиции[[#This Row],[orderNum]],ТабЗаказы[#Data],MATCH(D$7,ТабЗаказы[#Headers],0),0),"")</f>
        <v>Юля Ларисына</v>
      </c>
      <c r="E825" s="32" t="s">
        <v>1363</v>
      </c>
      <c r="F825" s="56" t="s">
        <v>3061</v>
      </c>
      <c r="H825" s="34">
        <v>45543</v>
      </c>
      <c r="I825" s="26">
        <v>1</v>
      </c>
      <c r="J825" s="26">
        <v>318</v>
      </c>
      <c r="K825">
        <v>318</v>
      </c>
      <c r="L825" s="26">
        <v>335</v>
      </c>
      <c r="M825">
        <f t="shared" si="14"/>
        <v>335</v>
      </c>
      <c r="O82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Row],[orderNum]],ТабПозиции[orderSumm])&gt;1500),ABS(M825*VLOOKUP(ТабПозиции[[#This Row],[orderNum]],ТабЗаказы[#Data],MATCH("Percent",ТабЗаказы[#Headers],0),0))/100,200/COUNTIF(ТабПозиции[orderNum],ТабПозиции[[#This Row],[orderNum]])),0),"")</f>
        <v>50</v>
      </c>
      <c r="P825">
        <f>IF(OR(ТабПозиции[[#This Row],[item]]="По штрихкоду",ТабПозиции[[#This Row],[item]]="Посылка"),ТабПозиции[[#This Row],[deliverySumm]]+ТабПозиции[[#This Row],[deliveryPost]],SUM(M825:O825))</f>
        <v>385</v>
      </c>
      <c r="Q825" s="57">
        <v>385</v>
      </c>
      <c r="R825" s="62">
        <f>ТабПозиции[[#This Row],[totalSumm]]-ТабПозиции[[#This Row],[payment]]</f>
        <v>0</v>
      </c>
      <c r="S825" s="34" t="s">
        <v>965</v>
      </c>
      <c r="T825" s="56" t="s">
        <v>3061</v>
      </c>
      <c r="U825" s="56" t="s">
        <v>3061</v>
      </c>
      <c r="V825" s="56" t="s">
        <v>3061</v>
      </c>
      <c r="W825" s="7"/>
      <c r="X825"/>
    </row>
    <row r="826" spans="1:24" x14ac:dyDescent="0.25">
      <c r="A826" s="26">
        <v>235</v>
      </c>
      <c r="B826" s="1">
        <f>IFERROR(VLOOKUP(ТабПозиции[[#This Row],[orderNum]],ТабЗаказы[#Data],MATCH(B$7,ТабЗаказы[#Headers],0),0),"")</f>
        <v>45539</v>
      </c>
      <c r="C826" t="str">
        <f>MONTH(ТабПозиции[[#This Row],[date]])&amp;"/"&amp;YEAR(ТабПозиции[[#This Row],[date]])</f>
        <v>9/2024</v>
      </c>
      <c r="D826" s="1" t="str">
        <f>IFERROR(VLOOKUP(ТабПозиции[[#This Row],[orderNum]],ТабЗаказы[#Data],MATCH(D$7,ТабЗаказы[#Headers],0),0),"")</f>
        <v>Юля Ларисына</v>
      </c>
      <c r="E826" s="32" t="s">
        <v>1181</v>
      </c>
      <c r="F826" s="56" t="s">
        <v>3061</v>
      </c>
      <c r="H826" s="34">
        <v>45542</v>
      </c>
      <c r="I826" s="26">
        <v>1</v>
      </c>
      <c r="J826" s="26">
        <v>668</v>
      </c>
      <c r="K826">
        <v>668</v>
      </c>
      <c r="L826" s="26">
        <v>704</v>
      </c>
      <c r="M826">
        <f t="shared" si="14"/>
        <v>704</v>
      </c>
      <c r="O82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Row],[orderNum]],ТабПозиции[orderSumm])&gt;1500),ABS(M826*VLOOKUP(ТабПозиции[[#This Row],[orderNum]],ТабЗаказы[#Data],MATCH("Percent",ТабЗаказы[#Headers],0),0))/100,200/COUNTIF(ТабПозиции[orderNum],ТабПозиции[[#This Row],[orderNum]])),0),"")</f>
        <v>106</v>
      </c>
      <c r="P826">
        <f>IF(OR(ТабПозиции[[#This Row],[item]]="По штрихкоду",ТабПозиции[[#This Row],[item]]="Посылка"),ТабПозиции[[#This Row],[deliverySumm]]+ТабПозиции[[#This Row],[deliveryPost]],SUM(M826:O826))</f>
        <v>810</v>
      </c>
      <c r="Q826" s="57">
        <v>810</v>
      </c>
      <c r="R826" s="62">
        <f>ТабПозиции[[#This Row],[totalSumm]]-ТабПозиции[[#This Row],[payment]]</f>
        <v>0</v>
      </c>
      <c r="S826" s="34" t="s">
        <v>965</v>
      </c>
      <c r="T826" s="56" t="s">
        <v>3061</v>
      </c>
      <c r="U826" s="56" t="s">
        <v>3061</v>
      </c>
      <c r="V826" s="56" t="s">
        <v>3061</v>
      </c>
      <c r="W826" s="7"/>
      <c r="X826"/>
    </row>
    <row r="827" spans="1:24" x14ac:dyDescent="0.25">
      <c r="A827" s="26">
        <v>235</v>
      </c>
      <c r="B827" s="1">
        <f>IFERROR(VLOOKUP(ТабПозиции[[#This Row],[orderNum]],ТабЗаказы[#Data],MATCH(B$7,ТабЗаказы[#Headers],0),0),"")</f>
        <v>45539</v>
      </c>
      <c r="C827" t="str">
        <f>MONTH(ТабПозиции[[#This Row],[date]])&amp;"/"&amp;YEAR(ТабПозиции[[#This Row],[date]])</f>
        <v>9/2024</v>
      </c>
      <c r="D827" s="1" t="str">
        <f>IFERROR(VLOOKUP(ТабПозиции[[#This Row],[orderNum]],ТабЗаказы[#Data],MATCH(D$7,ТабЗаказы[#Headers],0),0),"")</f>
        <v>Юля Ларисына</v>
      </c>
      <c r="E827" s="32" t="s">
        <v>1364</v>
      </c>
      <c r="F827" s="56" t="s">
        <v>3061</v>
      </c>
      <c r="H827" s="34">
        <v>45544</v>
      </c>
      <c r="I827" s="26">
        <v>1</v>
      </c>
      <c r="J827" s="26">
        <v>91</v>
      </c>
      <c r="K827">
        <v>91</v>
      </c>
      <c r="L827" s="26">
        <v>96</v>
      </c>
      <c r="M827">
        <f t="shared" si="14"/>
        <v>96</v>
      </c>
      <c r="O82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Row],[orderNum]],ТабПозиции[orderSumm])&gt;1500),ABS(M827*VLOOKUP(ТабПозиции[[#This Row],[orderNum]],ТабЗаказы[#Data],MATCH("Percent",ТабЗаказы[#Headers],0),0))/100,200/COUNTIF(ТабПозиции[orderNum],ТабПозиции[[#This Row],[orderNum]])),0),"")</f>
        <v>14</v>
      </c>
      <c r="P827">
        <f>IF(OR(ТабПозиции[[#This Row],[item]]="По штрихкоду",ТабПозиции[[#This Row],[item]]="Посылка"),ТабПозиции[[#This Row],[deliverySumm]]+ТабПозиции[[#This Row],[deliveryPost]],SUM(M827:O827))</f>
        <v>110</v>
      </c>
      <c r="Q827" s="57">
        <v>110</v>
      </c>
      <c r="R827" s="62">
        <f>ТабПозиции[[#This Row],[totalSumm]]-ТабПозиции[[#This Row],[payment]]</f>
        <v>0</v>
      </c>
      <c r="S827" s="34" t="s">
        <v>965</v>
      </c>
      <c r="T827" s="56" t="s">
        <v>3061</v>
      </c>
      <c r="U827" s="56" t="s">
        <v>3061</v>
      </c>
      <c r="V827" s="56" t="s">
        <v>3061</v>
      </c>
      <c r="W827" s="7"/>
      <c r="X827"/>
    </row>
    <row r="828" spans="1:24" x14ac:dyDescent="0.25">
      <c r="A828" s="26">
        <v>235</v>
      </c>
      <c r="B828" s="1">
        <f>IFERROR(VLOOKUP(ТабПозиции[[#This Row],[orderNum]],ТабЗаказы[#Data],MATCH(B$7,ТабЗаказы[#Headers],0),0),"")</f>
        <v>45539</v>
      </c>
      <c r="C828" t="str">
        <f>MONTH(ТабПозиции[[#This Row],[date]])&amp;"/"&amp;YEAR(ТабПозиции[[#This Row],[date]])</f>
        <v>9/2024</v>
      </c>
      <c r="D828" s="1" t="str">
        <f>IFERROR(VLOOKUP(ТабПозиции[[#This Row],[orderNum]],ТабЗаказы[#Data],MATCH(D$7,ТабЗаказы[#Headers],0),0),"")</f>
        <v>Юля Ларисына</v>
      </c>
      <c r="E828" s="32" t="s">
        <v>1226</v>
      </c>
      <c r="F828" s="56" t="s">
        <v>3061</v>
      </c>
      <c r="H828" s="34">
        <v>45542</v>
      </c>
      <c r="I828" s="26">
        <v>1</v>
      </c>
      <c r="J828" s="26">
        <v>1135</v>
      </c>
      <c r="K828">
        <v>1135</v>
      </c>
      <c r="L828" s="26">
        <v>1195</v>
      </c>
      <c r="M828">
        <f t="shared" si="14"/>
        <v>1195</v>
      </c>
      <c r="O82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Row],[orderNum]],ТабПозиции[orderSumm])&gt;1500),ABS(M828*VLOOKUP(ТабПозиции[[#This Row],[orderNum]],ТабЗаказы[#Data],MATCH("Percent",ТабЗаказы[#Headers],0),0))/100,200/COUNTIF(ТабПозиции[orderNum],ТабПозиции[[#This Row],[orderNum]])),0),"")</f>
        <v>179</v>
      </c>
      <c r="P828">
        <f>IF(OR(ТабПозиции[[#This Row],[item]]="По штрихкоду",ТабПозиции[[#This Row],[item]]="Посылка"),ТабПозиции[[#This Row],[deliverySumm]]+ТабПозиции[[#This Row],[deliveryPost]],SUM(M828:O828))</f>
        <v>1374</v>
      </c>
      <c r="Q828" s="57">
        <v>1374</v>
      </c>
      <c r="R828" s="62">
        <f>ТабПозиции[[#This Row],[totalSumm]]-ТабПозиции[[#This Row],[payment]]</f>
        <v>0</v>
      </c>
      <c r="S828" s="34" t="s">
        <v>965</v>
      </c>
      <c r="T828" s="56" t="s">
        <v>3061</v>
      </c>
      <c r="U828" s="56" t="s">
        <v>3061</v>
      </c>
      <c r="V828" s="56" t="s">
        <v>3061</v>
      </c>
      <c r="W828" s="7"/>
      <c r="X828"/>
    </row>
    <row r="829" spans="1:24" x14ac:dyDescent="0.25">
      <c r="A829" s="26">
        <v>236</v>
      </c>
      <c r="B829" s="1">
        <f>IFERROR(VLOOKUP(ТабПозиции[[#This Row],[orderNum]],ТабЗаказы[#Data],MATCH(B$7,ТабЗаказы[#Headers],0),0),"")</f>
        <v>45540</v>
      </c>
      <c r="C829" t="str">
        <f>MONTH(ТабПозиции[[#This Row],[date]])&amp;"/"&amp;YEAR(ТабПозиции[[#This Row],[date]])</f>
        <v>9/2024</v>
      </c>
      <c r="D829" s="1" t="str">
        <f>IFERROR(VLOOKUP(ТабПозиции[[#This Row],[orderNum]],ТабЗаказы[#Data],MATCH(D$7,ТабЗаказы[#Headers],0),0),"")</f>
        <v>Светлана от Александра</v>
      </c>
      <c r="E829" s="32" t="s">
        <v>1365</v>
      </c>
      <c r="F829" s="56" t="s">
        <v>3061</v>
      </c>
      <c r="H829" s="34">
        <v>45542</v>
      </c>
      <c r="I829" s="26">
        <v>1</v>
      </c>
      <c r="J829" s="26">
        <v>569</v>
      </c>
      <c r="K829">
        <v>569</v>
      </c>
      <c r="L829" s="26">
        <v>599</v>
      </c>
      <c r="M829">
        <f t="shared" si="14"/>
        <v>599</v>
      </c>
      <c r="O82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Row],[orderNum]],ТабПозиции[orderSumm])&gt;1500),ABS(M829*VLOOKUP(ТабПозиции[[#This Row],[orderNum]],ТабЗаказы[#Data],MATCH("Percent",ТабЗаказы[#Headers],0),0))/100,200/COUNTIF(ТабПозиции[orderNum],ТабПозиции[[#This Row],[orderNum]])),0),"")</f>
        <v>90</v>
      </c>
      <c r="P829">
        <f>IF(OR(ТабПозиции[[#This Row],[item]]="По штрихкоду",ТабПозиции[[#This Row],[item]]="Посылка"),ТабПозиции[[#This Row],[deliverySumm]]+ТабПозиции[[#This Row],[deliveryPost]],SUM(M829:O829))</f>
        <v>689</v>
      </c>
      <c r="Q829" s="57">
        <v>689</v>
      </c>
      <c r="R829" s="62">
        <f>ТабПозиции[[#This Row],[totalSumm]]-ТабПозиции[[#This Row],[payment]]</f>
        <v>0</v>
      </c>
      <c r="S829" s="34" t="s">
        <v>965</v>
      </c>
      <c r="T829" s="56" t="s">
        <v>3061</v>
      </c>
      <c r="U829" s="56" t="s">
        <v>3061</v>
      </c>
      <c r="V829" s="56" t="s">
        <v>3061</v>
      </c>
      <c r="W829" s="7"/>
      <c r="X829"/>
    </row>
    <row r="830" spans="1:24" x14ac:dyDescent="0.25">
      <c r="A830" s="26">
        <v>236</v>
      </c>
      <c r="B830" s="1">
        <f>IFERROR(VLOOKUP(ТабПозиции[[#This Row],[orderNum]],ТабЗаказы[#Data],MATCH(B$7,ТабЗаказы[#Headers],0),0),"")</f>
        <v>45540</v>
      </c>
      <c r="C830" t="str">
        <f>MONTH(ТабПозиции[[#This Row],[date]])&amp;"/"&amp;YEAR(ТабПозиции[[#This Row],[date]])</f>
        <v>9/2024</v>
      </c>
      <c r="D830" s="1" t="str">
        <f>IFERROR(VLOOKUP(ТабПозиции[[#This Row],[orderNum]],ТабЗаказы[#Data],MATCH(D$7,ТабЗаказы[#Headers],0),0),"")</f>
        <v>Светлана от Александра</v>
      </c>
      <c r="E830" s="32" t="s">
        <v>1366</v>
      </c>
      <c r="F830" s="56" t="s">
        <v>3061</v>
      </c>
      <c r="H830" s="34">
        <v>45542</v>
      </c>
      <c r="I830" s="26">
        <v>1</v>
      </c>
      <c r="J830" s="26">
        <v>304</v>
      </c>
      <c r="K830">
        <v>304</v>
      </c>
      <c r="L830" s="26">
        <v>321</v>
      </c>
      <c r="M830">
        <f t="shared" si="14"/>
        <v>321</v>
      </c>
      <c r="O83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Row],[orderNum]],ТабПозиции[orderSumm])&gt;1500),ABS(M830*VLOOKUP(ТабПозиции[[#This Row],[orderNum]],ТабЗаказы[#Data],MATCH("Percent",ТабЗаказы[#Headers],0),0))/100,200/COUNTIF(ТабПозиции[orderNum],ТабПозиции[[#This Row],[orderNum]])),0),"")</f>
        <v>48</v>
      </c>
      <c r="P830">
        <f>IF(OR(ТабПозиции[[#This Row],[item]]="По штрихкоду",ТабПозиции[[#This Row],[item]]="Посылка"),ТабПозиции[[#This Row],[deliverySumm]]+ТабПозиции[[#This Row],[deliveryPost]],SUM(M830:O830))</f>
        <v>369</v>
      </c>
      <c r="Q830" s="57">
        <v>369</v>
      </c>
      <c r="R830" s="62">
        <f>ТабПозиции[[#This Row],[totalSumm]]-ТабПозиции[[#This Row],[payment]]</f>
        <v>0</v>
      </c>
      <c r="S830" s="34" t="s">
        <v>965</v>
      </c>
      <c r="T830" s="56" t="s">
        <v>3061</v>
      </c>
      <c r="U830" s="56" t="s">
        <v>3061</v>
      </c>
      <c r="V830" s="56" t="s">
        <v>3061</v>
      </c>
      <c r="W830" s="7"/>
      <c r="X830"/>
    </row>
    <row r="831" spans="1:24" x14ac:dyDescent="0.25">
      <c r="A831" s="26">
        <v>236</v>
      </c>
      <c r="B831" s="1">
        <f>IFERROR(VLOOKUP(ТабПозиции[[#This Row],[orderNum]],ТабЗаказы[#Data],MATCH(B$7,ТабЗаказы[#Headers],0),0),"")</f>
        <v>45540</v>
      </c>
      <c r="C831" t="str">
        <f>MONTH(ТабПозиции[[#This Row],[date]])&amp;"/"&amp;YEAR(ТабПозиции[[#This Row],[date]])</f>
        <v>9/2024</v>
      </c>
      <c r="D831" s="1" t="str">
        <f>IFERROR(VLOOKUP(ТабПозиции[[#This Row],[orderNum]],ТабЗаказы[#Data],MATCH(D$7,ТабЗаказы[#Headers],0),0),"")</f>
        <v>Светлана от Александра</v>
      </c>
      <c r="E831" s="32" t="s">
        <v>695</v>
      </c>
      <c r="F831" s="56" t="s">
        <v>3061</v>
      </c>
      <c r="H831" s="34">
        <v>45542</v>
      </c>
      <c r="I831" s="26">
        <v>1</v>
      </c>
      <c r="J831" s="26">
        <v>554</v>
      </c>
      <c r="K831">
        <v>554</v>
      </c>
      <c r="L831" s="26">
        <v>584</v>
      </c>
      <c r="M831">
        <f t="shared" si="14"/>
        <v>584</v>
      </c>
      <c r="O83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Row],[orderNum]],ТабПозиции[orderSumm])&gt;1500),ABS(M831*VLOOKUP(ТабПозиции[[#This Row],[orderNum]],ТабЗаказы[#Data],MATCH("Percent",ТабЗаказы[#Headers],0),0))/100,200/COUNTIF(ТабПозиции[orderNum],ТабПозиции[[#This Row],[orderNum]])),0),"")</f>
        <v>88</v>
      </c>
      <c r="P831">
        <f>IF(OR(ТабПозиции[[#This Row],[item]]="По штрихкоду",ТабПозиции[[#This Row],[item]]="Посылка"),ТабПозиции[[#This Row],[deliverySumm]]+ТабПозиции[[#This Row],[deliveryPost]],SUM(M831:O831))</f>
        <v>672</v>
      </c>
      <c r="Q831" s="57">
        <v>672</v>
      </c>
      <c r="R831" s="62">
        <f>ТабПозиции[[#This Row],[totalSumm]]-ТабПозиции[[#This Row],[payment]]</f>
        <v>0</v>
      </c>
      <c r="S831" s="34" t="s">
        <v>965</v>
      </c>
      <c r="T831" s="56" t="s">
        <v>3061</v>
      </c>
      <c r="U831" s="56" t="s">
        <v>3061</v>
      </c>
      <c r="V831" s="56" t="s">
        <v>3061</v>
      </c>
      <c r="W831" s="7"/>
      <c r="X831"/>
    </row>
    <row r="832" spans="1:24" x14ac:dyDescent="0.25">
      <c r="A832" s="26">
        <v>236</v>
      </c>
      <c r="B832" s="1">
        <f>IFERROR(VLOOKUP(ТабПозиции[[#This Row],[orderNum]],ТабЗаказы[#Data],MATCH(B$7,ТабЗаказы[#Headers],0),0),"")</f>
        <v>45540</v>
      </c>
      <c r="C832" t="str">
        <f>MONTH(ТабПозиции[[#This Row],[date]])&amp;"/"&amp;YEAR(ТабПозиции[[#This Row],[date]])</f>
        <v>9/2024</v>
      </c>
      <c r="D832" s="1" t="str">
        <f>IFERROR(VLOOKUP(ТабПозиции[[#This Row],[orderNum]],ТабЗаказы[#Data],MATCH(D$7,ТабЗаказы[#Headers],0),0),"")</f>
        <v>Светлана от Александра</v>
      </c>
      <c r="E832" s="32" t="s">
        <v>1367</v>
      </c>
      <c r="F832" s="56" t="s">
        <v>3061</v>
      </c>
      <c r="H832" s="34">
        <v>45542</v>
      </c>
      <c r="I832" s="26">
        <v>1</v>
      </c>
      <c r="J832" s="26">
        <v>337</v>
      </c>
      <c r="K832">
        <v>337</v>
      </c>
      <c r="L832" s="26">
        <v>355</v>
      </c>
      <c r="M832">
        <f t="shared" si="14"/>
        <v>355</v>
      </c>
      <c r="O83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Row],[orderNum]],ТабПозиции[orderSumm])&gt;1500),ABS(M832*VLOOKUP(ТабПозиции[[#This Row],[orderNum]],ТабЗаказы[#Data],MATCH("Percent",ТабЗаказы[#Headers],0),0))/100,200/COUNTIF(ТабПозиции[orderNum],ТабПозиции[[#This Row],[orderNum]])),0),"")</f>
        <v>53</v>
      </c>
      <c r="P832">
        <f>IF(OR(ТабПозиции[[#This Row],[item]]="По штрихкоду",ТабПозиции[[#This Row],[item]]="Посылка"),ТабПозиции[[#This Row],[deliverySumm]]+ТабПозиции[[#This Row],[deliveryPost]],SUM(M832:O832))</f>
        <v>408</v>
      </c>
      <c r="Q832" s="57">
        <v>408</v>
      </c>
      <c r="R832" s="62">
        <f>ТабПозиции[[#This Row],[totalSumm]]-ТабПозиции[[#This Row],[payment]]</f>
        <v>0</v>
      </c>
      <c r="S832" s="34" t="s">
        <v>965</v>
      </c>
      <c r="T832" s="56" t="s">
        <v>3061</v>
      </c>
      <c r="U832" s="56" t="s">
        <v>3061</v>
      </c>
      <c r="V832" s="56" t="s">
        <v>3061</v>
      </c>
      <c r="W832" s="7"/>
      <c r="X832"/>
    </row>
    <row r="833" spans="1:24" x14ac:dyDescent="0.25">
      <c r="A833" s="26">
        <v>236</v>
      </c>
      <c r="B833" s="1">
        <f>IFERROR(VLOOKUP(ТабПозиции[[#This Row],[orderNum]],ТабЗаказы[#Data],MATCH(B$7,ТабЗаказы[#Headers],0),0),"")</f>
        <v>45540</v>
      </c>
      <c r="C833" t="str">
        <f>MONTH(ТабПозиции[[#This Row],[date]])&amp;"/"&amp;YEAR(ТабПозиции[[#This Row],[date]])</f>
        <v>9/2024</v>
      </c>
      <c r="D833" s="1" t="str">
        <f>IFERROR(VLOOKUP(ТабПозиции[[#This Row],[orderNum]],ТабЗаказы[#Data],MATCH(D$7,ТабЗаказы[#Headers],0),0),"")</f>
        <v>Светлана от Александра</v>
      </c>
      <c r="E833" s="32" t="s">
        <v>1368</v>
      </c>
      <c r="F833" s="56" t="s">
        <v>3061</v>
      </c>
      <c r="H833" s="34">
        <v>45542</v>
      </c>
      <c r="I833" s="26">
        <v>1</v>
      </c>
      <c r="J833" s="26">
        <v>247</v>
      </c>
      <c r="K833">
        <v>247</v>
      </c>
      <c r="L833" s="26">
        <v>261</v>
      </c>
      <c r="M833">
        <f t="shared" si="14"/>
        <v>261</v>
      </c>
      <c r="O83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Row],[orderNum]],ТабПозиции[orderSumm])&gt;1500),ABS(M833*VLOOKUP(ТабПозиции[[#This Row],[orderNum]],ТабЗаказы[#Data],MATCH("Percent",ТабЗаказы[#Headers],0),0))/100,200/COUNTIF(ТабПозиции[orderNum],ТабПозиции[[#This Row],[orderNum]])),0),"")</f>
        <v>39</v>
      </c>
      <c r="P833">
        <f>IF(OR(ТабПозиции[[#This Row],[item]]="По штрихкоду",ТабПозиции[[#This Row],[item]]="Посылка"),ТабПозиции[[#This Row],[deliverySumm]]+ТабПозиции[[#This Row],[deliveryPost]],SUM(M833:O833))</f>
        <v>300</v>
      </c>
      <c r="Q833" s="57">
        <v>300</v>
      </c>
      <c r="R833" s="62">
        <f>ТабПозиции[[#This Row],[totalSumm]]-ТабПозиции[[#This Row],[payment]]</f>
        <v>0</v>
      </c>
      <c r="S833" s="34" t="s">
        <v>965</v>
      </c>
      <c r="T833" s="56" t="s">
        <v>3061</v>
      </c>
      <c r="U833" s="56" t="s">
        <v>3061</v>
      </c>
      <c r="V833" s="56" t="s">
        <v>3061</v>
      </c>
      <c r="W833" s="7"/>
      <c r="X833"/>
    </row>
    <row r="834" spans="1:24" x14ac:dyDescent="0.25">
      <c r="A834" s="26">
        <v>236</v>
      </c>
      <c r="B834" s="1">
        <f>IFERROR(VLOOKUP(ТабПозиции[[#This Row],[orderNum]],ТабЗаказы[#Data],MATCH(B$7,ТабЗаказы[#Headers],0),0),"")</f>
        <v>45540</v>
      </c>
      <c r="C834" t="str">
        <f>MONTH(ТабПозиции[[#This Row],[date]])&amp;"/"&amp;YEAR(ТабПозиции[[#This Row],[date]])</f>
        <v>9/2024</v>
      </c>
      <c r="D834" s="1" t="str">
        <f>IFERROR(VLOOKUP(ТабПозиции[[#This Row],[orderNum]],ТабЗаказы[#Data],MATCH(D$7,ТабЗаказы[#Headers],0),0),"")</f>
        <v>Светлана от Александра</v>
      </c>
      <c r="E834" s="32" t="s">
        <v>1369</v>
      </c>
      <c r="F834" s="56" t="s">
        <v>3061</v>
      </c>
      <c r="H834" s="34">
        <v>45542</v>
      </c>
      <c r="I834" s="26">
        <v>1</v>
      </c>
      <c r="J834" s="26">
        <v>58</v>
      </c>
      <c r="K834">
        <v>58</v>
      </c>
      <c r="L834" s="26">
        <v>62</v>
      </c>
      <c r="M834">
        <f t="shared" si="14"/>
        <v>62</v>
      </c>
      <c r="O83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Row],[orderNum]],ТабПозиции[orderSumm])&gt;1500),ABS(M834*VLOOKUP(ТабПозиции[[#This Row],[orderNum]],ТабЗаказы[#Data],MATCH("Percent",ТабЗаказы[#Headers],0),0))/100,200/COUNTIF(ТабПозиции[orderNum],ТабПозиции[[#This Row],[orderNum]])),0),"")</f>
        <v>9</v>
      </c>
      <c r="P834">
        <f>IF(OR(ТабПозиции[[#This Row],[item]]="По штрихкоду",ТабПозиции[[#This Row],[item]]="Посылка"),ТабПозиции[[#This Row],[deliverySumm]]+ТабПозиции[[#This Row],[deliveryPost]],SUM(M834:O834))</f>
        <v>71</v>
      </c>
      <c r="Q834" s="57">
        <v>71</v>
      </c>
      <c r="R834" s="62">
        <f>ТабПозиции[[#This Row],[totalSumm]]-ТабПозиции[[#This Row],[payment]]</f>
        <v>0</v>
      </c>
      <c r="S834" s="34" t="s">
        <v>965</v>
      </c>
      <c r="T834" s="56" t="s">
        <v>3061</v>
      </c>
      <c r="U834" s="56" t="s">
        <v>3061</v>
      </c>
      <c r="V834" s="56" t="s">
        <v>3061</v>
      </c>
      <c r="W834" s="7"/>
      <c r="X834"/>
    </row>
    <row r="835" spans="1:24" x14ac:dyDescent="0.25">
      <c r="A835" s="26">
        <v>236</v>
      </c>
      <c r="B835" s="1">
        <f>IFERROR(VLOOKUP(ТабПозиции[[#This Row],[orderNum]],ТабЗаказы[#Data],MATCH(B$7,ТабЗаказы[#Headers],0),0),"")</f>
        <v>45540</v>
      </c>
      <c r="C835" t="str">
        <f>MONTH(ТабПозиции[[#This Row],[date]])&amp;"/"&amp;YEAR(ТабПозиции[[#This Row],[date]])</f>
        <v>9/2024</v>
      </c>
      <c r="D835" s="1" t="str">
        <f>IFERROR(VLOOKUP(ТабПозиции[[#This Row],[orderNum]],ТабЗаказы[#Data],MATCH(D$7,ТабЗаказы[#Headers],0),0),"")</f>
        <v>Светлана от Александра</v>
      </c>
      <c r="E835" s="32" t="s">
        <v>1370</v>
      </c>
      <c r="F835" s="56" t="s">
        <v>3061</v>
      </c>
      <c r="H835" s="34">
        <v>45542</v>
      </c>
      <c r="I835" s="26">
        <v>1</v>
      </c>
      <c r="J835" s="26">
        <v>191</v>
      </c>
      <c r="K835">
        <v>191</v>
      </c>
      <c r="L835" s="26">
        <v>202</v>
      </c>
      <c r="M835">
        <f t="shared" si="14"/>
        <v>202</v>
      </c>
      <c r="O83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Row],[orderNum]],ТабПозиции[orderSumm])&gt;1500),ABS(M835*VLOOKUP(ТабПозиции[[#This Row],[orderNum]],ТабЗаказы[#Data],MATCH("Percent",ТабЗаказы[#Headers],0),0))/100,200/COUNTIF(ТабПозиции[orderNum],ТабПозиции[[#This Row],[orderNum]])),0),"")</f>
        <v>30</v>
      </c>
      <c r="P835">
        <f>IF(OR(ТабПозиции[[#This Row],[item]]="По штрихкоду",ТабПозиции[[#This Row],[item]]="Посылка"),ТабПозиции[[#This Row],[deliverySumm]]+ТабПозиции[[#This Row],[deliveryPost]],SUM(M835:O835))</f>
        <v>232</v>
      </c>
      <c r="Q835" s="57">
        <v>232</v>
      </c>
      <c r="R835" s="62">
        <f>ТабПозиции[[#This Row],[totalSumm]]-ТабПозиции[[#This Row],[payment]]</f>
        <v>0</v>
      </c>
      <c r="S835" s="34" t="s">
        <v>965</v>
      </c>
      <c r="T835" s="56" t="s">
        <v>3061</v>
      </c>
      <c r="U835" s="56" t="s">
        <v>3061</v>
      </c>
      <c r="V835" s="56" t="s">
        <v>3061</v>
      </c>
      <c r="W835" s="7"/>
      <c r="X835"/>
    </row>
    <row r="836" spans="1:24" x14ac:dyDescent="0.25">
      <c r="A836" s="26">
        <v>236</v>
      </c>
      <c r="B836" s="1">
        <f>IFERROR(VLOOKUP(ТабПозиции[[#This Row],[orderNum]],ТабЗаказы[#Data],MATCH(B$7,ТабЗаказы[#Headers],0),0),"")</f>
        <v>45540</v>
      </c>
      <c r="C836" t="str">
        <f>MONTH(ТабПозиции[[#This Row],[date]])&amp;"/"&amp;YEAR(ТабПозиции[[#This Row],[date]])</f>
        <v>9/2024</v>
      </c>
      <c r="D836" s="1" t="str">
        <f>IFERROR(VLOOKUP(ТабПозиции[[#This Row],[orderNum]],ТабЗаказы[#Data],MATCH(D$7,ТабЗаказы[#Headers],0),0),"")</f>
        <v>Светлана от Александра</v>
      </c>
      <c r="E836" s="32" t="s">
        <v>1371</v>
      </c>
      <c r="F836" s="56" t="s">
        <v>3061</v>
      </c>
      <c r="H836" s="34">
        <v>45542</v>
      </c>
      <c r="I836" s="26">
        <v>1</v>
      </c>
      <c r="J836" s="26">
        <v>190</v>
      </c>
      <c r="K836">
        <v>190</v>
      </c>
      <c r="L836" s="26">
        <v>200</v>
      </c>
      <c r="M836">
        <f t="shared" si="14"/>
        <v>200</v>
      </c>
      <c r="O83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Row],[orderNum]],ТабПозиции[orderSumm])&gt;1500),ABS(M836*VLOOKUP(ТабПозиции[[#This Row],[orderNum]],ТабЗаказы[#Data],MATCH("Percent",ТабЗаказы[#Headers],0),0))/100,200/COUNTIF(ТабПозиции[orderNum],ТабПозиции[[#This Row],[orderNum]])),0),"")</f>
        <v>30</v>
      </c>
      <c r="P836">
        <f>IF(OR(ТабПозиции[[#This Row],[item]]="По штрихкоду",ТабПозиции[[#This Row],[item]]="Посылка"),ТабПозиции[[#This Row],[deliverySumm]]+ТабПозиции[[#This Row],[deliveryPost]],SUM(M836:O836))</f>
        <v>230</v>
      </c>
      <c r="Q836" s="57">
        <v>230</v>
      </c>
      <c r="R836" s="62">
        <f>ТабПозиции[[#This Row],[totalSumm]]-ТабПозиции[[#This Row],[payment]]</f>
        <v>0</v>
      </c>
      <c r="S836" s="34" t="s">
        <v>965</v>
      </c>
      <c r="T836" s="56" t="s">
        <v>3061</v>
      </c>
      <c r="U836" s="56" t="s">
        <v>3061</v>
      </c>
      <c r="V836" s="56" t="s">
        <v>3061</v>
      </c>
      <c r="W836" s="7"/>
      <c r="X836"/>
    </row>
    <row r="837" spans="1:24" x14ac:dyDescent="0.25">
      <c r="A837" s="26">
        <v>236</v>
      </c>
      <c r="B837" s="1">
        <f>IFERROR(VLOOKUP(ТабПозиции[[#This Row],[orderNum]],ТабЗаказы[#Data],MATCH(B$7,ТабЗаказы[#Headers],0),0),"")</f>
        <v>45540</v>
      </c>
      <c r="C837" t="str">
        <f>MONTH(ТабПозиции[[#This Row],[date]])&amp;"/"&amp;YEAR(ТабПозиции[[#This Row],[date]])</f>
        <v>9/2024</v>
      </c>
      <c r="D837" s="1" t="str">
        <f>IFERROR(VLOOKUP(ТабПозиции[[#This Row],[orderNum]],ТабЗаказы[#Data],MATCH(D$7,ТабЗаказы[#Headers],0),0),"")</f>
        <v>Светлана от Александра</v>
      </c>
      <c r="E837" s="32" t="s">
        <v>1372</v>
      </c>
      <c r="F837" s="56" t="s">
        <v>3061</v>
      </c>
      <c r="H837" s="34">
        <v>45542</v>
      </c>
      <c r="I837" s="26">
        <v>1</v>
      </c>
      <c r="J837" s="26">
        <v>162</v>
      </c>
      <c r="K837">
        <v>162</v>
      </c>
      <c r="L837" s="26">
        <v>171</v>
      </c>
      <c r="M837">
        <f t="shared" si="14"/>
        <v>171</v>
      </c>
      <c r="O83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Row],[orderNum]],ТабПозиции[orderSumm])&gt;1500),ABS(M837*VLOOKUP(ТабПозиции[[#This Row],[orderNum]],ТабЗаказы[#Data],MATCH("Percent",ТабЗаказы[#Headers],0),0))/100,200/COUNTIF(ТабПозиции[orderNum],ТабПозиции[[#This Row],[orderNum]])),0),"")</f>
        <v>26</v>
      </c>
      <c r="P837">
        <f>IF(OR(ТабПозиции[[#This Row],[item]]="По штрихкоду",ТабПозиции[[#This Row],[item]]="Посылка"),ТабПозиции[[#This Row],[deliverySumm]]+ТабПозиции[[#This Row],[deliveryPost]],SUM(M837:O837))</f>
        <v>197</v>
      </c>
      <c r="Q837" s="57">
        <v>197</v>
      </c>
      <c r="R837" s="62">
        <f>ТабПозиции[[#This Row],[totalSumm]]-ТабПозиции[[#This Row],[payment]]</f>
        <v>0</v>
      </c>
      <c r="S837" s="34" t="s">
        <v>965</v>
      </c>
      <c r="T837" s="56" t="s">
        <v>3061</v>
      </c>
      <c r="U837" s="56" t="s">
        <v>3061</v>
      </c>
      <c r="V837" s="56" t="s">
        <v>3061</v>
      </c>
      <c r="W837" s="7"/>
      <c r="X837"/>
    </row>
    <row r="838" spans="1:24" x14ac:dyDescent="0.25">
      <c r="A838" s="26">
        <v>234</v>
      </c>
      <c r="B838" s="1">
        <f>IFERROR(VLOOKUP(ТабПозиции[[#This Row],[orderNum]],ТабЗаказы[#Data],MATCH(B$7,ТабЗаказы[#Headers],0),0),"")</f>
        <v>45538</v>
      </c>
      <c r="C838" t="str">
        <f>MONTH(ТабПозиции[[#This Row],[date]])&amp;"/"&amp;YEAR(ТабПозиции[[#This Row],[date]])</f>
        <v>9/2024</v>
      </c>
      <c r="D838" s="1" t="str">
        <f>IFERROR(VLOOKUP(ТабПозиции[[#This Row],[orderNum]],ТабЗаказы[#Data],MATCH(D$7,ТабЗаказы[#Headers],0),0),"")</f>
        <v>Максим телевизор</v>
      </c>
      <c r="E838" s="26" t="s">
        <v>815</v>
      </c>
      <c r="F838" s="56" t="s">
        <v>3061</v>
      </c>
      <c r="G838" s="28" t="s">
        <v>1373</v>
      </c>
      <c r="H838" s="34">
        <v>45543</v>
      </c>
      <c r="I838" s="26">
        <v>1</v>
      </c>
      <c r="J838" s="26">
        <v>13600</v>
      </c>
      <c r="K838">
        <v>13600</v>
      </c>
      <c r="L838" s="26">
        <v>13600</v>
      </c>
      <c r="M838">
        <f t="shared" si="14"/>
        <v>13600</v>
      </c>
      <c r="N838" s="26">
        <v>566</v>
      </c>
      <c r="O83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Row],[orderNum]],ТабПозиции[orderSumm])&gt;1500),ABS(M838*VLOOKUP(ТабПозиции[[#This Row],[orderNum]],ТабЗаказы[#Data],MATCH("Percent",ТабЗаказы[#Headers],0),0))/100,200/COUNTIF(ТабПозиции[orderNum],ТабПозиции[[#This Row],[orderNum]])),0),"")</f>
        <v>1360</v>
      </c>
      <c r="P838">
        <f>IF(OR(ТабПозиции[[#This Row],[item]]="По штрихкоду",ТабПозиции[[#This Row],[item]]="Посылка"),ТабПозиции[[#This Row],[deliverySumm]]+ТабПозиции[[#This Row],[deliveryPost]],SUM(M838:O838))</f>
        <v>1926</v>
      </c>
      <c r="Q838" s="57">
        <v>1926</v>
      </c>
      <c r="R838" s="62">
        <f>ТабПозиции[[#This Row],[totalSumm]]-ТабПозиции[[#This Row],[payment]]</f>
        <v>0</v>
      </c>
      <c r="S838" s="34" t="s">
        <v>1016</v>
      </c>
      <c r="T838" s="56" t="s">
        <v>3061</v>
      </c>
      <c r="U838" s="56" t="s">
        <v>3061</v>
      </c>
      <c r="V838" s="56" t="s">
        <v>3061</v>
      </c>
      <c r="W838" s="7"/>
      <c r="X838"/>
    </row>
    <row r="839" spans="1:24" x14ac:dyDescent="0.25">
      <c r="A839" s="26">
        <v>237</v>
      </c>
      <c r="B839" s="1">
        <f>IFERROR(VLOOKUP(ТабПозиции[[#This Row],[orderNum]],ТабЗаказы[#Data],MATCH(B$7,ТабЗаказы[#Headers],0),0),"")</f>
        <v>45541</v>
      </c>
      <c r="C839" t="str">
        <f>MONTH(ТабПозиции[[#This Row],[date]])&amp;"/"&amp;YEAR(ТабПозиции[[#This Row],[date]])</f>
        <v>9/2024</v>
      </c>
      <c r="D839" s="1" t="str">
        <f>IFERROR(VLOOKUP(ТабПозиции[[#This Row],[orderNum]],ТабЗаказы[#Data],MATCH(D$7,ТабЗаказы[#Headers],0),0),"")</f>
        <v>Лана</v>
      </c>
      <c r="E839" s="26" t="s">
        <v>32</v>
      </c>
      <c r="F839" s="56" t="s">
        <v>3061</v>
      </c>
      <c r="H839" s="34"/>
      <c r="I839" s="26">
        <v>1</v>
      </c>
      <c r="J839" s="26">
        <v>3615</v>
      </c>
      <c r="K839">
        <v>3615</v>
      </c>
      <c r="L839" s="26">
        <v>3615</v>
      </c>
      <c r="M839">
        <f t="shared" si="14"/>
        <v>3615</v>
      </c>
      <c r="O83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Row],[orderNum]],ТабПозиции[orderSumm])&gt;1500),ABS(M839*VLOOKUP(ТабПозиции[[#This Row],[orderNum]],ТабЗаказы[#Data],MATCH("Percent",ТабЗаказы[#Headers],0),0))/100,200/COUNTIF(ТабПозиции[orderNum],ТабПозиции[[#This Row],[orderNum]])),0),"")</f>
        <v>542</v>
      </c>
      <c r="P839">
        <f>IF(OR(ТабПозиции[[#This Row],[item]]="По штрихкоду",ТабПозиции[[#This Row],[item]]="Посылка"),ТабПозиции[[#This Row],[deliverySumm]]+ТабПозиции[[#This Row],[deliveryPost]],SUM(M839:O839))</f>
        <v>542</v>
      </c>
      <c r="Q839" s="57">
        <v>542</v>
      </c>
      <c r="R839" s="62">
        <f>ТабПозиции[[#This Row],[totalSumm]]-ТабПозиции[[#This Row],[payment]]</f>
        <v>0</v>
      </c>
      <c r="S839" s="34" t="s">
        <v>955</v>
      </c>
      <c r="T839" s="56" t="s">
        <v>3061</v>
      </c>
      <c r="U839" s="56" t="s">
        <v>3061</v>
      </c>
      <c r="V839" s="56" t="s">
        <v>3061</v>
      </c>
      <c r="W839" s="7"/>
      <c r="X839"/>
    </row>
    <row r="840" spans="1:24" x14ac:dyDescent="0.25">
      <c r="A840" s="26">
        <v>238</v>
      </c>
      <c r="B840" s="1">
        <f>IFERROR(VLOOKUP(ТабПозиции[[#This Row],[orderNum]],ТабЗаказы[#Data],MATCH(B$7,ТабЗаказы[#Headers],0),0),"")</f>
        <v>45541</v>
      </c>
      <c r="C840" t="str">
        <f>MONTH(ТабПозиции[[#This Row],[date]])&amp;"/"&amp;YEAR(ТабПозиции[[#This Row],[date]])</f>
        <v>9/2024</v>
      </c>
      <c r="D840" s="1" t="str">
        <f>IFERROR(VLOOKUP(ТабПозиции[[#This Row],[orderNum]],ТабЗаказы[#Data],MATCH(D$7,ТабЗаказы[#Headers],0),0),"")</f>
        <v>Серг</v>
      </c>
      <c r="E840" s="26" t="s">
        <v>32</v>
      </c>
      <c r="F840" s="56" t="s">
        <v>3061</v>
      </c>
      <c r="H840" s="34"/>
      <c r="I840" s="26">
        <v>1</v>
      </c>
      <c r="J840" s="26">
        <v>2953</v>
      </c>
      <c r="K840">
        <v>2953</v>
      </c>
      <c r="L840" s="26">
        <v>2953</v>
      </c>
      <c r="M840">
        <f t="shared" si="14"/>
        <v>2953</v>
      </c>
      <c r="O84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Row],[orderNum]],ТабПозиции[orderSumm])&gt;1500),ABS(M840*VLOOKUP(ТабПозиции[[#This Row],[orderNum]],ТабЗаказы[#Data],MATCH("Percent",ТабЗаказы[#Headers],0),0))/100,200/COUNTIF(ТабПозиции[orderNum],ТабПозиции[[#This Row],[orderNum]])),0),"")</f>
        <v>443</v>
      </c>
      <c r="P840">
        <f>IF(OR(ТабПозиции[[#This Row],[item]]="По штрихкоду",ТабПозиции[[#This Row],[item]]="Посылка"),ТабПозиции[[#This Row],[deliverySumm]]+ТабПозиции[[#This Row],[deliveryPost]],SUM(M840:O840))</f>
        <v>443</v>
      </c>
      <c r="Q840" s="57">
        <v>443</v>
      </c>
      <c r="R840" s="62">
        <f>ТабПозиции[[#This Row],[totalSumm]]-ТабПозиции[[#This Row],[payment]]</f>
        <v>0</v>
      </c>
      <c r="S840" s="34" t="s">
        <v>955</v>
      </c>
      <c r="T840" s="56" t="s">
        <v>3061</v>
      </c>
      <c r="U840" s="56" t="s">
        <v>3061</v>
      </c>
      <c r="V840" s="56" t="s">
        <v>3061</v>
      </c>
      <c r="W840" s="7"/>
      <c r="X840"/>
    </row>
    <row r="841" spans="1:24" x14ac:dyDescent="0.25">
      <c r="A841" s="26">
        <v>239</v>
      </c>
      <c r="B841" s="1">
        <f>IFERROR(VLOOKUP(ТабПозиции[[#This Row],[orderNum]],ТабЗаказы[#Data],MATCH(B$7,ТабЗаказы[#Headers],0),0),"")</f>
        <v>45541</v>
      </c>
      <c r="C841" t="str">
        <f>MONTH(ТабПозиции[[#This Row],[date]])&amp;"/"&amp;YEAR(ТабПозиции[[#This Row],[date]])</f>
        <v>9/2024</v>
      </c>
      <c r="D841" s="1" t="str">
        <f>IFERROR(VLOOKUP(ТабПозиции[[#This Row],[orderNum]],ТабЗаказы[#Data],MATCH(D$7,ТабЗаказы[#Headers],0),0),"")</f>
        <v>Аннет</v>
      </c>
      <c r="E841" s="26" t="s">
        <v>32</v>
      </c>
      <c r="F841" s="56" t="s">
        <v>3061</v>
      </c>
      <c r="H841" s="34"/>
      <c r="I841" s="26">
        <v>1</v>
      </c>
      <c r="J841" s="26">
        <v>4836</v>
      </c>
      <c r="K841">
        <v>4836</v>
      </c>
      <c r="L841" s="26">
        <v>4836</v>
      </c>
      <c r="M841">
        <f t="shared" si="14"/>
        <v>4836</v>
      </c>
      <c r="O84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Row],[orderNum]],ТабПозиции[orderSumm])&gt;1500),ABS(M841*VLOOKUP(ТабПозиции[[#This Row],[orderNum]],ТабЗаказы[#Data],MATCH("Percent",ТабЗаказы[#Headers],0),0))/100,200/COUNTIF(ТабПозиции[orderNum],ТабПозиции[[#This Row],[orderNum]])),0),"")</f>
        <v>725</v>
      </c>
      <c r="P841">
        <f>IF(OR(ТабПозиции[[#This Row],[item]]="По штрихкоду",ТабПозиции[[#This Row],[item]]="Посылка"),ТабПозиции[[#This Row],[deliverySumm]]+ТабПозиции[[#This Row],[deliveryPost]],SUM(M841:O841))</f>
        <v>725</v>
      </c>
      <c r="Q841" s="57">
        <v>725</v>
      </c>
      <c r="R841" s="62">
        <f>ТабПозиции[[#This Row],[totalSumm]]-ТабПозиции[[#This Row],[payment]]</f>
        <v>0</v>
      </c>
      <c r="S841" s="34" t="s">
        <v>955</v>
      </c>
      <c r="T841" s="56" t="s">
        <v>3061</v>
      </c>
      <c r="U841" s="56" t="s">
        <v>3061</v>
      </c>
      <c r="V841" s="56" t="s">
        <v>3061</v>
      </c>
      <c r="W841" s="7"/>
      <c r="X841"/>
    </row>
    <row r="842" spans="1:24" x14ac:dyDescent="0.25">
      <c r="A842" s="26">
        <v>240</v>
      </c>
      <c r="B842" s="1">
        <f>IFERROR(VLOOKUP(ТабПозиции[[#This Row],[orderNum]],ТабЗаказы[#Data],MATCH(B$7,ТабЗаказы[#Headers],0),0),"")</f>
        <v>45541</v>
      </c>
      <c r="C842" t="str">
        <f>MONTH(ТабПозиции[[#This Row],[date]])&amp;"/"&amp;YEAR(ТабПозиции[[#This Row],[date]])</f>
        <v>9/2024</v>
      </c>
      <c r="D842" s="1" t="str">
        <f>IFERROR(VLOOKUP(ТабПозиции[[#This Row],[orderNum]],ТабЗаказы[#Data],MATCH(D$7,ТабЗаказы[#Headers],0),0),"")</f>
        <v>Евгений Васильев</v>
      </c>
      <c r="E842" s="26" t="s">
        <v>32</v>
      </c>
      <c r="F842" s="56" t="s">
        <v>3061</v>
      </c>
      <c r="H842" s="34"/>
      <c r="I842" s="26">
        <v>1</v>
      </c>
      <c r="J842" s="26">
        <v>13270</v>
      </c>
      <c r="K842">
        <v>13270</v>
      </c>
      <c r="L842" s="26">
        <v>13270</v>
      </c>
      <c r="M842">
        <f t="shared" si="14"/>
        <v>13270</v>
      </c>
      <c r="O84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Row],[orderNum]],ТабПозиции[orderSumm])&gt;1500),ABS(M842*VLOOKUP(ТабПозиции[[#This Row],[orderNum]],ТабЗаказы[#Data],MATCH("Percent",ТабЗаказы[#Headers],0),0))/100,200/COUNTIF(ТабПозиции[orderNum],ТабПозиции[[#This Row],[orderNum]])),0),"")</f>
        <v>1327</v>
      </c>
      <c r="P842">
        <f>IF(OR(ТабПозиции[[#This Row],[item]]="По штрихкоду",ТабПозиции[[#This Row],[item]]="Посылка"),ТабПозиции[[#This Row],[deliverySumm]]+ТабПозиции[[#This Row],[deliveryPost]],SUM(M842:O842))</f>
        <v>1327</v>
      </c>
      <c r="Q842" s="57">
        <v>1327</v>
      </c>
      <c r="R842" s="62">
        <f>ТабПозиции[[#This Row],[totalSumm]]-ТабПозиции[[#This Row],[payment]]</f>
        <v>0</v>
      </c>
      <c r="S842" s="34" t="s">
        <v>955</v>
      </c>
      <c r="T842" s="56" t="s">
        <v>3061</v>
      </c>
      <c r="U842" s="56" t="s">
        <v>3061</v>
      </c>
      <c r="V842" s="56" t="s">
        <v>3061</v>
      </c>
      <c r="W842" s="7"/>
      <c r="X842"/>
    </row>
    <row r="843" spans="1:24" x14ac:dyDescent="0.25">
      <c r="A843" s="26">
        <v>234</v>
      </c>
      <c r="B843" s="1">
        <f>IFERROR(VLOOKUP(ТабПозиции[[#This Row],[orderNum]],ТабЗаказы[#Data],MATCH(B$7,ТабЗаказы[#Headers],0),0),"")</f>
        <v>45538</v>
      </c>
      <c r="C843" t="str">
        <f>MONTH(ТабПозиции[[#This Row],[date]])&amp;"/"&amp;YEAR(ТабПозиции[[#This Row],[date]])</f>
        <v>9/2024</v>
      </c>
      <c r="D843" s="1" t="str">
        <f>IFERROR(VLOOKUP(ТабПозиции[[#This Row],[orderNum]],ТабЗаказы[#Data],MATCH(D$7,ТабЗаказы[#Headers],0),0),"")</f>
        <v>Максим телевизор</v>
      </c>
      <c r="E843" s="26" t="s">
        <v>815</v>
      </c>
      <c r="F843" s="56" t="s">
        <v>3061</v>
      </c>
      <c r="G843" s="44" t="s">
        <v>1401</v>
      </c>
      <c r="H843" s="34">
        <v>45548</v>
      </c>
      <c r="I843" s="26">
        <v>1</v>
      </c>
      <c r="J843" s="26">
        <v>1800</v>
      </c>
      <c r="K843">
        <v>1800</v>
      </c>
      <c r="L843" s="26">
        <v>1800</v>
      </c>
      <c r="M843">
        <f t="shared" si="14"/>
        <v>1800</v>
      </c>
      <c r="O84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Row],[orderNum]],ТабПозиции[orderSumm])&gt;1500),ABS(M843*VLOOKUP(ТабПозиции[[#This Row],[orderNum]],ТабЗаказы[#Data],MATCH("Percent",ТабЗаказы[#Headers],0),0))/100,200/COUNTIF(ТабПозиции[orderNum],ТабПозиции[[#This Row],[orderNum]])),0),"")</f>
        <v>180</v>
      </c>
      <c r="P843">
        <f>IF(OR(ТабПозиции[[#This Row],[item]]="По штрихкоду",ТабПозиции[[#This Row],[item]]="Посылка"),ТабПозиции[[#This Row],[deliverySumm]]+ТабПозиции[[#This Row],[deliveryPost]],SUM(M843:O843))</f>
        <v>180</v>
      </c>
      <c r="Q843" s="57">
        <f>180</f>
        <v>180</v>
      </c>
      <c r="R843" s="62">
        <f>ТабПозиции[[#This Row],[totalSumm]]-ТабПозиции[[#This Row],[payment]]</f>
        <v>0</v>
      </c>
      <c r="S843" s="34" t="s">
        <v>1011</v>
      </c>
      <c r="T843" s="56" t="s">
        <v>3061</v>
      </c>
      <c r="U843" s="56" t="s">
        <v>3061</v>
      </c>
      <c r="V843" s="56" t="s">
        <v>3061</v>
      </c>
      <c r="W843" s="7"/>
      <c r="X843"/>
    </row>
    <row r="844" spans="1:24" x14ac:dyDescent="0.25">
      <c r="A844" s="26">
        <v>241</v>
      </c>
      <c r="B844" s="1">
        <f>IFERROR(VLOOKUP(ТабПозиции[[#This Row],[orderNum]],ТабЗаказы[#Data],MATCH(B$7,ТабЗаказы[#Headers],0),0),"")</f>
        <v>45541</v>
      </c>
      <c r="C844" t="str">
        <f>MONTH(ТабПозиции[[#This Row],[date]])&amp;"/"&amp;YEAR(ТабПозиции[[#This Row],[date]])</f>
        <v>9/2024</v>
      </c>
      <c r="D844" s="1" t="str">
        <f>IFERROR(VLOOKUP(ТабПозиции[[#This Row],[orderNum]],ТабЗаказы[#Data],MATCH(D$7,ТабЗаказы[#Headers],0),0),"")</f>
        <v>Лариса Кирова</v>
      </c>
      <c r="E844" s="32" t="s">
        <v>555</v>
      </c>
      <c r="F844" s="56" t="s">
        <v>3061</v>
      </c>
      <c r="H844" s="34">
        <v>45544</v>
      </c>
      <c r="I844" s="26">
        <v>1</v>
      </c>
      <c r="J844" s="26">
        <v>129</v>
      </c>
      <c r="K844">
        <v>129</v>
      </c>
      <c r="L844" s="26">
        <v>136</v>
      </c>
      <c r="M844">
        <f t="shared" si="14"/>
        <v>136</v>
      </c>
      <c r="O84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Row],[orderNum]],ТабПозиции[orderSumm])&gt;1500),ABS(M844*VLOOKUP(ТабПозиции[[#This Row],[orderNum]],ТабЗаказы[#Data],MATCH("Percent",ТабЗаказы[#Headers],0),0))/100,200/COUNTIF(ТабПозиции[orderNum],ТабПозиции[[#This Row],[orderNum]])),0),"")</f>
        <v>20</v>
      </c>
      <c r="P844">
        <f>IF(OR(ТабПозиции[[#This Row],[item]]="По штрихкоду",ТабПозиции[[#This Row],[item]]="Посылка"),ТабПозиции[[#This Row],[deliverySumm]]+ТабПозиции[[#This Row],[deliveryPost]],SUM(M844:O844))</f>
        <v>156</v>
      </c>
      <c r="Q844" s="57">
        <v>156</v>
      </c>
      <c r="R844" s="62">
        <f>ТабПозиции[[#This Row],[totalSumm]]-ТабПозиции[[#This Row],[payment]]</f>
        <v>0</v>
      </c>
      <c r="S844" s="34" t="s">
        <v>965</v>
      </c>
      <c r="T844" s="56" t="s">
        <v>3061</v>
      </c>
      <c r="U844" s="56" t="s">
        <v>3061</v>
      </c>
      <c r="V844" s="56" t="s">
        <v>3061</v>
      </c>
      <c r="W844" s="7"/>
      <c r="X844"/>
    </row>
    <row r="845" spans="1:24" x14ac:dyDescent="0.25">
      <c r="A845" s="26">
        <v>241</v>
      </c>
      <c r="B845" s="1">
        <f>IFERROR(VLOOKUP(ТабПозиции[[#This Row],[orderNum]],ТабЗаказы[#Data],MATCH(B$7,ТабЗаказы[#Headers],0),0),"")</f>
        <v>45541</v>
      </c>
      <c r="C845" t="str">
        <f>MONTH(ТабПозиции[[#This Row],[date]])&amp;"/"&amp;YEAR(ТабПозиции[[#This Row],[date]])</f>
        <v>9/2024</v>
      </c>
      <c r="D845" s="1" t="str">
        <f>IFERROR(VLOOKUP(ТабПозиции[[#This Row],[orderNum]],ТабЗаказы[#Data],MATCH(D$7,ТабЗаказы[#Headers],0),0),"")</f>
        <v>Лариса Кирова</v>
      </c>
      <c r="E845" s="32" t="s">
        <v>1402</v>
      </c>
      <c r="F845" s="56" t="s">
        <v>3061</v>
      </c>
      <c r="H845" s="34">
        <v>45543</v>
      </c>
      <c r="I845" s="26">
        <v>1</v>
      </c>
      <c r="J845" s="26">
        <v>155</v>
      </c>
      <c r="K845">
        <v>155</v>
      </c>
      <c r="L845" s="26">
        <v>164</v>
      </c>
      <c r="M845">
        <f t="shared" si="14"/>
        <v>164</v>
      </c>
      <c r="O84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Row],[orderNum]],ТабПозиции[orderSumm])&gt;1500),ABS(M845*VLOOKUP(ТабПозиции[[#This Row],[orderNum]],ТабЗаказы[#Data],MATCH("Percent",ТабЗаказы[#Headers],0),0))/100,200/COUNTIF(ТабПозиции[orderNum],ТабПозиции[[#This Row],[orderNum]])),0),"")</f>
        <v>25</v>
      </c>
      <c r="P845">
        <f>IF(OR(ТабПозиции[[#This Row],[item]]="По штрихкоду",ТабПозиции[[#This Row],[item]]="Посылка"),ТабПозиции[[#This Row],[deliverySumm]]+ТабПозиции[[#This Row],[deliveryPost]],SUM(M845:O845))</f>
        <v>189</v>
      </c>
      <c r="Q845" s="57">
        <v>189</v>
      </c>
      <c r="R845" s="62">
        <f>ТабПозиции[[#This Row],[totalSumm]]-ТабПозиции[[#This Row],[payment]]</f>
        <v>0</v>
      </c>
      <c r="S845" s="34" t="s">
        <v>965</v>
      </c>
      <c r="T845" s="56" t="s">
        <v>3061</v>
      </c>
      <c r="U845" s="56" t="s">
        <v>3061</v>
      </c>
      <c r="V845" s="56" t="s">
        <v>3061</v>
      </c>
      <c r="W845" s="7"/>
      <c r="X845"/>
    </row>
    <row r="846" spans="1:24" x14ac:dyDescent="0.25">
      <c r="A846" s="26">
        <v>241</v>
      </c>
      <c r="B846" s="1">
        <f>IFERROR(VLOOKUP(ТабПозиции[[#This Row],[orderNum]],ТабЗаказы[#Data],MATCH(B$7,ТабЗаказы[#Headers],0),0),"")</f>
        <v>45541</v>
      </c>
      <c r="C846" t="str">
        <f>MONTH(ТабПозиции[[#This Row],[date]])&amp;"/"&amp;YEAR(ТабПозиции[[#This Row],[date]])</f>
        <v>9/2024</v>
      </c>
      <c r="D846" s="1" t="str">
        <f>IFERROR(VLOOKUP(ТабПозиции[[#This Row],[orderNum]],ТабЗаказы[#Data],MATCH(D$7,ТабЗаказы[#Headers],0),0),"")</f>
        <v>Лариса Кирова</v>
      </c>
      <c r="E846" s="32" t="s">
        <v>1403</v>
      </c>
      <c r="F846" s="56" t="s">
        <v>3061</v>
      </c>
      <c r="H846" s="34">
        <v>45548</v>
      </c>
      <c r="I846" s="26">
        <v>1</v>
      </c>
      <c r="J846" s="26">
        <v>140</v>
      </c>
      <c r="K846">
        <v>140</v>
      </c>
      <c r="L846" s="26">
        <v>148</v>
      </c>
      <c r="M846">
        <f t="shared" si="14"/>
        <v>148</v>
      </c>
      <c r="O84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Row],[orderNum]],ТабПозиции[orderSumm])&gt;1500),ABS(M846*VLOOKUP(ТабПозиции[[#This Row],[orderNum]],ТабЗаказы[#Data],MATCH("Percent",ТабЗаказы[#Headers],0),0))/100,200/COUNTIF(ТабПозиции[orderNum],ТабПозиции[[#This Row],[orderNum]])),0),"")</f>
        <v>22</v>
      </c>
      <c r="P846">
        <f>IF(OR(ТабПозиции[[#This Row],[item]]="По штрихкоду",ТабПозиции[[#This Row],[item]]="Посылка"),ТабПозиции[[#This Row],[deliverySumm]]+ТабПозиции[[#This Row],[deliveryPost]],SUM(M846:O846))</f>
        <v>170</v>
      </c>
      <c r="Q846" s="57">
        <v>170</v>
      </c>
      <c r="R846" s="62">
        <f>ТабПозиции[[#This Row],[totalSumm]]-ТабПозиции[[#This Row],[payment]]</f>
        <v>0</v>
      </c>
      <c r="S846" s="34" t="s">
        <v>965</v>
      </c>
      <c r="T846" s="56" t="s">
        <v>3061</v>
      </c>
      <c r="U846" s="56" t="s">
        <v>3061</v>
      </c>
      <c r="V846" s="56" t="s">
        <v>3061</v>
      </c>
      <c r="W846" s="7"/>
      <c r="X846"/>
    </row>
    <row r="847" spans="1:24" x14ac:dyDescent="0.25">
      <c r="A847" s="26">
        <v>241</v>
      </c>
      <c r="B847" s="1">
        <f>IFERROR(VLOOKUP(ТабПозиции[[#This Row],[orderNum]],ТабЗаказы[#Data],MATCH(B$7,ТабЗаказы[#Headers],0),0),"")</f>
        <v>45541</v>
      </c>
      <c r="C847" t="str">
        <f>MONTH(ТабПозиции[[#This Row],[date]])&amp;"/"&amp;YEAR(ТабПозиции[[#This Row],[date]])</f>
        <v>9/2024</v>
      </c>
      <c r="D847" s="1" t="str">
        <f>IFERROR(VLOOKUP(ТабПозиции[[#This Row],[orderNum]],ТабЗаказы[#Data],MATCH(D$7,ТабЗаказы[#Headers],0),0),"")</f>
        <v>Лариса Кирова</v>
      </c>
      <c r="E847" s="32" t="s">
        <v>1404</v>
      </c>
      <c r="F847" s="56" t="s">
        <v>3061</v>
      </c>
      <c r="H847" s="34">
        <v>45543</v>
      </c>
      <c r="I847" s="26">
        <v>1</v>
      </c>
      <c r="J847" s="26">
        <v>1110</v>
      </c>
      <c r="K847">
        <v>1110</v>
      </c>
      <c r="L847" s="26">
        <v>1194</v>
      </c>
      <c r="M847">
        <f t="shared" si="14"/>
        <v>1194</v>
      </c>
      <c r="O84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Row],[orderNum]],ТабПозиции[orderSumm])&gt;1500),ABS(M847*VLOOKUP(ТабПозиции[[#This Row],[orderNum]],ТабЗаказы[#Data],MATCH("Percent",ТабЗаказы[#Headers],0),0))/100,200/COUNTIF(ТабПозиции[orderNum],ТабПозиции[[#This Row],[orderNum]])),0),"")</f>
        <v>179</v>
      </c>
      <c r="P847">
        <f>IF(OR(ТабПозиции[[#This Row],[item]]="По штрихкоду",ТабПозиции[[#This Row],[item]]="Посылка"),ТабПозиции[[#This Row],[deliverySumm]]+ТабПозиции[[#This Row],[deliveryPost]],SUM(M847:O847))</f>
        <v>1373</v>
      </c>
      <c r="Q847" s="57">
        <v>1373</v>
      </c>
      <c r="R847" s="62">
        <f>ТабПозиции[[#This Row],[totalSumm]]-ТабПозиции[[#This Row],[payment]]</f>
        <v>0</v>
      </c>
      <c r="S847" s="34" t="s">
        <v>955</v>
      </c>
      <c r="T847" s="56" t="s">
        <v>3061</v>
      </c>
      <c r="U847" s="56" t="s">
        <v>3061</v>
      </c>
      <c r="V847" s="56" t="s">
        <v>3061</v>
      </c>
      <c r="W847" s="7"/>
      <c r="X847"/>
    </row>
    <row r="848" spans="1:24" x14ac:dyDescent="0.25">
      <c r="A848" s="26">
        <v>241</v>
      </c>
      <c r="B848" s="1">
        <f>IFERROR(VLOOKUP(ТабПозиции[[#This Row],[orderNum]],ТабЗаказы[#Data],MATCH(B$7,ТабЗаказы[#Headers],0),0),"")</f>
        <v>45541</v>
      </c>
      <c r="C848" t="str">
        <f>MONTH(ТабПозиции[[#This Row],[date]])&amp;"/"&amp;YEAR(ТабПозиции[[#This Row],[date]])</f>
        <v>9/2024</v>
      </c>
      <c r="D848" s="1" t="str">
        <f>IFERROR(VLOOKUP(ТабПозиции[[#This Row],[orderNum]],ТабЗаказы[#Data],MATCH(D$7,ТабЗаказы[#Headers],0),0),"")</f>
        <v>Лариса Кирова</v>
      </c>
      <c r="E848" s="32" t="s">
        <v>1405</v>
      </c>
      <c r="F848" s="56" t="s">
        <v>3061</v>
      </c>
      <c r="H848" s="34">
        <v>45544</v>
      </c>
      <c r="I848" s="26">
        <v>1</v>
      </c>
      <c r="J848" s="26">
        <v>513</v>
      </c>
      <c r="K848">
        <v>513</v>
      </c>
      <c r="L848" s="26">
        <v>544</v>
      </c>
      <c r="M848">
        <f t="shared" si="14"/>
        <v>544</v>
      </c>
      <c r="O84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Row],[orderNum]],ТабПозиции[orderSumm])&gt;1500),ABS(M848*VLOOKUP(ТабПозиции[[#This Row],[orderNum]],ТабЗаказы[#Data],MATCH("Percent",ТабЗаказы[#Headers],0),0))/100,200/COUNTIF(ТабПозиции[orderNum],ТабПозиции[[#This Row],[orderNum]])),0),"")</f>
        <v>82</v>
      </c>
      <c r="P848">
        <f>IF(OR(ТабПозиции[[#This Row],[item]]="По штрихкоду",ТабПозиции[[#This Row],[item]]="Посылка"),ТабПозиции[[#This Row],[deliverySumm]]+ТабПозиции[[#This Row],[deliveryPost]],SUM(M848:O848))</f>
        <v>626</v>
      </c>
      <c r="Q848" s="57">
        <v>626</v>
      </c>
      <c r="R848" s="62">
        <f>ТабПозиции[[#This Row],[totalSumm]]-ТабПозиции[[#This Row],[payment]]</f>
        <v>0</v>
      </c>
      <c r="S848" s="34" t="s">
        <v>955</v>
      </c>
      <c r="T848" s="56" t="s">
        <v>3061</v>
      </c>
      <c r="U848" s="56" t="s">
        <v>3061</v>
      </c>
      <c r="V848" s="56" t="s">
        <v>3061</v>
      </c>
      <c r="W848" s="7"/>
      <c r="X848"/>
    </row>
    <row r="849" spans="1:24" x14ac:dyDescent="0.25">
      <c r="A849" s="26">
        <v>241</v>
      </c>
      <c r="B849" s="1">
        <f>IFERROR(VLOOKUP(ТабПозиции[[#This Row],[orderNum]],ТабЗаказы[#Data],MATCH(B$7,ТабЗаказы[#Headers],0),0),"")</f>
        <v>45541</v>
      </c>
      <c r="C849" t="str">
        <f>MONTH(ТабПозиции[[#This Row],[date]])&amp;"/"&amp;YEAR(ТабПозиции[[#This Row],[date]])</f>
        <v>9/2024</v>
      </c>
      <c r="D849" s="1" t="str">
        <f>IFERROR(VLOOKUP(ТабПозиции[[#This Row],[orderNum]],ТабЗаказы[#Data],MATCH(D$7,ТабЗаказы[#Headers],0),0),"")</f>
        <v>Лариса Кирова</v>
      </c>
      <c r="E849" s="32" t="s">
        <v>1406</v>
      </c>
      <c r="F849" s="56" t="s">
        <v>3061</v>
      </c>
      <c r="H849" s="34">
        <v>45545</v>
      </c>
      <c r="I849" s="26">
        <v>1</v>
      </c>
      <c r="J849" s="26">
        <v>165</v>
      </c>
      <c r="K849">
        <v>165</v>
      </c>
      <c r="L849" s="26">
        <v>168</v>
      </c>
      <c r="M849">
        <f t="shared" si="14"/>
        <v>168</v>
      </c>
      <c r="O84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Row],[orderNum]],ТабПозиции[orderSumm])&gt;1500),ABS(M849*VLOOKUP(ТабПозиции[[#This Row],[orderNum]],ТабЗаказы[#Data],MATCH("Percent",ТабЗаказы[#Headers],0),0))/100,200/COUNTIF(ТабПозиции[orderNum],ТабПозиции[[#This Row],[orderNum]])),0),"")</f>
        <v>25</v>
      </c>
      <c r="P849">
        <f>IF(OR(ТабПозиции[[#This Row],[item]]="По штрихкоду",ТабПозиции[[#This Row],[item]]="Посылка"),ТабПозиции[[#This Row],[deliverySumm]]+ТабПозиции[[#This Row],[deliveryPost]],SUM(M849:O849))</f>
        <v>193</v>
      </c>
      <c r="Q849" s="57">
        <v>193</v>
      </c>
      <c r="R849" s="62">
        <f>ТабПозиции[[#This Row],[totalSumm]]-ТабПозиции[[#This Row],[payment]]</f>
        <v>0</v>
      </c>
      <c r="S849" s="34" t="s">
        <v>955</v>
      </c>
      <c r="T849" s="56" t="s">
        <v>3061</v>
      </c>
      <c r="U849" s="56" t="s">
        <v>3061</v>
      </c>
      <c r="V849" s="56" t="s">
        <v>3061</v>
      </c>
      <c r="W849" s="7"/>
      <c r="X849"/>
    </row>
    <row r="850" spans="1:24" x14ac:dyDescent="0.25">
      <c r="A850" s="26">
        <v>241</v>
      </c>
      <c r="B850" s="1">
        <f>IFERROR(VLOOKUP(ТабПозиции[[#This Row],[orderNum]],ТабЗаказы[#Data],MATCH(B$7,ТабЗаказы[#Headers],0),0),"")</f>
        <v>45541</v>
      </c>
      <c r="C850" t="str">
        <f>MONTH(ТабПозиции[[#This Row],[date]])&amp;"/"&amp;YEAR(ТабПозиции[[#This Row],[date]])</f>
        <v>9/2024</v>
      </c>
      <c r="D850" s="1" t="str">
        <f>IFERROR(VLOOKUP(ТабПозиции[[#This Row],[orderNum]],ТабЗаказы[#Data],MATCH(D$7,ТабЗаказы[#Headers],0),0),"")</f>
        <v>Лариса Кирова</v>
      </c>
      <c r="E850" s="32" t="s">
        <v>1407</v>
      </c>
      <c r="F850" s="56" t="s">
        <v>3061</v>
      </c>
      <c r="H850" s="34">
        <v>45544</v>
      </c>
      <c r="I850" s="26">
        <v>1</v>
      </c>
      <c r="J850" s="26">
        <v>359</v>
      </c>
      <c r="K850">
        <v>359</v>
      </c>
      <c r="L850" s="26">
        <v>359</v>
      </c>
      <c r="M850">
        <f t="shared" si="14"/>
        <v>359</v>
      </c>
      <c r="O85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Row],[orderNum]],ТабПозиции[orderSumm])&gt;1500),ABS(M850*VLOOKUP(ТабПозиции[[#This Row],[orderNum]],ТабЗаказы[#Data],MATCH("Percent",ТабЗаказы[#Headers],0),0))/100,200/COUNTIF(ТабПозиции[orderNum],ТабПозиции[[#This Row],[orderNum]])),0),"")</f>
        <v>54</v>
      </c>
      <c r="P850">
        <f>IF(OR(ТабПозиции[[#This Row],[item]]="По штрихкоду",ТабПозиции[[#This Row],[item]]="Посылка"),ТабПозиции[[#This Row],[deliverySumm]]+ТабПозиции[[#This Row],[deliveryPost]],SUM(M850:O850))</f>
        <v>413</v>
      </c>
      <c r="Q850" s="57">
        <v>413</v>
      </c>
      <c r="R850" s="62">
        <f>ТабПозиции[[#This Row],[totalSumm]]-ТабПозиции[[#This Row],[payment]]</f>
        <v>0</v>
      </c>
      <c r="S850" s="34" t="s">
        <v>955</v>
      </c>
      <c r="T850" s="56" t="s">
        <v>3061</v>
      </c>
      <c r="U850" s="56" t="s">
        <v>3061</v>
      </c>
      <c r="V850" s="56" t="s">
        <v>3061</v>
      </c>
      <c r="W850" s="7"/>
      <c r="X850"/>
    </row>
    <row r="851" spans="1:24" x14ac:dyDescent="0.25">
      <c r="A851" s="26">
        <v>242</v>
      </c>
      <c r="B851" s="1">
        <f>IFERROR(VLOOKUP(ТабПозиции[[#This Row],[orderNum]],ТабЗаказы[#Data],MATCH(B$7,ТабЗаказы[#Headers],0),0),"")</f>
        <v>45543</v>
      </c>
      <c r="C851" t="str">
        <f>MONTH(ТабПозиции[[#This Row],[date]])&amp;"/"&amp;YEAR(ТабПозиции[[#This Row],[date]])</f>
        <v>9/2024</v>
      </c>
      <c r="D851" s="1" t="str">
        <f>IFERROR(VLOOKUP(ТабПозиции[[#This Row],[orderNum]],ТабЗаказы[#Data],MATCH(D$7,ТабЗаказы[#Headers],0),0),"")</f>
        <v>АлисаСофия</v>
      </c>
      <c r="E851" s="32" t="s">
        <v>1408</v>
      </c>
      <c r="F851" s="56" t="s">
        <v>3061</v>
      </c>
      <c r="H851" s="34">
        <v>45546</v>
      </c>
      <c r="I851" s="26">
        <v>1</v>
      </c>
      <c r="J851" s="26">
        <v>1324</v>
      </c>
      <c r="K851">
        <v>1324</v>
      </c>
      <c r="L851" s="26">
        <v>1464</v>
      </c>
      <c r="M851">
        <f t="shared" si="14"/>
        <v>1464</v>
      </c>
      <c r="O85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Row],[orderNum]],ТабПозиции[orderSumm])&gt;1500),ABS(M851*VLOOKUP(ТабПозиции[[#This Row],[orderNum]],ТабЗаказы[#Data],MATCH("Percent",ТабЗаказы[#Headers],0),0))/100,200/COUNTIF(ТабПозиции[orderNum],ТабПозиции[[#This Row],[orderNum]])),0),"")</f>
        <v>220</v>
      </c>
      <c r="P851">
        <f>IF(OR(ТабПозиции[[#This Row],[item]]="По штрихкоду",ТабПозиции[[#This Row],[item]]="Посылка"),ТабПозиции[[#This Row],[deliverySumm]]+ТабПозиции[[#This Row],[deliveryPost]],SUM(M851:O851))</f>
        <v>1684</v>
      </c>
      <c r="Q851" s="57">
        <v>1684</v>
      </c>
      <c r="R851" s="62">
        <f>ТабПозиции[[#This Row],[totalSumm]]-ТабПозиции[[#This Row],[payment]]</f>
        <v>0</v>
      </c>
      <c r="S851" s="34" t="s">
        <v>955</v>
      </c>
      <c r="T851" s="56" t="s">
        <v>3061</v>
      </c>
      <c r="U851" s="56" t="s">
        <v>3061</v>
      </c>
      <c r="V851" s="56" t="s">
        <v>3061</v>
      </c>
      <c r="W851" s="7"/>
      <c r="X851"/>
    </row>
    <row r="852" spans="1:24" x14ac:dyDescent="0.25">
      <c r="A852" s="26">
        <v>242</v>
      </c>
      <c r="B852" s="1">
        <f>IFERROR(VLOOKUP(ТабПозиции[[#This Row],[orderNum]],ТабЗаказы[#Data],MATCH(B$7,ТабЗаказы[#Headers],0),0),"")</f>
        <v>45543</v>
      </c>
      <c r="C852" t="str">
        <f>MONTH(ТабПозиции[[#This Row],[date]])&amp;"/"&amp;YEAR(ТабПозиции[[#This Row],[date]])</f>
        <v>9/2024</v>
      </c>
      <c r="D852" s="1" t="str">
        <f>IFERROR(VLOOKUP(ТабПозиции[[#This Row],[orderNum]],ТабЗаказы[#Data],MATCH(D$7,ТабЗаказы[#Headers],0),0),"")</f>
        <v>АлисаСофия</v>
      </c>
      <c r="E852" s="32" t="s">
        <v>1362</v>
      </c>
      <c r="F852" s="56" t="s">
        <v>3061</v>
      </c>
      <c r="H852" s="34">
        <v>45546</v>
      </c>
      <c r="I852" s="26">
        <v>1</v>
      </c>
      <c r="J852" s="26">
        <v>693</v>
      </c>
      <c r="K852">
        <v>693</v>
      </c>
      <c r="L852" s="26">
        <v>780</v>
      </c>
      <c r="M852">
        <f t="shared" si="14"/>
        <v>780</v>
      </c>
      <c r="O85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Row],[orderNum]],ТабПозиции[orderSumm])&gt;1500),ABS(M852*VLOOKUP(ТабПозиции[[#This Row],[orderNum]],ТабЗаказы[#Data],MATCH("Percent",ТабЗаказы[#Headers],0),0))/100,200/COUNTIF(ТабПозиции[orderNum],ТабПозиции[[#This Row],[orderNum]])),0),"")</f>
        <v>117</v>
      </c>
      <c r="P852">
        <f>IF(OR(ТабПозиции[[#This Row],[item]]="По штрихкоду",ТабПозиции[[#This Row],[item]]="Посылка"),ТабПозиции[[#This Row],[deliverySumm]]+ТабПозиции[[#This Row],[deliveryPost]],SUM(M852:O852))</f>
        <v>897</v>
      </c>
      <c r="Q852" s="57">
        <v>897</v>
      </c>
      <c r="R852" s="62">
        <f>ТабПозиции[[#This Row],[totalSumm]]-ТабПозиции[[#This Row],[payment]]</f>
        <v>0</v>
      </c>
      <c r="S852" s="34" t="s">
        <v>955</v>
      </c>
      <c r="T852" s="56" t="s">
        <v>3061</v>
      </c>
      <c r="U852" s="56" t="s">
        <v>3061</v>
      </c>
      <c r="V852" s="56" t="s">
        <v>3061</v>
      </c>
      <c r="W852" s="7"/>
      <c r="X852"/>
    </row>
    <row r="853" spans="1:24" x14ac:dyDescent="0.25">
      <c r="A853" s="26">
        <v>242</v>
      </c>
      <c r="B853" s="1">
        <f>IFERROR(VLOOKUP(ТабПозиции[[#This Row],[orderNum]],ТабЗаказы[#Data],MATCH(B$7,ТабЗаказы[#Headers],0),0),"")</f>
        <v>45543</v>
      </c>
      <c r="C853" t="str">
        <f>MONTH(ТабПозиции[[#This Row],[date]])&amp;"/"&amp;YEAR(ТабПозиции[[#This Row],[date]])</f>
        <v>9/2024</v>
      </c>
      <c r="D853" s="1" t="str">
        <f>IFERROR(VLOOKUP(ТабПозиции[[#This Row],[orderNum]],ТабЗаказы[#Data],MATCH(D$7,ТабЗаказы[#Headers],0),0),"")</f>
        <v>АлисаСофия</v>
      </c>
      <c r="E853" s="32" t="s">
        <v>1409</v>
      </c>
      <c r="F853" s="56" t="s">
        <v>3061</v>
      </c>
      <c r="H853" s="34">
        <v>45547</v>
      </c>
      <c r="I853" s="26">
        <v>1</v>
      </c>
      <c r="J853" s="26">
        <v>366</v>
      </c>
      <c r="K853">
        <v>366</v>
      </c>
      <c r="L853" s="26">
        <v>373</v>
      </c>
      <c r="M853">
        <f t="shared" si="14"/>
        <v>373</v>
      </c>
      <c r="O85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Row],[orderNum]],ТабПозиции[orderSumm])&gt;1500),ABS(M853*VLOOKUP(ТабПозиции[[#This Row],[orderNum]],ТабЗаказы[#Data],MATCH("Percent",ТабЗаказы[#Headers],0),0))/100,200/COUNTIF(ТабПозиции[orderNum],ТабПозиции[[#This Row],[orderNum]])),0),"")</f>
        <v>56</v>
      </c>
      <c r="P853">
        <f>IF(OR(ТабПозиции[[#This Row],[item]]="По штрихкоду",ТабПозиции[[#This Row],[item]]="Посылка"),ТабПозиции[[#This Row],[deliverySumm]]+ТабПозиции[[#This Row],[deliveryPost]],SUM(M853:O853))</f>
        <v>429</v>
      </c>
      <c r="Q853" s="57">
        <v>429</v>
      </c>
      <c r="R853" s="62">
        <f>ТабПозиции[[#This Row],[totalSumm]]-ТабПозиции[[#This Row],[payment]]</f>
        <v>0</v>
      </c>
      <c r="S853" s="34" t="s">
        <v>955</v>
      </c>
      <c r="T853" s="56" t="s">
        <v>3061</v>
      </c>
      <c r="U853" s="56" t="s">
        <v>3061</v>
      </c>
      <c r="V853" s="56" t="s">
        <v>3061</v>
      </c>
      <c r="W853" s="7"/>
      <c r="X853"/>
    </row>
    <row r="854" spans="1:24" x14ac:dyDescent="0.25">
      <c r="A854" s="26">
        <v>243</v>
      </c>
      <c r="B854" s="1">
        <f>IFERROR(VLOOKUP(ТабПозиции[[#This Row],[orderNum]],ТабЗаказы[#Data],MATCH(B$7,ТабЗаказы[#Headers],0),0),"")</f>
        <v>45543</v>
      </c>
      <c r="C854" t="str">
        <f>MONTH(ТабПозиции[[#This Row],[date]])&amp;"/"&amp;YEAR(ТабПозиции[[#This Row],[date]])</f>
        <v>9/2024</v>
      </c>
      <c r="D854" s="1" t="str">
        <f>IFERROR(VLOOKUP(ТабПозиции[[#This Row],[orderNum]],ТабЗаказы[#Data],MATCH(D$7,ТабЗаказы[#Headers],0),0),"")</f>
        <v>Максим МВД</v>
      </c>
      <c r="E854" s="32" t="s">
        <v>1410</v>
      </c>
      <c r="F854" s="56" t="s">
        <v>3061</v>
      </c>
      <c r="H854" s="34">
        <v>45545</v>
      </c>
      <c r="I854" s="26">
        <v>1</v>
      </c>
      <c r="J854" s="26">
        <v>978</v>
      </c>
      <c r="K854">
        <v>978</v>
      </c>
      <c r="L854" s="26">
        <v>1030</v>
      </c>
      <c r="M854">
        <f t="shared" si="14"/>
        <v>1030</v>
      </c>
      <c r="O85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Row],[orderNum]],ТабПозиции[orderSumm])&gt;1500),ABS(M854*VLOOKUP(ТабПозиции[[#This Row],[orderNum]],ТабЗаказы[#Data],MATCH("Percent",ТабЗаказы[#Headers],0),0))/100,200/COUNTIF(ТабПозиции[orderNum],ТабПозиции[[#This Row],[orderNum]])),0),"")</f>
        <v>155</v>
      </c>
      <c r="P854">
        <f>IF(OR(ТабПозиции[[#This Row],[item]]="По штрихкоду",ТабПозиции[[#This Row],[item]]="Посылка"),ТабПозиции[[#This Row],[deliverySumm]]+ТабПозиции[[#This Row],[deliveryPost]],SUM(M854:O854))</f>
        <v>1185</v>
      </c>
      <c r="Q854" s="57">
        <v>1185</v>
      </c>
      <c r="R854" s="62">
        <f>ТабПозиции[[#This Row],[totalSumm]]-ТабПозиции[[#This Row],[payment]]</f>
        <v>0</v>
      </c>
      <c r="S854" s="34" t="s">
        <v>965</v>
      </c>
      <c r="T854" s="56" t="s">
        <v>3061</v>
      </c>
      <c r="U854" s="56" t="s">
        <v>3061</v>
      </c>
      <c r="V854" s="56" t="s">
        <v>3061</v>
      </c>
      <c r="W854" s="7"/>
      <c r="X854"/>
    </row>
    <row r="855" spans="1:24" x14ac:dyDescent="0.25">
      <c r="A855" s="26">
        <v>243</v>
      </c>
      <c r="B855" s="1">
        <f>IFERROR(VLOOKUP(ТабПозиции[[#This Row],[orderNum]],ТабЗаказы[#Data],MATCH(B$7,ТабЗаказы[#Headers],0),0),"")</f>
        <v>45543</v>
      </c>
      <c r="C855" t="str">
        <f>MONTH(ТабПозиции[[#This Row],[date]])&amp;"/"&amp;YEAR(ТабПозиции[[#This Row],[date]])</f>
        <v>9/2024</v>
      </c>
      <c r="D855" s="1" t="str">
        <f>IFERROR(VLOOKUP(ТабПозиции[[#This Row],[orderNum]],ТабЗаказы[#Data],MATCH(D$7,ТабЗаказы[#Headers],0),0),"")</f>
        <v>Максим МВД</v>
      </c>
      <c r="E855" s="32" t="s">
        <v>1411</v>
      </c>
      <c r="F855" s="56" t="s">
        <v>3061</v>
      </c>
      <c r="H855" s="34">
        <v>45545</v>
      </c>
      <c r="I855" s="26">
        <v>1</v>
      </c>
      <c r="J855" s="26">
        <v>676</v>
      </c>
      <c r="K855">
        <v>676</v>
      </c>
      <c r="L855" s="26">
        <v>712</v>
      </c>
      <c r="M855">
        <f t="shared" si="14"/>
        <v>712</v>
      </c>
      <c r="O85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Row],[orderNum]],ТабПозиции[orderSumm])&gt;1500),ABS(M855*VLOOKUP(ТабПозиции[[#This Row],[orderNum]],ТабЗаказы[#Data],MATCH("Percent",ТабЗаказы[#Headers],0),0))/100,200/COUNTIF(ТабПозиции[orderNum],ТабПозиции[[#This Row],[orderNum]])),0),"")</f>
        <v>107</v>
      </c>
      <c r="P855">
        <f>IF(OR(ТабПозиции[[#This Row],[item]]="По штрихкоду",ТабПозиции[[#This Row],[item]]="Посылка"),ТабПозиции[[#This Row],[deliverySumm]]+ТабПозиции[[#This Row],[deliveryPost]],SUM(M855:O855))</f>
        <v>819</v>
      </c>
      <c r="Q855" s="57">
        <v>819</v>
      </c>
      <c r="R855" s="62">
        <f>ТабПозиции[[#This Row],[totalSumm]]-ТабПозиции[[#This Row],[payment]]</f>
        <v>0</v>
      </c>
      <c r="S855" s="34" t="s">
        <v>965</v>
      </c>
      <c r="T855" s="56" t="s">
        <v>3061</v>
      </c>
      <c r="U855" s="56" t="s">
        <v>3061</v>
      </c>
      <c r="V855" s="56" t="s">
        <v>3061</v>
      </c>
      <c r="W855" s="7"/>
      <c r="X855"/>
    </row>
    <row r="856" spans="1:24" x14ac:dyDescent="0.25">
      <c r="A856" s="26">
        <v>243</v>
      </c>
      <c r="B856" s="1">
        <f>IFERROR(VLOOKUP(ТабПозиции[[#This Row],[orderNum]],ТабЗаказы[#Data],MATCH(B$7,ТабЗаказы[#Headers],0),0),"")</f>
        <v>45543</v>
      </c>
      <c r="C856" t="str">
        <f>MONTH(ТабПозиции[[#This Row],[date]])&amp;"/"&amp;YEAR(ТабПозиции[[#This Row],[date]])</f>
        <v>9/2024</v>
      </c>
      <c r="D856" s="1" t="str">
        <f>IFERROR(VLOOKUP(ТабПозиции[[#This Row],[orderNum]],ТабЗаказы[#Data],MATCH(D$7,ТабЗаказы[#Headers],0),0),"")</f>
        <v>Максим МВД</v>
      </c>
      <c r="E856" s="32" t="s">
        <v>1412</v>
      </c>
      <c r="F856" s="56" t="s">
        <v>3061</v>
      </c>
      <c r="H856" s="34">
        <v>45545</v>
      </c>
      <c r="I856" s="26">
        <v>0</v>
      </c>
      <c r="J856" s="26">
        <v>517</v>
      </c>
      <c r="K856">
        <v>0</v>
      </c>
      <c r="L856" s="26">
        <v>545</v>
      </c>
      <c r="M856">
        <f t="shared" si="14"/>
        <v>0</v>
      </c>
      <c r="O85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Row],[orderNum]],ТабПозиции[orderSumm])&gt;1500),ABS(M856*VLOOKUP(ТабПозиции[[#This Row],[orderNum]],ТабЗаказы[#Data],MATCH("Percent",ТабЗаказы[#Headers],0),0))/100,200/COUNTIF(ТабПозиции[orderNum],ТабПозиции[[#This Row],[orderNum]])),0),"")</f>
        <v>0</v>
      </c>
      <c r="P856">
        <f>IF(OR(ТабПозиции[[#This Row],[item]]="По штрихкоду",ТабПозиции[[#This Row],[item]]="Посылка"),ТабПозиции[[#This Row],[deliverySumm]]+ТабПозиции[[#This Row],[deliveryPost]],SUM(M856:O856))</f>
        <v>0</v>
      </c>
      <c r="Q856" s="57">
        <v>0</v>
      </c>
      <c r="R856" s="62">
        <f>ТабПозиции[[#This Row],[totalSumm]]-ТабПозиции[[#This Row],[payment]]</f>
        <v>0</v>
      </c>
      <c r="S856" s="34" t="s">
        <v>965</v>
      </c>
      <c r="T856" s="56" t="s">
        <v>3061</v>
      </c>
      <c r="U856" s="56" t="s">
        <v>3061</v>
      </c>
      <c r="V856" s="56" t="s">
        <v>3061</v>
      </c>
      <c r="W856" s="7"/>
      <c r="X856"/>
    </row>
    <row r="857" spans="1:24" x14ac:dyDescent="0.25">
      <c r="A857" s="26">
        <v>243</v>
      </c>
      <c r="B857" s="1">
        <f>IFERROR(VLOOKUP(ТабПозиции[[#This Row],[orderNum]],ТабЗаказы[#Data],MATCH(B$7,ТабЗаказы[#Headers],0),0),"")</f>
        <v>45543</v>
      </c>
      <c r="C857" t="str">
        <f>MONTH(ТабПозиции[[#This Row],[date]])&amp;"/"&amp;YEAR(ТабПозиции[[#This Row],[date]])</f>
        <v>9/2024</v>
      </c>
      <c r="D857" s="1" t="str">
        <f>IFERROR(VLOOKUP(ТабПозиции[[#This Row],[orderNum]],ТабЗаказы[#Data],MATCH(D$7,ТабЗаказы[#Headers],0),0),"")</f>
        <v>Максим МВД</v>
      </c>
      <c r="E857" s="32" t="s">
        <v>1413</v>
      </c>
      <c r="F857" s="56" t="s">
        <v>3061</v>
      </c>
      <c r="H857" s="34">
        <v>45545</v>
      </c>
      <c r="I857" s="26">
        <v>1</v>
      </c>
      <c r="J857" s="26">
        <v>2547</v>
      </c>
      <c r="K857">
        <v>2547</v>
      </c>
      <c r="L857" s="26">
        <v>2682</v>
      </c>
      <c r="M857">
        <f t="shared" si="14"/>
        <v>2682</v>
      </c>
      <c r="O85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Row],[orderNum]],ТабПозиции[orderSumm])&gt;1500),ABS(M857*VLOOKUP(ТабПозиции[[#This Row],[orderNum]],ТабЗаказы[#Data],MATCH("Percent",ТабЗаказы[#Headers],0),0))/100,200/COUNTIF(ТабПозиции[orderNum],ТабПозиции[[#This Row],[orderNum]])),0),"")</f>
        <v>402</v>
      </c>
      <c r="P857">
        <f>IF(OR(ТабПозиции[[#This Row],[item]]="По штрихкоду",ТабПозиции[[#This Row],[item]]="Посылка"),ТабПозиции[[#This Row],[deliverySumm]]+ТабПозиции[[#This Row],[deliveryPost]],SUM(M857:O857))</f>
        <v>3084</v>
      </c>
      <c r="Q857" s="57">
        <v>3084</v>
      </c>
      <c r="R857" s="62">
        <f>ТабПозиции[[#This Row],[totalSumm]]-ТабПозиции[[#This Row],[payment]]</f>
        <v>0</v>
      </c>
      <c r="S857" s="34" t="s">
        <v>965</v>
      </c>
      <c r="T857" s="56" t="s">
        <v>3061</v>
      </c>
      <c r="U857" s="56" t="s">
        <v>3061</v>
      </c>
      <c r="V857" s="56" t="s">
        <v>3061</v>
      </c>
      <c r="W857" s="7"/>
      <c r="X857"/>
    </row>
    <row r="858" spans="1:24" x14ac:dyDescent="0.25">
      <c r="A858" s="26">
        <v>243</v>
      </c>
      <c r="B858" s="1">
        <f>IFERROR(VLOOKUP(ТабПозиции[[#This Row],[orderNum]],ТабЗаказы[#Data],MATCH(B$7,ТабЗаказы[#Headers],0),0),"")</f>
        <v>45543</v>
      </c>
      <c r="C858" t="str">
        <f>MONTH(ТабПозиции[[#This Row],[date]])&amp;"/"&amp;YEAR(ТабПозиции[[#This Row],[date]])</f>
        <v>9/2024</v>
      </c>
      <c r="D858" s="1" t="str">
        <f>IFERROR(VLOOKUP(ТабПозиции[[#This Row],[orderNum]],ТабЗаказы[#Data],MATCH(D$7,ТабЗаказы[#Headers],0),0),"")</f>
        <v>Максим МВД</v>
      </c>
      <c r="E858" s="32" t="s">
        <v>1414</v>
      </c>
      <c r="F858" s="56" t="s">
        <v>3061</v>
      </c>
      <c r="H858" s="34">
        <v>45546</v>
      </c>
      <c r="I858" s="26">
        <v>1</v>
      </c>
      <c r="J858" s="26">
        <v>557</v>
      </c>
      <c r="K858">
        <v>557</v>
      </c>
      <c r="L858" s="26">
        <v>587</v>
      </c>
      <c r="M858">
        <f t="shared" si="14"/>
        <v>587</v>
      </c>
      <c r="O85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Row],[orderNum]],ТабПозиции[orderSumm])&gt;1500),ABS(M858*VLOOKUP(ТабПозиции[[#This Row],[orderNum]],ТабЗаказы[#Data],MATCH("Percent",ТабЗаказы[#Headers],0),0))/100,200/COUNTIF(ТабПозиции[orderNum],ТабПозиции[[#This Row],[orderNum]])),0),"")</f>
        <v>88</v>
      </c>
      <c r="P858">
        <f>IF(OR(ТабПозиции[[#This Row],[item]]="По штрихкоду",ТабПозиции[[#This Row],[item]]="Посылка"),ТабПозиции[[#This Row],[deliverySumm]]+ТабПозиции[[#This Row],[deliveryPost]],SUM(M858:O858))</f>
        <v>675</v>
      </c>
      <c r="Q858" s="57">
        <v>675</v>
      </c>
      <c r="R858" s="62">
        <f>ТабПозиции[[#This Row],[totalSumm]]-ТабПозиции[[#This Row],[payment]]</f>
        <v>0</v>
      </c>
      <c r="S858" s="34" t="s">
        <v>965</v>
      </c>
      <c r="T858" s="56" t="s">
        <v>3061</v>
      </c>
      <c r="U858" s="56" t="s">
        <v>3061</v>
      </c>
      <c r="V858" s="56" t="s">
        <v>3061</v>
      </c>
      <c r="W858" s="7"/>
      <c r="X858"/>
    </row>
    <row r="859" spans="1:24" x14ac:dyDescent="0.25">
      <c r="A859" s="26">
        <v>244</v>
      </c>
      <c r="B859" s="1">
        <f>IFERROR(VLOOKUP(ТабПозиции[[#This Row],[orderNum]],ТабЗаказы[#Data],MATCH(B$7,ТабЗаказы[#Headers],0),0),"")</f>
        <v>45544</v>
      </c>
      <c r="C859" t="str">
        <f>MONTH(ТабПозиции[[#This Row],[date]])&amp;"/"&amp;YEAR(ТабПозиции[[#This Row],[date]])</f>
        <v>9/2024</v>
      </c>
      <c r="D859" s="1" t="str">
        <f>IFERROR(VLOOKUP(ТабПозиции[[#This Row],[orderNum]],ТабЗаказы[#Data],MATCH(D$7,ТабЗаказы[#Headers],0),0),"")</f>
        <v>Галина Агабекова(церковь)</v>
      </c>
      <c r="E859" s="32" t="s">
        <v>1415</v>
      </c>
      <c r="F859" s="56" t="s">
        <v>3061</v>
      </c>
      <c r="H859" s="34">
        <v>45546</v>
      </c>
      <c r="I859" s="26">
        <v>1</v>
      </c>
      <c r="J859" s="26">
        <v>2976</v>
      </c>
      <c r="K859">
        <v>2976</v>
      </c>
      <c r="L859" s="26">
        <v>3132</v>
      </c>
      <c r="M859">
        <f t="shared" ref="M859:M921" si="15">L859*I859</f>
        <v>3132</v>
      </c>
      <c r="O85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Row],[orderNum]],ТабПозиции[orderSumm])&gt;1500),ABS(M859*VLOOKUP(ТабПозиции[[#This Row],[orderNum]],ТабЗаказы[#Data],MATCH("Percent",ТабЗаказы[#Headers],0),0))/100,200/COUNTIF(ТабПозиции[orderNum],ТабПозиции[[#This Row],[orderNum]])),0),"")</f>
        <v>470</v>
      </c>
      <c r="P859">
        <f>IF(OR(ТабПозиции[[#This Row],[item]]="По штрихкоду",ТабПозиции[[#This Row],[item]]="Посылка"),ТабПозиции[[#This Row],[deliverySumm]]+ТабПозиции[[#This Row],[deliveryPost]],SUM(M859:O859))</f>
        <v>3602</v>
      </c>
      <c r="Q859" s="57">
        <v>3602</v>
      </c>
      <c r="R859" s="62">
        <f>ТабПозиции[[#This Row],[totalSumm]]-ТабПозиции[[#This Row],[payment]]</f>
        <v>0</v>
      </c>
      <c r="S859" s="34" t="s">
        <v>955</v>
      </c>
      <c r="T859" s="56" t="s">
        <v>3061</v>
      </c>
      <c r="U859" s="56" t="s">
        <v>3061</v>
      </c>
      <c r="V859" s="56" t="s">
        <v>3061</v>
      </c>
      <c r="W859" s="7"/>
      <c r="X859"/>
    </row>
    <row r="860" spans="1:24" x14ac:dyDescent="0.25">
      <c r="A860" s="26">
        <v>245</v>
      </c>
      <c r="B860" s="1">
        <f>IFERROR(VLOOKUP(ТабПозиции[[#This Row],[orderNum]],ТабЗаказы[#Data],MATCH(B$7,ТабЗаказы[#Headers],0),0),"")</f>
        <v>45546</v>
      </c>
      <c r="C860" t="str">
        <f>MONTH(ТабПозиции[[#This Row],[date]])&amp;"/"&amp;YEAR(ТабПозиции[[#This Row],[date]])</f>
        <v>9/2024</v>
      </c>
      <c r="D860" s="1" t="str">
        <f>IFERROR(VLOOKUP(ТабПозиции[[#This Row],[orderNum]],ТабЗаказы[#Data],MATCH(D$7,ТабЗаказы[#Headers],0),0),"")</f>
        <v>Юля Ларисына</v>
      </c>
      <c r="E860" s="32" t="s">
        <v>1228</v>
      </c>
      <c r="F860" s="56" t="s">
        <v>3061</v>
      </c>
      <c r="H860" s="34">
        <v>45547</v>
      </c>
      <c r="I860" s="26">
        <v>1</v>
      </c>
      <c r="J860" s="26">
        <v>1976</v>
      </c>
      <c r="K860">
        <v>1976</v>
      </c>
      <c r="L860" s="26">
        <v>2080</v>
      </c>
      <c r="M860">
        <f t="shared" si="15"/>
        <v>2080</v>
      </c>
      <c r="O86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Row],[orderNum]],ТабПозиции[orderSumm])&gt;1500),ABS(M860*VLOOKUP(ТабПозиции[[#This Row],[orderNum]],ТабЗаказы[#Data],MATCH("Percent",ТабЗаказы[#Headers],0),0))/100,200/COUNTIF(ТабПозиции[orderNum],ТабПозиции[[#This Row],[orderNum]])),0),"")</f>
        <v>312</v>
      </c>
      <c r="P860">
        <f>IF(OR(ТабПозиции[[#This Row],[item]]="По штрихкоду",ТабПозиции[[#This Row],[item]]="Посылка"),ТабПозиции[[#This Row],[deliverySumm]]+ТабПозиции[[#This Row],[deliveryPost]],SUM(M860:O860))</f>
        <v>2392</v>
      </c>
      <c r="Q860" s="57">
        <v>2392</v>
      </c>
      <c r="R860" s="62">
        <f>ТабПозиции[[#This Row],[totalSumm]]-ТабПозиции[[#This Row],[payment]]</f>
        <v>0</v>
      </c>
      <c r="S860" s="34" t="s">
        <v>965</v>
      </c>
      <c r="T860" s="56" t="s">
        <v>3061</v>
      </c>
      <c r="U860" s="56" t="s">
        <v>3061</v>
      </c>
      <c r="V860" s="56" t="s">
        <v>3061</v>
      </c>
      <c r="W860" s="7"/>
      <c r="X860"/>
    </row>
    <row r="861" spans="1:24" x14ac:dyDescent="0.25">
      <c r="A861" s="26">
        <v>245</v>
      </c>
      <c r="B861" s="1">
        <f>IFERROR(VLOOKUP(ТабПозиции[[#This Row],[orderNum]],ТабЗаказы[#Data],MATCH(B$7,ТабЗаказы[#Headers],0),0),"")</f>
        <v>45546</v>
      </c>
      <c r="C861" t="str">
        <f>MONTH(ТабПозиции[[#This Row],[date]])&amp;"/"&amp;YEAR(ТабПозиции[[#This Row],[date]])</f>
        <v>9/2024</v>
      </c>
      <c r="D861" s="1" t="str">
        <f>IFERROR(VLOOKUP(ТабПозиции[[#This Row],[orderNum]],ТабЗаказы[#Data],MATCH(D$7,ТабЗаказы[#Headers],0),0),"")</f>
        <v>Юля Ларисына</v>
      </c>
      <c r="E861" s="32" t="s">
        <v>1416</v>
      </c>
      <c r="F861" s="56" t="s">
        <v>3061</v>
      </c>
      <c r="H861" s="34">
        <v>45551</v>
      </c>
      <c r="I861" s="26">
        <v>1</v>
      </c>
      <c r="J861" s="26">
        <v>2223</v>
      </c>
      <c r="K861">
        <v>2223</v>
      </c>
      <c r="L861" s="26">
        <v>2340</v>
      </c>
      <c r="M861">
        <f t="shared" si="15"/>
        <v>2340</v>
      </c>
      <c r="N861" s="26">
        <f>ТабПозиции[[#This Row],[orderSumm]]*0.05</f>
        <v>117</v>
      </c>
      <c r="O86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Row],[orderNum]],ТабПозиции[orderSumm])&gt;1500),ABS(M861*VLOOKUP(ТабПозиции[[#This Row],[orderNum]],ТабЗаказы[#Data],MATCH("Percent",ТабЗаказы[#Headers],0),0))/100,200/COUNTIF(ТабПозиции[orderNum],ТабПозиции[[#This Row],[orderNum]])),0),"")</f>
        <v>351</v>
      </c>
      <c r="P861">
        <f>IF(OR(ТабПозиции[[#This Row],[item]]="По штрихкоду",ТабПозиции[[#This Row],[item]]="Посылка"),ТабПозиции[[#This Row],[deliverySumm]]+ТабПозиции[[#This Row],[deliveryPost]],SUM(M861:O861))</f>
        <v>2808</v>
      </c>
      <c r="Q861" s="57">
        <v>2808</v>
      </c>
      <c r="R861" s="62">
        <f>ТабПозиции[[#This Row],[totalSumm]]-ТабПозиции[[#This Row],[payment]]</f>
        <v>0</v>
      </c>
      <c r="S861" s="34" t="s">
        <v>965</v>
      </c>
      <c r="T861" s="56" t="s">
        <v>3061</v>
      </c>
      <c r="U861" s="56" t="s">
        <v>3061</v>
      </c>
      <c r="V861" s="56" t="s">
        <v>3061</v>
      </c>
      <c r="W861" s="7"/>
      <c r="X861"/>
    </row>
    <row r="862" spans="1:24" x14ac:dyDescent="0.25">
      <c r="A862" s="26">
        <v>245</v>
      </c>
      <c r="B862" s="1">
        <f>IFERROR(VLOOKUP(ТабПозиции[[#This Row],[orderNum]],ТабЗаказы[#Data],MATCH(B$7,ТабЗаказы[#Headers],0),0),"")</f>
        <v>45546</v>
      </c>
      <c r="C862" t="str">
        <f>MONTH(ТабПозиции[[#This Row],[date]])&amp;"/"&amp;YEAR(ТабПозиции[[#This Row],[date]])</f>
        <v>9/2024</v>
      </c>
      <c r="D862" s="1" t="str">
        <f>IFERROR(VLOOKUP(ТабПозиции[[#This Row],[orderNum]],ТабЗаказы[#Data],MATCH(D$7,ТабЗаказы[#Headers],0),0),"")</f>
        <v>Юля Ларисына</v>
      </c>
      <c r="E862" s="32" t="s">
        <v>1417</v>
      </c>
      <c r="F862" s="56" t="s">
        <v>3061</v>
      </c>
      <c r="H862" s="34">
        <v>45548</v>
      </c>
      <c r="I862" s="26">
        <v>1</v>
      </c>
      <c r="J862" s="26">
        <v>3973</v>
      </c>
      <c r="K862">
        <v>3973</v>
      </c>
      <c r="L862" s="26">
        <v>4183</v>
      </c>
      <c r="M862">
        <f t="shared" si="15"/>
        <v>4183</v>
      </c>
      <c r="N862" s="53">
        <f>ТабПозиции[[#This Row],[orderSumm]]*0.05</f>
        <v>209.15</v>
      </c>
      <c r="O86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Row],[orderNum]],ТабПозиции[orderSumm])&gt;1500),ABS(M862*VLOOKUP(ТабПозиции[[#This Row],[orderNum]],ТабЗаказы[#Data],MATCH("Percent",ТабЗаказы[#Headers],0),0))/100,200/COUNTIF(ТабПозиции[orderNum],ТабПозиции[[#This Row],[orderNum]])),0),"")</f>
        <v>627</v>
      </c>
      <c r="P862" s="25">
        <f>IF(OR(ТабПозиции[[#This Row],[item]]="По штрихкоду",ТабПозиции[[#This Row],[item]]="Посылка"),ТабПозиции[[#This Row],[deliverySumm]]+ТабПозиции[[#This Row],[deliveryPost]],SUM(M862:O862))</f>
        <v>5019.1499999999996</v>
      </c>
      <c r="Q862" s="57">
        <v>5019.1499999999996</v>
      </c>
      <c r="R862" s="62">
        <f>ТабПозиции[[#This Row],[totalSumm]]-ТабПозиции[[#This Row],[payment]]</f>
        <v>0</v>
      </c>
      <c r="S862" s="34" t="s">
        <v>965</v>
      </c>
      <c r="T862" s="56" t="s">
        <v>3061</v>
      </c>
      <c r="U862" s="56" t="s">
        <v>3061</v>
      </c>
      <c r="V862" s="56" t="s">
        <v>3061</v>
      </c>
      <c r="W862" s="7"/>
      <c r="X862"/>
    </row>
    <row r="863" spans="1:24" x14ac:dyDescent="0.25">
      <c r="A863" s="26">
        <v>234</v>
      </c>
      <c r="B863" s="1">
        <f>IFERROR(VLOOKUP(ТабПозиции[[#This Row],[orderNum]],ТабЗаказы[#Data],MATCH(B$7,ТабЗаказы[#Headers],0),0),"")</f>
        <v>45538</v>
      </c>
      <c r="C863" t="str">
        <f>MONTH(ТабПозиции[[#This Row],[date]])&amp;"/"&amp;YEAR(ТабПозиции[[#This Row],[date]])</f>
        <v>9/2024</v>
      </c>
      <c r="D863" s="1" t="str">
        <f>IFERROR(VLOOKUP(ТабПозиции[[#This Row],[orderNum]],ТабЗаказы[#Data],MATCH(D$7,ТабЗаказы[#Headers],0),0),"")</f>
        <v>Максим телевизор</v>
      </c>
      <c r="E863" s="26" t="s">
        <v>815</v>
      </c>
      <c r="F863" s="56" t="s">
        <v>3061</v>
      </c>
      <c r="G863" s="43" t="s">
        <v>1418</v>
      </c>
      <c r="H863" s="34">
        <v>45552</v>
      </c>
      <c r="I863" s="26">
        <v>1</v>
      </c>
      <c r="J863" s="26">
        <v>6500</v>
      </c>
      <c r="K863">
        <v>6500</v>
      </c>
      <c r="L863" s="26">
        <v>6500</v>
      </c>
      <c r="M863">
        <f t="shared" si="15"/>
        <v>6500</v>
      </c>
      <c r="O86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Row],[orderNum]],ТабПозиции[orderSumm])&gt;1500),ABS(M863*VLOOKUP(ТабПозиции[[#This Row],[orderNum]],ТабЗаказы[#Data],MATCH("Percent",ТабЗаказы[#Headers],0),0))/100,200/COUNTIF(ТабПозиции[orderNum],ТабПозиции[[#This Row],[orderNum]])),0),"")</f>
        <v>650</v>
      </c>
      <c r="P863">
        <f>IF(OR(ТабПозиции[[#This Row],[item]]="По штрихкоду",ТабПозиции[[#This Row],[item]]="Посылка"),ТабПозиции[[#This Row],[deliverySumm]]+ТабПозиции[[#This Row],[deliveryPost]],SUM(M863:O863))</f>
        <v>650</v>
      </c>
      <c r="Q863" s="57">
        <v>650</v>
      </c>
      <c r="R863" s="62">
        <f>ТабПозиции[[#This Row],[totalSumm]]-ТабПозиции[[#This Row],[payment]]</f>
        <v>0</v>
      </c>
      <c r="S863" s="34" t="s">
        <v>1016</v>
      </c>
      <c r="T863" s="56" t="s">
        <v>3061</v>
      </c>
      <c r="U863" s="56" t="s">
        <v>3061</v>
      </c>
      <c r="V863" s="56" t="s">
        <v>3061</v>
      </c>
      <c r="W863" s="7"/>
      <c r="X863"/>
    </row>
    <row r="864" spans="1:24" x14ac:dyDescent="0.25">
      <c r="A864" s="26">
        <v>234</v>
      </c>
      <c r="B864" s="1">
        <f>IFERROR(VLOOKUP(ТабПозиции[[#This Row],[orderNum]],ТабЗаказы[#Data],MATCH(B$7,ТабЗаказы[#Headers],0),0),"")</f>
        <v>45538</v>
      </c>
      <c r="C864" t="str">
        <f>MONTH(ТабПозиции[[#This Row],[date]])&amp;"/"&amp;YEAR(ТабПозиции[[#This Row],[date]])</f>
        <v>9/2024</v>
      </c>
      <c r="D864" s="1" t="str">
        <f>IFERROR(VLOOKUP(ТабПозиции[[#This Row],[orderNum]],ТабЗаказы[#Data],MATCH(D$7,ТабЗаказы[#Headers],0),0),"")</f>
        <v>Максим телевизор</v>
      </c>
      <c r="E864" s="26" t="s">
        <v>815</v>
      </c>
      <c r="F864" s="56" t="s">
        <v>3061</v>
      </c>
      <c r="G864" s="43" t="s">
        <v>1419</v>
      </c>
      <c r="H864" s="34">
        <v>45551</v>
      </c>
      <c r="I864" s="26">
        <v>1</v>
      </c>
      <c r="J864" s="26">
        <v>3000</v>
      </c>
      <c r="K864">
        <v>3000</v>
      </c>
      <c r="L864" s="26">
        <v>3000</v>
      </c>
      <c r="M864">
        <f t="shared" si="15"/>
        <v>3000</v>
      </c>
      <c r="O86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Row],[orderNum]],ТабПозиции[orderSumm])&gt;1500),ABS(M864*VLOOKUP(ТабПозиции[[#This Row],[orderNum]],ТабЗаказы[#Data],MATCH("Percent",ТабЗаказы[#Headers],0),0))/100,200/COUNTIF(ТабПозиции[orderNum],ТабПозиции[[#This Row],[orderNum]])),0),"")</f>
        <v>300</v>
      </c>
      <c r="P864">
        <f>IF(OR(ТабПозиции[[#This Row],[item]]="По штрихкоду",ТабПозиции[[#This Row],[item]]="Посылка"),ТабПозиции[[#This Row],[deliverySumm]]+ТабПозиции[[#This Row],[deliveryPost]],SUM(M864:O864))</f>
        <v>300</v>
      </c>
      <c r="Q864" s="57">
        <v>300</v>
      </c>
      <c r="R864" s="62">
        <f>ТабПозиции[[#This Row],[totalSumm]]-ТабПозиции[[#This Row],[payment]]</f>
        <v>0</v>
      </c>
      <c r="S864" s="34" t="s">
        <v>1016</v>
      </c>
      <c r="T864" s="56" t="s">
        <v>3061</v>
      </c>
      <c r="U864" s="56" t="s">
        <v>3061</v>
      </c>
      <c r="V864" s="56" t="s">
        <v>3061</v>
      </c>
      <c r="W864" s="7"/>
      <c r="X864"/>
    </row>
    <row r="865" spans="1:24" x14ac:dyDescent="0.25">
      <c r="A865" s="26">
        <v>234</v>
      </c>
      <c r="B865" s="1">
        <f>IFERROR(VLOOKUP(ТабПозиции[[#This Row],[orderNum]],ТабЗаказы[#Data],MATCH(B$7,ТабЗаказы[#Headers],0),0),"")</f>
        <v>45538</v>
      </c>
      <c r="C865" t="str">
        <f>MONTH(ТабПозиции[[#This Row],[date]])&amp;"/"&amp;YEAR(ТабПозиции[[#This Row],[date]])</f>
        <v>9/2024</v>
      </c>
      <c r="D865" s="1" t="str">
        <f>IFERROR(VLOOKUP(ТабПозиции[[#This Row],[orderNum]],ТабЗаказы[#Data],MATCH(D$7,ТабЗаказы[#Headers],0),0),"")</f>
        <v>Максим телевизор</v>
      </c>
      <c r="E865" s="26" t="s">
        <v>815</v>
      </c>
      <c r="F865" s="56" t="s">
        <v>3061</v>
      </c>
      <c r="G865" s="43" t="s">
        <v>1420</v>
      </c>
      <c r="H865" s="34">
        <v>45553</v>
      </c>
      <c r="I865" s="26">
        <v>1</v>
      </c>
      <c r="J865" s="26">
        <v>2400</v>
      </c>
      <c r="K865">
        <v>2400</v>
      </c>
      <c r="L865" s="26">
        <v>2400</v>
      </c>
      <c r="M865">
        <f t="shared" si="15"/>
        <v>2400</v>
      </c>
      <c r="O86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Row],[orderNum]],ТабПозиции[orderSumm])&gt;1500),ABS(M865*VLOOKUP(ТабПозиции[[#This Row],[orderNum]],ТабЗаказы[#Data],MATCH("Percent",ТабЗаказы[#Headers],0),0))/100,200/COUNTIF(ТабПозиции[orderNum],ТабПозиции[[#This Row],[orderNum]])),0),"")</f>
        <v>240</v>
      </c>
      <c r="P865">
        <f>IF(OR(ТабПозиции[[#This Row],[item]]="По штрихкоду",ТабПозиции[[#This Row],[item]]="Посылка"),ТабПозиции[[#This Row],[deliverySumm]]+ТабПозиции[[#This Row],[deliveryPost]],SUM(M865:O865))</f>
        <v>240</v>
      </c>
      <c r="Q865" s="57">
        <v>240</v>
      </c>
      <c r="R865" s="62">
        <f>ТабПозиции[[#This Row],[totalSumm]]-ТабПозиции[[#This Row],[payment]]</f>
        <v>0</v>
      </c>
      <c r="S865" s="34" t="s">
        <v>1016</v>
      </c>
      <c r="T865" s="56" t="s">
        <v>3061</v>
      </c>
      <c r="U865" s="56" t="s">
        <v>3061</v>
      </c>
      <c r="V865" s="56" t="s">
        <v>3061</v>
      </c>
      <c r="W865" s="7"/>
      <c r="X865"/>
    </row>
    <row r="866" spans="1:24" x14ac:dyDescent="0.25">
      <c r="A866" s="26">
        <v>234</v>
      </c>
      <c r="B866" s="1">
        <f>IFERROR(VLOOKUP(ТабПозиции[[#This Row],[orderNum]],ТабЗаказы[#Data],MATCH(B$7,ТабЗаказы[#Headers],0),0),"")</f>
        <v>45538</v>
      </c>
      <c r="C866" t="str">
        <f>MONTH(ТабПозиции[[#This Row],[date]])&amp;"/"&amp;YEAR(ТабПозиции[[#This Row],[date]])</f>
        <v>9/2024</v>
      </c>
      <c r="D866" s="1" t="str">
        <f>IFERROR(VLOOKUP(ТабПозиции[[#This Row],[orderNum]],ТабЗаказы[#Data],MATCH(D$7,ТабЗаказы[#Headers],0),0),"")</f>
        <v>Максим телевизор</v>
      </c>
      <c r="E866" s="26" t="s">
        <v>815</v>
      </c>
      <c r="F866" s="56" t="s">
        <v>3061</v>
      </c>
      <c r="G866" s="43" t="s">
        <v>1421</v>
      </c>
      <c r="H866" s="34">
        <v>45550</v>
      </c>
      <c r="I866" s="26">
        <v>1</v>
      </c>
      <c r="J866" s="26">
        <v>1250</v>
      </c>
      <c r="K866">
        <v>1250</v>
      </c>
      <c r="L866" s="26">
        <v>1250</v>
      </c>
      <c r="M866">
        <f t="shared" si="15"/>
        <v>1250</v>
      </c>
      <c r="N866" s="26">
        <v>445</v>
      </c>
      <c r="O86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Row],[orderNum]],ТабПозиции[orderSumm])&gt;1500),ABS(M866*VLOOKUP(ТабПозиции[[#This Row],[orderNum]],ТабЗаказы[#Data],MATCH("Percent",ТабЗаказы[#Headers],0),0))/100,200/COUNTIF(ТабПозиции[orderNum],ТабПозиции[[#This Row],[orderNum]])),0),"")</f>
        <v>125</v>
      </c>
      <c r="P866">
        <f>IF(OR(ТабПозиции[[#This Row],[item]]="По штрихкоду",ТабПозиции[[#This Row],[item]]="Посылка"),ТабПозиции[[#This Row],[deliverySumm]]+ТабПозиции[[#This Row],[deliveryPost]],SUM(M866:O866))</f>
        <v>570</v>
      </c>
      <c r="Q866" s="57">
        <v>570</v>
      </c>
      <c r="R866" s="62">
        <f>ТабПозиции[[#This Row],[totalSumm]]-ТабПозиции[[#This Row],[payment]]</f>
        <v>0</v>
      </c>
      <c r="S866" s="34" t="s">
        <v>1016</v>
      </c>
      <c r="T866" s="56" t="s">
        <v>3061</v>
      </c>
      <c r="U866" s="56" t="s">
        <v>3061</v>
      </c>
      <c r="V866" s="56" t="s">
        <v>3061</v>
      </c>
      <c r="W866" s="7"/>
      <c r="X866"/>
    </row>
    <row r="867" spans="1:24" x14ac:dyDescent="0.25">
      <c r="A867" s="26">
        <v>234</v>
      </c>
      <c r="B867" s="1">
        <f>IFERROR(VLOOKUP(ТабПозиции[[#This Row],[orderNum]],ТабЗаказы[#Data],MATCH(B$7,ТабЗаказы[#Headers],0),0),"")</f>
        <v>45538</v>
      </c>
      <c r="C867" t="str">
        <f>MONTH(ТабПозиции[[#This Row],[date]])&amp;"/"&amp;YEAR(ТабПозиции[[#This Row],[date]])</f>
        <v>9/2024</v>
      </c>
      <c r="D867" s="1" t="str">
        <f>IFERROR(VLOOKUP(ТабПозиции[[#This Row],[orderNum]],ТабЗаказы[#Data],MATCH(D$7,ТабЗаказы[#Headers],0),0),"")</f>
        <v>Максим телевизор</v>
      </c>
      <c r="E867" s="26" t="s">
        <v>815</v>
      </c>
      <c r="F867" s="56" t="s">
        <v>3061</v>
      </c>
      <c r="G867" s="43" t="s">
        <v>1422</v>
      </c>
      <c r="H867" s="34">
        <v>45551</v>
      </c>
      <c r="I867" s="26">
        <v>1</v>
      </c>
      <c r="J867" s="26">
        <v>3200</v>
      </c>
      <c r="K867">
        <v>3200</v>
      </c>
      <c r="L867" s="26">
        <v>3200</v>
      </c>
      <c r="M867">
        <f t="shared" si="15"/>
        <v>3200</v>
      </c>
      <c r="O86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Row],[orderNum]],ТабПозиции[orderSumm])&gt;1500),ABS(M867*VLOOKUP(ТабПозиции[[#This Row],[orderNum]],ТабЗаказы[#Data],MATCH("Percent",ТабЗаказы[#Headers],0),0))/100,200/COUNTIF(ТабПозиции[orderNum],ТабПозиции[[#This Row],[orderNum]])),0),"")</f>
        <v>320</v>
      </c>
      <c r="P867">
        <f>IF(OR(ТабПозиции[[#This Row],[item]]="По штрихкоду",ТабПозиции[[#This Row],[item]]="Посылка"),ТабПозиции[[#This Row],[deliverySumm]]+ТабПозиции[[#This Row],[deliveryPost]],SUM(M867:O867))</f>
        <v>320</v>
      </c>
      <c r="Q867" s="57">
        <v>320</v>
      </c>
      <c r="R867" s="62">
        <f>ТабПозиции[[#This Row],[totalSumm]]-ТабПозиции[[#This Row],[payment]]</f>
        <v>0</v>
      </c>
      <c r="S867" s="34" t="s">
        <v>1016</v>
      </c>
      <c r="T867" s="56" t="s">
        <v>3061</v>
      </c>
      <c r="U867" s="56" t="s">
        <v>3061</v>
      </c>
      <c r="V867" s="56" t="s">
        <v>3061</v>
      </c>
      <c r="W867" s="7"/>
      <c r="X867"/>
    </row>
    <row r="868" spans="1:24" x14ac:dyDescent="0.25">
      <c r="A868" s="26">
        <v>234</v>
      </c>
      <c r="B868" s="1">
        <f>IFERROR(VLOOKUP(ТабПозиции[[#This Row],[orderNum]],ТабЗаказы[#Data],MATCH(B$7,ТабЗаказы[#Headers],0),0),"")</f>
        <v>45538</v>
      </c>
      <c r="C868" t="str">
        <f>MONTH(ТабПозиции[[#This Row],[date]])&amp;"/"&amp;YEAR(ТабПозиции[[#This Row],[date]])</f>
        <v>9/2024</v>
      </c>
      <c r="D868" s="1" t="str">
        <f>IFERROR(VLOOKUP(ТабПозиции[[#This Row],[orderNum]],ТабЗаказы[#Data],MATCH(D$7,ТабЗаказы[#Headers],0),0),"")</f>
        <v>Максим телевизор</v>
      </c>
      <c r="E868" s="26" t="s">
        <v>815</v>
      </c>
      <c r="F868" s="56" t="s">
        <v>3061</v>
      </c>
      <c r="G868" s="44" t="s">
        <v>1423</v>
      </c>
      <c r="H868" s="34">
        <v>45550</v>
      </c>
      <c r="I868" s="26">
        <v>1</v>
      </c>
      <c r="J868" s="26">
        <v>3850</v>
      </c>
      <c r="K868">
        <v>3850</v>
      </c>
      <c r="L868" s="26">
        <v>3850</v>
      </c>
      <c r="M868">
        <f t="shared" si="15"/>
        <v>3850</v>
      </c>
      <c r="O86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Row],[orderNum]],ТабПозиции[orderSumm])&gt;1500),ABS(M868*VLOOKUP(ТабПозиции[[#This Row],[orderNum]],ТабЗаказы[#Data],MATCH("Percent",ТабЗаказы[#Headers],0),0))/100,200/COUNTIF(ТабПозиции[orderNum],ТабПозиции[[#This Row],[orderNum]])),0),"")</f>
        <v>385</v>
      </c>
      <c r="P868">
        <f>IF(OR(ТабПозиции[[#This Row],[item]]="По штрихкоду",ТабПозиции[[#This Row],[item]]="Посылка"),ТабПозиции[[#This Row],[deliverySumm]]+ТабПозиции[[#This Row],[deliveryPost]],SUM(M868:O868))</f>
        <v>385</v>
      </c>
      <c r="Q868" s="57">
        <v>385</v>
      </c>
      <c r="R868" s="62">
        <f>ТабПозиции[[#This Row],[totalSumm]]-ТабПозиции[[#This Row],[payment]]</f>
        <v>0</v>
      </c>
      <c r="S868" s="34" t="s">
        <v>1011</v>
      </c>
      <c r="T868" s="56" t="s">
        <v>3061</v>
      </c>
      <c r="U868" s="56" t="s">
        <v>3061</v>
      </c>
      <c r="V868" s="56" t="s">
        <v>3061</v>
      </c>
      <c r="W868" s="7"/>
      <c r="X868"/>
    </row>
    <row r="869" spans="1:24" x14ac:dyDescent="0.25">
      <c r="A869" s="26">
        <v>247</v>
      </c>
      <c r="B869" s="1">
        <f>IFERROR(VLOOKUP(ТабПозиции[[#This Row],[orderNum]],ТабЗаказы[#Data],MATCH(B$7,ТабЗаказы[#Headers],0),0),"")</f>
        <v>45546</v>
      </c>
      <c r="C869" t="str">
        <f>MONTH(ТабПозиции[[#This Row],[date]])&amp;"/"&amp;YEAR(ТабПозиции[[#This Row],[date]])</f>
        <v>9/2024</v>
      </c>
      <c r="D869" s="1" t="str">
        <f>IFERROR(VLOOKUP(ТабПозиции[[#This Row],[orderNum]],ТабЗаказы[#Data],MATCH(D$7,ТабЗаказы[#Headers],0),0),"")</f>
        <v>Данил Шевченко</v>
      </c>
      <c r="E869" s="32" t="s">
        <v>1426</v>
      </c>
      <c r="F869" s="56" t="s">
        <v>3061</v>
      </c>
      <c r="H869" s="34">
        <v>45549</v>
      </c>
      <c r="I869" s="26">
        <v>1</v>
      </c>
      <c r="J869" s="26">
        <v>726</v>
      </c>
      <c r="K869">
        <v>726</v>
      </c>
      <c r="L869" s="26">
        <v>757</v>
      </c>
      <c r="M869">
        <f t="shared" si="15"/>
        <v>757</v>
      </c>
      <c r="O86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Row],[orderNum]],ТабПозиции[orderSumm])&gt;1500),ABS(M869*VLOOKUP(ТабПозиции[[#This Row],[orderNum]],ТабЗаказы[#Data],MATCH("Percent",ТабЗаказы[#Headers],0),0))/100,200/COUNTIF(ТабПозиции[orderNum],ТабПозиции[[#This Row],[orderNum]])),0),"")</f>
        <v>114</v>
      </c>
      <c r="P869">
        <v>871</v>
      </c>
      <c r="Q869" s="57">
        <v>871</v>
      </c>
      <c r="R869" s="62">
        <f>ТабПозиции[[#This Row],[totalSumm]]-ТабПозиции[[#This Row],[payment]]</f>
        <v>0</v>
      </c>
      <c r="S869" s="34" t="s">
        <v>1000</v>
      </c>
      <c r="T869" s="56" t="s">
        <v>3061</v>
      </c>
      <c r="U869" s="56" t="s">
        <v>3061</v>
      </c>
      <c r="V869" s="56" t="s">
        <v>3061</v>
      </c>
      <c r="W869" s="7"/>
      <c r="X869"/>
    </row>
    <row r="870" spans="1:24" x14ac:dyDescent="0.25">
      <c r="A870" s="26">
        <v>247</v>
      </c>
      <c r="B870" s="1">
        <f>IFERROR(VLOOKUP(ТабПозиции[[#This Row],[orderNum]],ТабЗаказы[#Data],MATCH(B$7,ТабЗаказы[#Headers],0),0),"")</f>
        <v>45546</v>
      </c>
      <c r="C870" t="str">
        <f>MONTH(ТабПозиции[[#This Row],[date]])&amp;"/"&amp;YEAR(ТабПозиции[[#This Row],[date]])</f>
        <v>9/2024</v>
      </c>
      <c r="D870" s="1" t="str">
        <f>IFERROR(VLOOKUP(ТабПозиции[[#This Row],[orderNum]],ТабЗаказы[#Data],MATCH(D$7,ТабЗаказы[#Headers],0),0),"")</f>
        <v>Данил Шевченко</v>
      </c>
      <c r="E870" s="32" t="s">
        <v>1427</v>
      </c>
      <c r="F870" s="56" t="s">
        <v>3061</v>
      </c>
      <c r="H870" s="34">
        <v>45548</v>
      </c>
      <c r="I870" s="26">
        <v>1</v>
      </c>
      <c r="J870" s="26">
        <v>1049</v>
      </c>
      <c r="K870">
        <v>1049</v>
      </c>
      <c r="L870" s="26">
        <v>1105</v>
      </c>
      <c r="M870">
        <f t="shared" si="15"/>
        <v>1105</v>
      </c>
      <c r="O87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Row],[orderNum]],ТабПозиции[orderSumm])&gt;1500),ABS(M870*VLOOKUP(ТабПозиции[[#This Row],[orderNum]],ТабЗаказы[#Data],MATCH("Percent",ТабЗаказы[#Headers],0),0))/100,200/COUNTIF(ТабПозиции[orderNum],ТабПозиции[[#This Row],[orderNum]])),0),"")</f>
        <v>166</v>
      </c>
      <c r="P870">
        <f>IF(OR(ТабПозиции[[#This Row],[item]]="По штрихкоду",ТабПозиции[[#This Row],[item]]="Посылка"),ТабПозиции[[#This Row],[deliverySumm]]+ТабПозиции[[#This Row],[deliveryPost]],SUM(M870:O870))</f>
        <v>1271</v>
      </c>
      <c r="Q870" s="57">
        <v>1271</v>
      </c>
      <c r="R870" s="62">
        <f>ТабПозиции[[#This Row],[totalSumm]]-ТабПозиции[[#This Row],[payment]]</f>
        <v>0</v>
      </c>
      <c r="S870" s="34" t="s">
        <v>965</v>
      </c>
      <c r="T870" s="56" t="s">
        <v>3061</v>
      </c>
      <c r="U870" s="56" t="s">
        <v>3061</v>
      </c>
      <c r="V870" s="56" t="s">
        <v>3061</v>
      </c>
      <c r="W870" s="7"/>
      <c r="X870"/>
    </row>
    <row r="871" spans="1:24" x14ac:dyDescent="0.25">
      <c r="A871" s="26">
        <v>247</v>
      </c>
      <c r="B871" s="1">
        <f>IFERROR(VLOOKUP(ТабПозиции[[#This Row],[orderNum]],ТабЗаказы[#Data],MATCH(B$7,ТабЗаказы[#Headers],0),0),"")</f>
        <v>45546</v>
      </c>
      <c r="C871" t="str">
        <f>MONTH(ТабПозиции[[#This Row],[date]])&amp;"/"&amp;YEAR(ТабПозиции[[#This Row],[date]])</f>
        <v>9/2024</v>
      </c>
      <c r="D871" s="1" t="str">
        <f>IFERROR(VLOOKUP(ТабПозиции[[#This Row],[orderNum]],ТабЗаказы[#Data],MATCH(D$7,ТабЗаказы[#Headers],0),0),"")</f>
        <v>Данил Шевченко</v>
      </c>
      <c r="E871" s="32" t="s">
        <v>1428</v>
      </c>
      <c r="F871" s="56" t="s">
        <v>3061</v>
      </c>
      <c r="H871" s="34">
        <v>45563</v>
      </c>
      <c r="I871" s="26">
        <v>0</v>
      </c>
      <c r="J871" s="26">
        <v>1171</v>
      </c>
      <c r="K871">
        <v>0</v>
      </c>
      <c r="L871" s="26">
        <v>1250</v>
      </c>
      <c r="M871">
        <f t="shared" si="15"/>
        <v>0</v>
      </c>
      <c r="O87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Row],[orderNum]],ТабПозиции[orderSumm])&gt;1500),ABS(M871*VLOOKUP(ТабПозиции[[#This Row],[orderNum]],ТабЗаказы[#Data],MATCH("Percent",ТабЗаказы[#Headers],0),0))/100,200/COUNTIF(ТабПозиции[orderNum],ТабПозиции[[#This Row],[orderNum]])),0),"")</f>
        <v>0</v>
      </c>
      <c r="P871">
        <f>IF(OR(ТабПозиции[[#This Row],[item]]="По штрихкоду",ТабПозиции[[#This Row],[item]]="Посылка"),ТабПозиции[[#This Row],[deliverySumm]]+ТабПозиции[[#This Row],[deliveryPost]],SUM(M871:O871))</f>
        <v>0</v>
      </c>
      <c r="R871" s="62">
        <f>ТабПозиции[[#This Row],[totalSumm]]-ТабПозиции[[#This Row],[payment]]</f>
        <v>0</v>
      </c>
      <c r="S871" s="34" t="s">
        <v>955</v>
      </c>
      <c r="T871" s="56" t="s">
        <v>3061</v>
      </c>
      <c r="U871" s="56" t="s">
        <v>3061</v>
      </c>
      <c r="V871" s="56" t="s">
        <v>3061</v>
      </c>
      <c r="W871" s="7"/>
      <c r="X871"/>
    </row>
    <row r="872" spans="1:24" x14ac:dyDescent="0.25">
      <c r="A872" s="26">
        <v>248</v>
      </c>
      <c r="B872" s="1">
        <f>IFERROR(VLOOKUP(ТабПозиции[[#This Row],[orderNum]],ТабЗаказы[#Data],MATCH(B$7,ТабЗаказы[#Headers],0),0),"")</f>
        <v>45548</v>
      </c>
      <c r="C872" t="str">
        <f>MONTH(ТабПозиции[[#This Row],[date]])&amp;"/"&amp;YEAR(ТабПозиции[[#This Row],[date]])</f>
        <v>9/2024</v>
      </c>
      <c r="D872" s="1" t="str">
        <f>IFERROR(VLOOKUP(ТабПозиции[[#This Row],[orderNum]],ТабЗаказы[#Data],MATCH(D$7,ТабЗаказы[#Headers],0),0),"")</f>
        <v>Андрей Кулигин</v>
      </c>
      <c r="E872" s="26" t="s">
        <v>32</v>
      </c>
      <c r="F872" s="56" t="s">
        <v>3061</v>
      </c>
      <c r="H872" s="34">
        <v>45548</v>
      </c>
      <c r="I872" s="26">
        <v>1</v>
      </c>
      <c r="J872" s="26">
        <v>204</v>
      </c>
      <c r="K872">
        <v>204</v>
      </c>
      <c r="L872" s="26">
        <v>204</v>
      </c>
      <c r="M872">
        <f t="shared" si="15"/>
        <v>204</v>
      </c>
      <c r="O87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Row],[orderNum]],ТабПозиции[orderSumm])&gt;1500),ABS(M872*VLOOKUP(ТабПозиции[[#This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872">
        <f>IF(OR(ТабПозиции[[#This Row],[item]]="По штрихкоду",ТабПозиции[[#This Row],[item]]="Посылка"),ТабПозиции[[#This Row],[deliverySumm]]+ТабПозиции[[#This Row],[deliveryPost]],SUM(M872:O872))</f>
        <v>200</v>
      </c>
      <c r="Q872" s="57">
        <v>200</v>
      </c>
      <c r="R872" s="62">
        <f>ТабПозиции[[#This Row],[totalSumm]]-ТабПозиции[[#This Row],[payment]]</f>
        <v>0</v>
      </c>
      <c r="S872" s="34" t="s">
        <v>955</v>
      </c>
      <c r="T872" s="56" t="s">
        <v>3061</v>
      </c>
      <c r="U872" s="56" t="s">
        <v>3061</v>
      </c>
      <c r="V872" s="56" t="s">
        <v>3061</v>
      </c>
      <c r="W872" s="7"/>
      <c r="X872"/>
    </row>
    <row r="873" spans="1:24" x14ac:dyDescent="0.25">
      <c r="A873" s="26">
        <v>249</v>
      </c>
      <c r="B873" s="1">
        <f>IFERROR(VLOOKUP(ТабПозиции[[#This Row],[orderNum]],ТабЗаказы[#Data],MATCH(B$7,ТабЗаказы[#Headers],0),0),"")</f>
        <v>45548</v>
      </c>
      <c r="C873" t="str">
        <f>MONTH(ТабПозиции[[#This Row],[date]])&amp;"/"&amp;YEAR(ТабПозиции[[#This Row],[date]])</f>
        <v>9/2024</v>
      </c>
      <c r="D873" s="1" t="str">
        <f>IFERROR(VLOOKUP(ТабПозиции[[#This Row],[orderNum]],ТабЗаказы[#Data],MATCH(D$7,ТабЗаказы[#Headers],0),0),"")</f>
        <v>Аннет</v>
      </c>
      <c r="E873" s="26" t="s">
        <v>32</v>
      </c>
      <c r="F873" s="56" t="s">
        <v>3061</v>
      </c>
      <c r="H873" s="34">
        <v>45548</v>
      </c>
      <c r="I873" s="26">
        <v>1</v>
      </c>
      <c r="J873" s="26">
        <v>17840</v>
      </c>
      <c r="K873">
        <v>17840</v>
      </c>
      <c r="L873" s="26">
        <v>17840</v>
      </c>
      <c r="M873">
        <f t="shared" si="15"/>
        <v>17840</v>
      </c>
      <c r="O87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Row],[orderNum]],ТабПозиции[orderSumm])&gt;1500),ABS(M873*VLOOKUP(ТабПозиции[[#This Row],[orderNum]],ТабЗаказы[#Data],MATCH("Percent",ТабЗаказы[#Headers],0),0))/100,200/COUNTIF(ТабПозиции[orderNum],ТабПозиции[[#This Row],[orderNum]])),0),"")</f>
        <v>1784</v>
      </c>
      <c r="P873">
        <f>IF(OR(ТабПозиции[[#This Row],[item]]="По штрихкоду",ТабПозиции[[#This Row],[item]]="Посылка"),ТабПозиции[[#This Row],[deliverySumm]]+ТабПозиции[[#This Row],[deliveryPost]],SUM(M873:O873))</f>
        <v>1784</v>
      </c>
      <c r="Q873" s="57">
        <v>1784</v>
      </c>
      <c r="R873" s="62">
        <f>ТабПозиции[[#This Row],[totalSumm]]-ТабПозиции[[#This Row],[payment]]</f>
        <v>0</v>
      </c>
      <c r="S873" s="34" t="s">
        <v>955</v>
      </c>
      <c r="T873" s="56" t="s">
        <v>3061</v>
      </c>
      <c r="U873" s="56" t="s">
        <v>3061</v>
      </c>
      <c r="V873" s="56" t="s">
        <v>3061</v>
      </c>
      <c r="W873" s="7"/>
      <c r="X873"/>
    </row>
    <row r="874" spans="1:24" x14ac:dyDescent="0.25">
      <c r="A874" s="26">
        <v>250</v>
      </c>
      <c r="B874" s="1">
        <f>IFERROR(VLOOKUP(ТабПозиции[[#This Row],[orderNum]],ТабЗаказы[#Data],MATCH(B$7,ТабЗаказы[#Headers],0),0),"")</f>
        <v>45548</v>
      </c>
      <c r="C874" t="str">
        <f>MONTH(ТабПозиции[[#This Row],[date]])&amp;"/"&amp;YEAR(ТабПозиции[[#This Row],[date]])</f>
        <v>9/2024</v>
      </c>
      <c r="D874" s="1" t="str">
        <f>IFERROR(VLOOKUP(ТабПозиции[[#This Row],[orderNum]],ТабЗаказы[#Data],MATCH(D$7,ТабЗаказы[#Headers],0),0),"")</f>
        <v>Лариса Кирова</v>
      </c>
      <c r="E874" s="32" t="s">
        <v>1450</v>
      </c>
      <c r="F874" s="56" t="s">
        <v>3061</v>
      </c>
      <c r="H874" s="34">
        <v>45550</v>
      </c>
      <c r="I874" s="26">
        <v>1</v>
      </c>
      <c r="J874" s="26">
        <v>433</v>
      </c>
      <c r="K874">
        <v>433</v>
      </c>
      <c r="L874" s="26">
        <v>456</v>
      </c>
      <c r="M874">
        <f t="shared" si="15"/>
        <v>456</v>
      </c>
      <c r="O87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Row],[orderNum]],ТабПозиции[orderSumm])&gt;1500),ABS(M874*VLOOKUP(ТабПозиции[[#This Row],[orderNum]],ТабЗаказы[#Data],MATCH("Percent",ТабЗаказы[#Headers],0),0))/100,200/COUNTIF(ТабПозиции[orderNum],ТабПозиции[[#This Row],[orderNum]])),0),"")</f>
        <v>68</v>
      </c>
      <c r="P874">
        <f>IF(OR(ТабПозиции[[#This Row],[item]]="По штрихкоду",ТабПозиции[[#This Row],[item]]="Посылка"),ТабПозиции[[#This Row],[deliverySumm]]+ТабПозиции[[#This Row],[deliveryPost]],SUM(M874:O874))</f>
        <v>524</v>
      </c>
      <c r="Q874" s="57">
        <v>524</v>
      </c>
      <c r="R874" s="62">
        <f>ТабПозиции[[#This Row],[totalSumm]]-ТабПозиции[[#This Row],[payment]]</f>
        <v>0</v>
      </c>
      <c r="S874" s="34" t="s">
        <v>965</v>
      </c>
      <c r="T874" s="56" t="s">
        <v>3061</v>
      </c>
      <c r="U874" s="56" t="s">
        <v>3061</v>
      </c>
      <c r="V874" s="56" t="s">
        <v>3061</v>
      </c>
      <c r="W874" s="7"/>
      <c r="X874"/>
    </row>
    <row r="875" spans="1:24" x14ac:dyDescent="0.25">
      <c r="A875" s="26">
        <v>250</v>
      </c>
      <c r="B875" s="1">
        <f>IFERROR(VLOOKUP(ТабПозиции[[#This Row],[orderNum]],ТабЗаказы[#Data],MATCH(B$7,ТабЗаказы[#Headers],0),0),"")</f>
        <v>45548</v>
      </c>
      <c r="C875" t="str">
        <f>MONTH(ТабПозиции[[#This Row],[date]])&amp;"/"&amp;YEAR(ТабПозиции[[#This Row],[date]])</f>
        <v>9/2024</v>
      </c>
      <c r="D875" s="1" t="str">
        <f>IFERROR(VLOOKUP(ТабПозиции[[#This Row],[orderNum]],ТабЗаказы[#Data],MATCH(D$7,ТабЗаказы[#Headers],0),0),"")</f>
        <v>Лариса Кирова</v>
      </c>
      <c r="E875" s="32" t="s">
        <v>1451</v>
      </c>
      <c r="F875" s="56" t="s">
        <v>3061</v>
      </c>
      <c r="H875" s="34">
        <v>45550</v>
      </c>
      <c r="I875" s="26">
        <v>1</v>
      </c>
      <c r="J875" s="26">
        <v>75</v>
      </c>
      <c r="K875">
        <v>75</v>
      </c>
      <c r="L875" s="26">
        <v>79</v>
      </c>
      <c r="M875">
        <f t="shared" si="15"/>
        <v>79</v>
      </c>
      <c r="O87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Row],[orderNum]],ТабПозиции[orderSumm])&gt;1500),ABS(M875*VLOOKUP(ТабПозиции[[#This Row],[orderNum]],ТабЗаказы[#Data],MATCH("Percent",ТабЗаказы[#Headers],0),0))/100,200/COUNTIF(ТабПозиции[orderNum],ТабПозиции[[#This Row],[orderNum]])),0),"")</f>
        <v>12</v>
      </c>
      <c r="P875">
        <f>IF(OR(ТабПозиции[[#This Row],[item]]="По штрихкоду",ТабПозиции[[#This Row],[item]]="Посылка"),ТабПозиции[[#This Row],[deliverySumm]]+ТабПозиции[[#This Row],[deliveryPost]],SUM(M875:O875))</f>
        <v>91</v>
      </c>
      <c r="Q875" s="57">
        <v>91</v>
      </c>
      <c r="R875" s="62">
        <f>ТабПозиции[[#This Row],[totalSumm]]-ТабПозиции[[#This Row],[payment]]</f>
        <v>0</v>
      </c>
      <c r="S875" s="34" t="s">
        <v>965</v>
      </c>
      <c r="T875" s="56" t="s">
        <v>3061</v>
      </c>
      <c r="U875" s="56" t="s">
        <v>3061</v>
      </c>
      <c r="V875" s="56" t="s">
        <v>3061</v>
      </c>
      <c r="W875" s="7"/>
      <c r="X875"/>
    </row>
    <row r="876" spans="1:24" x14ac:dyDescent="0.25">
      <c r="A876" s="26">
        <v>250</v>
      </c>
      <c r="B876" s="1">
        <f>IFERROR(VLOOKUP(ТабПозиции[[#This Row],[orderNum]],ТабЗаказы[#Data],MATCH(B$7,ТабЗаказы[#Headers],0),0),"")</f>
        <v>45548</v>
      </c>
      <c r="C876" t="str">
        <f>MONTH(ТабПозиции[[#This Row],[date]])&amp;"/"&amp;YEAR(ТабПозиции[[#This Row],[date]])</f>
        <v>9/2024</v>
      </c>
      <c r="D876" s="1" t="str">
        <f>IFERROR(VLOOKUP(ТабПозиции[[#This Row],[orderNum]],ТабЗаказы[#Data],MATCH(D$7,ТабЗаказы[#Headers],0),0),"")</f>
        <v>Лариса Кирова</v>
      </c>
      <c r="E876" s="32" t="s">
        <v>1452</v>
      </c>
      <c r="F876" s="56" t="s">
        <v>3061</v>
      </c>
      <c r="H876" s="34">
        <v>45550</v>
      </c>
      <c r="I876" s="26">
        <v>1</v>
      </c>
      <c r="J876" s="26">
        <v>880</v>
      </c>
      <c r="K876">
        <v>880</v>
      </c>
      <c r="L876" s="26">
        <v>927</v>
      </c>
      <c r="M876">
        <f t="shared" si="15"/>
        <v>927</v>
      </c>
      <c r="O87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Row],[orderNum]],ТабПозиции[orderSumm])&gt;1500),ABS(M876*VLOOKUP(ТабПозиции[[#This Row],[orderNum]],ТабЗаказы[#Data],MATCH("Percent",ТабЗаказы[#Headers],0),0))/100,200/COUNTIF(ТабПозиции[orderNum],ТабПозиции[[#This Row],[orderNum]])),0),"")</f>
        <v>139</v>
      </c>
      <c r="P876">
        <f>IF(OR(ТабПозиции[[#This Row],[item]]="По штрихкоду",ТабПозиции[[#This Row],[item]]="Посылка"),ТабПозиции[[#This Row],[deliverySumm]]+ТабПозиции[[#This Row],[deliveryPost]],SUM(M876:O876))</f>
        <v>1066</v>
      </c>
      <c r="Q876" s="57">
        <v>1066</v>
      </c>
      <c r="R876" s="62">
        <f>ТабПозиции[[#This Row],[totalSumm]]-ТабПозиции[[#This Row],[payment]]</f>
        <v>0</v>
      </c>
      <c r="S876" s="34" t="s">
        <v>965</v>
      </c>
      <c r="T876" s="56" t="s">
        <v>3061</v>
      </c>
      <c r="U876" s="56" t="s">
        <v>3061</v>
      </c>
      <c r="V876" s="56" t="s">
        <v>3061</v>
      </c>
      <c r="W876" s="7"/>
      <c r="X876"/>
    </row>
    <row r="877" spans="1:24" x14ac:dyDescent="0.25">
      <c r="A877" s="26">
        <v>250</v>
      </c>
      <c r="B877" s="1">
        <f>IFERROR(VLOOKUP(ТабПозиции[[#This Row],[orderNum]],ТабЗаказы[#Data],MATCH(B$7,ТабЗаказы[#Headers],0),0),"")</f>
        <v>45548</v>
      </c>
      <c r="C877" t="str">
        <f>MONTH(ТабПозиции[[#This Row],[date]])&amp;"/"&amp;YEAR(ТабПозиции[[#This Row],[date]])</f>
        <v>9/2024</v>
      </c>
      <c r="D877" s="1" t="str">
        <f>IFERROR(VLOOKUP(ТабПозиции[[#This Row],[orderNum]],ТабЗаказы[#Data],MATCH(D$7,ТабЗаказы[#Headers],0),0),"")</f>
        <v>Лариса Кирова</v>
      </c>
      <c r="E877" s="32" t="s">
        <v>1453</v>
      </c>
      <c r="F877" s="56" t="s">
        <v>3061</v>
      </c>
      <c r="H877" s="34">
        <v>45550</v>
      </c>
      <c r="I877" s="26">
        <v>1</v>
      </c>
      <c r="J877" s="26">
        <v>151</v>
      </c>
      <c r="K877">
        <v>151</v>
      </c>
      <c r="L877" s="26">
        <v>159</v>
      </c>
      <c r="M877">
        <f t="shared" si="15"/>
        <v>159</v>
      </c>
      <c r="O87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Row],[orderNum]],ТабПозиции[orderSumm])&gt;1500),ABS(M877*VLOOKUP(ТабПозиции[[#This Row],[orderNum]],ТабЗаказы[#Data],MATCH("Percent",ТабЗаказы[#Headers],0),0))/100,200/COUNTIF(ТабПозиции[orderNum],ТабПозиции[[#This Row],[orderNum]])),0),"")</f>
        <v>24</v>
      </c>
      <c r="P877">
        <f>IF(OR(ТабПозиции[[#This Row],[item]]="По штрихкоду",ТабПозиции[[#This Row],[item]]="Посылка"),ТабПозиции[[#This Row],[deliverySumm]]+ТабПозиции[[#This Row],[deliveryPost]],SUM(M877:O877))</f>
        <v>183</v>
      </c>
      <c r="Q877" s="57">
        <v>183</v>
      </c>
      <c r="R877" s="62">
        <f>ТабПозиции[[#This Row],[totalSumm]]-ТабПозиции[[#This Row],[payment]]</f>
        <v>0</v>
      </c>
      <c r="S877" s="34" t="s">
        <v>955</v>
      </c>
      <c r="T877" s="56" t="s">
        <v>3061</v>
      </c>
      <c r="U877" s="56" t="s">
        <v>3061</v>
      </c>
      <c r="V877" s="56" t="s">
        <v>3061</v>
      </c>
      <c r="W877" s="7"/>
      <c r="X877"/>
    </row>
    <row r="878" spans="1:24" x14ac:dyDescent="0.25">
      <c r="A878" s="26">
        <v>250</v>
      </c>
      <c r="B878" s="1">
        <f>IFERROR(VLOOKUP(ТабПозиции[[#This Row],[orderNum]],ТабЗаказы[#Data],MATCH(B$7,ТабЗаказы[#Headers],0),0),"")</f>
        <v>45548</v>
      </c>
      <c r="C878" t="str">
        <f>MONTH(ТабПозиции[[#This Row],[date]])&amp;"/"&amp;YEAR(ТабПозиции[[#This Row],[date]])</f>
        <v>9/2024</v>
      </c>
      <c r="D878" s="1" t="str">
        <f>IFERROR(VLOOKUP(ТабПозиции[[#This Row],[orderNum]],ТабЗаказы[#Data],MATCH(D$7,ТабЗаказы[#Headers],0),0),"")</f>
        <v>Лариса Кирова</v>
      </c>
      <c r="E878" s="32" t="s">
        <v>677</v>
      </c>
      <c r="F878" s="56" t="s">
        <v>3061</v>
      </c>
      <c r="H878" s="34">
        <v>45550</v>
      </c>
      <c r="I878" s="26">
        <v>1</v>
      </c>
      <c r="J878" s="26">
        <v>244</v>
      </c>
      <c r="K878">
        <v>244</v>
      </c>
      <c r="L878" s="26">
        <v>249</v>
      </c>
      <c r="M878">
        <f t="shared" si="15"/>
        <v>249</v>
      </c>
      <c r="O87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Row],[orderNum]],ТабПозиции[orderSumm])&gt;1500),ABS(M878*VLOOKUP(ТабПозиции[[#This Row],[orderNum]],ТабЗаказы[#Data],MATCH("Percent",ТабЗаказы[#Headers],0),0))/100,200/COUNTIF(ТабПозиции[orderNum],ТабПозиции[[#This Row],[orderNum]])),0),"")</f>
        <v>37</v>
      </c>
      <c r="P878">
        <f>IF(OR(ТабПозиции[[#This Row],[item]]="По штрихкоду",ТабПозиции[[#This Row],[item]]="Посылка"),ТабПозиции[[#This Row],[deliverySumm]]+ТабПозиции[[#This Row],[deliveryPost]],SUM(M878:O878))</f>
        <v>286</v>
      </c>
      <c r="Q878" s="57">
        <v>286</v>
      </c>
      <c r="R878" s="62">
        <f>ТабПозиции[[#This Row],[totalSumm]]-ТабПозиции[[#This Row],[payment]]</f>
        <v>0</v>
      </c>
      <c r="S878" s="34" t="s">
        <v>955</v>
      </c>
      <c r="T878" s="56" t="s">
        <v>3061</v>
      </c>
      <c r="U878" s="56" t="s">
        <v>3061</v>
      </c>
      <c r="V878" s="56" t="s">
        <v>3061</v>
      </c>
      <c r="W878" s="7"/>
      <c r="X878"/>
    </row>
    <row r="879" spans="1:24" x14ac:dyDescent="0.25">
      <c r="A879" s="26">
        <v>250</v>
      </c>
      <c r="B879" s="1">
        <f>IFERROR(VLOOKUP(ТабПозиции[[#This Row],[orderNum]],ТабЗаказы[#Data],MATCH(B$7,ТабЗаказы[#Headers],0),0),"")</f>
        <v>45548</v>
      </c>
      <c r="C879" t="str">
        <f>MONTH(ТабПозиции[[#This Row],[date]])&amp;"/"&amp;YEAR(ТабПозиции[[#This Row],[date]])</f>
        <v>9/2024</v>
      </c>
      <c r="D879" s="1" t="str">
        <f>IFERROR(VLOOKUP(ТабПозиции[[#This Row],[orderNum]],ТабЗаказы[#Data],MATCH(D$7,ТабЗаказы[#Headers],0),0),"")</f>
        <v>Лариса Кирова</v>
      </c>
      <c r="E879" s="32" t="s">
        <v>1454</v>
      </c>
      <c r="F879" s="56" t="s">
        <v>3061</v>
      </c>
      <c r="H879" s="34">
        <v>45550</v>
      </c>
      <c r="I879" s="26">
        <v>1</v>
      </c>
      <c r="J879" s="26">
        <v>642</v>
      </c>
      <c r="K879">
        <v>642</v>
      </c>
      <c r="L879" s="26">
        <v>680</v>
      </c>
      <c r="M879">
        <f t="shared" si="15"/>
        <v>680</v>
      </c>
      <c r="O87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Row],[orderNum]],ТабПозиции[orderSumm])&gt;1500),ABS(M879*VLOOKUP(ТабПозиции[[#This Row],[orderNum]],ТабЗаказы[#Data],MATCH("Percent",ТабЗаказы[#Headers],0),0))/100,200/COUNTIF(ТабПозиции[orderNum],ТабПозиции[[#This Row],[orderNum]])),0),"")</f>
        <v>102</v>
      </c>
      <c r="P879">
        <f>IF(OR(ТабПозиции[[#This Row],[item]]="По штрихкоду",ТабПозиции[[#This Row],[item]]="Посылка"),ТабПозиции[[#This Row],[deliverySumm]]+ТабПозиции[[#This Row],[deliveryPost]],SUM(M879:O879))</f>
        <v>782</v>
      </c>
      <c r="Q879" s="57">
        <v>782</v>
      </c>
      <c r="R879" s="62">
        <f>ТабПозиции[[#This Row],[totalSumm]]-ТабПозиции[[#This Row],[payment]]</f>
        <v>0</v>
      </c>
      <c r="S879" s="34" t="s">
        <v>955</v>
      </c>
      <c r="T879" s="56" t="s">
        <v>3061</v>
      </c>
      <c r="U879" s="56" t="s">
        <v>3061</v>
      </c>
      <c r="V879" s="56" t="s">
        <v>3061</v>
      </c>
      <c r="W879" s="7"/>
      <c r="X879"/>
    </row>
    <row r="880" spans="1:24" x14ac:dyDescent="0.25">
      <c r="A880" s="26">
        <v>251</v>
      </c>
      <c r="B880" s="1">
        <f>IFERROR(VLOOKUP(ТабПозиции[[#This Row],[orderNum]],ТабЗаказы[#Data],MATCH(B$7,ТабЗаказы[#Headers],0),0),"")</f>
        <v>45548</v>
      </c>
      <c r="C880" t="str">
        <f>MONTH(ТабПозиции[[#This Row],[date]])&amp;"/"&amp;YEAR(ТабПозиции[[#This Row],[date]])</f>
        <v>9/2024</v>
      </c>
      <c r="D880" s="1" t="str">
        <f>IFERROR(VLOOKUP(ТабПозиции[[#This Row],[orderNum]],ТабЗаказы[#Data],MATCH(D$7,ТабЗаказы[#Headers],0),0),"")</f>
        <v>Вадим</v>
      </c>
      <c r="E880" s="32" t="s">
        <v>1455</v>
      </c>
      <c r="F880" s="56" t="s">
        <v>3061</v>
      </c>
      <c r="G880" s="28" t="s">
        <v>1476</v>
      </c>
      <c r="H880" s="34">
        <v>45560</v>
      </c>
      <c r="I880" s="26">
        <v>1</v>
      </c>
      <c r="J880" s="26">
        <v>4500</v>
      </c>
      <c r="K880">
        <v>4500</v>
      </c>
      <c r="L880" s="26">
        <v>4500</v>
      </c>
      <c r="M880">
        <f t="shared" si="15"/>
        <v>4500</v>
      </c>
      <c r="N880" s="26">
        <v>318</v>
      </c>
      <c r="O88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Row],[orderNum]],ТабПозиции[orderSumm])&gt;1500),ABS(M880*VLOOKUP(ТабПозиции[[#This Row],[orderNum]],ТабЗаказы[#Data],MATCH("Percent",ТабЗаказы[#Headers],0),0))/100,200/COUNTIF(ТабПозиции[orderNum],ТабПозиции[[#This Row],[orderNum]])),0),"")</f>
        <v>675</v>
      </c>
      <c r="P880">
        <f>IF(OR(ТабПозиции[[#This Row],[item]]="По штрихкоду",ТабПозиции[[#This Row],[item]]="Посылка"),ТабПозиции[[#This Row],[deliverySumm]]+ТабПозиции[[#This Row],[deliveryPost]],SUM(M880:O880))</f>
        <v>5493</v>
      </c>
      <c r="Q880" s="57">
        <v>5493</v>
      </c>
      <c r="R880" s="62">
        <f>ТабПозиции[[#This Row],[totalSumm]]-ТабПозиции[[#This Row],[payment]]</f>
        <v>0</v>
      </c>
      <c r="S880" s="34" t="s">
        <v>1011</v>
      </c>
      <c r="T880" s="56" t="s">
        <v>3061</v>
      </c>
      <c r="U880" s="56" t="s">
        <v>3061</v>
      </c>
      <c r="V880" s="56" t="s">
        <v>3061</v>
      </c>
      <c r="W880" s="7"/>
      <c r="X880"/>
    </row>
    <row r="881" spans="1:24" x14ac:dyDescent="0.25">
      <c r="A881" s="26">
        <v>252</v>
      </c>
      <c r="B881" s="1">
        <f>IFERROR(VLOOKUP(ТабПозиции[[#This Row],[orderNum]],ТабЗаказы[#Data],MATCH(B$7,ТабЗаказы[#Headers],0),0),"")</f>
        <v>45549</v>
      </c>
      <c r="C881" t="str">
        <f>MONTH(ТабПозиции[[#This Row],[date]])&amp;"/"&amp;YEAR(ТабПозиции[[#This Row],[date]])</f>
        <v>9/2024</v>
      </c>
      <c r="D881" s="1" t="str">
        <f>IFERROR(VLOOKUP(ТабПозиции[[#This Row],[orderNum]],ТабЗаказы[#Data],MATCH(D$7,ТабЗаказы[#Headers],0),0),"")</f>
        <v>Галина Агабекова(церковь)</v>
      </c>
      <c r="E881" s="32" t="s">
        <v>1415</v>
      </c>
      <c r="F881" s="56" t="s">
        <v>3061</v>
      </c>
      <c r="H881" s="34">
        <v>45551</v>
      </c>
      <c r="I881" s="26">
        <v>1</v>
      </c>
      <c r="J881" s="26">
        <v>3026</v>
      </c>
      <c r="K881">
        <v>3026</v>
      </c>
      <c r="L881" s="26">
        <v>3185</v>
      </c>
      <c r="M881">
        <f t="shared" si="15"/>
        <v>3185</v>
      </c>
      <c r="O88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Row],[orderNum]],ТабПозиции[orderSumm])&gt;1500),ABS(M881*VLOOKUP(ТабПозиции[[#This Row],[orderNum]],ТабЗаказы[#Data],MATCH("Percent",ТабЗаказы[#Headers],0),0))/100,200/COUNTIF(ТабПозиции[orderNum],ТабПозиции[[#This Row],[orderNum]])),0),"")</f>
        <v>478</v>
      </c>
      <c r="P881">
        <f>IF(OR(ТабПозиции[[#This Row],[item]]="По штрихкоду",ТабПозиции[[#This Row],[item]]="Посылка"),ТабПозиции[[#This Row],[deliverySumm]]+ТабПозиции[[#This Row],[deliveryPost]],SUM(M881:O881))</f>
        <v>3663</v>
      </c>
      <c r="Q881" s="57">
        <v>3663</v>
      </c>
      <c r="R881" s="62">
        <f>ТабПозиции[[#This Row],[totalSumm]]-ТабПозиции[[#This Row],[payment]]</f>
        <v>0</v>
      </c>
      <c r="S881" s="34" t="s">
        <v>965</v>
      </c>
      <c r="T881" s="56" t="s">
        <v>3061</v>
      </c>
      <c r="U881" s="56" t="s">
        <v>3061</v>
      </c>
      <c r="V881" s="56" t="s">
        <v>3061</v>
      </c>
      <c r="W881" s="7"/>
      <c r="X881"/>
    </row>
    <row r="882" spans="1:24" x14ac:dyDescent="0.25">
      <c r="A882" s="26">
        <v>253</v>
      </c>
      <c r="B882" s="1">
        <f>IFERROR(VLOOKUP(ТабПозиции[[#This Row],[orderNum]],ТабЗаказы[#Data],MATCH(B$7,ТабЗаказы[#Headers],0),0),"")</f>
        <v>45549</v>
      </c>
      <c r="C882" t="str">
        <f>MONTH(ТабПозиции[[#This Row],[date]])&amp;"/"&amp;YEAR(ТабПозиции[[#This Row],[date]])</f>
        <v>9/2024</v>
      </c>
      <c r="D882" s="1" t="str">
        <f>IFERROR(VLOOKUP(ТабПозиции[[#This Row],[orderNum]],ТабЗаказы[#Data],MATCH(D$7,ТабЗаказы[#Headers],0),0),"")</f>
        <v>Руденко Юля</v>
      </c>
      <c r="E882" s="32" t="s">
        <v>1456</v>
      </c>
      <c r="F882" s="56" t="s">
        <v>3061</v>
      </c>
      <c r="H882" s="34">
        <v>45556</v>
      </c>
      <c r="I882" s="26">
        <v>1</v>
      </c>
      <c r="J882" s="26">
        <v>1641</v>
      </c>
      <c r="K882">
        <v>1641</v>
      </c>
      <c r="L882" s="26">
        <v>1709</v>
      </c>
      <c r="M882">
        <f t="shared" si="15"/>
        <v>1709</v>
      </c>
      <c r="O88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Row],[orderNum]],ТабПозиции[orderSumm])&gt;1500),ABS(M882*VLOOKUP(ТабПозиции[[#This Row],[orderNum]],ТабЗаказы[#Data],MATCH("Percent",ТабЗаказы[#Headers],0),0))/100,200/COUNTIF(ТабПозиции[orderNum],ТабПозиции[[#This Row],[orderNum]])),0),"")</f>
        <v>171</v>
      </c>
      <c r="P882">
        <f>IF(OR(ТабПозиции[[#This Row],[item]]="По штрихкоду",ТабПозиции[[#This Row],[item]]="Посылка"),ТабПозиции[[#This Row],[deliverySumm]]+ТабПозиции[[#This Row],[deliveryPost]],SUM(M882:O882))</f>
        <v>1880</v>
      </c>
      <c r="Q882" s="57">
        <v>1880</v>
      </c>
      <c r="R882" s="62">
        <f>ТабПозиции[[#This Row],[totalSumm]]-ТабПозиции[[#This Row],[payment]]</f>
        <v>0</v>
      </c>
      <c r="S882" s="34" t="s">
        <v>955</v>
      </c>
      <c r="T882" s="56" t="s">
        <v>3061</v>
      </c>
      <c r="U882" s="56" t="s">
        <v>3061</v>
      </c>
      <c r="V882" s="56" t="s">
        <v>3061</v>
      </c>
      <c r="W882" s="7"/>
      <c r="X882"/>
    </row>
    <row r="883" spans="1:24" x14ac:dyDescent="0.25">
      <c r="A883" s="26">
        <v>253</v>
      </c>
      <c r="B883" s="1">
        <f>IFERROR(VLOOKUP(ТабПозиции[[#This Row],[orderNum]],ТабЗаказы[#Data],MATCH(B$7,ТабЗаказы[#Headers],0),0),"")</f>
        <v>45549</v>
      </c>
      <c r="C883" t="str">
        <f>MONTH(ТабПозиции[[#This Row],[date]])&amp;"/"&amp;YEAR(ТабПозиции[[#This Row],[date]])</f>
        <v>9/2024</v>
      </c>
      <c r="D883" s="1" t="str">
        <f>IFERROR(VLOOKUP(ТабПозиции[[#This Row],[orderNum]],ТабЗаказы[#Data],MATCH(D$7,ТабЗаказы[#Headers],0),0),"")</f>
        <v>Руденко Юля</v>
      </c>
      <c r="E883" s="32" t="s">
        <v>663</v>
      </c>
      <c r="F883" s="56" t="s">
        <v>3061</v>
      </c>
      <c r="H883" s="34">
        <v>45552</v>
      </c>
      <c r="I883" s="26">
        <v>1</v>
      </c>
      <c r="J883" s="26">
        <v>475</v>
      </c>
      <c r="K883">
        <v>475</v>
      </c>
      <c r="L883" s="26">
        <v>501</v>
      </c>
      <c r="M883">
        <f t="shared" si="15"/>
        <v>501</v>
      </c>
      <c r="O88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Row],[orderNum]],ТабПозиции[orderSumm])&gt;1500),ABS(M883*VLOOKUP(ТабПозиции[[#This Row],[orderNum]],ТабЗаказы[#Data],MATCH("Percent",ТабЗаказы[#Headers],0),0))/100,200/COUNTIF(ТабПозиции[orderNum],ТабПозиции[[#This Row],[orderNum]])),0),"")</f>
        <v>50</v>
      </c>
      <c r="P883">
        <f>IF(OR(ТабПозиции[[#This Row],[item]]="По штрихкоду",ТабПозиции[[#This Row],[item]]="Посылка"),ТабПозиции[[#This Row],[deliverySumm]]+ТабПозиции[[#This Row],[deliveryPost]],SUM(M883:O883))</f>
        <v>551</v>
      </c>
      <c r="Q883" s="57">
        <v>551</v>
      </c>
      <c r="R883" s="62">
        <f>ТабПозиции[[#This Row],[totalSumm]]-ТабПозиции[[#This Row],[payment]]</f>
        <v>0</v>
      </c>
      <c r="S883" s="34" t="s">
        <v>965</v>
      </c>
      <c r="T883" s="56" t="s">
        <v>3061</v>
      </c>
      <c r="U883" s="56" t="s">
        <v>3061</v>
      </c>
      <c r="V883" s="56" t="s">
        <v>3061</v>
      </c>
      <c r="W883" s="7"/>
      <c r="X883"/>
    </row>
    <row r="884" spans="1:24" x14ac:dyDescent="0.25">
      <c r="A884" s="26">
        <v>253</v>
      </c>
      <c r="B884" s="1">
        <f>IFERROR(VLOOKUP(ТабПозиции[[#This Row],[orderNum]],ТабЗаказы[#Data],MATCH(B$7,ТабЗаказы[#Headers],0),0),"")</f>
        <v>45549</v>
      </c>
      <c r="C884" t="str">
        <f>MONTH(ТабПозиции[[#This Row],[date]])&amp;"/"&amp;YEAR(ТабПозиции[[#This Row],[date]])</f>
        <v>9/2024</v>
      </c>
      <c r="D884" s="1" t="str">
        <f>IFERROR(VLOOKUP(ТабПозиции[[#This Row],[orderNum]],ТабЗаказы[#Data],MATCH(D$7,ТабЗаказы[#Headers],0),0),"")</f>
        <v>Руденко Юля</v>
      </c>
      <c r="E884" s="32" t="s">
        <v>663</v>
      </c>
      <c r="F884" s="56" t="s">
        <v>3061</v>
      </c>
      <c r="H884" s="34">
        <v>45552</v>
      </c>
      <c r="I884" s="26">
        <v>1</v>
      </c>
      <c r="J884" s="26">
        <v>292</v>
      </c>
      <c r="K884">
        <v>292</v>
      </c>
      <c r="L884" s="26">
        <v>308</v>
      </c>
      <c r="M884">
        <f t="shared" si="15"/>
        <v>308</v>
      </c>
      <c r="O88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Row],[orderNum]],ТабПозиции[orderSumm])&gt;1500),ABS(M884*VLOOKUP(ТабПозиции[[#This Row],[orderNum]],ТабЗаказы[#Data],MATCH("Percent",ТабЗаказы[#Headers],0),0))/100,200/COUNTIF(ТабПозиции[orderNum],ТабПозиции[[#This Row],[orderNum]])),0),"")</f>
        <v>31</v>
      </c>
      <c r="P884">
        <f>IF(OR(ТабПозиции[[#This Row],[item]]="По штрихкоду",ТабПозиции[[#This Row],[item]]="Посылка"),ТабПозиции[[#This Row],[deliverySumm]]+ТабПозиции[[#This Row],[deliveryPost]],SUM(M884:O884))</f>
        <v>339</v>
      </c>
      <c r="Q884" s="57">
        <v>339</v>
      </c>
      <c r="R884" s="62">
        <f>ТабПозиции[[#This Row],[totalSumm]]-ТабПозиции[[#This Row],[payment]]</f>
        <v>0</v>
      </c>
      <c r="S884" s="34" t="s">
        <v>965</v>
      </c>
      <c r="T884" s="56" t="s">
        <v>3061</v>
      </c>
      <c r="U884" s="56" t="s">
        <v>3061</v>
      </c>
      <c r="V884" s="56" t="s">
        <v>3061</v>
      </c>
      <c r="W884" s="7"/>
      <c r="X884"/>
    </row>
    <row r="885" spans="1:24" x14ac:dyDescent="0.25">
      <c r="A885" s="26">
        <v>253</v>
      </c>
      <c r="B885" s="1">
        <f>IFERROR(VLOOKUP(ТабПозиции[[#This Row],[orderNum]],ТабЗаказы[#Data],MATCH(B$7,ТабЗаказы[#Headers],0),0),"")</f>
        <v>45549</v>
      </c>
      <c r="C885" t="str">
        <f>MONTH(ТабПозиции[[#This Row],[date]])&amp;"/"&amp;YEAR(ТабПозиции[[#This Row],[date]])</f>
        <v>9/2024</v>
      </c>
      <c r="D885" s="1" t="str">
        <f>IFERROR(VLOOKUP(ТабПозиции[[#This Row],[orderNum]],ТабЗаказы[#Data],MATCH(D$7,ТабЗаказы[#Headers],0),0),"")</f>
        <v>Руденко Юля</v>
      </c>
      <c r="E885" s="32" t="s">
        <v>1457</v>
      </c>
      <c r="F885" s="56" t="s">
        <v>3061</v>
      </c>
      <c r="H885" s="34">
        <v>45551</v>
      </c>
      <c r="I885" s="26">
        <v>1</v>
      </c>
      <c r="J885" s="26">
        <v>128</v>
      </c>
      <c r="K885">
        <v>128</v>
      </c>
      <c r="L885" s="26">
        <v>135</v>
      </c>
      <c r="M885">
        <f t="shared" si="15"/>
        <v>135</v>
      </c>
      <c r="O88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Row],[orderNum]],ТабПозиции[orderSumm])&gt;1500),ABS(M885*VLOOKUP(ТабПозиции[[#This Row],[orderNum]],ТабЗаказы[#Data],MATCH("Percent",ТабЗаказы[#Headers],0),0))/100,200/COUNTIF(ТабПозиции[orderNum],ТабПозиции[[#This Row],[orderNum]])),0),"")</f>
        <v>14</v>
      </c>
      <c r="P885">
        <f>IF(OR(ТабПозиции[[#This Row],[item]]="По штрихкоду",ТабПозиции[[#This Row],[item]]="Посылка"),ТабПозиции[[#This Row],[deliverySumm]]+ТабПозиции[[#This Row],[deliveryPost]],SUM(M885:O885))</f>
        <v>149</v>
      </c>
      <c r="Q885" s="57">
        <v>149</v>
      </c>
      <c r="R885" s="62">
        <f>ТабПозиции[[#This Row],[totalSumm]]-ТабПозиции[[#This Row],[payment]]</f>
        <v>0</v>
      </c>
      <c r="S885" s="34" t="s">
        <v>965</v>
      </c>
      <c r="T885" s="56" t="s">
        <v>3061</v>
      </c>
      <c r="U885" s="56" t="s">
        <v>3061</v>
      </c>
      <c r="V885" s="56" t="s">
        <v>3061</v>
      </c>
      <c r="W885" s="7"/>
      <c r="X885"/>
    </row>
    <row r="886" spans="1:24" x14ac:dyDescent="0.25">
      <c r="A886" s="26">
        <v>253</v>
      </c>
      <c r="B886" s="1">
        <f>IFERROR(VLOOKUP(ТабПозиции[[#This Row],[orderNum]],ТабЗаказы[#Data],MATCH(B$7,ТабЗаказы[#Headers],0),0),"")</f>
        <v>45549</v>
      </c>
      <c r="C886" t="str">
        <f>MONTH(ТабПозиции[[#This Row],[date]])&amp;"/"&amp;YEAR(ТабПозиции[[#This Row],[date]])</f>
        <v>9/2024</v>
      </c>
      <c r="D886" s="1" t="str">
        <f>IFERROR(VLOOKUP(ТабПозиции[[#This Row],[orderNum]],ТабЗаказы[#Data],MATCH(D$7,ТабЗаказы[#Headers],0),0),"")</f>
        <v>Руденко Юля</v>
      </c>
      <c r="E886" s="32" t="s">
        <v>1457</v>
      </c>
      <c r="F886" s="56" t="s">
        <v>3061</v>
      </c>
      <c r="H886" s="34">
        <v>45551</v>
      </c>
      <c r="I886" s="26">
        <v>1</v>
      </c>
      <c r="J886" s="26">
        <v>159</v>
      </c>
      <c r="K886">
        <v>159</v>
      </c>
      <c r="L886" s="26">
        <v>168</v>
      </c>
      <c r="M886">
        <f t="shared" si="15"/>
        <v>168</v>
      </c>
      <c r="O88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Row],[orderNum]],ТабПозиции[orderSumm])&gt;1500),ABS(M886*VLOOKUP(ТабПозиции[[#This Row],[orderNum]],ТабЗаказы[#Data],MATCH("Percent",ТабЗаказы[#Headers],0),0))/100,200/COUNTIF(ТабПозиции[orderNum],ТабПозиции[[#This Row],[orderNum]])),0),"")</f>
        <v>17</v>
      </c>
      <c r="P886">
        <f>IF(OR(ТабПозиции[[#This Row],[item]]="По штрихкоду",ТабПозиции[[#This Row],[item]]="Посылка"),ТабПозиции[[#This Row],[deliverySumm]]+ТабПозиции[[#This Row],[deliveryPost]],SUM(M886:O886))</f>
        <v>185</v>
      </c>
      <c r="Q886" s="57">
        <v>185</v>
      </c>
      <c r="R886" s="62">
        <f>ТабПозиции[[#This Row],[totalSumm]]-ТабПозиции[[#This Row],[payment]]</f>
        <v>0</v>
      </c>
      <c r="S886" s="34" t="s">
        <v>965</v>
      </c>
      <c r="T886" s="56" t="s">
        <v>3061</v>
      </c>
      <c r="U886" s="56" t="s">
        <v>3061</v>
      </c>
      <c r="V886" s="56" t="s">
        <v>3061</v>
      </c>
      <c r="W886" s="7"/>
      <c r="X886"/>
    </row>
    <row r="887" spans="1:24" x14ac:dyDescent="0.25">
      <c r="A887" s="26">
        <v>253</v>
      </c>
      <c r="B887" s="1">
        <f>IFERROR(VLOOKUP(ТабПозиции[[#This Row],[orderNum]],ТабЗаказы[#Data],MATCH(B$7,ТабЗаказы[#Headers],0),0),"")</f>
        <v>45549</v>
      </c>
      <c r="C887" t="str">
        <f>MONTH(ТабПозиции[[#This Row],[date]])&amp;"/"&amp;YEAR(ТабПозиции[[#This Row],[date]])</f>
        <v>9/2024</v>
      </c>
      <c r="D887" s="1" t="str">
        <f>IFERROR(VLOOKUP(ТабПозиции[[#This Row],[orderNum]],ТабЗаказы[#Data],MATCH(D$7,ТабЗаказы[#Headers],0),0),"")</f>
        <v>Руденко Юля</v>
      </c>
      <c r="E887" s="32" t="s">
        <v>1457</v>
      </c>
      <c r="F887" s="56" t="s">
        <v>3061</v>
      </c>
      <c r="H887" s="34">
        <v>45551</v>
      </c>
      <c r="I887" s="26">
        <v>1</v>
      </c>
      <c r="J887" s="26">
        <v>128</v>
      </c>
      <c r="K887">
        <v>128</v>
      </c>
      <c r="L887" s="26">
        <v>135</v>
      </c>
      <c r="M887">
        <f t="shared" si="15"/>
        <v>135</v>
      </c>
      <c r="O88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Row],[orderNum]],ТабПозиции[orderSumm])&gt;1500),ABS(M887*VLOOKUP(ТабПозиции[[#This Row],[orderNum]],ТабЗаказы[#Data],MATCH("Percent",ТабЗаказы[#Headers],0),0))/100,200/COUNTIF(ТабПозиции[orderNum],ТабПозиции[[#This Row],[orderNum]])),0),"")</f>
        <v>14</v>
      </c>
      <c r="P887">
        <f>IF(OR(ТабПозиции[[#This Row],[item]]="По штрихкоду",ТабПозиции[[#This Row],[item]]="Посылка"),ТабПозиции[[#This Row],[deliverySumm]]+ТабПозиции[[#This Row],[deliveryPost]],SUM(M887:O887))</f>
        <v>149</v>
      </c>
      <c r="Q887" s="57">
        <v>149</v>
      </c>
      <c r="R887" s="62">
        <f>ТабПозиции[[#This Row],[totalSumm]]-ТабПозиции[[#This Row],[payment]]</f>
        <v>0</v>
      </c>
      <c r="S887" s="34" t="s">
        <v>965</v>
      </c>
      <c r="T887" s="56" t="s">
        <v>3061</v>
      </c>
      <c r="U887" s="56" t="s">
        <v>3061</v>
      </c>
      <c r="V887" s="56" t="s">
        <v>3061</v>
      </c>
      <c r="W887" s="7"/>
      <c r="X887"/>
    </row>
    <row r="888" spans="1:24" x14ac:dyDescent="0.25">
      <c r="A888" s="26">
        <v>253</v>
      </c>
      <c r="B888" s="1">
        <f>IFERROR(VLOOKUP(ТабПозиции[[#This Row],[orderNum]],ТабЗаказы[#Data],MATCH(B$7,ТабЗаказы[#Headers],0),0),"")</f>
        <v>45549</v>
      </c>
      <c r="C888" t="str">
        <f>MONTH(ТабПозиции[[#This Row],[date]])&amp;"/"&amp;YEAR(ТабПозиции[[#This Row],[date]])</f>
        <v>9/2024</v>
      </c>
      <c r="D888" s="1" t="str">
        <f>IFERROR(VLOOKUP(ТабПозиции[[#This Row],[orderNum]],ТабЗаказы[#Data],MATCH(D$7,ТабЗаказы[#Headers],0),0),"")</f>
        <v>Руденко Юля</v>
      </c>
      <c r="E888" s="32" t="s">
        <v>1457</v>
      </c>
      <c r="F888" s="56" t="s">
        <v>3061</v>
      </c>
      <c r="H888" s="34">
        <v>45551</v>
      </c>
      <c r="I888" s="26">
        <v>1</v>
      </c>
      <c r="J888" s="26">
        <v>151</v>
      </c>
      <c r="K888">
        <v>151</v>
      </c>
      <c r="L888" s="26">
        <v>159</v>
      </c>
      <c r="M888">
        <f t="shared" si="15"/>
        <v>159</v>
      </c>
      <c r="O88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Row],[orderNum]],ТабПозиции[orderSumm])&gt;1500),ABS(M888*VLOOKUP(ТабПозиции[[#This Row],[orderNum]],ТабЗаказы[#Data],MATCH("Percent",ТабЗаказы[#Headers],0),0))/100,200/COUNTIF(ТабПозиции[orderNum],ТабПозиции[[#This Row],[orderNum]])),0),"")</f>
        <v>16</v>
      </c>
      <c r="P888">
        <f>IF(OR(ТабПозиции[[#This Row],[item]]="По штрихкоду",ТабПозиции[[#This Row],[item]]="Посылка"),ТабПозиции[[#This Row],[deliverySumm]]+ТабПозиции[[#This Row],[deliveryPost]],SUM(M888:O888))</f>
        <v>175</v>
      </c>
      <c r="Q888" s="57">
        <v>175</v>
      </c>
      <c r="R888" s="62">
        <f>ТабПозиции[[#This Row],[totalSumm]]-ТабПозиции[[#This Row],[payment]]</f>
        <v>0</v>
      </c>
      <c r="S888" s="34" t="s">
        <v>965</v>
      </c>
      <c r="T888" s="56" t="s">
        <v>3061</v>
      </c>
      <c r="U888" s="56" t="s">
        <v>3061</v>
      </c>
      <c r="V888" s="56" t="s">
        <v>3061</v>
      </c>
      <c r="W888" s="7"/>
      <c r="X888"/>
    </row>
    <row r="889" spans="1:24" x14ac:dyDescent="0.25">
      <c r="A889" s="26">
        <v>253</v>
      </c>
      <c r="B889" s="1">
        <f>IFERROR(VLOOKUP(ТабПозиции[[#This Row],[orderNum]],ТабЗаказы[#Data],MATCH(B$7,ТабЗаказы[#Headers],0),0),"")</f>
        <v>45549</v>
      </c>
      <c r="C889" t="str">
        <f>MONTH(ТабПозиции[[#This Row],[date]])&amp;"/"&amp;YEAR(ТабПозиции[[#This Row],[date]])</f>
        <v>9/2024</v>
      </c>
      <c r="D889" s="1" t="str">
        <f>IFERROR(VLOOKUP(ТабПозиции[[#This Row],[orderNum]],ТабЗаказы[#Data],MATCH(D$7,ТабЗаказы[#Headers],0),0),"")</f>
        <v>Руденко Юля</v>
      </c>
      <c r="E889" s="32" t="s">
        <v>1457</v>
      </c>
      <c r="F889" s="56" t="s">
        <v>3061</v>
      </c>
      <c r="H889" s="34">
        <v>45551</v>
      </c>
      <c r="I889" s="26">
        <v>1</v>
      </c>
      <c r="J889" s="26">
        <v>242</v>
      </c>
      <c r="K889">
        <v>242</v>
      </c>
      <c r="L889" s="26">
        <v>255</v>
      </c>
      <c r="M889">
        <f t="shared" si="15"/>
        <v>255</v>
      </c>
      <c r="O88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Row],[orderNum]],ТабПозиции[orderSumm])&gt;1500),ABS(M889*VLOOKUP(ТабПозиции[[#This Row],[orderNum]],ТабЗаказы[#Data],MATCH("Percent",ТабЗаказы[#Headers],0),0))/100,200/COUNTIF(ТабПозиции[orderNum],ТабПозиции[[#This Row],[orderNum]])),0),"")</f>
        <v>26</v>
      </c>
      <c r="P889">
        <f>IF(OR(ТабПозиции[[#This Row],[item]]="По штрихкоду",ТабПозиции[[#This Row],[item]]="Посылка"),ТабПозиции[[#This Row],[deliverySumm]]+ТабПозиции[[#This Row],[deliveryPost]],SUM(M889:O889))</f>
        <v>281</v>
      </c>
      <c r="Q889" s="57">
        <v>281</v>
      </c>
      <c r="R889" s="62">
        <f>ТабПозиции[[#This Row],[totalSumm]]-ТабПозиции[[#This Row],[payment]]</f>
        <v>0</v>
      </c>
      <c r="S889" s="34" t="s">
        <v>965</v>
      </c>
      <c r="T889" s="56" t="s">
        <v>3061</v>
      </c>
      <c r="U889" s="56" t="s">
        <v>3061</v>
      </c>
      <c r="V889" s="56" t="s">
        <v>3061</v>
      </c>
      <c r="W889" s="7"/>
      <c r="X889"/>
    </row>
    <row r="890" spans="1:24" x14ac:dyDescent="0.25">
      <c r="A890" s="26">
        <v>253</v>
      </c>
      <c r="B890" s="1">
        <f>IFERROR(VLOOKUP(ТабПозиции[[#This Row],[orderNum]],ТабЗаказы[#Data],MATCH(B$7,ТабЗаказы[#Headers],0),0),"")</f>
        <v>45549</v>
      </c>
      <c r="C890" t="str">
        <f>MONTH(ТабПозиции[[#This Row],[date]])&amp;"/"&amp;YEAR(ТабПозиции[[#This Row],[date]])</f>
        <v>9/2024</v>
      </c>
      <c r="D890" s="1" t="str">
        <f>IFERROR(VLOOKUP(ТабПозиции[[#This Row],[orderNum]],ТабЗаказы[#Data],MATCH(D$7,ТабЗаказы[#Headers],0),0),"")</f>
        <v>Руденко Юля</v>
      </c>
      <c r="E890" s="32" t="s">
        <v>1457</v>
      </c>
      <c r="F890" s="56" t="s">
        <v>3061</v>
      </c>
      <c r="H890" s="34">
        <v>45551</v>
      </c>
      <c r="I890" s="26">
        <v>1</v>
      </c>
      <c r="J890" s="26">
        <v>159</v>
      </c>
      <c r="K890">
        <v>159</v>
      </c>
      <c r="L890" s="26">
        <v>168</v>
      </c>
      <c r="M890">
        <f t="shared" si="15"/>
        <v>168</v>
      </c>
      <c r="O89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Row],[orderNum]],ТабПозиции[orderSumm])&gt;1500),ABS(M890*VLOOKUP(ТабПозиции[[#This Row],[orderNum]],ТабЗаказы[#Data],MATCH("Percent",ТабЗаказы[#Headers],0),0))/100,200/COUNTIF(ТабПозиции[orderNum],ТабПозиции[[#This Row],[orderNum]])),0),"")</f>
        <v>17</v>
      </c>
      <c r="P890">
        <f>IF(OR(ТабПозиции[[#This Row],[item]]="По штрихкоду",ТабПозиции[[#This Row],[item]]="Посылка"),ТабПозиции[[#This Row],[deliverySumm]]+ТабПозиции[[#This Row],[deliveryPost]],SUM(M890:O890))</f>
        <v>185</v>
      </c>
      <c r="Q890" s="57">
        <v>185</v>
      </c>
      <c r="R890" s="62">
        <f>ТабПозиции[[#This Row],[totalSumm]]-ТабПозиции[[#This Row],[payment]]</f>
        <v>0</v>
      </c>
      <c r="S890" s="34" t="s">
        <v>965</v>
      </c>
      <c r="T890" s="56" t="s">
        <v>3061</v>
      </c>
      <c r="U890" s="56" t="s">
        <v>3061</v>
      </c>
      <c r="V890" s="56" t="s">
        <v>3061</v>
      </c>
      <c r="W890" s="7"/>
      <c r="X890"/>
    </row>
    <row r="891" spans="1:24" x14ac:dyDescent="0.25">
      <c r="A891" s="26">
        <v>253</v>
      </c>
      <c r="B891" s="1">
        <f>IFERROR(VLOOKUP(ТабПозиции[[#This Row],[orderNum]],ТабЗаказы[#Data],MATCH(B$7,ТабЗаказы[#Headers],0),0),"")</f>
        <v>45549</v>
      </c>
      <c r="C891" t="str">
        <f>MONTH(ТабПозиции[[#This Row],[date]])&amp;"/"&amp;YEAR(ТабПозиции[[#This Row],[date]])</f>
        <v>9/2024</v>
      </c>
      <c r="D891" s="1" t="str">
        <f>IFERROR(VLOOKUP(ТабПозиции[[#This Row],[orderNum]],ТабЗаказы[#Data],MATCH(D$7,ТабЗаказы[#Headers],0),0),"")</f>
        <v>Руденко Юля</v>
      </c>
      <c r="E891" s="32" t="s">
        <v>1457</v>
      </c>
      <c r="F891" s="56" t="s">
        <v>3061</v>
      </c>
      <c r="H891" s="34">
        <v>45551</v>
      </c>
      <c r="I891" s="26">
        <v>1</v>
      </c>
      <c r="J891" s="26">
        <v>156</v>
      </c>
      <c r="K891">
        <v>156</v>
      </c>
      <c r="L891" s="26">
        <v>165</v>
      </c>
      <c r="M891">
        <f t="shared" si="15"/>
        <v>165</v>
      </c>
      <c r="O89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Row],[orderNum]],ТабПозиции[orderSumm])&gt;1500),ABS(M891*VLOOKUP(ТабПозиции[[#This Row],[orderNum]],ТабЗаказы[#Data],MATCH("Percent",ТабЗаказы[#Headers],0),0))/100,200/COUNTIF(ТабПозиции[orderNum],ТабПозиции[[#This Row],[orderNum]])),0),"")</f>
        <v>17</v>
      </c>
      <c r="P891">
        <f>IF(OR(ТабПозиции[[#This Row],[item]]="По штрихкоду",ТабПозиции[[#This Row],[item]]="Посылка"),ТабПозиции[[#This Row],[deliverySumm]]+ТабПозиции[[#This Row],[deliveryPost]],SUM(M891:O891))</f>
        <v>182</v>
      </c>
      <c r="Q891" s="57">
        <v>182</v>
      </c>
      <c r="R891" s="62">
        <f>ТабПозиции[[#This Row],[totalSumm]]-ТабПозиции[[#This Row],[payment]]</f>
        <v>0</v>
      </c>
      <c r="S891" s="34" t="s">
        <v>965</v>
      </c>
      <c r="T891" s="56" t="s">
        <v>3061</v>
      </c>
      <c r="U891" s="56" t="s">
        <v>3061</v>
      </c>
      <c r="V891" s="56" t="s">
        <v>3061</v>
      </c>
      <c r="W891" s="7"/>
      <c r="X891"/>
    </row>
    <row r="892" spans="1:24" x14ac:dyDescent="0.25">
      <c r="A892" s="26">
        <v>253</v>
      </c>
      <c r="B892" s="1">
        <f>IFERROR(VLOOKUP(ТабПозиции[[#This Row],[orderNum]],ТабЗаказы[#Data],MATCH(B$7,ТабЗаказы[#Headers],0),0),"")</f>
        <v>45549</v>
      </c>
      <c r="C892" t="str">
        <f>MONTH(ТабПозиции[[#This Row],[date]])&amp;"/"&amp;YEAR(ТабПозиции[[#This Row],[date]])</f>
        <v>9/2024</v>
      </c>
      <c r="D892" s="1" t="str">
        <f>IFERROR(VLOOKUP(ТабПозиции[[#This Row],[orderNum]],ТабЗаказы[#Data],MATCH(D$7,ТабЗаказы[#Headers],0),0),"")</f>
        <v>Руденко Юля</v>
      </c>
      <c r="E892" s="32" t="s">
        <v>1457</v>
      </c>
      <c r="F892" s="56" t="s">
        <v>3061</v>
      </c>
      <c r="H892" s="34">
        <v>45552</v>
      </c>
      <c r="I892" s="26">
        <v>1</v>
      </c>
      <c r="J892" s="26">
        <v>171</v>
      </c>
      <c r="K892">
        <v>171</v>
      </c>
      <c r="L892" s="26">
        <v>180</v>
      </c>
      <c r="M892">
        <f t="shared" si="15"/>
        <v>180</v>
      </c>
      <c r="O89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Row],[orderNum]],ТабПозиции[orderSumm])&gt;1500),ABS(M892*VLOOKUP(ТабПозиции[[#This Row],[orderNum]],ТабЗаказы[#Data],MATCH("Percent",ТабЗаказы[#Headers],0),0))/100,200/COUNTIF(ТабПозиции[orderNum],ТабПозиции[[#This Row],[orderNum]])),0),"")</f>
        <v>18</v>
      </c>
      <c r="P892">
        <f>IF(OR(ТабПозиции[[#This Row],[item]]="По штрихкоду",ТабПозиции[[#This Row],[item]]="Посылка"),ТабПозиции[[#This Row],[deliverySumm]]+ТабПозиции[[#This Row],[deliveryPost]],SUM(M892:O892))</f>
        <v>198</v>
      </c>
      <c r="Q892" s="57">
        <v>198</v>
      </c>
      <c r="R892" s="62">
        <f>ТабПозиции[[#This Row],[totalSumm]]-ТабПозиции[[#This Row],[payment]]</f>
        <v>0</v>
      </c>
      <c r="S892" s="34" t="s">
        <v>965</v>
      </c>
      <c r="T892" s="56" t="s">
        <v>3061</v>
      </c>
      <c r="U892" s="56" t="s">
        <v>3061</v>
      </c>
      <c r="V892" s="56" t="s">
        <v>3061</v>
      </c>
      <c r="W892" s="7"/>
      <c r="X892"/>
    </row>
    <row r="893" spans="1:24" x14ac:dyDescent="0.25">
      <c r="A893" s="26">
        <v>254</v>
      </c>
      <c r="B893" s="1">
        <f>IFERROR(VLOOKUP(ТабПозиции[[#This Row],[orderNum]],ТабЗаказы[#Data],MATCH(B$7,ТабЗаказы[#Headers],0),0),"")</f>
        <v>45551</v>
      </c>
      <c r="C893" t="str">
        <f>MONTH(ТабПозиции[[#This Row],[date]])&amp;"/"&amp;YEAR(ТабПозиции[[#This Row],[date]])</f>
        <v>9/2024</v>
      </c>
      <c r="D893" s="1" t="str">
        <f>IFERROR(VLOOKUP(ТабПозиции[[#This Row],[orderNum]],ТабЗаказы[#Data],MATCH(D$7,ТабЗаказы[#Headers],0),0),"")</f>
        <v>Александр 3 Металлургов</v>
      </c>
      <c r="E893" s="32" t="s">
        <v>1458</v>
      </c>
      <c r="F893" s="56" t="s">
        <v>3061</v>
      </c>
      <c r="H893" s="34">
        <v>45554</v>
      </c>
      <c r="I893" s="26">
        <v>1</v>
      </c>
      <c r="J893" s="26">
        <v>907</v>
      </c>
      <c r="K893">
        <v>907</v>
      </c>
      <c r="L893" s="26">
        <v>1005</v>
      </c>
      <c r="M893">
        <f t="shared" si="15"/>
        <v>1005</v>
      </c>
      <c r="O89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Row],[orderNum]],ТабПозиции[orderSumm])&gt;1500),ABS(M893*VLOOKUP(ТабПозиции[[#This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893">
        <f>IF(OR(ТабПозиции[[#This Row],[item]]="По штрихкоду",ТабПозиции[[#This Row],[item]]="Посылка"),ТабПозиции[[#This Row],[deliverySumm]]+ТабПозиции[[#This Row],[deliveryPost]],SUM(M893:O893))</f>
        <v>1205</v>
      </c>
      <c r="Q893" s="57">
        <v>1205</v>
      </c>
      <c r="R893" s="62">
        <f>ТабПозиции[[#This Row],[totalSumm]]-ТабПозиции[[#This Row],[payment]]</f>
        <v>0</v>
      </c>
      <c r="S893" s="34" t="s">
        <v>955</v>
      </c>
      <c r="T893" s="56" t="s">
        <v>3061</v>
      </c>
      <c r="U893" s="56" t="s">
        <v>3061</v>
      </c>
      <c r="V893" s="56" t="s">
        <v>3061</v>
      </c>
      <c r="W893" s="7"/>
      <c r="X893"/>
    </row>
    <row r="894" spans="1:24" x14ac:dyDescent="0.25">
      <c r="A894" s="26">
        <v>255</v>
      </c>
      <c r="B894" s="1">
        <f>IFERROR(VLOOKUP(ТабПозиции[[#This Row],[orderNum]],ТабЗаказы[#Data],MATCH(B$7,ТабЗаказы[#Headers],0),0),"")</f>
        <v>45551</v>
      </c>
      <c r="C894" t="str">
        <f>MONTH(ТабПозиции[[#This Row],[date]])&amp;"/"&amp;YEAR(ТабПозиции[[#This Row],[date]])</f>
        <v>9/2024</v>
      </c>
      <c r="D894" s="1" t="str">
        <f>IFERROR(VLOOKUP(ТабПозиции[[#This Row],[orderNum]],ТабЗаказы[#Data],MATCH(D$7,ТабЗаказы[#Headers],0),0),"")</f>
        <v>Аюр Гармаев Мирный</v>
      </c>
      <c r="E894" s="32" t="s">
        <v>1460</v>
      </c>
      <c r="F894" s="56" t="s">
        <v>3061</v>
      </c>
      <c r="H894" s="34">
        <v>45552</v>
      </c>
      <c r="I894" s="26">
        <v>1</v>
      </c>
      <c r="J894" s="26">
        <v>7010</v>
      </c>
      <c r="K894">
        <v>7010</v>
      </c>
      <c r="L894" s="26">
        <v>7494</v>
      </c>
      <c r="M894">
        <f t="shared" si="15"/>
        <v>7494</v>
      </c>
      <c r="O89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Row],[orderNum]],ТабПозиции[orderSumm])&gt;1500),ABS(M894*VLOOKUP(ТабПозиции[[#This Row],[orderNum]],ТабЗаказы[#Data],MATCH("Percent",ТабЗаказы[#Headers],0),0))/100,200/COUNTIF(ТабПозиции[orderNum],ТабПозиции[[#This Row],[orderNum]])),0),"")</f>
        <v>1124</v>
      </c>
      <c r="P894">
        <f>IF(OR(ТабПозиции[[#This Row],[item]]="По штрихкоду",ТабПозиции[[#This Row],[item]]="Посылка"),ТабПозиции[[#This Row],[deliverySumm]]+ТабПозиции[[#This Row],[deliveryPost]],SUM(M894:O894))</f>
        <v>8618</v>
      </c>
      <c r="Q894" s="57">
        <v>8618</v>
      </c>
      <c r="R894" s="62">
        <f>ТабПозиции[[#This Row],[totalSumm]]-ТабПозиции[[#This Row],[payment]]</f>
        <v>0</v>
      </c>
      <c r="S894" s="34" t="s">
        <v>955</v>
      </c>
      <c r="T894" s="56" t="s">
        <v>3061</v>
      </c>
      <c r="U894" s="56" t="s">
        <v>3061</v>
      </c>
      <c r="V894" s="56" t="s">
        <v>3061</v>
      </c>
      <c r="W894" s="7"/>
      <c r="X894"/>
    </row>
    <row r="895" spans="1:24" x14ac:dyDescent="0.25">
      <c r="A895" s="26">
        <v>255</v>
      </c>
      <c r="B895" s="1">
        <f>IFERROR(VLOOKUP(ТабПозиции[[#This Row],[orderNum]],ТабЗаказы[#Data],MATCH(B$7,ТабЗаказы[#Headers],0),0),"")</f>
        <v>45551</v>
      </c>
      <c r="C895" t="str">
        <f>MONTH(ТабПозиции[[#This Row],[date]])&amp;"/"&amp;YEAR(ТабПозиции[[#This Row],[date]])</f>
        <v>9/2024</v>
      </c>
      <c r="D895" s="1" t="str">
        <f>IFERROR(VLOOKUP(ТабПозиции[[#This Row],[orderNum]],ТабЗаказы[#Data],MATCH(D$7,ТабЗаказы[#Headers],0),0),"")</f>
        <v>Аюр Гармаев Мирный</v>
      </c>
      <c r="E895" s="32" t="s">
        <v>1461</v>
      </c>
      <c r="F895" s="56" t="s">
        <v>3061</v>
      </c>
      <c r="H895" s="34">
        <v>45553</v>
      </c>
      <c r="I895" s="26">
        <v>1</v>
      </c>
      <c r="J895" s="26">
        <v>637</v>
      </c>
      <c r="K895">
        <v>637</v>
      </c>
      <c r="L895" s="26">
        <v>686</v>
      </c>
      <c r="M895">
        <f t="shared" si="15"/>
        <v>686</v>
      </c>
      <c r="O89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Row],[orderNum]],ТабПозиции[orderSumm])&gt;1500),ABS(M895*VLOOKUP(ТабПозиции[[#This Row],[orderNum]],ТабЗаказы[#Data],MATCH("Percent",ТабЗаказы[#Headers],0),0))/100,200/COUNTIF(ТабПозиции[orderNum],ТабПозиции[[#This Row],[orderNum]])),0),"")</f>
        <v>103</v>
      </c>
      <c r="P895">
        <f>IF(OR(ТабПозиции[[#This Row],[item]]="По штрихкоду",ТабПозиции[[#This Row],[item]]="Посылка"),ТабПозиции[[#This Row],[deliverySumm]]+ТабПозиции[[#This Row],[deliveryPost]],SUM(M895:O895))</f>
        <v>789</v>
      </c>
      <c r="Q895" s="57">
        <v>789</v>
      </c>
      <c r="R895" s="62">
        <f>ТабПозиции[[#This Row],[totalSumm]]-ТабПозиции[[#This Row],[payment]]</f>
        <v>0</v>
      </c>
      <c r="S895" s="34" t="s">
        <v>965</v>
      </c>
      <c r="T895" s="56" t="s">
        <v>3061</v>
      </c>
      <c r="U895" s="56" t="s">
        <v>3061</v>
      </c>
      <c r="V895" s="56" t="s">
        <v>3061</v>
      </c>
      <c r="W895" s="7"/>
      <c r="X895"/>
    </row>
    <row r="896" spans="1:24" x14ac:dyDescent="0.25">
      <c r="A896" s="26">
        <v>255</v>
      </c>
      <c r="B896" s="1">
        <f>IFERROR(VLOOKUP(ТабПозиции[[#This Row],[orderNum]],ТабЗаказы[#Data],MATCH(B$7,ТабЗаказы[#Headers],0),0),"")</f>
        <v>45551</v>
      </c>
      <c r="C896" t="str">
        <f>MONTH(ТабПозиции[[#This Row],[date]])&amp;"/"&amp;YEAR(ТабПозиции[[#This Row],[date]])</f>
        <v>9/2024</v>
      </c>
      <c r="D896" s="1" t="str">
        <f>IFERROR(VLOOKUP(ТабПозиции[[#This Row],[orderNum]],ТабЗаказы[#Data],MATCH(D$7,ТабЗаказы[#Headers],0),0),"")</f>
        <v>Аюр Гармаев Мирный</v>
      </c>
      <c r="E896" s="32" t="s">
        <v>1462</v>
      </c>
      <c r="F896" s="56" t="s">
        <v>3061</v>
      </c>
      <c r="H896" s="34">
        <v>45554</v>
      </c>
      <c r="I896" s="26">
        <v>1</v>
      </c>
      <c r="J896" s="26">
        <v>1182</v>
      </c>
      <c r="K896">
        <v>1182</v>
      </c>
      <c r="L896" s="26">
        <v>1273</v>
      </c>
      <c r="M896">
        <f t="shared" si="15"/>
        <v>1273</v>
      </c>
      <c r="O89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Row],[orderNum]],ТабПозиции[orderSumm])&gt;1500),ABS(M896*VLOOKUP(ТабПозиции[[#This Row],[orderNum]],ТабЗаказы[#Data],MATCH("Percent",ТабЗаказы[#Headers],0),0))/100,200/COUNTIF(ТабПозиции[orderNum],ТабПозиции[[#This Row],[orderNum]])),0),"")</f>
        <v>191</v>
      </c>
      <c r="P896">
        <f>IF(OR(ТабПозиции[[#This Row],[item]]="По штрихкоду",ТабПозиции[[#This Row],[item]]="Посылка"),ТабПозиции[[#This Row],[deliverySumm]]+ТабПозиции[[#This Row],[deliveryPost]],SUM(M896:O896))</f>
        <v>1464</v>
      </c>
      <c r="Q896" s="57">
        <v>1464</v>
      </c>
      <c r="R896" s="62">
        <f>ТабПозиции[[#This Row],[totalSumm]]-ТабПозиции[[#This Row],[payment]]</f>
        <v>0</v>
      </c>
      <c r="S896" s="34" t="s">
        <v>955</v>
      </c>
      <c r="T896" s="56" t="s">
        <v>3061</v>
      </c>
      <c r="U896" s="56" t="s">
        <v>3061</v>
      </c>
      <c r="V896" s="56" t="s">
        <v>3061</v>
      </c>
      <c r="W896" s="7"/>
      <c r="X896"/>
    </row>
    <row r="897" spans="1:24" x14ac:dyDescent="0.25">
      <c r="A897" s="26">
        <v>256</v>
      </c>
      <c r="B897" s="1">
        <f>IFERROR(VLOOKUP(ТабПозиции[[#This Row],[orderNum]],ТабЗаказы[#Data],MATCH(B$7,ТабЗаказы[#Headers],0),0),"")</f>
        <v>45552</v>
      </c>
      <c r="C897" t="str">
        <f>MONTH(ТабПозиции[[#This Row],[date]])&amp;"/"&amp;YEAR(ТабПозиции[[#This Row],[date]])</f>
        <v>9/2024</v>
      </c>
      <c r="D897" s="1" t="str">
        <f>IFERROR(VLOOKUP(ТабПозиции[[#This Row],[orderNum]],ТабЗаказы[#Data],MATCH(D$7,ТабЗаказы[#Headers],0),0),"")</f>
        <v>Максим телевизор</v>
      </c>
      <c r="E897" s="26" t="s">
        <v>815</v>
      </c>
      <c r="F897" s="56" t="s">
        <v>3061</v>
      </c>
      <c r="G897" s="43" t="s">
        <v>1465</v>
      </c>
      <c r="H897" s="34">
        <v>45558</v>
      </c>
      <c r="I897" s="26">
        <v>1</v>
      </c>
      <c r="J897" s="26">
        <v>6500</v>
      </c>
      <c r="K897">
        <v>6500</v>
      </c>
      <c r="L897" s="26">
        <v>6500</v>
      </c>
      <c r="M897">
        <f t="shared" si="15"/>
        <v>6500</v>
      </c>
      <c r="O89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Row],[orderNum]],ТабПозиции[orderSumm])&gt;1500),ABS(M897*VLOOKUP(ТабПозиции[[#This Row],[orderNum]],ТабЗаказы[#Data],MATCH("Percent",ТабЗаказы[#Headers],0),0))/100,200/COUNTIF(ТабПозиции[orderNum],ТабПозиции[[#This Row],[orderNum]])),0),"")</f>
        <v>650</v>
      </c>
      <c r="P897">
        <f>IF(OR(ТабПозиции[[#This Row],[item]]="По штрихкоду",ТабПозиции[[#This Row],[item]]="Посылка"),ТабПозиции[[#This Row],[deliverySumm]]+ТабПозиции[[#This Row],[deliveryPost]],SUM(M897:O897))</f>
        <v>650</v>
      </c>
      <c r="Q897" s="57">
        <v>650</v>
      </c>
      <c r="R897" s="62">
        <f>ТабПозиции[[#This Row],[totalSumm]]-ТабПозиции[[#This Row],[payment]]</f>
        <v>0</v>
      </c>
      <c r="S897" s="34" t="s">
        <v>1016</v>
      </c>
      <c r="T897" s="56" t="s">
        <v>3061</v>
      </c>
      <c r="U897" s="56" t="s">
        <v>3061</v>
      </c>
      <c r="V897" s="56" t="s">
        <v>3061</v>
      </c>
      <c r="W897" s="7"/>
      <c r="X897"/>
    </row>
    <row r="898" spans="1:24" x14ac:dyDescent="0.25">
      <c r="A898" s="26">
        <v>256</v>
      </c>
      <c r="B898" s="1">
        <f>IFERROR(VLOOKUP(ТабПозиции[[#This Row],[orderNum]],ТабЗаказы[#Data],MATCH(B$7,ТабЗаказы[#Headers],0),0),"")</f>
        <v>45552</v>
      </c>
      <c r="C898" t="str">
        <f>MONTH(ТабПозиции[[#This Row],[date]])&amp;"/"&amp;YEAR(ТабПозиции[[#This Row],[date]])</f>
        <v>9/2024</v>
      </c>
      <c r="D898" s="1" t="str">
        <f>IFERROR(VLOOKUP(ТабПозиции[[#This Row],[orderNum]],ТабЗаказы[#Data],MATCH(D$7,ТабЗаказы[#Headers],0),0),"")</f>
        <v>Максим телевизор</v>
      </c>
      <c r="E898" s="26" t="s">
        <v>815</v>
      </c>
      <c r="F898" s="56" t="s">
        <v>3061</v>
      </c>
      <c r="G898" s="45" t="s">
        <v>1466</v>
      </c>
      <c r="H898" s="34">
        <v>45560</v>
      </c>
      <c r="I898" s="26">
        <v>1</v>
      </c>
      <c r="J898" s="26">
        <v>6517</v>
      </c>
      <c r="K898">
        <v>6517</v>
      </c>
      <c r="L898" s="26">
        <v>6517</v>
      </c>
      <c r="M898">
        <f t="shared" si="15"/>
        <v>6517</v>
      </c>
      <c r="O89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Row],[orderNum]],ТабПозиции[orderSumm])&gt;1500),ABS(M898*VLOOKUP(ТабПозиции[[#This Row],[orderNum]],ТабЗаказы[#Data],MATCH("Percent",ТабЗаказы[#Headers],0),0))/100,200/COUNTIF(ТабПозиции[orderNum],ТабПозиции[[#This Row],[orderNum]])),0),"")</f>
        <v>652</v>
      </c>
      <c r="P898">
        <f>IF(OR(ТабПозиции[[#This Row],[item]]="По штрихкоду",ТабПозиции[[#This Row],[item]]="Посылка"),ТабПозиции[[#This Row],[deliverySumm]]+ТабПозиции[[#This Row],[deliveryPost]],SUM(M898:O898))</f>
        <v>652</v>
      </c>
      <c r="Q898" s="57">
        <v>652</v>
      </c>
      <c r="R898" s="62">
        <f>ТабПозиции[[#This Row],[totalSumm]]-ТабПозиции[[#This Row],[payment]]</f>
        <v>0</v>
      </c>
      <c r="S898" s="34" t="s">
        <v>1016</v>
      </c>
      <c r="T898" s="56" t="s">
        <v>3061</v>
      </c>
      <c r="U898" s="56" t="s">
        <v>3061</v>
      </c>
      <c r="V898" s="56" t="s">
        <v>3061</v>
      </c>
      <c r="W898" s="7"/>
      <c r="X898"/>
    </row>
    <row r="899" spans="1:24" x14ac:dyDescent="0.25">
      <c r="A899" s="26">
        <v>256</v>
      </c>
      <c r="B899" s="1">
        <f>IFERROR(VLOOKUP(ТабПозиции[[#This Row],[orderNum]],ТабЗаказы[#Data],MATCH(B$7,ТабЗаказы[#Headers],0),0),"")</f>
        <v>45552</v>
      </c>
      <c r="C899" t="str">
        <f>MONTH(ТабПозиции[[#This Row],[date]])&amp;"/"&amp;YEAR(ТабПозиции[[#This Row],[date]])</f>
        <v>9/2024</v>
      </c>
      <c r="D899" s="1" t="str">
        <f>IFERROR(VLOOKUP(ТабПозиции[[#This Row],[orderNum]],ТабЗаказы[#Data],MATCH(D$7,ТабЗаказы[#Headers],0),0),"")</f>
        <v>Максим телевизор</v>
      </c>
      <c r="E899" s="26" t="s">
        <v>815</v>
      </c>
      <c r="F899" s="56" t="s">
        <v>3061</v>
      </c>
      <c r="G899" s="44" t="s">
        <v>1467</v>
      </c>
      <c r="H899" s="34">
        <v>45558</v>
      </c>
      <c r="I899" s="26">
        <v>1</v>
      </c>
      <c r="J899" s="26">
        <v>8000</v>
      </c>
      <c r="K899">
        <v>8000</v>
      </c>
      <c r="L899" s="26">
        <v>8000</v>
      </c>
      <c r="M899">
        <f t="shared" si="15"/>
        <v>8000</v>
      </c>
      <c r="O89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Row],[orderNum]],ТабПозиции[orderSumm])&gt;1500),ABS(M899*VLOOKUP(ТабПозиции[[#This Row],[orderNum]],ТабЗаказы[#Data],MATCH("Percent",ТабЗаказы[#Headers],0),0))/100,200/COUNTIF(ТабПозиции[orderNum],ТабПозиции[[#This Row],[orderNum]])),0),"")</f>
        <v>800</v>
      </c>
      <c r="P899">
        <f>IF(OR(ТабПозиции[[#This Row],[item]]="По штрихкоду",ТабПозиции[[#This Row],[item]]="Посылка"),ТабПозиции[[#This Row],[deliverySumm]]+ТабПозиции[[#This Row],[deliveryPost]],SUM(M899:O899))</f>
        <v>800</v>
      </c>
      <c r="Q899" s="57">
        <v>800</v>
      </c>
      <c r="R899" s="62">
        <f>ТабПозиции[[#This Row],[totalSumm]]-ТабПозиции[[#This Row],[payment]]</f>
        <v>0</v>
      </c>
      <c r="S899" s="34" t="s">
        <v>1016</v>
      </c>
      <c r="T899" s="56" t="s">
        <v>3061</v>
      </c>
      <c r="U899" s="56" t="s">
        <v>3061</v>
      </c>
      <c r="V899" s="56" t="s">
        <v>3061</v>
      </c>
      <c r="W899" s="7"/>
      <c r="X899"/>
    </row>
    <row r="900" spans="1:24" x14ac:dyDescent="0.25">
      <c r="A900" s="26">
        <v>256</v>
      </c>
      <c r="B900" s="1">
        <f>IFERROR(VLOOKUP(ТабПозиции[[#This Row],[orderNum]],ТабЗаказы[#Data],MATCH(B$7,ТабЗаказы[#Headers],0),0),"")</f>
        <v>45552</v>
      </c>
      <c r="C900" t="str">
        <f>MONTH(ТабПозиции[[#This Row],[date]])&amp;"/"&amp;YEAR(ТабПозиции[[#This Row],[date]])</f>
        <v>9/2024</v>
      </c>
      <c r="D900" s="1" t="str">
        <f>IFERROR(VLOOKUP(ТабПозиции[[#This Row],[orderNum]],ТабЗаказы[#Data],MATCH(D$7,ТабЗаказы[#Headers],0),0),"")</f>
        <v>Максим телевизор</v>
      </c>
      <c r="E900" s="26" t="s">
        <v>815</v>
      </c>
      <c r="F900" s="56" t="s">
        <v>3061</v>
      </c>
      <c r="G900" s="43" t="s">
        <v>1468</v>
      </c>
      <c r="H900" s="34">
        <v>45554</v>
      </c>
      <c r="I900" s="26">
        <v>1</v>
      </c>
      <c r="J900" s="26">
        <v>5150</v>
      </c>
      <c r="K900">
        <v>5150</v>
      </c>
      <c r="L900" s="26">
        <v>5150</v>
      </c>
      <c r="M900">
        <f t="shared" si="15"/>
        <v>5150</v>
      </c>
      <c r="O90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Row],[orderNum]],ТабПозиции[orderSumm])&gt;1500),ABS(M900*VLOOKUP(ТабПозиции[[#This Row],[orderNum]],ТабЗаказы[#Data],MATCH("Percent",ТабЗаказы[#Headers],0),0))/100,200/COUNTIF(ТабПозиции[orderNum],ТабПозиции[[#This Row],[orderNum]])),0),"")</f>
        <v>515</v>
      </c>
      <c r="P900">
        <f>IF(OR(ТабПозиции[[#This Row],[item]]="По штрихкоду",ТабПозиции[[#This Row],[item]]="Посылка"),ТабПозиции[[#This Row],[deliverySumm]]+ТабПозиции[[#This Row],[deliveryPost]],SUM(M900:O900))</f>
        <v>515</v>
      </c>
      <c r="Q900" s="57">
        <v>515</v>
      </c>
      <c r="R900" s="62">
        <f>ТабПозиции[[#This Row],[totalSumm]]-ТабПозиции[[#This Row],[payment]]</f>
        <v>0</v>
      </c>
      <c r="S900" s="34" t="s">
        <v>1016</v>
      </c>
      <c r="T900" s="56" t="s">
        <v>3061</v>
      </c>
      <c r="U900" s="56" t="s">
        <v>3061</v>
      </c>
      <c r="V900" s="56" t="s">
        <v>3061</v>
      </c>
      <c r="W900" s="7"/>
      <c r="X900"/>
    </row>
    <row r="901" spans="1:24" x14ac:dyDescent="0.25">
      <c r="A901" s="26">
        <v>256</v>
      </c>
      <c r="B901" s="1">
        <f>IFERROR(VLOOKUP(ТабПозиции[[#This Row],[orderNum]],ТабЗаказы[#Data],MATCH(B$7,ТабЗаказы[#Headers],0),0),"")</f>
        <v>45552</v>
      </c>
      <c r="C901" t="str">
        <f>MONTH(ТабПозиции[[#This Row],[date]])&amp;"/"&amp;YEAR(ТабПозиции[[#This Row],[date]])</f>
        <v>9/2024</v>
      </c>
      <c r="D901" s="1" t="str">
        <f>IFERROR(VLOOKUP(ТабПозиции[[#This Row],[orderNum]],ТабЗаказы[#Data],MATCH(D$7,ТабЗаказы[#Headers],0),0),"")</f>
        <v>Максим телевизор</v>
      </c>
      <c r="E901" s="26" t="s">
        <v>815</v>
      </c>
      <c r="F901" s="56" t="s">
        <v>3061</v>
      </c>
      <c r="G901" s="43" t="s">
        <v>1469</v>
      </c>
      <c r="H901" s="34">
        <v>45559</v>
      </c>
      <c r="I901" s="26">
        <v>1</v>
      </c>
      <c r="J901" s="26">
        <v>500</v>
      </c>
      <c r="K901">
        <v>500</v>
      </c>
      <c r="L901" s="26">
        <v>500</v>
      </c>
      <c r="M901">
        <f t="shared" si="15"/>
        <v>500</v>
      </c>
      <c r="O90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Row],[orderNum]],ТабПозиции[orderSumm])&gt;1500),ABS(M901*VLOOKUP(ТабПозиции[[#This Row],[orderNum]],ТабЗаказы[#Data],MATCH("Percent",ТабЗаказы[#Headers],0),0))/100,200/COUNTIF(ТабПозиции[orderNum],ТабПозиции[[#This Row],[orderNum]])),0),"")</f>
        <v>50</v>
      </c>
      <c r="P901">
        <f>IF(OR(ТабПозиции[[#This Row],[item]]="По штрихкоду",ТабПозиции[[#This Row],[item]]="Посылка"),ТабПозиции[[#This Row],[deliverySumm]]+ТабПозиции[[#This Row],[deliveryPost]],SUM(M901:O901))</f>
        <v>50</v>
      </c>
      <c r="Q901" s="57">
        <v>50</v>
      </c>
      <c r="R901" s="62">
        <f>ТабПозиции[[#This Row],[totalSumm]]-ТабПозиции[[#This Row],[payment]]</f>
        <v>0</v>
      </c>
      <c r="S901" s="34" t="s">
        <v>1016</v>
      </c>
      <c r="T901" s="56" t="s">
        <v>3061</v>
      </c>
      <c r="U901" s="56" t="s">
        <v>3061</v>
      </c>
      <c r="V901" s="56" t="s">
        <v>3061</v>
      </c>
      <c r="W901" s="7"/>
      <c r="X901"/>
    </row>
    <row r="902" spans="1:24" x14ac:dyDescent="0.25">
      <c r="A902" s="26">
        <v>256</v>
      </c>
      <c r="B902" s="1">
        <f>IFERROR(VLOOKUP(ТабПозиции[[#This Row],[orderNum]],ТабЗаказы[#Data],MATCH(B$7,ТабЗаказы[#Headers],0),0),"")</f>
        <v>45552</v>
      </c>
      <c r="C902" t="str">
        <f>MONTH(ТабПозиции[[#This Row],[date]])&amp;"/"&amp;YEAR(ТабПозиции[[#This Row],[date]])</f>
        <v>9/2024</v>
      </c>
      <c r="D902" s="1" t="str">
        <f>IFERROR(VLOOKUP(ТабПозиции[[#This Row],[orderNum]],ТабЗаказы[#Data],MATCH(D$7,ТабЗаказы[#Headers],0),0),"")</f>
        <v>Максим телевизор</v>
      </c>
      <c r="E902" s="26" t="s">
        <v>815</v>
      </c>
      <c r="F902" s="56" t="s">
        <v>3061</v>
      </c>
      <c r="G902" s="43" t="s">
        <v>1470</v>
      </c>
      <c r="H902" s="34">
        <v>45559</v>
      </c>
      <c r="I902" s="26">
        <v>1</v>
      </c>
      <c r="J902" s="26">
        <v>1500</v>
      </c>
      <c r="K902">
        <v>1500</v>
      </c>
      <c r="L902" s="26">
        <v>1500</v>
      </c>
      <c r="M902">
        <f t="shared" si="15"/>
        <v>1500</v>
      </c>
      <c r="O90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Row],[orderNum]],ТабПозиции[orderSumm])&gt;1500),ABS(M902*VLOOKUP(ТабПозиции[[#This Row],[orderNum]],ТабЗаказы[#Data],MATCH("Percent",ТабЗаказы[#Headers],0),0))/100,200/COUNTIF(ТабПозиции[orderNum],ТабПозиции[[#This Row],[orderNum]])),0),"")</f>
        <v>150</v>
      </c>
      <c r="P902">
        <f>IF(OR(ТабПозиции[[#This Row],[item]]="По штрихкоду",ТабПозиции[[#This Row],[item]]="Посылка"),ТабПозиции[[#This Row],[deliverySumm]]+ТабПозиции[[#This Row],[deliveryPost]],SUM(M902:O902))</f>
        <v>150</v>
      </c>
      <c r="Q902" s="57">
        <v>150</v>
      </c>
      <c r="R902" s="62">
        <f>ТабПозиции[[#This Row],[totalSumm]]-ТабПозиции[[#This Row],[payment]]</f>
        <v>0</v>
      </c>
      <c r="S902" s="34" t="s">
        <v>1016</v>
      </c>
      <c r="T902" s="56" t="s">
        <v>3061</v>
      </c>
      <c r="U902" s="56" t="s">
        <v>3061</v>
      </c>
      <c r="V902" s="56" t="s">
        <v>3061</v>
      </c>
      <c r="W902" s="7"/>
      <c r="X902"/>
    </row>
    <row r="903" spans="1:24" x14ac:dyDescent="0.25">
      <c r="A903" s="26">
        <v>256</v>
      </c>
      <c r="B903" s="1">
        <f>IFERROR(VLOOKUP(ТабПозиции[[#This Row],[orderNum]],ТабЗаказы[#Data],MATCH(B$7,ТабЗаказы[#Headers],0),0),"")</f>
        <v>45552</v>
      </c>
      <c r="C903" t="str">
        <f>MONTH(ТабПозиции[[#This Row],[date]])&amp;"/"&amp;YEAR(ТабПозиции[[#This Row],[date]])</f>
        <v>9/2024</v>
      </c>
      <c r="D903" s="1" t="str">
        <f>IFERROR(VLOOKUP(ТабПозиции[[#This Row],[orderNum]],ТабЗаказы[#Data],MATCH(D$7,ТабЗаказы[#Headers],0),0),"")</f>
        <v>Максим телевизор</v>
      </c>
      <c r="E903" s="26" t="s">
        <v>815</v>
      </c>
      <c r="F903" s="56" t="s">
        <v>3061</v>
      </c>
      <c r="G903" s="43" t="s">
        <v>1471</v>
      </c>
      <c r="H903" s="34">
        <v>45556</v>
      </c>
      <c r="I903" s="26">
        <v>1</v>
      </c>
      <c r="J903" s="26">
        <v>2660</v>
      </c>
      <c r="K903">
        <v>2660</v>
      </c>
      <c r="L903" s="26">
        <v>2660</v>
      </c>
      <c r="M903">
        <f t="shared" si="15"/>
        <v>2660</v>
      </c>
      <c r="O90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Row],[orderNum]],ТабПозиции[orderSumm])&gt;1500),ABS(M903*VLOOKUP(ТабПозиции[[#This Row],[orderNum]],ТабЗаказы[#Data],MATCH("Percent",ТабЗаказы[#Headers],0),0))/100,200/COUNTIF(ТабПозиции[orderNum],ТабПозиции[[#This Row],[orderNum]])),0),"")</f>
        <v>266</v>
      </c>
      <c r="P903">
        <f>IF(OR(ТабПозиции[[#This Row],[item]]="По штрихкоду",ТабПозиции[[#This Row],[item]]="Посылка"),ТабПозиции[[#This Row],[deliverySumm]]+ТабПозиции[[#This Row],[deliveryPost]],SUM(M903:O903))</f>
        <v>266</v>
      </c>
      <c r="Q903" s="57">
        <v>266</v>
      </c>
      <c r="R903" s="62">
        <f>ТабПозиции[[#This Row],[totalSumm]]-ТабПозиции[[#This Row],[payment]]</f>
        <v>0</v>
      </c>
      <c r="S903" s="34" t="s">
        <v>1016</v>
      </c>
      <c r="T903" s="56" t="s">
        <v>3061</v>
      </c>
      <c r="U903" s="56" t="s">
        <v>3061</v>
      </c>
      <c r="V903" s="56" t="s">
        <v>3061</v>
      </c>
      <c r="W903" s="7"/>
      <c r="X903"/>
    </row>
    <row r="904" spans="1:24" x14ac:dyDescent="0.25">
      <c r="A904" s="26">
        <v>256</v>
      </c>
      <c r="B904" s="1">
        <f>IFERROR(VLOOKUP(ТабПозиции[[#This Row],[orderNum]],ТабЗаказы[#Data],MATCH(B$7,ТабЗаказы[#Headers],0),0),"")</f>
        <v>45552</v>
      </c>
      <c r="C904" t="str">
        <f>MONTH(ТабПозиции[[#This Row],[date]])&amp;"/"&amp;YEAR(ТабПозиции[[#This Row],[date]])</f>
        <v>9/2024</v>
      </c>
      <c r="D904" s="1" t="str">
        <f>IFERROR(VLOOKUP(ТабПозиции[[#This Row],[orderNum]],ТабЗаказы[#Data],MATCH(D$7,ТабЗаказы[#Headers],0),0),"")</f>
        <v>Максим телевизор</v>
      </c>
      <c r="E904" s="26" t="s">
        <v>815</v>
      </c>
      <c r="F904" s="56" t="s">
        <v>3061</v>
      </c>
      <c r="G904" s="46" t="s">
        <v>1472</v>
      </c>
      <c r="H904" s="34">
        <v>45559</v>
      </c>
      <c r="I904" s="26">
        <v>1</v>
      </c>
      <c r="J904" s="26">
        <v>1500</v>
      </c>
      <c r="K904">
        <v>1500</v>
      </c>
      <c r="L904" s="26">
        <v>1500</v>
      </c>
      <c r="M904">
        <f t="shared" si="15"/>
        <v>1500</v>
      </c>
      <c r="O90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Row],[orderNum]],ТабПозиции[orderSumm])&gt;1500),ABS(M904*VLOOKUP(ТабПозиции[[#This Row],[orderNum]],ТабЗаказы[#Data],MATCH("Percent",ТабЗаказы[#Headers],0),0))/100,200/COUNTIF(ТабПозиции[orderNum],ТабПозиции[[#This Row],[orderNum]])),0),"")</f>
        <v>150</v>
      </c>
      <c r="P904">
        <f>IF(OR(ТабПозиции[[#This Row],[item]]="По штрихкоду",ТабПозиции[[#This Row],[item]]="Посылка"),ТабПозиции[[#This Row],[deliverySumm]]+ТабПозиции[[#This Row],[deliveryPost]],SUM(M904:O904))</f>
        <v>150</v>
      </c>
      <c r="Q904" s="57">
        <v>150</v>
      </c>
      <c r="R904" s="62">
        <f>ТабПозиции[[#This Row],[totalSumm]]-ТабПозиции[[#This Row],[payment]]</f>
        <v>0</v>
      </c>
      <c r="S904" s="34" t="s">
        <v>1016</v>
      </c>
      <c r="T904" s="56" t="s">
        <v>3061</v>
      </c>
      <c r="U904" s="56" t="s">
        <v>3061</v>
      </c>
      <c r="V904" s="56" t="s">
        <v>3061</v>
      </c>
      <c r="W904" s="7"/>
      <c r="X904"/>
    </row>
    <row r="905" spans="1:24" x14ac:dyDescent="0.25">
      <c r="A905" s="26">
        <v>256</v>
      </c>
      <c r="B905" s="1">
        <f>IFERROR(VLOOKUP(ТабПозиции[[#This Row],[orderNum]],ТабЗаказы[#Data],MATCH(B$7,ТабЗаказы[#Headers],0),0),"")</f>
        <v>45552</v>
      </c>
      <c r="C905" t="str">
        <f>MONTH(ТабПозиции[[#This Row],[date]])&amp;"/"&amp;YEAR(ТабПозиции[[#This Row],[date]])</f>
        <v>9/2024</v>
      </c>
      <c r="D905" s="1" t="str">
        <f>IFERROR(VLOOKUP(ТабПозиции[[#This Row],[orderNum]],ТабЗаказы[#Data],MATCH(D$7,ТабЗаказы[#Headers],0),0),"")</f>
        <v>Максим телевизор</v>
      </c>
      <c r="E905" s="26" t="s">
        <v>815</v>
      </c>
      <c r="F905" s="56" t="s">
        <v>3061</v>
      </c>
      <c r="G905" s="45" t="s">
        <v>1473</v>
      </c>
      <c r="H905" s="34">
        <v>45560</v>
      </c>
      <c r="I905" s="26">
        <v>1</v>
      </c>
      <c r="J905" s="26">
        <v>0</v>
      </c>
      <c r="K905">
        <v>0</v>
      </c>
      <c r="L905" s="26">
        <v>0</v>
      </c>
      <c r="M905">
        <f t="shared" si="15"/>
        <v>0</v>
      </c>
      <c r="O90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Row],[orderNum]],ТабПозиции[orderSumm])&gt;1500),ABS(M905*VLOOKUP(ТабПозиции[[#This Row],[orderNum]],ТабЗаказы[#Data],MATCH("Percent",ТабЗаказы[#Headers],0),0))/100,200/COUNTIF(ТабПозиции[orderNum],ТабПозиции[[#This Row],[orderNum]])),0),"")</f>
        <v>0</v>
      </c>
      <c r="P905">
        <f>IF(OR(ТабПозиции[[#This Row],[item]]="По штрихкоду",ТабПозиции[[#This Row],[item]]="Посылка"),ТабПозиции[[#This Row],[deliverySumm]]+ТабПозиции[[#This Row],[deliveryPost]],SUM(M905:O905))</f>
        <v>0</v>
      </c>
      <c r="Q905" s="57">
        <v>0</v>
      </c>
      <c r="R905" s="62">
        <f>ТабПозиции[[#This Row],[totalSumm]]-ТабПозиции[[#This Row],[payment]]</f>
        <v>0</v>
      </c>
      <c r="S905" s="34" t="s">
        <v>1016</v>
      </c>
      <c r="T905" s="56" t="s">
        <v>3061</v>
      </c>
      <c r="U905" s="56" t="s">
        <v>3061</v>
      </c>
      <c r="V905" s="56" t="s">
        <v>3061</v>
      </c>
      <c r="W905" s="7"/>
      <c r="X905"/>
    </row>
    <row r="906" spans="1:24" x14ac:dyDescent="0.25">
      <c r="A906" s="26">
        <v>256</v>
      </c>
      <c r="B906" s="1">
        <f>IFERROR(VLOOKUP(ТабПозиции[[#This Row],[orderNum]],ТабЗаказы[#Data],MATCH(B$7,ТабЗаказы[#Headers],0),0),"")</f>
        <v>45552</v>
      </c>
      <c r="C906" t="str">
        <f>MONTH(ТабПозиции[[#This Row],[date]])&amp;"/"&amp;YEAR(ТабПозиции[[#This Row],[date]])</f>
        <v>9/2024</v>
      </c>
      <c r="D906" s="1" t="str">
        <f>IFERROR(VLOOKUP(ТабПозиции[[#This Row],[orderNum]],ТабЗаказы[#Data],MATCH(D$7,ТабЗаказы[#Headers],0),0),"")</f>
        <v>Максим телевизор</v>
      </c>
      <c r="E906" s="26" t="s">
        <v>815</v>
      </c>
      <c r="F906" s="56" t="s">
        <v>3061</v>
      </c>
      <c r="G906" s="46" t="s">
        <v>1474</v>
      </c>
      <c r="H906" s="34">
        <v>45556</v>
      </c>
      <c r="I906" s="26">
        <v>1</v>
      </c>
      <c r="J906" s="26">
        <v>5500</v>
      </c>
      <c r="K906">
        <v>5500</v>
      </c>
      <c r="L906" s="26">
        <v>5500</v>
      </c>
      <c r="M906">
        <f t="shared" si="15"/>
        <v>5500</v>
      </c>
      <c r="N906" s="26">
        <v>350</v>
      </c>
      <c r="O90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Row],[orderNum]],ТабПозиции[orderSumm])&gt;1500),ABS(M906*VLOOKUP(ТабПозиции[[#This Row],[orderNum]],ТабЗаказы[#Data],MATCH("Percent",ТабЗаказы[#Headers],0),0))/100,200/COUNTIF(ТабПозиции[orderNum],ТабПозиции[[#This Row],[orderNum]])),0),"")</f>
        <v>550</v>
      </c>
      <c r="P906">
        <f>IF(OR(ТабПозиции[[#This Row],[item]]="По штрихкоду",ТабПозиции[[#This Row],[item]]="Посылка"),ТабПозиции[[#This Row],[deliverySumm]]+ТабПозиции[[#This Row],[deliveryPost]],SUM(M906:O906))</f>
        <v>900</v>
      </c>
      <c r="Q906" s="57">
        <v>900</v>
      </c>
      <c r="R906" s="62">
        <f>ТабПозиции[[#This Row],[totalSumm]]-ТабПозиции[[#This Row],[payment]]</f>
        <v>0</v>
      </c>
      <c r="S906" s="34" t="s">
        <v>1016</v>
      </c>
      <c r="T906" s="56" t="s">
        <v>3061</v>
      </c>
      <c r="U906" s="56" t="s">
        <v>3061</v>
      </c>
      <c r="V906" s="56" t="s">
        <v>3061</v>
      </c>
      <c r="W906" s="7"/>
      <c r="X906"/>
    </row>
    <row r="907" spans="1:24" x14ac:dyDescent="0.25">
      <c r="A907" s="26">
        <v>257</v>
      </c>
      <c r="B907" s="1">
        <f>IFERROR(VLOOKUP(ТабПозиции[[#This Row],[orderNum]],ТабЗаказы[#Data],MATCH(B$7,ТабЗаказы[#Headers],0),0),"")</f>
        <v>45552</v>
      </c>
      <c r="C907" t="str">
        <f>MONTH(ТабПозиции[[#This Row],[date]])&amp;"/"&amp;YEAR(ТабПозиции[[#This Row],[date]])</f>
        <v>9/2024</v>
      </c>
      <c r="D907" s="1" t="str">
        <f>IFERROR(VLOOKUP(ТабПозиции[[#This Row],[orderNum]],ТабЗаказы[#Data],MATCH(D$7,ТабЗаказы[#Headers],0),0),"")</f>
        <v>Александр Радин</v>
      </c>
      <c r="E907" s="26" t="s">
        <v>815</v>
      </c>
      <c r="F907" s="56" t="s">
        <v>3061</v>
      </c>
      <c r="G907" s="28" t="s">
        <v>1475</v>
      </c>
      <c r="H907" s="34">
        <v>45556</v>
      </c>
      <c r="I907" s="26">
        <v>1</v>
      </c>
      <c r="J907" s="26">
        <v>13952</v>
      </c>
      <c r="K907">
        <v>13952</v>
      </c>
      <c r="L907" s="26">
        <v>13952</v>
      </c>
      <c r="M907">
        <f t="shared" si="15"/>
        <v>13952</v>
      </c>
      <c r="N907" s="26">
        <f>14709.52-13952</f>
        <v>757.52000000000044</v>
      </c>
      <c r="O90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Row],[orderNum]],ТабПозиции[orderSumm])&gt;1500),ABS(M907*VLOOKUP(ТабПозиции[[#This Row],[orderNum]],ТабЗаказы[#Data],MATCH("Percent",ТабЗаказы[#Headers],0),0))/100,200/COUNTIF(ТабПозиции[orderNum],ТабПозиции[[#This Row],[orderNum]])),0),"")</f>
        <v>1395</v>
      </c>
      <c r="P907">
        <f>IF(OR(ТабПозиции[[#This Row],[item]]="По штрихкоду",ТабПозиции[[#This Row],[item]]="Посылка"),ТабПозиции[[#This Row],[deliverySumm]]+ТабПозиции[[#This Row],[deliveryPost]],SUM(M907:O907))</f>
        <v>2152.5200000000004</v>
      </c>
      <c r="Q907" s="57">
        <v>2152.5200000000004</v>
      </c>
      <c r="R907" s="62">
        <f>ТабПозиции[[#This Row],[totalSumm]]-ТабПозиции[[#This Row],[payment]]</f>
        <v>0</v>
      </c>
      <c r="S907" s="34" t="s">
        <v>1011</v>
      </c>
      <c r="T907" s="56" t="s">
        <v>3061</v>
      </c>
      <c r="U907" s="56" t="s">
        <v>3061</v>
      </c>
      <c r="V907" s="56" t="s">
        <v>3061</v>
      </c>
      <c r="W907" s="7"/>
      <c r="X907"/>
    </row>
    <row r="908" spans="1:24" x14ac:dyDescent="0.25">
      <c r="A908" s="26">
        <v>247</v>
      </c>
      <c r="B908" s="1">
        <f>IFERROR(VLOOKUP(ТабПозиции[[#This Row],[orderNum]],ТабЗаказы[#Data],MATCH(B$7,ТабЗаказы[#Headers],0),0),"")</f>
        <v>45546</v>
      </c>
      <c r="C908" t="str">
        <f>MONTH(ТабПозиции[[#This Row],[date]])&amp;"/"&amp;YEAR(ТабПозиции[[#This Row],[date]])</f>
        <v>9/2024</v>
      </c>
      <c r="D908" s="1" t="str">
        <f>IFERROR(VLOOKUP(ТабПозиции[[#This Row],[orderNum]],ТабЗаказы[#Data],MATCH(D$7,ТабЗаказы[#Headers],0),0),"")</f>
        <v>Данил Шевченко</v>
      </c>
      <c r="E908" s="32" t="s">
        <v>1477</v>
      </c>
      <c r="F908" s="56" t="s">
        <v>3061</v>
      </c>
      <c r="H908" s="34">
        <v>45565</v>
      </c>
      <c r="I908" s="26">
        <v>1</v>
      </c>
      <c r="J908" s="26">
        <v>531</v>
      </c>
      <c r="K908">
        <v>531</v>
      </c>
      <c r="L908" s="26">
        <v>531</v>
      </c>
      <c r="M908">
        <f t="shared" si="15"/>
        <v>531</v>
      </c>
      <c r="N908" s="26">
        <v>258</v>
      </c>
      <c r="O90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Row],[orderNum]],ТабПозиции[orderSumm])&gt;1500),ABS(M908*VLOOKUP(ТабПозиции[[#This Row],[orderNum]],ТабЗаказы[#Data],MATCH("Percent",ТабЗаказы[#Headers],0),0))/100,200/COUNTIF(ТабПозиции[orderNum],ТабПозиции[[#This Row],[orderNum]])),0),"")</f>
        <v>80</v>
      </c>
      <c r="P908">
        <f>IF(OR(ТабПозиции[[#This Row],[item]]="По штрихкоду",ТабПозиции[[#This Row],[item]]="Посылка"),ТабПозиции[[#This Row],[deliverySumm]]+ТабПозиции[[#This Row],[deliveryPost]],SUM(M908:O908))</f>
        <v>869</v>
      </c>
      <c r="Q908" s="57">
        <v>869</v>
      </c>
      <c r="R908" s="62">
        <f>ТабПозиции[[#This Row],[totalSumm]]-ТабПозиции[[#This Row],[payment]]</f>
        <v>0</v>
      </c>
      <c r="S908" s="34" t="s">
        <v>1011</v>
      </c>
      <c r="T908" s="56" t="s">
        <v>3061</v>
      </c>
      <c r="U908" s="56" t="s">
        <v>3061</v>
      </c>
      <c r="V908" s="56" t="s">
        <v>3061</v>
      </c>
      <c r="W908" s="7"/>
      <c r="X908"/>
    </row>
    <row r="909" spans="1:24" x14ac:dyDescent="0.25">
      <c r="A909" s="26">
        <v>247</v>
      </c>
      <c r="B909" s="1">
        <f>IFERROR(VLOOKUP(ТабПозиции[[#This Row],[orderNum]],ТабЗаказы[#Data],MATCH(B$7,ТабЗаказы[#Headers],0),0),"")</f>
        <v>45546</v>
      </c>
      <c r="C909" t="str">
        <f>MONTH(ТабПозиции[[#This Row],[date]])&amp;"/"&amp;YEAR(ТабПозиции[[#This Row],[date]])</f>
        <v>9/2024</v>
      </c>
      <c r="D909" s="1" t="str">
        <f>IFERROR(VLOOKUP(ТабПозиции[[#This Row],[orderNum]],ТабЗаказы[#Data],MATCH(D$7,ТабЗаказы[#Headers],0),0),"")</f>
        <v>Данил Шевченко</v>
      </c>
      <c r="E909" s="32" t="s">
        <v>1478</v>
      </c>
      <c r="F909" s="56" t="s">
        <v>3061</v>
      </c>
      <c r="H909" s="34">
        <v>45566</v>
      </c>
      <c r="I909" s="26">
        <v>1</v>
      </c>
      <c r="J909" s="26">
        <v>379</v>
      </c>
      <c r="K909">
        <v>379</v>
      </c>
      <c r="L909" s="26">
        <v>379</v>
      </c>
      <c r="M909">
        <f t="shared" si="15"/>
        <v>379</v>
      </c>
      <c r="O90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Row],[orderNum]],ТабПозиции[orderSumm])&gt;1500),ABS(M909*VLOOKUP(ТабПозиции[[#This Row],[orderNum]],ТабЗаказы[#Data],MATCH("Percent",ТабЗаказы[#Headers],0),0))/100,200/COUNTIF(ТабПозиции[orderNum],ТабПозиции[[#This Row],[orderNum]])),0),"")</f>
        <v>57</v>
      </c>
      <c r="P909">
        <f>IF(OR(ТабПозиции[[#This Row],[item]]="По штрихкоду",ТабПозиции[[#This Row],[item]]="Посылка"),ТабПозиции[[#This Row],[deliverySumm]]+ТабПозиции[[#This Row],[deliveryPost]],SUM(M909:O909))</f>
        <v>436</v>
      </c>
      <c r="Q909" s="57">
        <v>436</v>
      </c>
      <c r="R909" s="62">
        <f>ТабПозиции[[#This Row],[totalSumm]]-ТабПозиции[[#This Row],[payment]]</f>
        <v>0</v>
      </c>
      <c r="S909" s="34" t="s">
        <v>1011</v>
      </c>
      <c r="T909" s="56" t="s">
        <v>3061</v>
      </c>
      <c r="U909" s="56" t="s">
        <v>3061</v>
      </c>
      <c r="V909" s="56" t="s">
        <v>3061</v>
      </c>
      <c r="W909" s="7"/>
      <c r="X909"/>
    </row>
    <row r="910" spans="1:24" x14ac:dyDescent="0.25">
      <c r="A910" s="26">
        <v>247</v>
      </c>
      <c r="B910" s="1">
        <f>IFERROR(VLOOKUP(ТабПозиции[[#This Row],[orderNum]],ТабЗаказы[#Data],MATCH(B$7,ТабЗаказы[#Headers],0),0),"")</f>
        <v>45546</v>
      </c>
      <c r="C910" t="str">
        <f>MONTH(ТабПозиции[[#This Row],[date]])&amp;"/"&amp;YEAR(ТабПозиции[[#This Row],[date]])</f>
        <v>9/2024</v>
      </c>
      <c r="D910" s="1" t="str">
        <f>IFERROR(VLOOKUP(ТабПозиции[[#This Row],[orderNum]],ТабЗаказы[#Data],MATCH(D$7,ТабЗаказы[#Headers],0),0),"")</f>
        <v>Данил Шевченко</v>
      </c>
      <c r="E910" s="32" t="s">
        <v>1479</v>
      </c>
      <c r="F910" s="56" t="s">
        <v>3061</v>
      </c>
      <c r="H910" s="34">
        <v>45566</v>
      </c>
      <c r="I910" s="26">
        <v>1</v>
      </c>
      <c r="J910" s="26">
        <v>673</v>
      </c>
      <c r="K910">
        <v>673</v>
      </c>
      <c r="L910" s="26">
        <v>673</v>
      </c>
      <c r="M910">
        <f t="shared" si="15"/>
        <v>673</v>
      </c>
      <c r="N910" s="26">
        <v>341</v>
      </c>
      <c r="O91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Row],[orderNum]],ТабПозиции[orderSumm])&gt;1500),ABS(M910*VLOOKUP(ТабПозиции[[#This Row],[orderNum]],ТабЗаказы[#Data],MATCH("Percent",ТабЗаказы[#Headers],0),0))/100,200/COUNTIF(ТабПозиции[orderNum],ТабПозиции[[#This Row],[orderNum]])),0),"")</f>
        <v>101</v>
      </c>
      <c r="P910">
        <f>IF(OR(ТабПозиции[[#This Row],[item]]="По штрихкоду",ТабПозиции[[#This Row],[item]]="Посылка"),ТабПозиции[[#This Row],[deliverySumm]]+ТабПозиции[[#This Row],[deliveryPost]],SUM(M910:O910))</f>
        <v>1115</v>
      </c>
      <c r="Q910" s="57">
        <v>1115</v>
      </c>
      <c r="R910" s="62">
        <f>ТабПозиции[[#This Row],[totalSumm]]-ТабПозиции[[#This Row],[payment]]</f>
        <v>0</v>
      </c>
      <c r="S910" s="34" t="s">
        <v>1011</v>
      </c>
      <c r="T910" s="56" t="s">
        <v>3061</v>
      </c>
      <c r="U910" s="56" t="s">
        <v>3061</v>
      </c>
      <c r="V910" s="56" t="s">
        <v>3061</v>
      </c>
      <c r="W910" s="7"/>
      <c r="X910"/>
    </row>
    <row r="911" spans="1:24" x14ac:dyDescent="0.25">
      <c r="A911" s="26">
        <v>258</v>
      </c>
      <c r="B911" s="1">
        <f>IFERROR(VLOOKUP(ТабПозиции[[#This Row],[orderNum]],ТабЗаказы[#Data],MATCH(B$7,ТабЗаказы[#Headers],0),0),"")</f>
        <v>45554</v>
      </c>
      <c r="C911" t="str">
        <f>MONTH(ТабПозиции[[#This Row],[date]])&amp;"/"&amp;YEAR(ТабПозиции[[#This Row],[date]])</f>
        <v>9/2024</v>
      </c>
      <c r="D911" s="1" t="str">
        <f>IFERROR(VLOOKUP(ТабПозиции[[#This Row],[orderNum]],ТабЗаказы[#Data],MATCH(D$7,ТабЗаказы[#Headers],0),0),"")</f>
        <v>Михаил Куприна</v>
      </c>
      <c r="E911" s="32" t="s">
        <v>1480</v>
      </c>
      <c r="F911" s="56" t="s">
        <v>3061</v>
      </c>
      <c r="H911" s="34">
        <v>45556</v>
      </c>
      <c r="I911" s="26">
        <v>1</v>
      </c>
      <c r="J911" s="26">
        <v>2683</v>
      </c>
      <c r="K911">
        <v>2683</v>
      </c>
      <c r="L911" s="26">
        <v>2862</v>
      </c>
      <c r="M911">
        <f t="shared" si="15"/>
        <v>2862</v>
      </c>
      <c r="O91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Row],[orderNum]],ТабПозиции[orderSumm])&gt;1500),ABS(M911*VLOOKUP(ТабПозиции[[#This Row],[orderNum]],ТабЗаказы[#Data],MATCH("Percent",ТабЗаказы[#Headers],0),0))/100,200/COUNTIF(ТабПозиции[orderNum],ТабПозиции[[#This Row],[orderNum]])),0),"")</f>
        <v>429</v>
      </c>
      <c r="P911">
        <f>IF(OR(ТабПозиции[[#This Row],[item]]="По штрихкоду",ТабПозиции[[#This Row],[item]]="Посылка"),ТабПозиции[[#This Row],[deliverySumm]]+ТабПозиции[[#This Row],[deliveryPost]],SUM(M911:O911))</f>
        <v>3291</v>
      </c>
      <c r="Q911" s="57">
        <v>3291</v>
      </c>
      <c r="R911" s="62">
        <f>ТабПозиции[[#This Row],[totalSumm]]-ТабПозиции[[#This Row],[payment]]</f>
        <v>0</v>
      </c>
      <c r="S911" s="34" t="s">
        <v>955</v>
      </c>
      <c r="T911" s="56" t="s">
        <v>3061</v>
      </c>
      <c r="U911" s="56" t="s">
        <v>3061</v>
      </c>
      <c r="V911" s="56" t="s">
        <v>3061</v>
      </c>
      <c r="W911" s="7"/>
      <c r="X911"/>
    </row>
    <row r="912" spans="1:24" x14ac:dyDescent="0.25">
      <c r="A912" s="26">
        <v>258</v>
      </c>
      <c r="B912" s="1">
        <f>IFERROR(VLOOKUP(ТабПозиции[[#This Row],[orderNum]],ТабЗаказы[#Data],MATCH(B$7,ТабЗаказы[#Headers],0),0),"")</f>
        <v>45554</v>
      </c>
      <c r="C912" t="str">
        <f>MONTH(ТабПозиции[[#This Row],[date]])&amp;"/"&amp;YEAR(ТабПозиции[[#This Row],[date]])</f>
        <v>9/2024</v>
      </c>
      <c r="D912" s="1" t="str">
        <f>IFERROR(VLOOKUP(ТабПозиции[[#This Row],[orderNum]],ТабЗаказы[#Data],MATCH(D$7,ТабЗаказы[#Headers],0),0),"")</f>
        <v>Михаил Куприна</v>
      </c>
      <c r="E912" s="32" t="s">
        <v>1481</v>
      </c>
      <c r="F912" s="56" t="s">
        <v>3061</v>
      </c>
      <c r="H912" s="34">
        <v>45570</v>
      </c>
      <c r="I912" s="26">
        <v>1</v>
      </c>
      <c r="J912" s="26">
        <v>3050</v>
      </c>
      <c r="K912">
        <v>3050</v>
      </c>
      <c r="L912" s="26">
        <v>3225</v>
      </c>
      <c r="M912">
        <f t="shared" si="15"/>
        <v>3225</v>
      </c>
      <c r="O91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Row],[orderNum]],ТабПозиции[orderSumm])&gt;1500),ABS(M912*VLOOKUP(ТабПозиции[[#This Row],[orderNum]],ТабЗаказы[#Data],MATCH("Percent",ТабЗаказы[#Headers],0),0))/100,200/COUNTIF(ТабПозиции[orderNum],ТабПозиции[[#This Row],[orderNum]])),0),"")</f>
        <v>484</v>
      </c>
      <c r="P912">
        <f>IF(OR(ТабПозиции[[#This Row],[item]]="По штрихкоду",ТабПозиции[[#This Row],[item]]="Посылка"),ТабПозиции[[#This Row],[deliverySumm]]+ТабПозиции[[#This Row],[deliveryPost]],SUM(M912:O912))</f>
        <v>3709</v>
      </c>
      <c r="Q912" s="57">
        <v>3709</v>
      </c>
      <c r="R912" s="62">
        <f>ТабПозиции[[#This Row],[totalSumm]]-ТабПозиции[[#This Row],[payment]]</f>
        <v>0</v>
      </c>
      <c r="S912" s="34" t="s">
        <v>955</v>
      </c>
      <c r="T912" s="56" t="s">
        <v>3061</v>
      </c>
      <c r="U912" s="56" t="s">
        <v>3061</v>
      </c>
      <c r="V912" s="56" t="s">
        <v>3061</v>
      </c>
      <c r="W912" s="7"/>
      <c r="X912"/>
    </row>
    <row r="913" spans="1:24" x14ac:dyDescent="0.25">
      <c r="A913" s="26">
        <v>256</v>
      </c>
      <c r="B913" s="1">
        <f>IFERROR(VLOOKUP(ТабПозиции[[#This Row],[orderNum]],ТабЗаказы[#Data],MATCH(B$7,ТабЗаказы[#Headers],0),0),"")</f>
        <v>45552</v>
      </c>
      <c r="C913" t="str">
        <f>MONTH(ТабПозиции[[#This Row],[date]])&amp;"/"&amp;YEAR(ТабПозиции[[#This Row],[date]])</f>
        <v>9/2024</v>
      </c>
      <c r="D913" s="1" t="str">
        <f>IFERROR(VLOOKUP(ТабПозиции[[#This Row],[orderNum]],ТабЗаказы[#Data],MATCH(D$7,ТабЗаказы[#Headers],0),0),"")</f>
        <v>Максим телевизор</v>
      </c>
      <c r="E913" s="26" t="s">
        <v>815</v>
      </c>
      <c r="F913" s="56" t="s">
        <v>3061</v>
      </c>
      <c r="G913" s="47" t="s">
        <v>1486</v>
      </c>
      <c r="H913" s="34">
        <v>45562</v>
      </c>
      <c r="I913" s="26">
        <v>1</v>
      </c>
      <c r="J913" s="26">
        <v>6990</v>
      </c>
      <c r="K913">
        <v>6990</v>
      </c>
      <c r="L913" s="26">
        <v>6990</v>
      </c>
      <c r="M913">
        <f t="shared" si="15"/>
        <v>6990</v>
      </c>
      <c r="N913" s="54">
        <v>492</v>
      </c>
      <c r="O91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Row],[orderNum]],ТабПозиции[orderSumm])&gt;1500),ABS(M913*VLOOKUP(ТабПозиции[[#This Row],[orderNum]],ТабЗаказы[#Data],MATCH("Percent",ТабЗаказы[#Headers],0),0))/100,200/COUNTIF(ТабПозиции[orderNum],ТабПозиции[[#This Row],[orderNum]])),0),"")</f>
        <v>699</v>
      </c>
      <c r="P913">
        <f>IF(OR(ТабПозиции[[#This Row],[item]]="По штрихкоду",ТабПозиции[[#This Row],[item]]="Посылка"),ТабПозиции[[#This Row],[deliverySumm]]+ТабПозиции[[#This Row],[deliveryPost]],SUM(M913:O913))</f>
        <v>1191</v>
      </c>
      <c r="Q913" s="57">
        <v>1191</v>
      </c>
      <c r="R913" s="62">
        <f>ТабПозиции[[#This Row],[totalSumm]]-ТабПозиции[[#This Row],[payment]]</f>
        <v>0</v>
      </c>
      <c r="S913" s="34" t="s">
        <v>1016</v>
      </c>
      <c r="T913" s="56" t="s">
        <v>3061</v>
      </c>
      <c r="U913" s="56" t="s">
        <v>3061</v>
      </c>
      <c r="V913" s="56" t="s">
        <v>3061</v>
      </c>
      <c r="W913" s="7"/>
      <c r="X913"/>
    </row>
    <row r="914" spans="1:24" x14ac:dyDescent="0.25">
      <c r="A914" s="26">
        <v>232</v>
      </c>
      <c r="B914" s="1">
        <f>IFERROR(VLOOKUP(ТабПозиции[[#This Row],[orderNum]],ТабЗаказы[#Data],MATCH(B$7,ТабЗаказы[#Headers],0),0),"")</f>
        <v>45555</v>
      </c>
      <c r="C914" t="str">
        <f>MONTH(ТабПозиции[[#This Row],[date]])&amp;"/"&amp;YEAR(ТабПозиции[[#This Row],[date]])</f>
        <v>9/2024</v>
      </c>
      <c r="D914" s="1" t="str">
        <f>IFERROR(VLOOKUP(ТабПозиции[[#This Row],[orderNum]],ТабЗаказы[#Data],MATCH(D$7,ТабЗаказы[#Headers],0),0),"")</f>
        <v>Аннет</v>
      </c>
      <c r="E914" s="26" t="s">
        <v>32</v>
      </c>
      <c r="F914" s="56" t="s">
        <v>3061</v>
      </c>
      <c r="H914" s="34">
        <v>45555</v>
      </c>
      <c r="I914" s="26">
        <v>1</v>
      </c>
      <c r="J914" s="26">
        <v>5766</v>
      </c>
      <c r="K914">
        <v>5766</v>
      </c>
      <c r="L914" s="26">
        <v>5766</v>
      </c>
      <c r="M914">
        <f t="shared" si="15"/>
        <v>5766</v>
      </c>
      <c r="N914" s="26">
        <v>400</v>
      </c>
      <c r="O91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Row],[orderNum]],ТабПозиции[orderSumm])&gt;1500),ABS(M914*VLOOKUP(ТабПозиции[[#This Row],[orderNum]],ТабЗаказы[#Data],MATCH("Percent",ТабЗаказы[#Headers],0),0))/100,200/COUNTIF(ТабПозиции[orderNum],ТабПозиции[[#This Row],[orderNum]])),0),"")</f>
        <v>865</v>
      </c>
      <c r="P914">
        <f>IF(OR(ТабПозиции[[#This Row],[item]]="По штрихкоду",ТабПозиции[[#This Row],[item]]="Посылка"),ТабПозиции[[#This Row],[deliverySumm]]+ТабПозиции[[#This Row],[deliveryPost]],SUM(M914:O914))</f>
        <v>1265</v>
      </c>
      <c r="Q914" s="57">
        <v>1265</v>
      </c>
      <c r="R914" s="62">
        <f>ТабПозиции[[#This Row],[totalSumm]]-ТабПозиции[[#This Row],[payment]]</f>
        <v>0</v>
      </c>
      <c r="S914" s="34" t="s">
        <v>955</v>
      </c>
      <c r="T914" s="56" t="s">
        <v>3061</v>
      </c>
      <c r="U914" s="56" t="s">
        <v>3061</v>
      </c>
      <c r="V914" s="56" t="s">
        <v>3061</v>
      </c>
      <c r="W914" s="7"/>
      <c r="X914"/>
    </row>
    <row r="915" spans="1:24" x14ac:dyDescent="0.25">
      <c r="A915" s="26">
        <v>246</v>
      </c>
      <c r="B915" s="1">
        <f>IFERROR(VLOOKUP(ТабПозиции[[#This Row],[orderNum]],ТабЗаказы[#Data],MATCH(B$7,ТабЗаказы[#Headers],0),0),"")</f>
        <v>45555</v>
      </c>
      <c r="C915" t="str">
        <f>MONTH(ТабПозиции[[#This Row],[date]])&amp;"/"&amp;YEAR(ТабПозиции[[#This Row],[date]])</f>
        <v>9/2024</v>
      </c>
      <c r="D915" s="1" t="str">
        <f>IFERROR(VLOOKUP(ТабПозиции[[#This Row],[orderNum]],ТабЗаказы[#Data],MATCH(D$7,ТабЗаказы[#Headers],0),0),"")</f>
        <v>Андрей Кулигин</v>
      </c>
      <c r="E915" s="26" t="s">
        <v>32</v>
      </c>
      <c r="F915" s="56" t="s">
        <v>3061</v>
      </c>
      <c r="H915" s="34">
        <v>45555</v>
      </c>
      <c r="I915" s="26">
        <v>1</v>
      </c>
      <c r="J915" s="26">
        <f>1681+2800</f>
        <v>4481</v>
      </c>
      <c r="K915">
        <v>4481</v>
      </c>
      <c r="L915" s="26">
        <v>4481</v>
      </c>
      <c r="M915">
        <f t="shared" si="15"/>
        <v>4481</v>
      </c>
      <c r="O91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Row],[orderNum]],ТабПозиции[orderSumm])&gt;1500),ABS(M915*VLOOKUP(ТабПозиции[[#This Row],[orderNum]],ТабЗаказы[#Data],MATCH("Percent",ТабЗаказы[#Headers],0),0))/100,200/COUNTIF(ТабПозиции[orderNum],ТабПозиции[[#This Row],[orderNum]])),0),"")</f>
        <v>672</v>
      </c>
      <c r="P915">
        <f>IF(OR(ТабПозиции[[#This Row],[item]]="По штрихкоду",ТабПозиции[[#This Row],[item]]="Посылка"),ТабПозиции[[#This Row],[deliverySumm]]+ТабПозиции[[#This Row],[deliveryPost]],SUM(M915:O915))</f>
        <v>672</v>
      </c>
      <c r="Q915" s="57">
        <v>672</v>
      </c>
      <c r="R915" s="62">
        <f>ТабПозиции[[#This Row],[totalSumm]]-ТабПозиции[[#This Row],[payment]]</f>
        <v>0</v>
      </c>
      <c r="S915" s="34" t="s">
        <v>955</v>
      </c>
      <c r="T915" s="56" t="s">
        <v>3061</v>
      </c>
      <c r="U915" s="56" t="s">
        <v>3061</v>
      </c>
      <c r="V915" s="56" t="s">
        <v>3061</v>
      </c>
      <c r="W915" s="7"/>
      <c r="X915"/>
    </row>
    <row r="916" spans="1:24" x14ac:dyDescent="0.25">
      <c r="A916" s="26">
        <v>259</v>
      </c>
      <c r="B916" s="1">
        <f>IFERROR(VLOOKUP(ТабПозиции[[#This Row],[orderNum]],ТабЗаказы[#Data],MATCH(B$7,ТабЗаказы[#Headers],0),0),"")</f>
        <v>45555</v>
      </c>
      <c r="C916" t="str">
        <f>MONTH(ТабПозиции[[#This Row],[date]])&amp;"/"&amp;YEAR(ТабПозиции[[#This Row],[date]])</f>
        <v>9/2024</v>
      </c>
      <c r="D916" s="1" t="str">
        <f>IFERROR(VLOOKUP(ТабПозиции[[#This Row],[orderNum]],ТабЗаказы[#Data],MATCH(D$7,ТабЗаказы[#Headers],0),0),"")</f>
        <v>Лана</v>
      </c>
      <c r="E916" s="26" t="s">
        <v>32</v>
      </c>
      <c r="F916" s="56" t="s">
        <v>3061</v>
      </c>
      <c r="H916" s="34">
        <v>45555</v>
      </c>
      <c r="I916" s="26">
        <v>1</v>
      </c>
      <c r="J916" s="26">
        <f>297+279+149+169+212+577+323+1+441+165+2179</f>
        <v>4792</v>
      </c>
      <c r="K916">
        <v>4792</v>
      </c>
      <c r="L916" s="26">
        <f>297+279+149+169+212+577+323+1+441+165+2179</f>
        <v>4792</v>
      </c>
      <c r="M916">
        <f t="shared" si="15"/>
        <v>4792</v>
      </c>
      <c r="O91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Row],[orderNum]],ТабПозиции[orderSumm])&gt;1500),ABS(M916*VLOOKUP(ТабПозиции[[#This Row],[orderNum]],ТабЗаказы[#Data],MATCH("Percent",ТабЗаказы[#Headers],0),0))/100,200/COUNTIF(ТабПозиции[orderNum],ТабПозиции[[#This Row],[orderNum]])),0),"")</f>
        <v>719</v>
      </c>
      <c r="P916">
        <f>IF(OR(ТабПозиции[[#This Row],[item]]="По штрихкоду",ТабПозиции[[#This Row],[item]]="Посылка"),ТабПозиции[[#This Row],[deliverySumm]]+ТабПозиции[[#This Row],[deliveryPost]],SUM(M916:O916))</f>
        <v>719</v>
      </c>
      <c r="Q916" s="57">
        <v>719</v>
      </c>
      <c r="R916" s="62">
        <f>ТабПозиции[[#This Row],[totalSumm]]-ТабПозиции[[#This Row],[payment]]</f>
        <v>0</v>
      </c>
      <c r="S916" s="34" t="s">
        <v>955</v>
      </c>
      <c r="T916" s="56" t="s">
        <v>3061</v>
      </c>
      <c r="U916" s="56" t="s">
        <v>3061</v>
      </c>
      <c r="V916" s="56" t="s">
        <v>3061</v>
      </c>
      <c r="W916" s="7"/>
      <c r="X916"/>
    </row>
    <row r="917" spans="1:24" x14ac:dyDescent="0.25">
      <c r="A917" s="26">
        <v>260</v>
      </c>
      <c r="B917" s="1">
        <f>IFERROR(VLOOKUP(ТабПозиции[[#This Row],[orderNum]],ТабЗаказы[#Data],MATCH(B$7,ТабЗаказы[#Headers],0),0),"")</f>
        <v>45555</v>
      </c>
      <c r="C917" t="str">
        <f>MONTH(ТабПозиции[[#This Row],[date]])&amp;"/"&amp;YEAR(ТабПозиции[[#This Row],[date]])</f>
        <v>9/2024</v>
      </c>
      <c r="D917" s="1" t="str">
        <f>IFERROR(VLOOKUP(ТабПозиции[[#This Row],[orderNum]],ТабЗаказы[#Data],MATCH(D$7,ТабЗаказы[#Headers],0),0),"")</f>
        <v>Анна Лавицкого</v>
      </c>
      <c r="E917" s="26" t="s">
        <v>32</v>
      </c>
      <c r="F917" s="56" t="s">
        <v>3061</v>
      </c>
      <c r="H917" s="34">
        <v>45555</v>
      </c>
      <c r="I917" s="26">
        <v>1</v>
      </c>
      <c r="J917" s="26">
        <v>11179</v>
      </c>
      <c r="K917">
        <v>11179</v>
      </c>
      <c r="L917" s="26">
        <v>11179</v>
      </c>
      <c r="M917">
        <f t="shared" si="15"/>
        <v>11179</v>
      </c>
      <c r="O91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Row],[orderNum]],ТабПозиции[orderSumm])&gt;1500),ABS(M917*VLOOKUP(ТабПозиции[[#This Row],[orderNum]],ТабЗаказы[#Data],MATCH("Percent",ТабЗаказы[#Headers],0),0))/100,200/COUNTIF(ТабПозиции[orderNum],ТабПозиции[[#This Row],[orderNum]])),0),"")</f>
        <v>1118</v>
      </c>
      <c r="P917">
        <f>IF(OR(ТабПозиции[[#This Row],[item]]="По штрихкоду",ТабПозиции[[#This Row],[item]]="Посылка"),ТабПозиции[[#This Row],[deliverySumm]]+ТабПозиции[[#This Row],[deliveryPost]],SUM(M917:O917))</f>
        <v>1118</v>
      </c>
      <c r="Q917" s="57">
        <v>1118</v>
      </c>
      <c r="R917" s="62">
        <f>ТабПозиции[[#This Row],[totalSumm]]-ТабПозиции[[#This Row],[payment]]</f>
        <v>0</v>
      </c>
      <c r="S917" s="34" t="s">
        <v>955</v>
      </c>
      <c r="T917" s="56" t="s">
        <v>3061</v>
      </c>
      <c r="U917" s="56" t="s">
        <v>3061</v>
      </c>
      <c r="V917" s="56" t="s">
        <v>3061</v>
      </c>
      <c r="W917" s="7"/>
      <c r="X917"/>
    </row>
    <row r="918" spans="1:24" x14ac:dyDescent="0.25">
      <c r="A918" s="26">
        <v>261</v>
      </c>
      <c r="B918" s="1">
        <f>IFERROR(VLOOKUP(ТабПозиции[[#This Row],[orderNum]],ТабЗаказы[#Data],MATCH(B$7,ТабЗаказы[#Headers],0),0),"")</f>
        <v>45556</v>
      </c>
      <c r="C918" t="str">
        <f>MONTH(ТабПозиции[[#This Row],[date]])&amp;"/"&amp;YEAR(ТабПозиции[[#This Row],[date]])</f>
        <v>9/2024</v>
      </c>
      <c r="D918" s="1" t="str">
        <f>IFERROR(VLOOKUP(ТабПозиции[[#This Row],[orderNum]],ТабЗаказы[#Data],MATCH(D$7,ТабЗаказы[#Headers],0),0),"")</f>
        <v>Лариса Кирова</v>
      </c>
      <c r="E918" s="32" t="s">
        <v>1493</v>
      </c>
      <c r="F918" s="56" t="s">
        <v>3061</v>
      </c>
      <c r="H918" s="34">
        <v>45557</v>
      </c>
      <c r="I918" s="26">
        <v>1</v>
      </c>
      <c r="J918" s="26">
        <v>441</v>
      </c>
      <c r="K918">
        <v>441</v>
      </c>
      <c r="L918" s="26">
        <v>450</v>
      </c>
      <c r="M918">
        <f t="shared" si="15"/>
        <v>450</v>
      </c>
      <c r="O91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Row],[orderNum]],ТабПозиции[orderSumm])&gt;1500),ABS(M918*VLOOKUP(ТабПозиции[[#This Row],[orderNum]],ТабЗаказы[#Data],MATCH("Percent",ТабЗаказы[#Headers],0),0))/100,200/COUNTIF(ТабПозиции[orderNum],ТабПозиции[[#This Row],[orderNum]])),0),"")</f>
        <v>68</v>
      </c>
      <c r="P918">
        <f>IF(OR(ТабПозиции[[#This Row],[item]]="По штрихкоду",ТабПозиции[[#This Row],[item]]="Посылка"),ТабПозиции[[#This Row],[deliverySumm]]+ТабПозиции[[#This Row],[deliveryPost]],SUM(M918:O918))</f>
        <v>518</v>
      </c>
      <c r="Q918" s="57">
        <v>518</v>
      </c>
      <c r="R918" s="62">
        <f>ТабПозиции[[#This Row],[totalSumm]]-ТабПозиции[[#This Row],[payment]]</f>
        <v>0</v>
      </c>
      <c r="S918" s="34" t="s">
        <v>955</v>
      </c>
      <c r="T918" s="56" t="s">
        <v>3061</v>
      </c>
      <c r="U918" s="56" t="s">
        <v>3061</v>
      </c>
      <c r="V918" s="56" t="s">
        <v>3061</v>
      </c>
      <c r="W918" s="7"/>
      <c r="X918"/>
    </row>
    <row r="919" spans="1:24" x14ac:dyDescent="0.25">
      <c r="A919" s="26">
        <v>261</v>
      </c>
      <c r="B919" s="1">
        <f>IFERROR(VLOOKUP(ТабПозиции[[#This Row],[orderNum]],ТабЗаказы[#Data],MATCH(B$7,ТабЗаказы[#Headers],0),0),"")</f>
        <v>45556</v>
      </c>
      <c r="C919" t="str">
        <f>MONTH(ТабПозиции[[#This Row],[date]])&amp;"/"&amp;YEAR(ТабПозиции[[#This Row],[date]])</f>
        <v>9/2024</v>
      </c>
      <c r="D919" s="1" t="str">
        <f>IFERROR(VLOOKUP(ТабПозиции[[#This Row],[orderNum]],ТабЗаказы[#Data],MATCH(D$7,ТабЗаказы[#Headers],0),0),"")</f>
        <v>Лариса Кирова</v>
      </c>
      <c r="E919" s="32" t="s">
        <v>1494</v>
      </c>
      <c r="F919" s="56" t="s">
        <v>3061</v>
      </c>
      <c r="H919" s="34">
        <v>45558</v>
      </c>
      <c r="I919" s="26">
        <v>1</v>
      </c>
      <c r="J919" s="26">
        <v>108</v>
      </c>
      <c r="K919">
        <v>108</v>
      </c>
      <c r="L919" s="26">
        <v>120</v>
      </c>
      <c r="M919">
        <f t="shared" si="15"/>
        <v>120</v>
      </c>
      <c r="O91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Row],[orderNum]],ТабПозиции[orderSumm])&gt;1500),ABS(M919*VLOOKUP(ТабПозиции[[#This Row],[orderNum]],ТабЗаказы[#Data],MATCH("Percent",ТабЗаказы[#Headers],0),0))/100,200/COUNTIF(ТабПозиции[orderNum],ТабПозиции[[#This Row],[orderNum]])),0),"")</f>
        <v>18</v>
      </c>
      <c r="P919">
        <f>IF(OR(ТабПозиции[[#This Row],[item]]="По штрихкоду",ТабПозиции[[#This Row],[item]]="Посылка"),ТабПозиции[[#This Row],[deliverySumm]]+ТабПозиции[[#This Row],[deliveryPost]],SUM(M919:O919))</f>
        <v>138</v>
      </c>
      <c r="Q919" s="57">
        <v>138</v>
      </c>
      <c r="R919" s="62">
        <f>ТабПозиции[[#This Row],[totalSumm]]-ТабПозиции[[#This Row],[payment]]</f>
        <v>0</v>
      </c>
      <c r="S919" s="34" t="s">
        <v>955</v>
      </c>
      <c r="T919" s="56" t="s">
        <v>3061</v>
      </c>
      <c r="U919" s="56" t="s">
        <v>3061</v>
      </c>
      <c r="V919" s="56" t="s">
        <v>3061</v>
      </c>
      <c r="W919" s="7"/>
      <c r="X919"/>
    </row>
    <row r="920" spans="1:24" x14ac:dyDescent="0.25">
      <c r="A920" s="26">
        <v>261</v>
      </c>
      <c r="B920" s="1">
        <f>IFERROR(VLOOKUP(ТабПозиции[[#This Row],[orderNum]],ТабЗаказы[#Data],MATCH(B$7,ТабЗаказы[#Headers],0),0),"")</f>
        <v>45556</v>
      </c>
      <c r="C920" t="str">
        <f>MONTH(ТабПозиции[[#This Row],[date]])&amp;"/"&amp;YEAR(ТабПозиции[[#This Row],[date]])</f>
        <v>9/2024</v>
      </c>
      <c r="D920" s="1" t="str">
        <f>IFERROR(VLOOKUP(ТабПозиции[[#This Row],[orderNum]],ТабЗаказы[#Data],MATCH(D$7,ТабЗаказы[#Headers],0),0),"")</f>
        <v>Лариса Кирова</v>
      </c>
      <c r="E920" s="32" t="s">
        <v>1452</v>
      </c>
      <c r="F920" s="56" t="s">
        <v>3061</v>
      </c>
      <c r="H920" s="34">
        <v>45559</v>
      </c>
      <c r="I920" s="26">
        <v>1</v>
      </c>
      <c r="J920" s="26">
        <v>1144</v>
      </c>
      <c r="K920">
        <v>1144</v>
      </c>
      <c r="L920" s="26">
        <v>1205</v>
      </c>
      <c r="M920">
        <f t="shared" si="15"/>
        <v>1205</v>
      </c>
      <c r="O92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Row],[orderNum]],ТабПозиции[orderSumm])&gt;1500),ABS(M920*VLOOKUP(ТабПозиции[[#This Row],[orderNum]],ТабЗаказы[#Data],MATCH("Percent",ТабЗаказы[#Headers],0),0))/100,200/COUNTIF(ТабПозиции[orderNum],ТабПозиции[[#This Row],[orderNum]])),0),"")</f>
        <v>181</v>
      </c>
      <c r="P920">
        <f>IF(OR(ТабПозиции[[#This Row],[item]]="По штрихкоду",ТабПозиции[[#This Row],[item]]="Посылка"),ТабПозиции[[#This Row],[deliverySumm]]+ТабПозиции[[#This Row],[deliveryPost]],SUM(M920:O920))</f>
        <v>1386</v>
      </c>
      <c r="Q920" s="57">
        <v>1386</v>
      </c>
      <c r="R920" s="62">
        <f>ТабПозиции[[#This Row],[totalSumm]]-ТабПозиции[[#This Row],[payment]]</f>
        <v>0</v>
      </c>
      <c r="S920" s="34" t="s">
        <v>965</v>
      </c>
      <c r="T920" s="56" t="s">
        <v>3061</v>
      </c>
      <c r="U920" s="56" t="s">
        <v>3061</v>
      </c>
      <c r="V920" s="56" t="s">
        <v>3061</v>
      </c>
      <c r="W920" s="7"/>
      <c r="X920"/>
    </row>
    <row r="921" spans="1:24" x14ac:dyDescent="0.25">
      <c r="A921" s="26">
        <v>261</v>
      </c>
      <c r="B921" s="1">
        <f>IFERROR(VLOOKUP(ТабПозиции[[#This Row],[orderNum]],ТабЗаказы[#Data],MATCH(B$7,ТабЗаказы[#Headers],0),0),"")</f>
        <v>45556</v>
      </c>
      <c r="C921" t="str">
        <f>MONTH(ТабПозиции[[#This Row],[date]])&amp;"/"&amp;YEAR(ТабПозиции[[#This Row],[date]])</f>
        <v>9/2024</v>
      </c>
      <c r="D921" s="1" t="str">
        <f>IFERROR(VLOOKUP(ТабПозиции[[#This Row],[orderNum]],ТабЗаказы[#Data],MATCH(D$7,ТабЗаказы[#Headers],0),0),"")</f>
        <v>Лариса Кирова</v>
      </c>
      <c r="E921" s="32" t="s">
        <v>1495</v>
      </c>
      <c r="F921" s="56" t="s">
        <v>3061</v>
      </c>
      <c r="H921" s="34">
        <v>45559</v>
      </c>
      <c r="I921" s="26">
        <v>1</v>
      </c>
      <c r="J921" s="26">
        <v>258</v>
      </c>
      <c r="K921">
        <v>258</v>
      </c>
      <c r="L921" s="26">
        <v>272</v>
      </c>
      <c r="M921">
        <f t="shared" si="15"/>
        <v>272</v>
      </c>
      <c r="O92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Row],[orderNum]],ТабПозиции[orderSumm])&gt;1500),ABS(M921*VLOOKUP(ТабПозиции[[#This Row],[orderNum]],ТабЗаказы[#Data],MATCH("Percent",ТабЗаказы[#Headers],0),0))/100,200/COUNTIF(ТабПозиции[orderNum],ТабПозиции[[#This Row],[orderNum]])),0),"")</f>
        <v>41</v>
      </c>
      <c r="P921">
        <f>IF(OR(ТабПозиции[[#This Row],[item]]="По штрихкоду",ТабПозиции[[#This Row],[item]]="Посылка"),ТабПозиции[[#This Row],[deliverySumm]]+ТабПозиции[[#This Row],[deliveryPost]],SUM(M921:O921))</f>
        <v>313</v>
      </c>
      <c r="Q921" s="57">
        <v>313</v>
      </c>
      <c r="R921" s="62">
        <f>ТабПозиции[[#This Row],[totalSumm]]-ТабПозиции[[#This Row],[payment]]</f>
        <v>0</v>
      </c>
      <c r="S921" s="34" t="s">
        <v>965</v>
      </c>
      <c r="T921" s="56" t="s">
        <v>3061</v>
      </c>
      <c r="U921" s="56" t="s">
        <v>3061</v>
      </c>
      <c r="V921" s="56" t="s">
        <v>3061</v>
      </c>
      <c r="W921" s="7"/>
      <c r="X921"/>
    </row>
    <row r="922" spans="1:24" x14ac:dyDescent="0.25">
      <c r="A922" s="26">
        <v>261</v>
      </c>
      <c r="B922" s="1">
        <f>IFERROR(VLOOKUP(ТабПозиции[[#This Row],[orderNum]],ТабЗаказы[#Data],MATCH(B$7,ТабЗаказы[#Headers],0),0),"")</f>
        <v>45556</v>
      </c>
      <c r="C922" t="str">
        <f>MONTH(ТабПозиции[[#This Row],[date]])&amp;"/"&amp;YEAR(ТабПозиции[[#This Row],[date]])</f>
        <v>9/2024</v>
      </c>
      <c r="D922" s="1" t="str">
        <f>IFERROR(VLOOKUP(ТабПозиции[[#This Row],[orderNum]],ТабЗаказы[#Data],MATCH(D$7,ТабЗаказы[#Headers],0),0),"")</f>
        <v>Лариса Кирова</v>
      </c>
      <c r="E922" s="32" t="s">
        <v>1496</v>
      </c>
      <c r="F922" s="56" t="s">
        <v>3061</v>
      </c>
      <c r="H922" s="34">
        <v>45559</v>
      </c>
      <c r="I922" s="26">
        <v>1</v>
      </c>
      <c r="J922" s="26">
        <v>356</v>
      </c>
      <c r="K922">
        <v>356</v>
      </c>
      <c r="L922" s="26">
        <v>375</v>
      </c>
      <c r="M922">
        <f t="shared" ref="M922:M983" si="16">L922*I922</f>
        <v>375</v>
      </c>
      <c r="O92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Row],[orderNum]],ТабПозиции[orderSumm])&gt;1500),ABS(M922*VLOOKUP(ТабПозиции[[#This Row],[orderNum]],ТабЗаказы[#Data],MATCH("Percent",ТабЗаказы[#Headers],0),0))/100,200/COUNTIF(ТабПозиции[orderNum],ТабПозиции[[#This Row],[orderNum]])),0),"")</f>
        <v>56</v>
      </c>
      <c r="P922">
        <f>IF(OR(ТабПозиции[[#This Row],[item]]="По штрихкоду",ТабПозиции[[#This Row],[item]]="Посылка"),ТабПозиции[[#This Row],[deliverySumm]]+ТабПозиции[[#This Row],[deliveryPost]],SUM(M922:O922))</f>
        <v>431</v>
      </c>
      <c r="Q922" s="57">
        <v>431</v>
      </c>
      <c r="R922" s="62">
        <f>ТабПозиции[[#This Row],[totalSumm]]-ТабПозиции[[#This Row],[payment]]</f>
        <v>0</v>
      </c>
      <c r="S922" s="34" t="s">
        <v>965</v>
      </c>
      <c r="T922" s="56" t="s">
        <v>3061</v>
      </c>
      <c r="U922" s="56" t="s">
        <v>3061</v>
      </c>
      <c r="V922" s="56" t="s">
        <v>3061</v>
      </c>
      <c r="W922" s="7"/>
      <c r="X922"/>
    </row>
    <row r="923" spans="1:24" x14ac:dyDescent="0.25">
      <c r="A923" s="26">
        <v>218</v>
      </c>
      <c r="B923" s="1">
        <f>IFERROR(VLOOKUP(ТабПозиции[[#This Row],[orderNum]],ТабЗаказы[#Data],MATCH(B$7,ТабЗаказы[#Headers],0),0),"")</f>
        <v>45559</v>
      </c>
      <c r="C923" t="str">
        <f>MONTH(ТабПозиции[[#This Row],[date]])&amp;"/"&amp;YEAR(ТабПозиции[[#This Row],[date]])</f>
        <v>9/2024</v>
      </c>
      <c r="D923" s="1" t="str">
        <f>IFERROR(VLOOKUP(ТабПозиции[[#This Row],[orderNum]],ТабЗаказы[#Data],MATCH(D$7,ТабЗаказы[#Headers],0),0),"")</f>
        <v>Елена Гайдар</v>
      </c>
      <c r="E923" s="32" t="s">
        <v>1501</v>
      </c>
      <c r="F923" s="56" t="s">
        <v>3061</v>
      </c>
      <c r="H923" s="34">
        <v>45561</v>
      </c>
      <c r="I923" s="26">
        <v>1</v>
      </c>
      <c r="J923" s="26">
        <v>2660</v>
      </c>
      <c r="K923">
        <v>2660</v>
      </c>
      <c r="L923" s="26">
        <v>2800</v>
      </c>
      <c r="M923">
        <f t="shared" si="16"/>
        <v>2800</v>
      </c>
      <c r="O92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Row],[orderNum]],ТабПозиции[orderSumm])&gt;1500),ABS(M923*VLOOKUP(ТабПозиции[[#This Row],[orderNum]],ТабЗаказы[#Data],MATCH("Percent",ТабЗаказы[#Headers],0),0))/100,200/COUNTIF(ТабПозиции[orderNum],ТабПозиции[[#This Row],[orderNum]])),0),"")</f>
        <v>420</v>
      </c>
      <c r="P923">
        <f>IF(OR(ТабПозиции[[#This Row],[item]]="По штрихкоду",ТабПозиции[[#This Row],[item]]="Посылка"),ТабПозиции[[#This Row],[deliverySumm]]+ТабПозиции[[#This Row],[deliveryPost]],SUM(M923:O923))</f>
        <v>3220</v>
      </c>
      <c r="Q923" s="57">
        <v>3220</v>
      </c>
      <c r="R923" s="62">
        <f>ТабПозиции[[#This Row],[totalSumm]]-ТабПозиции[[#This Row],[payment]]</f>
        <v>0</v>
      </c>
      <c r="S923" s="34" t="s">
        <v>965</v>
      </c>
      <c r="T923" s="56" t="s">
        <v>3061</v>
      </c>
      <c r="U923" s="56" t="s">
        <v>3061</v>
      </c>
      <c r="V923" s="56" t="s">
        <v>3061</v>
      </c>
      <c r="W923" s="7"/>
      <c r="X923"/>
    </row>
    <row r="924" spans="1:24" x14ac:dyDescent="0.25">
      <c r="A924" s="26">
        <v>218</v>
      </c>
      <c r="B924" s="1">
        <f>IFERROR(VLOOKUP(ТабПозиции[[#This Row],[orderNum]],ТабЗаказы[#Data],MATCH(B$7,ТабЗаказы[#Headers],0),0),"")</f>
        <v>45559</v>
      </c>
      <c r="C924" t="str">
        <f>MONTH(ТабПозиции[[#This Row],[date]])&amp;"/"&amp;YEAR(ТабПозиции[[#This Row],[date]])</f>
        <v>9/2024</v>
      </c>
      <c r="D924" s="1" t="str">
        <f>IFERROR(VLOOKUP(ТабПозиции[[#This Row],[orderNum]],ТабЗаказы[#Data],MATCH(D$7,ТабЗаказы[#Headers],0),0),"")</f>
        <v>Елена Гайдар</v>
      </c>
      <c r="E924" s="32" t="s">
        <v>1503</v>
      </c>
      <c r="F924" s="56" t="s">
        <v>3061</v>
      </c>
      <c r="H924" s="34">
        <v>45561</v>
      </c>
      <c r="I924" s="26">
        <v>1</v>
      </c>
      <c r="J924" s="26">
        <v>410</v>
      </c>
      <c r="K924">
        <v>410</v>
      </c>
      <c r="L924" s="26">
        <v>432</v>
      </c>
      <c r="M924">
        <f t="shared" si="16"/>
        <v>432</v>
      </c>
      <c r="O92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Row],[orderNum]],ТабПозиции[orderSumm])&gt;1500),ABS(M924*VLOOKUP(ТабПозиции[[#This Row],[orderNum]],ТабЗаказы[#Data],MATCH("Percent",ТабЗаказы[#Headers],0),0))/100,200/COUNTIF(ТабПозиции[orderNum],ТабПозиции[[#This Row],[orderNum]])),0),"")</f>
        <v>65</v>
      </c>
      <c r="P924">
        <f>IF(OR(ТабПозиции[[#This Row],[item]]="По штрихкоду",ТабПозиции[[#This Row],[item]]="Посылка"),ТабПозиции[[#This Row],[deliverySumm]]+ТабПозиции[[#This Row],[deliveryPost]],SUM(M924:O924))</f>
        <v>497</v>
      </c>
      <c r="Q924" s="57">
        <v>497</v>
      </c>
      <c r="R924" s="62">
        <f>ТабПозиции[[#This Row],[totalSumm]]-ТабПозиции[[#This Row],[payment]]</f>
        <v>0</v>
      </c>
      <c r="S924" s="34" t="s">
        <v>965</v>
      </c>
      <c r="T924" s="56" t="s">
        <v>3061</v>
      </c>
      <c r="U924" s="56" t="s">
        <v>3061</v>
      </c>
      <c r="V924" s="56" t="s">
        <v>3061</v>
      </c>
      <c r="W924" s="7"/>
      <c r="X924"/>
    </row>
    <row r="925" spans="1:24" x14ac:dyDescent="0.25">
      <c r="A925" s="26">
        <v>218</v>
      </c>
      <c r="B925" s="1">
        <f>IFERROR(VLOOKUP(ТабПозиции[[#This Row],[orderNum]],ТабЗаказы[#Data],MATCH(B$7,ТабЗаказы[#Headers],0),0),"")</f>
        <v>45559</v>
      </c>
      <c r="C925" t="str">
        <f>MONTH(ТабПозиции[[#This Row],[date]])&amp;"/"&amp;YEAR(ТабПозиции[[#This Row],[date]])</f>
        <v>9/2024</v>
      </c>
      <c r="D925" s="1" t="str">
        <f>IFERROR(VLOOKUP(ТабПозиции[[#This Row],[orderNum]],ТабЗаказы[#Data],MATCH(D$7,ТабЗаказы[#Headers],0),0),"")</f>
        <v>Елена Гайдар</v>
      </c>
      <c r="E925" s="32" t="s">
        <v>1504</v>
      </c>
      <c r="F925" s="56" t="s">
        <v>3061</v>
      </c>
      <c r="H925" s="34">
        <v>45561</v>
      </c>
      <c r="I925" s="26">
        <v>1</v>
      </c>
      <c r="J925" s="26">
        <v>478</v>
      </c>
      <c r="K925">
        <v>478</v>
      </c>
      <c r="L925" s="26">
        <v>504</v>
      </c>
      <c r="M925">
        <f t="shared" si="16"/>
        <v>504</v>
      </c>
      <c r="O92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Row],[orderNum]],ТабПозиции[orderSumm])&gt;1500),ABS(M925*VLOOKUP(ТабПозиции[[#This Row],[orderNum]],ТабЗаказы[#Data],MATCH("Percent",ТабЗаказы[#Headers],0),0))/100,200/COUNTIF(ТабПозиции[orderNum],ТабПозиции[[#This Row],[orderNum]])),0),"")</f>
        <v>76</v>
      </c>
      <c r="P925">
        <f>IF(OR(ТабПозиции[[#This Row],[item]]="По штрихкоду",ТабПозиции[[#This Row],[item]]="Посылка"),ТабПозиции[[#This Row],[deliverySumm]]+ТабПозиции[[#This Row],[deliveryPost]],SUM(M925:O925))</f>
        <v>580</v>
      </c>
      <c r="Q925" s="57">
        <v>580</v>
      </c>
      <c r="R925" s="62">
        <f>ТабПозиции[[#This Row],[totalSumm]]-ТабПозиции[[#This Row],[payment]]</f>
        <v>0</v>
      </c>
      <c r="S925" s="34" t="s">
        <v>965</v>
      </c>
      <c r="T925" s="56" t="s">
        <v>3061</v>
      </c>
      <c r="U925" s="56" t="s">
        <v>3061</v>
      </c>
      <c r="V925" s="56" t="s">
        <v>3061</v>
      </c>
      <c r="W925" s="7"/>
      <c r="X925"/>
    </row>
    <row r="926" spans="1:24" x14ac:dyDescent="0.25">
      <c r="A926" s="26">
        <v>218</v>
      </c>
      <c r="B926" s="1">
        <f>IFERROR(VLOOKUP(ТабПозиции[[#This Row],[orderNum]],ТабЗаказы[#Data],MATCH(B$7,ТабЗаказы[#Headers],0),0),"")</f>
        <v>45559</v>
      </c>
      <c r="C926" t="str">
        <f>MONTH(ТабПозиции[[#This Row],[date]])&amp;"/"&amp;YEAR(ТабПозиции[[#This Row],[date]])</f>
        <v>9/2024</v>
      </c>
      <c r="D926" s="1" t="str">
        <f>IFERROR(VLOOKUP(ТабПозиции[[#This Row],[orderNum]],ТабЗаказы[#Data],MATCH(D$7,ТабЗаказы[#Headers],0),0),"")</f>
        <v>Елена Гайдар</v>
      </c>
      <c r="E926" s="32" t="s">
        <v>1505</v>
      </c>
      <c r="F926" s="56" t="s">
        <v>3061</v>
      </c>
      <c r="H926" s="34">
        <v>45561</v>
      </c>
      <c r="I926" s="26">
        <v>2</v>
      </c>
      <c r="J926" s="26">
        <v>257</v>
      </c>
      <c r="K926">
        <v>514</v>
      </c>
      <c r="L926" s="26">
        <v>271</v>
      </c>
      <c r="M926">
        <f t="shared" si="16"/>
        <v>542</v>
      </c>
      <c r="O92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Row],[orderNum]],ТабПозиции[orderSumm])&gt;1500),ABS(M926*VLOOKUP(ТабПозиции[[#This Row],[orderNum]],ТабЗаказы[#Data],MATCH("Percent",ТабЗаказы[#Headers],0),0))/100,200/COUNTIF(ТабПозиции[orderNum],ТабПозиции[[#This Row],[orderNum]])),0),"")</f>
        <v>81</v>
      </c>
      <c r="P926">
        <f>IF(OR(ТабПозиции[[#This Row],[item]]="По штрихкоду",ТабПозиции[[#This Row],[item]]="Посылка"),ТабПозиции[[#This Row],[deliverySumm]]+ТабПозиции[[#This Row],[deliveryPost]],SUM(M926:O926))</f>
        <v>623</v>
      </c>
      <c r="Q926" s="57">
        <v>623</v>
      </c>
      <c r="R926" s="62">
        <f>ТабПозиции[[#This Row],[totalSumm]]-ТабПозиции[[#This Row],[payment]]</f>
        <v>0</v>
      </c>
      <c r="S926" s="34" t="s">
        <v>965</v>
      </c>
      <c r="T926" s="56" t="s">
        <v>3061</v>
      </c>
      <c r="U926" s="56" t="s">
        <v>3061</v>
      </c>
      <c r="V926" s="56" t="s">
        <v>3061</v>
      </c>
      <c r="W926" s="7"/>
      <c r="X926"/>
    </row>
    <row r="927" spans="1:24" x14ac:dyDescent="0.25">
      <c r="A927" s="26">
        <v>263</v>
      </c>
      <c r="B927" s="1">
        <f>IFERROR(VLOOKUP(ТабПозиции[[#This Row],[orderNum]],ТабЗаказы[#Data],MATCH(B$7,ТабЗаказы[#Headers],0),0),"")</f>
        <v>45560</v>
      </c>
      <c r="C927" t="str">
        <f>MONTH(ТабПозиции[[#This Row],[date]])&amp;"/"&amp;YEAR(ТабПозиции[[#This Row],[date]])</f>
        <v>9/2024</v>
      </c>
      <c r="D927" s="1" t="str">
        <f>IFERROR(VLOOKUP(ТабПозиции[[#This Row],[orderNum]],ТабЗаказы[#Data],MATCH(D$7,ТабЗаказы[#Headers],0),0),"")</f>
        <v>Руденко Юля</v>
      </c>
      <c r="E927" s="32" t="s">
        <v>1506</v>
      </c>
      <c r="F927" s="56" t="s">
        <v>3061</v>
      </c>
      <c r="H927" s="34">
        <v>45566</v>
      </c>
      <c r="I927" s="26">
        <v>3</v>
      </c>
      <c r="J927" s="26">
        <v>466</v>
      </c>
      <c r="K927">
        <v>1398</v>
      </c>
      <c r="L927" s="26">
        <v>491</v>
      </c>
      <c r="M927">
        <f t="shared" si="16"/>
        <v>1473</v>
      </c>
      <c r="O92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Row],[orderNum]],ТабПозиции[orderSumm])&gt;1500),ABS(M927*VLOOKUP(ТабПозиции[[#This Row],[orderNum]],ТабЗаказы[#Data],MATCH("Percent",ТабЗаказы[#Headers],0),0))/100,200/COUNTIF(ТабПозиции[orderNum],ТабПозиции[[#This Row],[orderNum]])),0),"")</f>
        <v>147</v>
      </c>
      <c r="P927">
        <f>IF(OR(ТабПозиции[[#This Row],[item]]="По штрихкоду",ТабПозиции[[#This Row],[item]]="Посылка"),ТабПозиции[[#This Row],[deliverySumm]]+ТабПозиции[[#This Row],[deliveryPost]],SUM(M927:O927))</f>
        <v>1620</v>
      </c>
      <c r="Q927" s="57">
        <v>1620</v>
      </c>
      <c r="R927" s="62">
        <f>ТабПозиции[[#This Row],[totalSumm]]-ТабПозиции[[#This Row],[payment]]</f>
        <v>0</v>
      </c>
      <c r="S927" s="34" t="s">
        <v>965</v>
      </c>
      <c r="T927" s="56" t="s">
        <v>3061</v>
      </c>
      <c r="U927" s="56" t="s">
        <v>3061</v>
      </c>
      <c r="V927" s="56" t="s">
        <v>3061</v>
      </c>
      <c r="W927" s="7"/>
      <c r="X927"/>
    </row>
    <row r="928" spans="1:24" x14ac:dyDescent="0.25">
      <c r="A928" s="26">
        <v>263</v>
      </c>
      <c r="B928" s="1">
        <f>IFERROR(VLOOKUP(ТабПозиции[[#This Row],[orderNum]],ТабЗаказы[#Data],MATCH(B$7,ТабЗаказы[#Headers],0),0),"")</f>
        <v>45560</v>
      </c>
      <c r="C928" t="str">
        <f>MONTH(ТабПозиции[[#This Row],[date]])&amp;"/"&amp;YEAR(ТабПозиции[[#This Row],[date]])</f>
        <v>9/2024</v>
      </c>
      <c r="D928" s="1" t="str">
        <f>IFERROR(VLOOKUP(ТабПозиции[[#This Row],[orderNum]],ТабЗаказы[#Data],MATCH(D$7,ТабЗаказы[#Headers],0),0),"")</f>
        <v>Руденко Юля</v>
      </c>
      <c r="E928" s="32" t="s">
        <v>1507</v>
      </c>
      <c r="F928" s="56" t="s">
        <v>3061</v>
      </c>
      <c r="H928" s="34">
        <v>45562</v>
      </c>
      <c r="I928" s="26">
        <v>1</v>
      </c>
      <c r="J928" s="26">
        <v>346</v>
      </c>
      <c r="K928">
        <v>346</v>
      </c>
      <c r="L928" s="26">
        <v>365</v>
      </c>
      <c r="M928">
        <f t="shared" si="16"/>
        <v>365</v>
      </c>
      <c r="O92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Row],[orderNum]],ТабПозиции[orderSumm])&gt;1500),ABS(M928*VLOOKUP(ТабПозиции[[#This Row],[orderNum]],ТабЗаказы[#Data],MATCH("Percent",ТабЗаказы[#Headers],0),0))/100,200/COUNTIF(ТабПозиции[orderNum],ТабПозиции[[#This Row],[orderNum]])),0),"")</f>
        <v>37</v>
      </c>
      <c r="P928">
        <f>IF(OR(ТабПозиции[[#This Row],[item]]="По штрихкоду",ТабПозиции[[#This Row],[item]]="Посылка"),ТабПозиции[[#This Row],[deliverySumm]]+ТабПозиции[[#This Row],[deliveryPost]],SUM(M928:O928))</f>
        <v>402</v>
      </c>
      <c r="Q928" s="57">
        <v>402</v>
      </c>
      <c r="R928" s="62">
        <f>ТабПозиции[[#This Row],[totalSumm]]-ТабПозиции[[#This Row],[payment]]</f>
        <v>0</v>
      </c>
      <c r="S928" s="34" t="s">
        <v>965</v>
      </c>
      <c r="T928" s="56" t="s">
        <v>3061</v>
      </c>
      <c r="U928" s="56" t="s">
        <v>3061</v>
      </c>
      <c r="V928" s="56" t="s">
        <v>3061</v>
      </c>
      <c r="W928" s="7"/>
      <c r="X928"/>
    </row>
    <row r="929" spans="1:24" x14ac:dyDescent="0.25">
      <c r="A929" s="26">
        <v>263</v>
      </c>
      <c r="B929" s="1">
        <f>IFERROR(VLOOKUP(ТабПозиции[[#This Row],[orderNum]],ТабЗаказы[#Data],MATCH(B$7,ТабЗаказы[#Headers],0),0),"")</f>
        <v>45560</v>
      </c>
      <c r="C929" t="str">
        <f>MONTH(ТабПозиции[[#This Row],[date]])&amp;"/"&amp;YEAR(ТабПозиции[[#This Row],[date]])</f>
        <v>9/2024</v>
      </c>
      <c r="D929" s="1" t="str">
        <f>IFERROR(VLOOKUP(ТабПозиции[[#This Row],[orderNum]],ТабЗаказы[#Data],MATCH(D$7,ТабЗаказы[#Headers],0),0),"")</f>
        <v>Руденко Юля</v>
      </c>
      <c r="E929" s="32" t="s">
        <v>1508</v>
      </c>
      <c r="F929" s="56" t="s">
        <v>3061</v>
      </c>
      <c r="H929" s="34">
        <v>45562</v>
      </c>
      <c r="I929" s="26">
        <v>1</v>
      </c>
      <c r="J929" s="26">
        <v>179</v>
      </c>
      <c r="K929">
        <v>179</v>
      </c>
      <c r="L929" s="26">
        <v>189</v>
      </c>
      <c r="M929">
        <f t="shared" si="16"/>
        <v>189</v>
      </c>
      <c r="N929" s="26">
        <v>47</v>
      </c>
      <c r="O92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Row],[orderNum]],ТабПозиции[orderSumm])&gt;1500),ABS(M929*VLOOKUP(ТабПозиции[[#This Row],[orderNum]],ТабЗаказы[#Data],MATCH("Percent",ТабЗаказы[#Headers],0),0))/100,200/COUNTIF(ТабПозиции[orderNum],ТабПозиции[[#This Row],[orderNum]])),0),"")</f>
        <v>19</v>
      </c>
      <c r="P929">
        <f>IF(OR(ТабПозиции[[#This Row],[item]]="По штрихкоду",ТабПозиции[[#This Row],[item]]="Посылка"),ТабПозиции[[#This Row],[deliverySumm]]+ТабПозиции[[#This Row],[deliveryPost]],SUM(M929:O929))</f>
        <v>255</v>
      </c>
      <c r="Q929" s="57">
        <v>255</v>
      </c>
      <c r="R929" s="62">
        <f>ТабПозиции[[#This Row],[totalSumm]]-ТабПозиции[[#This Row],[payment]]</f>
        <v>0</v>
      </c>
      <c r="S929" s="34" t="s">
        <v>965</v>
      </c>
      <c r="T929" s="56" t="s">
        <v>3061</v>
      </c>
      <c r="U929" s="56" t="s">
        <v>3061</v>
      </c>
      <c r="V929" s="56" t="s">
        <v>3061</v>
      </c>
      <c r="W929" s="7"/>
      <c r="X929"/>
    </row>
    <row r="930" spans="1:24" x14ac:dyDescent="0.25">
      <c r="A930" s="26">
        <v>264</v>
      </c>
      <c r="B930" s="1">
        <f>IFERROR(VLOOKUP(ТабПозиции[[#This Row],[orderNum]],ТабЗаказы[#Data],MATCH(B$7,ТабЗаказы[#Headers],0),0),"")</f>
        <v>45560</v>
      </c>
      <c r="C930" t="str">
        <f>MONTH(ТабПозиции[[#This Row],[date]])&amp;"/"&amp;YEAR(ТабПозиции[[#This Row],[date]])</f>
        <v>9/2024</v>
      </c>
      <c r="D930" s="1" t="str">
        <f>IFERROR(VLOOKUP(ТабПозиции[[#This Row],[orderNum]],ТабЗаказы[#Data],MATCH(D$7,ТабЗаказы[#Headers],0),0),"")</f>
        <v>Митрофанов Евгений</v>
      </c>
      <c r="E930" s="26" t="s">
        <v>710</v>
      </c>
      <c r="F930" s="56" t="s">
        <v>3061</v>
      </c>
      <c r="H930" s="34">
        <v>45562</v>
      </c>
      <c r="I930" s="26">
        <v>1</v>
      </c>
      <c r="J930" s="26">
        <v>6900</v>
      </c>
      <c r="K930">
        <v>6900</v>
      </c>
      <c r="L930" s="26">
        <v>6900</v>
      </c>
      <c r="M930">
        <f t="shared" si="16"/>
        <v>6900</v>
      </c>
      <c r="N930" s="26">
        <f>339-170</f>
        <v>169</v>
      </c>
      <c r="O93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Row],[orderNum]],ТабПозиции[orderSumm])&gt;1500),ABS(M930*VLOOKUP(ТабПозиции[[#This Row],[orderNum]],ТабЗаказы[#Data],MATCH("Percent",ТабЗаказы[#Headers],0),0))/100,200/COUNTIF(ТабПозиции[orderNum],ТабПозиции[[#This Row],[orderNum]])),0),"")</f>
        <v>1035</v>
      </c>
      <c r="P930">
        <f>IF(OR(ТабПозиции[[#This Row],[item]]="По штрихкоду",ТабПозиции[[#This Row],[item]]="Посылка"),ТабПозиции[[#This Row],[deliverySumm]]+ТабПозиции[[#This Row],[deliveryPost]],SUM(M930:O930))</f>
        <v>8104</v>
      </c>
      <c r="Q930" s="57">
        <v>8104</v>
      </c>
      <c r="R930" s="62">
        <f>ТабПозиции[[#This Row],[totalSumm]]-ТабПозиции[[#This Row],[payment]]</f>
        <v>0</v>
      </c>
      <c r="S930" s="34" t="s">
        <v>1000</v>
      </c>
      <c r="T930" s="56" t="s">
        <v>3061</v>
      </c>
      <c r="U930" s="56" t="s">
        <v>3061</v>
      </c>
      <c r="V930" s="56" t="s">
        <v>3061</v>
      </c>
      <c r="W930" s="7"/>
      <c r="X930"/>
    </row>
    <row r="931" spans="1:24" x14ac:dyDescent="0.25">
      <c r="A931" s="26">
        <v>265</v>
      </c>
      <c r="B931" s="1">
        <f>IFERROR(VLOOKUP(ТабПозиции[[#This Row],[orderNum]],ТабЗаказы[#Data],MATCH(B$7,ТабЗаказы[#Headers],0),0),"")</f>
        <v>45562</v>
      </c>
      <c r="C931" t="str">
        <f>MONTH(ТабПозиции[[#This Row],[date]])&amp;"/"&amp;YEAR(ТабПозиции[[#This Row],[date]])</f>
        <v>9/2024</v>
      </c>
      <c r="D931" s="1" t="str">
        <f>IFERROR(VLOOKUP(ТабПозиции[[#This Row],[orderNum]],ТабЗаказы[#Data],MATCH(D$7,ТабЗаказы[#Headers],0),0),"")</f>
        <v>Даня Краснофлотская</v>
      </c>
      <c r="E931" s="26" t="s">
        <v>32</v>
      </c>
      <c r="F931" s="56" t="s">
        <v>3061</v>
      </c>
      <c r="H931" s="34">
        <v>45562</v>
      </c>
      <c r="I931" s="26">
        <v>1</v>
      </c>
      <c r="J931" s="26">
        <f>201*2+468+370</f>
        <v>1240</v>
      </c>
      <c r="K931">
        <v>1240</v>
      </c>
      <c r="L931" s="26">
        <v>1240</v>
      </c>
      <c r="M931">
        <f t="shared" si="16"/>
        <v>1240</v>
      </c>
      <c r="O93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Row],[orderNum]],ТабПозиции[orderSumm])&gt;1500),ABS(M931*VLOOKUP(ТабПозиции[[#This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931">
        <f>IF(OR(ТабПозиции[[#This Row],[item]]="По штрихкоду",ТабПозиции[[#This Row],[item]]="Посылка"),ТабПозиции[[#This Row],[deliverySumm]]+ТабПозиции[[#This Row],[deliveryPost]],SUM(M931:O931))</f>
        <v>200</v>
      </c>
      <c r="Q931" s="57">
        <v>200</v>
      </c>
      <c r="R931" s="62">
        <f>ТабПозиции[[#This Row],[totalSumm]]-ТабПозиции[[#This Row],[payment]]</f>
        <v>0</v>
      </c>
      <c r="S931" s="34" t="s">
        <v>955</v>
      </c>
      <c r="T931" s="56" t="s">
        <v>3061</v>
      </c>
      <c r="U931" s="56" t="s">
        <v>3061</v>
      </c>
      <c r="V931" s="56" t="s">
        <v>3061</v>
      </c>
      <c r="W931" s="7"/>
      <c r="X931"/>
    </row>
    <row r="932" spans="1:24" x14ac:dyDescent="0.25">
      <c r="A932" s="26">
        <v>266</v>
      </c>
      <c r="B932" s="1">
        <f>IFERROR(VLOOKUP(ТабПозиции[[#This Row],[orderNum]],ТабЗаказы[#Data],MATCH(B$7,ТабЗаказы[#Headers],0),0),"")</f>
        <v>45562</v>
      </c>
      <c r="C932" t="str">
        <f>MONTH(ТабПозиции[[#This Row],[date]])&amp;"/"&amp;YEAR(ТабПозиции[[#This Row],[date]])</f>
        <v>9/2024</v>
      </c>
      <c r="D932" s="1" t="str">
        <f>IFERROR(VLOOKUP(ТабПозиции[[#This Row],[orderNum]],ТабЗаказы[#Data],MATCH(D$7,ТабЗаказы[#Headers],0),0),"")</f>
        <v>Аннет</v>
      </c>
      <c r="E932" s="26" t="s">
        <v>32</v>
      </c>
      <c r="F932" s="56" t="s">
        <v>3061</v>
      </c>
      <c r="H932" s="34">
        <v>45562</v>
      </c>
      <c r="I932" s="26">
        <v>1</v>
      </c>
      <c r="J932" s="26">
        <f>525</f>
        <v>525</v>
      </c>
      <c r="K932">
        <v>525</v>
      </c>
      <c r="L932" s="26">
        <f>525</f>
        <v>525</v>
      </c>
      <c r="M932">
        <f t="shared" si="16"/>
        <v>525</v>
      </c>
      <c r="N932" s="26">
        <v>200</v>
      </c>
      <c r="O93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Row],[orderNum]],ТабПозиции[orderSumm])&gt;1500),ABS(M932*VLOOKUP(ТабПозиции[[#This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932">
        <f>IF(OR(ТабПозиции[[#This Row],[item]]="По штрихкоду",ТабПозиции[[#This Row],[item]]="Посылка"),ТабПозиции[[#This Row],[deliverySumm]]+ТабПозиции[[#This Row],[deliveryPost]],SUM(M932:O932))</f>
        <v>400</v>
      </c>
      <c r="Q932" s="57">
        <v>400</v>
      </c>
      <c r="R932" s="62">
        <f>ТабПозиции[[#This Row],[totalSumm]]-ТабПозиции[[#This Row],[payment]]</f>
        <v>0</v>
      </c>
      <c r="S932" s="34" t="s">
        <v>955</v>
      </c>
      <c r="T932" s="56" t="s">
        <v>3061</v>
      </c>
      <c r="U932" s="56" t="s">
        <v>3061</v>
      </c>
      <c r="V932" s="56" t="s">
        <v>3061</v>
      </c>
      <c r="W932" s="7"/>
      <c r="X932"/>
    </row>
    <row r="933" spans="1:24" x14ac:dyDescent="0.25">
      <c r="A933" s="26">
        <v>268</v>
      </c>
      <c r="B933" s="1">
        <f>IFERROR(VLOOKUP(ТабПозиции[[#This Row],[orderNum]],ТабЗаказы[#Data],MATCH(B$7,ТабЗаказы[#Headers],0),0),"")</f>
        <v>45562</v>
      </c>
      <c r="C933" t="str">
        <f>MONTH(ТабПозиции[[#This Row],[date]])&amp;"/"&amp;YEAR(ТабПозиции[[#This Row],[date]])</f>
        <v>9/2024</v>
      </c>
      <c r="D933" s="1" t="str">
        <f>IFERROR(VLOOKUP(ТабПозиции[[#This Row],[orderNum]],ТабЗаказы[#Data],MATCH(D$7,ТабЗаказы[#Headers],0),0),"")</f>
        <v>Алена Бондаренко</v>
      </c>
      <c r="E933" s="26" t="s">
        <v>32</v>
      </c>
      <c r="F933" s="56" t="s">
        <v>3061</v>
      </c>
      <c r="H933" s="34">
        <v>45562</v>
      </c>
      <c r="I933" s="26">
        <v>1</v>
      </c>
      <c r="J933" s="26">
        <v>2674</v>
      </c>
      <c r="K933">
        <v>2674</v>
      </c>
      <c r="L933" s="26">
        <v>2674</v>
      </c>
      <c r="M933">
        <f t="shared" si="16"/>
        <v>2674</v>
      </c>
      <c r="O93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Row],[orderNum]],ТабПозиции[orderSumm])&gt;1500),ABS(M933*VLOOKUP(ТабПозиции[[#This Row],[orderNum]],ТабЗаказы[#Data],MATCH("Percent",ТабЗаказы[#Headers],0),0))/100,200/COUNTIF(ТабПозиции[orderNum],ТабПозиции[[#This Row],[orderNum]])),0),"")</f>
        <v>267</v>
      </c>
      <c r="P933">
        <f>IF(OR(ТабПозиции[[#This Row],[item]]="По штрихкоду",ТабПозиции[[#This Row],[item]]="Посылка"),ТабПозиции[[#This Row],[deliverySumm]]+ТабПозиции[[#This Row],[deliveryPost]],SUM(M933:O933))</f>
        <v>267</v>
      </c>
      <c r="Q933" s="57">
        <v>267</v>
      </c>
      <c r="R933" s="62">
        <f>ТабПозиции[[#This Row],[totalSumm]]-ТабПозиции[[#This Row],[payment]]</f>
        <v>0</v>
      </c>
      <c r="S933" s="34" t="s">
        <v>955</v>
      </c>
      <c r="T933" s="56" t="s">
        <v>3061</v>
      </c>
      <c r="U933" s="56" t="s">
        <v>3061</v>
      </c>
      <c r="V933" s="56" t="s">
        <v>3061</v>
      </c>
      <c r="W933" s="7"/>
      <c r="X933"/>
    </row>
    <row r="934" spans="1:24" x14ac:dyDescent="0.25">
      <c r="A934" s="26">
        <v>269</v>
      </c>
      <c r="B934" s="1">
        <f>IFERROR(VLOOKUP(ТабПозиции[[#This Row],[orderNum]],ТабЗаказы[#Data],MATCH(B$7,ТабЗаказы[#Headers],0),0),"")</f>
        <v>45562</v>
      </c>
      <c r="C934" t="str">
        <f>MONTH(ТабПозиции[[#This Row],[date]])&amp;"/"&amp;YEAR(ТабПозиции[[#This Row],[date]])</f>
        <v>9/2024</v>
      </c>
      <c r="D934" s="1" t="str">
        <f>IFERROR(VLOOKUP(ТабПозиции[[#This Row],[orderNum]],ТабЗаказы[#Data],MATCH(D$7,ТабЗаказы[#Headers],0),0),"")</f>
        <v>Лана</v>
      </c>
      <c r="E934" s="26" t="s">
        <v>32</v>
      </c>
      <c r="F934" s="56" t="s">
        <v>3061</v>
      </c>
      <c r="H934" s="34">
        <v>45562</v>
      </c>
      <c r="I934" s="26">
        <v>1</v>
      </c>
      <c r="J934" s="26">
        <f>524+367+943+484+1537+179+197+197</f>
        <v>4428</v>
      </c>
      <c r="K934">
        <v>4428</v>
      </c>
      <c r="L934" s="26">
        <f>524+367+943+484+1537+179+197+197</f>
        <v>4428</v>
      </c>
      <c r="M934">
        <f t="shared" si="16"/>
        <v>4428</v>
      </c>
      <c r="O93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Row],[orderNum]],ТабПозиции[orderSumm])&gt;1500),ABS(M934*VLOOKUP(ТабПозиции[[#This Row],[orderNum]],ТабЗаказы[#Data],MATCH("Percent",ТабЗаказы[#Headers],0),0))/100,200/COUNTIF(ТабПозиции[orderNum],ТабПозиции[[#This Row],[orderNum]])),0),"")</f>
        <v>664</v>
      </c>
      <c r="P934">
        <f>IF(OR(ТабПозиции[[#This Row],[item]]="По штрихкоду",ТабПозиции[[#This Row],[item]]="Посылка"),ТабПозиции[[#This Row],[deliverySumm]]+ТабПозиции[[#This Row],[deliveryPost]],SUM(M934:O934))</f>
        <v>664</v>
      </c>
      <c r="Q934" s="57">
        <v>664</v>
      </c>
      <c r="R934" s="62">
        <f>ТабПозиции[[#This Row],[totalSumm]]-ТабПозиции[[#This Row],[payment]]</f>
        <v>0</v>
      </c>
      <c r="S934" s="34" t="s">
        <v>955</v>
      </c>
      <c r="T934" s="56" t="s">
        <v>3061</v>
      </c>
      <c r="U934" s="56" t="s">
        <v>3061</v>
      </c>
      <c r="V934" s="56" t="s">
        <v>3061</v>
      </c>
      <c r="W934" s="7"/>
      <c r="X934"/>
    </row>
    <row r="935" spans="1:24" x14ac:dyDescent="0.25">
      <c r="A935" s="26">
        <v>256</v>
      </c>
      <c r="B935" s="1">
        <f>IFERROR(VLOOKUP(ТабПозиции[[#This Row],[orderNum]],ТабЗаказы[#Data],MATCH(B$7,ТабЗаказы[#Headers],0),0),"")</f>
        <v>45552</v>
      </c>
      <c r="C935" t="str">
        <f>MONTH(ТабПозиции[[#This Row],[date]])&amp;"/"&amp;YEAR(ТабПозиции[[#This Row],[date]])</f>
        <v>9/2024</v>
      </c>
      <c r="D935" s="1" t="str">
        <f>IFERROR(VLOOKUP(ТабПозиции[[#This Row],[orderNum]],ТабЗаказы[#Data],MATCH(D$7,ТабЗаказы[#Headers],0),0),"")</f>
        <v>Максим телевизор</v>
      </c>
      <c r="E935" s="26" t="s">
        <v>815</v>
      </c>
      <c r="F935" s="56" t="s">
        <v>3061</v>
      </c>
      <c r="G935" s="47" t="s">
        <v>1514</v>
      </c>
      <c r="H935" s="34">
        <v>45562</v>
      </c>
      <c r="I935" s="26">
        <v>1</v>
      </c>
      <c r="J935" s="26">
        <v>15450</v>
      </c>
      <c r="K935">
        <v>15450</v>
      </c>
      <c r="L935" s="26">
        <v>15450</v>
      </c>
      <c r="M935">
        <f t="shared" si="16"/>
        <v>15450</v>
      </c>
      <c r="O93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Row],[orderNum]],ТабПозиции[orderSumm])&gt;1500),ABS(M935*VLOOKUP(ТабПозиции[[#This Row],[orderNum]],ТабЗаказы[#Data],MATCH("Percent",ТабЗаказы[#Headers],0),0))/100,200/COUNTIF(ТабПозиции[orderNum],ТабПозиции[[#This Row],[orderNum]])),0),"")</f>
        <v>1545</v>
      </c>
      <c r="P935">
        <f>IF(OR(ТабПозиции[[#This Row],[item]]="По штрихкоду",ТабПозиции[[#This Row],[item]]="Посылка"),ТабПозиции[[#This Row],[deliverySumm]]+ТабПозиции[[#This Row],[deliveryPost]],SUM(M935:O935))</f>
        <v>1545</v>
      </c>
      <c r="Q935" s="57">
        <v>1545</v>
      </c>
      <c r="R935" s="62">
        <f>ТабПозиции[[#This Row],[totalSumm]]-ТабПозиции[[#This Row],[payment]]</f>
        <v>0</v>
      </c>
      <c r="S935" s="34" t="s">
        <v>1016</v>
      </c>
      <c r="T935" s="56" t="s">
        <v>3061</v>
      </c>
      <c r="U935" s="56" t="s">
        <v>3061</v>
      </c>
      <c r="V935" s="56" t="s">
        <v>3061</v>
      </c>
      <c r="W935" s="7"/>
      <c r="X935"/>
    </row>
    <row r="936" spans="1:24" x14ac:dyDescent="0.25">
      <c r="A936" s="26">
        <v>274</v>
      </c>
      <c r="B936" s="1">
        <f>IFERROR(VLOOKUP(ТабПозиции[[#This Row],[orderNum]],ТабЗаказы[#Data],MATCH(B$7,ТабЗаказы[#Headers],0),0),"")</f>
        <v>45569</v>
      </c>
      <c r="C936" t="str">
        <f>MONTH(ТабПозиции[[#This Row],[date]])&amp;"/"&amp;YEAR(ТабПозиции[[#This Row],[date]])</f>
        <v>10/2024</v>
      </c>
      <c r="D936" s="1" t="str">
        <f>IFERROR(VLOOKUP(ТабПозиции[[#This Row],[orderNum]],ТабЗаказы[#Data],MATCH(D$7,ТабЗаказы[#Headers],0),0),"")</f>
        <v>Андрей Бердянское</v>
      </c>
      <c r="E936" s="26" t="s">
        <v>815</v>
      </c>
      <c r="F936" s="56" t="s">
        <v>3061</v>
      </c>
      <c r="G936" s="28" t="s">
        <v>1515</v>
      </c>
      <c r="H936" s="34">
        <v>45569</v>
      </c>
      <c r="I936" s="26">
        <v>1</v>
      </c>
      <c r="J936" s="26">
        <v>30000</v>
      </c>
      <c r="K936">
        <v>30000</v>
      </c>
      <c r="L936" s="26">
        <v>30000</v>
      </c>
      <c r="M936">
        <f t="shared" si="16"/>
        <v>30000</v>
      </c>
      <c r="N936" s="26">
        <v>200</v>
      </c>
      <c r="O93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Row],[orderNum]],ТабПозиции[orderSumm])&gt;1500),ABS(M936*VLOOKUP(ТабПозиции[[#This Row],[orderNum]],ТабЗаказы[#Data],MATCH("Percent",ТабЗаказы[#Headers],0),0))/100,200/COUNTIF(ТабПозиции[orderNum],ТабПозиции[[#This Row],[orderNum]])),0),"")</f>
        <v>3000</v>
      </c>
      <c r="P936">
        <f>IF(OR(ТабПозиции[[#This Row],[item]]="По штрихкоду",ТабПозиции[[#This Row],[item]]="Посылка"),ТабПозиции[[#This Row],[deliverySumm]]+ТабПозиции[[#This Row],[deliveryPost]],SUM(M936:O936))</f>
        <v>3200</v>
      </c>
      <c r="Q936" s="57">
        <v>3200</v>
      </c>
      <c r="R936" s="62">
        <f>ТабПозиции[[#This Row],[totalSumm]]-ТабПозиции[[#This Row],[payment]]</f>
        <v>0</v>
      </c>
      <c r="S936" s="34" t="s">
        <v>1016</v>
      </c>
      <c r="T936" s="56" t="s">
        <v>3061</v>
      </c>
      <c r="U936" s="56" t="s">
        <v>3061</v>
      </c>
      <c r="V936" s="56" t="s">
        <v>3061</v>
      </c>
      <c r="W936" s="7"/>
      <c r="X936"/>
    </row>
    <row r="937" spans="1:24" x14ac:dyDescent="0.25">
      <c r="A937" s="26">
        <v>270</v>
      </c>
      <c r="B937" s="1">
        <f>IFERROR(VLOOKUP(ТабПозиции[[#This Row],[orderNum]],ТабЗаказы[#Data],MATCH(B$7,ТабЗаказы[#Headers],0),0),"")</f>
        <v>45563</v>
      </c>
      <c r="C937" t="str">
        <f>MONTH(ТабПозиции[[#This Row],[date]])&amp;"/"&amp;YEAR(ТабПозиции[[#This Row],[date]])</f>
        <v>9/2024</v>
      </c>
      <c r="D937" s="1" t="str">
        <f>IFERROR(VLOOKUP(ТабПозиции[[#This Row],[orderNum]],ТабЗаказы[#Data],MATCH(D$7,ТабЗаказы[#Headers],0),0),"")</f>
        <v>Кирилл Куприна</v>
      </c>
      <c r="E937" s="32" t="s">
        <v>1516</v>
      </c>
      <c r="F937" s="56" t="s">
        <v>3061</v>
      </c>
      <c r="H937" s="34">
        <v>45566</v>
      </c>
      <c r="I937" s="26">
        <v>1</v>
      </c>
      <c r="J937" s="26">
        <v>313</v>
      </c>
      <c r="K937">
        <v>313</v>
      </c>
      <c r="L937" s="26">
        <v>330</v>
      </c>
      <c r="M937">
        <f t="shared" si="16"/>
        <v>330</v>
      </c>
      <c r="O93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Row],[orderNum]],ТабПозиции[orderSumm])&gt;1500),ABS(M937*VLOOKUP(ТабПозиции[[#This Row],[orderNum]],ТабЗаказы[#Data],MATCH("Percent",ТабЗаказы[#Headers],0),0))/100,200/COUNTIF(ТабПозиции[orderNum],ТабПозиции[[#This Row],[orderNum]])),0),"")</f>
        <v>50</v>
      </c>
      <c r="P937">
        <f>IF(OR(ТабПозиции[[#This Row],[item]]="По штрихкоду",ТабПозиции[[#This Row],[item]]="Посылка"),ТабПозиции[[#This Row],[deliverySumm]]+ТабПозиции[[#This Row],[deliveryPost]],SUM(M937:O937))</f>
        <v>380</v>
      </c>
      <c r="Q937" s="57">
        <v>380</v>
      </c>
      <c r="R937" s="62">
        <f>ТабПозиции[[#This Row],[totalSumm]]-ТабПозиции[[#This Row],[payment]]</f>
        <v>0</v>
      </c>
      <c r="S937" s="34" t="s">
        <v>965</v>
      </c>
      <c r="T937" s="56" t="s">
        <v>3061</v>
      </c>
      <c r="U937" s="56" t="s">
        <v>3061</v>
      </c>
      <c r="V937" s="56" t="s">
        <v>3061</v>
      </c>
      <c r="W937" s="7"/>
      <c r="X937"/>
    </row>
    <row r="938" spans="1:24" x14ac:dyDescent="0.25">
      <c r="A938" s="26">
        <v>270</v>
      </c>
      <c r="B938" s="1">
        <f>IFERROR(VLOOKUP(ТабПозиции[[#This Row],[orderNum]],ТабЗаказы[#Data],MATCH(B$7,ТабЗаказы[#Headers],0),0),"")</f>
        <v>45563</v>
      </c>
      <c r="C938" t="str">
        <f>MONTH(ТабПозиции[[#This Row],[date]])&amp;"/"&amp;YEAR(ТабПозиции[[#This Row],[date]])</f>
        <v>9/2024</v>
      </c>
      <c r="D938" s="1" t="str">
        <f>IFERROR(VLOOKUP(ТабПозиции[[#This Row],[orderNum]],ТабЗаказы[#Data],MATCH(D$7,ТабЗаказы[#Headers],0),0),"")</f>
        <v>Кирилл Куприна</v>
      </c>
      <c r="E938" s="32" t="s">
        <v>1517</v>
      </c>
      <c r="F938" s="56" t="s">
        <v>3061</v>
      </c>
      <c r="H938" s="34">
        <v>45566</v>
      </c>
      <c r="I938" s="26">
        <v>1</v>
      </c>
      <c r="J938" s="26">
        <v>960</v>
      </c>
      <c r="K938">
        <v>960</v>
      </c>
      <c r="L938" s="26">
        <v>1011</v>
      </c>
      <c r="M938">
        <f t="shared" si="16"/>
        <v>1011</v>
      </c>
      <c r="O93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Row],[orderNum]],ТабПозиции[orderSumm])&gt;1500),ABS(M938*VLOOKUP(ТабПозиции[[#This Row],[orderNum]],ТабЗаказы[#Data],MATCH("Percent",ТабЗаказы[#Headers],0),0))/100,200/COUNTIF(ТабПозиции[orderNum],ТабПозиции[[#This Row],[orderNum]])),0),"")</f>
        <v>152</v>
      </c>
      <c r="P938">
        <f>IF(OR(ТабПозиции[[#This Row],[item]]="По штрихкоду",ТабПозиции[[#This Row],[item]]="Посылка"),ТабПозиции[[#This Row],[deliverySumm]]+ТабПозиции[[#This Row],[deliveryPost]],SUM(M938:O938))</f>
        <v>1163</v>
      </c>
      <c r="Q938" s="57">
        <v>1163</v>
      </c>
      <c r="R938" s="62">
        <f>ТабПозиции[[#This Row],[totalSumm]]-ТабПозиции[[#This Row],[payment]]</f>
        <v>0</v>
      </c>
      <c r="S938" s="34" t="s">
        <v>965</v>
      </c>
      <c r="T938" s="56" t="s">
        <v>3061</v>
      </c>
      <c r="U938" s="56" t="s">
        <v>3061</v>
      </c>
      <c r="V938" s="56" t="s">
        <v>3061</v>
      </c>
      <c r="W938" s="7"/>
      <c r="X938"/>
    </row>
    <row r="939" spans="1:24" x14ac:dyDescent="0.25">
      <c r="A939" s="26">
        <v>270</v>
      </c>
      <c r="B939" s="1">
        <f>IFERROR(VLOOKUP(ТабПозиции[[#This Row],[orderNum]],ТабЗаказы[#Data],MATCH(B$7,ТабЗаказы[#Headers],0),0),"")</f>
        <v>45563</v>
      </c>
      <c r="C939" t="str">
        <f>MONTH(ТабПозиции[[#This Row],[date]])&amp;"/"&amp;YEAR(ТабПозиции[[#This Row],[date]])</f>
        <v>9/2024</v>
      </c>
      <c r="D939" s="1" t="str">
        <f>IFERROR(VLOOKUP(ТабПозиции[[#This Row],[orderNum]],ТабЗаказы[#Data],MATCH(D$7,ТабЗаказы[#Headers],0),0),"")</f>
        <v>Кирилл Куприна</v>
      </c>
      <c r="E939" s="32" t="s">
        <v>1518</v>
      </c>
      <c r="F939" s="56" t="s">
        <v>3061</v>
      </c>
      <c r="H939" s="34">
        <v>45565</v>
      </c>
      <c r="I939" s="26">
        <v>1</v>
      </c>
      <c r="J939" s="26">
        <v>544</v>
      </c>
      <c r="K939">
        <v>544</v>
      </c>
      <c r="L939" s="26">
        <v>573</v>
      </c>
      <c r="M939">
        <f t="shared" si="16"/>
        <v>573</v>
      </c>
      <c r="O93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Row],[orderNum]],ТабПозиции[orderSumm])&gt;1500),ABS(M939*VLOOKUP(ТабПозиции[[#This Row],[orderNum]],ТабЗаказы[#Data],MATCH("Percent",ТабЗаказы[#Headers],0),0))/100,200/COUNTIF(ТабПозиции[orderNum],ТабПозиции[[#This Row],[orderNum]])),0),"")</f>
        <v>86</v>
      </c>
      <c r="P939">
        <f>IF(OR(ТабПозиции[[#This Row],[item]]="По штрихкоду",ТабПозиции[[#This Row],[item]]="Посылка"),ТабПозиции[[#This Row],[deliverySumm]]+ТабПозиции[[#This Row],[deliveryPost]],SUM(M939:O939))</f>
        <v>659</v>
      </c>
      <c r="Q939" s="57">
        <v>659</v>
      </c>
      <c r="R939" s="62">
        <f>ТабПозиции[[#This Row],[totalSumm]]-ТабПозиции[[#This Row],[payment]]</f>
        <v>0</v>
      </c>
      <c r="S939" s="34" t="s">
        <v>965</v>
      </c>
      <c r="T939" s="56" t="s">
        <v>3061</v>
      </c>
      <c r="U939" s="56" t="s">
        <v>3061</v>
      </c>
      <c r="V939" s="56" t="s">
        <v>3061</v>
      </c>
      <c r="W939" s="7"/>
      <c r="X939"/>
    </row>
    <row r="940" spans="1:24" x14ac:dyDescent="0.25">
      <c r="A940" s="26">
        <v>270</v>
      </c>
      <c r="B940" s="1">
        <f>IFERROR(VLOOKUP(ТабПозиции[[#This Row],[orderNum]],ТабЗаказы[#Data],MATCH(B$7,ТабЗаказы[#Headers],0),0),"")</f>
        <v>45563</v>
      </c>
      <c r="C940" t="str">
        <f>MONTH(ТабПозиции[[#This Row],[date]])&amp;"/"&amp;YEAR(ТабПозиции[[#This Row],[date]])</f>
        <v>9/2024</v>
      </c>
      <c r="D940" s="1" t="str">
        <f>IFERROR(VLOOKUP(ТабПозиции[[#This Row],[orderNum]],ТабЗаказы[#Data],MATCH(D$7,ТабЗаказы[#Headers],0),0),"")</f>
        <v>Кирилл Куприна</v>
      </c>
      <c r="E940" s="32" t="s">
        <v>1519</v>
      </c>
      <c r="F940" s="56" t="s">
        <v>3061</v>
      </c>
      <c r="H940" s="34">
        <v>45565</v>
      </c>
      <c r="I940" s="26">
        <v>1</v>
      </c>
      <c r="J940" s="26">
        <v>1267</v>
      </c>
      <c r="K940">
        <v>1267</v>
      </c>
      <c r="L940" s="26">
        <v>1334</v>
      </c>
      <c r="M940">
        <f t="shared" si="16"/>
        <v>1334</v>
      </c>
      <c r="O94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Row],[orderNum]],ТабПозиции[orderSumm])&gt;1500),ABS(M940*VLOOKUP(ТабПозиции[[#This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940">
        <f>IF(OR(ТабПозиции[[#This Row],[item]]="По штрихкоду",ТабПозиции[[#This Row],[item]]="Посылка"),ТабПозиции[[#This Row],[deliverySumm]]+ТабПозиции[[#This Row],[deliveryPost]],SUM(M940:O940))</f>
        <v>1534</v>
      </c>
      <c r="Q940" s="57">
        <v>1534</v>
      </c>
      <c r="R940" s="62">
        <f>ТабПозиции[[#This Row],[totalSumm]]-ТабПозиции[[#This Row],[payment]]</f>
        <v>0</v>
      </c>
      <c r="S940" s="34" t="s">
        <v>965</v>
      </c>
      <c r="T940" s="56" t="s">
        <v>3061</v>
      </c>
      <c r="U940" s="56" t="s">
        <v>3061</v>
      </c>
      <c r="V940" s="56" t="s">
        <v>3061</v>
      </c>
      <c r="W940" s="7"/>
      <c r="X940"/>
    </row>
    <row r="941" spans="1:24" x14ac:dyDescent="0.25">
      <c r="A941" s="26">
        <v>271</v>
      </c>
      <c r="B941" s="1">
        <f>IFERROR(VLOOKUP(ТабПозиции[[#This Row],[orderNum]],ТабЗаказы[#Data],MATCH(B$7,ТабЗаказы[#Headers],0),0),"")</f>
        <v>45565</v>
      </c>
      <c r="C941" t="str">
        <f>MONTH(ТабПозиции[[#This Row],[date]])&amp;"/"&amp;YEAR(ТабПозиции[[#This Row],[date]])</f>
        <v>9/2024</v>
      </c>
      <c r="D941" s="1" t="str">
        <f>IFERROR(VLOOKUP(ТабПозиции[[#This Row],[orderNum]],ТабЗаказы[#Data],MATCH(D$7,ТабЗаказы[#Headers],0),0),"")</f>
        <v>Лариса Кирова</v>
      </c>
      <c r="E941" s="48" t="s">
        <v>1524</v>
      </c>
      <c r="F941" s="56" t="s">
        <v>3061</v>
      </c>
      <c r="H941" s="34">
        <v>45568</v>
      </c>
      <c r="I941" s="26">
        <v>0</v>
      </c>
      <c r="J941" s="26">
        <v>260</v>
      </c>
      <c r="K941">
        <v>0</v>
      </c>
      <c r="L941" s="26">
        <v>265</v>
      </c>
      <c r="M941">
        <f t="shared" si="16"/>
        <v>0</v>
      </c>
      <c r="O94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Row],[orderNum]],ТабПозиции[orderSumm])&gt;1500),ABS(M941*VLOOKUP(ТабПозиции[[#This Row],[orderNum]],ТабЗаказы[#Data],MATCH("Percent",ТабЗаказы[#Headers],0),0))/100,200/COUNTIF(ТабПозиции[orderNum],ТабПозиции[[#This Row],[orderNum]])),0),"")</f>
        <v>0</v>
      </c>
      <c r="P941">
        <f>IF(OR(ТабПозиции[[#This Row],[item]]="По штрихкоду",ТабПозиции[[#This Row],[item]]="Посылка"),ТабПозиции[[#This Row],[deliverySumm]]+ТабПозиции[[#This Row],[deliveryPost]],SUM(M941:O941))</f>
        <v>0</v>
      </c>
      <c r="Q941" s="57">
        <v>0</v>
      </c>
      <c r="R941" s="62">
        <f>ТабПозиции[[#This Row],[totalSumm]]-ТабПозиции[[#This Row],[payment]]</f>
        <v>0</v>
      </c>
      <c r="S941" s="34" t="s">
        <v>955</v>
      </c>
      <c r="T941" s="56" t="s">
        <v>3061</v>
      </c>
      <c r="U941" s="56" t="s">
        <v>3061</v>
      </c>
      <c r="V941" s="56" t="s">
        <v>3061</v>
      </c>
      <c r="W941" s="7"/>
      <c r="X941"/>
    </row>
    <row r="942" spans="1:24" x14ac:dyDescent="0.25">
      <c r="A942" s="26">
        <v>271</v>
      </c>
      <c r="B942" s="1">
        <f>IFERROR(VLOOKUP(ТабПозиции[[#This Row],[orderNum]],ТабЗаказы[#Data],MATCH(B$7,ТабЗаказы[#Headers],0),0),"")</f>
        <v>45565</v>
      </c>
      <c r="C942" t="str">
        <f>MONTH(ТабПозиции[[#This Row],[date]])&amp;"/"&amp;YEAR(ТабПозиции[[#This Row],[date]])</f>
        <v>9/2024</v>
      </c>
      <c r="D942" s="1" t="str">
        <f>IFERROR(VLOOKUP(ТабПозиции[[#This Row],[orderNum]],ТабЗаказы[#Data],MATCH(D$7,ТабЗаказы[#Headers],0),0),"")</f>
        <v>Лариса Кирова</v>
      </c>
      <c r="E942" s="32" t="s">
        <v>1525</v>
      </c>
      <c r="F942" s="56" t="s">
        <v>3061</v>
      </c>
      <c r="H942" s="34">
        <v>45567</v>
      </c>
      <c r="I942" s="26">
        <v>1</v>
      </c>
      <c r="J942" s="26">
        <v>292</v>
      </c>
      <c r="K942">
        <v>292</v>
      </c>
      <c r="L942" s="26">
        <v>308</v>
      </c>
      <c r="M942">
        <f t="shared" si="16"/>
        <v>308</v>
      </c>
      <c r="O94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Row],[orderNum]],ТабПозиции[orderSumm])&gt;1500),ABS(M942*VLOOKUP(ТабПозиции[[#This Row],[orderNum]],ТабЗаказы[#Data],MATCH("Percent",ТабЗаказы[#Headers],0),0))/100,200/COUNTIF(ТабПозиции[orderNum],ТабПозиции[[#This Row],[orderNum]])),0),"")</f>
        <v>46</v>
      </c>
      <c r="P942">
        <f>IF(OR(ТабПозиции[[#This Row],[item]]="По штрихкоду",ТабПозиции[[#This Row],[item]]="Посылка"),ТабПозиции[[#This Row],[deliverySumm]]+ТабПозиции[[#This Row],[deliveryPost]],SUM(M942:O942))</f>
        <v>354</v>
      </c>
      <c r="Q942" s="57">
        <v>354</v>
      </c>
      <c r="R942" s="62">
        <f>ТабПозиции[[#This Row],[totalSumm]]-ТабПозиции[[#This Row],[payment]]</f>
        <v>0</v>
      </c>
      <c r="S942" s="34" t="s">
        <v>965</v>
      </c>
      <c r="T942" s="56" t="s">
        <v>3061</v>
      </c>
      <c r="U942" s="56" t="s">
        <v>3061</v>
      </c>
      <c r="V942" s="56" t="s">
        <v>3061</v>
      </c>
      <c r="W942" s="7"/>
      <c r="X942"/>
    </row>
    <row r="943" spans="1:24" x14ac:dyDescent="0.25">
      <c r="A943" s="26">
        <v>271</v>
      </c>
      <c r="B943" s="1">
        <f>IFERROR(VLOOKUP(ТабПозиции[[#This Row],[orderNum]],ТабЗаказы[#Data],MATCH(B$7,ТабЗаказы[#Headers],0),0),"")</f>
        <v>45565</v>
      </c>
      <c r="C943" t="str">
        <f>MONTH(ТабПозиции[[#This Row],[date]])&amp;"/"&amp;YEAR(ТабПозиции[[#This Row],[date]])</f>
        <v>9/2024</v>
      </c>
      <c r="D943" s="1" t="str">
        <f>IFERROR(VLOOKUP(ТабПозиции[[#This Row],[orderNum]],ТабЗаказы[#Data],MATCH(D$7,ТабЗаказы[#Headers],0),0),"")</f>
        <v>Лариса Кирова</v>
      </c>
      <c r="E943" s="32" t="s">
        <v>634</v>
      </c>
      <c r="F943" s="56" t="s">
        <v>3061</v>
      </c>
      <c r="H943" s="34">
        <v>45566</v>
      </c>
      <c r="I943" s="26">
        <v>1</v>
      </c>
      <c r="J943" s="26">
        <v>551</v>
      </c>
      <c r="K943">
        <v>551</v>
      </c>
      <c r="L943" s="26">
        <v>591</v>
      </c>
      <c r="M943">
        <f t="shared" si="16"/>
        <v>591</v>
      </c>
      <c r="O94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Row],[orderNum]],ТабПозиции[orderSumm])&gt;1500),ABS(M943*VLOOKUP(ТабПозиции[[#This Row],[orderNum]],ТабЗаказы[#Data],MATCH("Percent",ТабЗаказы[#Headers],0),0))/100,200/COUNTIF(ТабПозиции[orderNum],ТабПозиции[[#This Row],[orderNum]])),0),"")</f>
        <v>89</v>
      </c>
      <c r="P943">
        <f>IF(OR(ТабПозиции[[#This Row],[item]]="По штрихкоду",ТабПозиции[[#This Row],[item]]="Посылка"),ТабПозиции[[#This Row],[deliverySumm]]+ТабПозиции[[#This Row],[deliveryPost]],SUM(M943:O943))</f>
        <v>680</v>
      </c>
      <c r="Q943" s="57">
        <v>680</v>
      </c>
      <c r="R943" s="62">
        <f>ТабПозиции[[#This Row],[totalSumm]]-ТабПозиции[[#This Row],[payment]]</f>
        <v>0</v>
      </c>
      <c r="S943" s="34" t="s">
        <v>955</v>
      </c>
      <c r="T943" s="56" t="s">
        <v>3061</v>
      </c>
      <c r="U943" s="56" t="s">
        <v>3061</v>
      </c>
      <c r="V943" s="56" t="s">
        <v>3061</v>
      </c>
      <c r="W943" s="7"/>
      <c r="X943"/>
    </row>
    <row r="944" spans="1:24" x14ac:dyDescent="0.25">
      <c r="A944" s="26">
        <v>271</v>
      </c>
      <c r="B944" s="1">
        <f>IFERROR(VLOOKUP(ТабПозиции[[#This Row],[orderNum]],ТабЗаказы[#Data],MATCH(B$7,ТабЗаказы[#Headers],0),0),"")</f>
        <v>45565</v>
      </c>
      <c r="C944" t="str">
        <f>MONTH(ТабПозиции[[#This Row],[date]])&amp;"/"&amp;YEAR(ТабПозиции[[#This Row],[date]])</f>
        <v>9/2024</v>
      </c>
      <c r="D944" s="1" t="str">
        <f>IFERROR(VLOOKUP(ТабПозиции[[#This Row],[orderNum]],ТабЗаказы[#Data],MATCH(D$7,ТабЗаказы[#Headers],0),0),"")</f>
        <v>Лариса Кирова</v>
      </c>
      <c r="E944" s="32" t="s">
        <v>1526</v>
      </c>
      <c r="F944" s="56" t="s">
        <v>3061</v>
      </c>
      <c r="H944" s="34">
        <v>45568</v>
      </c>
      <c r="I944" s="26">
        <v>1</v>
      </c>
      <c r="J944" s="26">
        <v>662</v>
      </c>
      <c r="K944">
        <v>662</v>
      </c>
      <c r="L944" s="26">
        <v>662</v>
      </c>
      <c r="M944">
        <f t="shared" si="16"/>
        <v>662</v>
      </c>
      <c r="O94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Row],[orderNum]],ТабПозиции[orderSumm])&gt;1500),ABS(M944*VLOOKUP(ТабПозиции[[#This Row],[orderNum]],ТабЗаказы[#Data],MATCH("Percent",ТабЗаказы[#Headers],0),0))/100,200/COUNTIF(ТабПозиции[orderNum],ТабПозиции[[#This Row],[orderNum]])),0),"")</f>
        <v>99</v>
      </c>
      <c r="P944">
        <f>IF(OR(ТабПозиции[[#This Row],[item]]="По штрихкоду",ТабПозиции[[#This Row],[item]]="Посылка"),ТабПозиции[[#This Row],[deliverySumm]]+ТабПозиции[[#This Row],[deliveryPost]],SUM(M944:O944))</f>
        <v>761</v>
      </c>
      <c r="Q944" s="57">
        <v>761</v>
      </c>
      <c r="R944" s="62">
        <f>ТабПозиции[[#This Row],[totalSumm]]-ТабПозиции[[#This Row],[payment]]</f>
        <v>0</v>
      </c>
      <c r="S944" s="34" t="s">
        <v>955</v>
      </c>
      <c r="T944" s="56" t="s">
        <v>3061</v>
      </c>
      <c r="U944" s="56" t="s">
        <v>3061</v>
      </c>
      <c r="V944" s="56" t="s">
        <v>3061</v>
      </c>
      <c r="W944" s="7"/>
      <c r="X944"/>
    </row>
    <row r="945" spans="1:24" x14ac:dyDescent="0.25">
      <c r="A945" s="26">
        <v>271</v>
      </c>
      <c r="B945" s="1">
        <f>IFERROR(VLOOKUP(ТабПозиции[[#This Row],[orderNum]],ТабЗаказы[#Data],MATCH(B$7,ТабЗаказы[#Headers],0),0),"")</f>
        <v>45565</v>
      </c>
      <c r="C945" t="str">
        <f>MONTH(ТабПозиции[[#This Row],[date]])&amp;"/"&amp;YEAR(ТабПозиции[[#This Row],[date]])</f>
        <v>9/2024</v>
      </c>
      <c r="D945" s="1" t="str">
        <f>IFERROR(VLOOKUP(ТабПозиции[[#This Row],[orderNum]],ТабЗаказы[#Data],MATCH(D$7,ТабЗаказы[#Headers],0),0),"")</f>
        <v>Лариса Кирова</v>
      </c>
      <c r="E945" s="32" t="s">
        <v>1527</v>
      </c>
      <c r="F945" s="56" t="s">
        <v>3061</v>
      </c>
      <c r="H945" s="34">
        <v>45567</v>
      </c>
      <c r="I945" s="26">
        <v>1</v>
      </c>
      <c r="J945" s="26">
        <v>133</v>
      </c>
      <c r="K945">
        <v>133</v>
      </c>
      <c r="L945" s="26">
        <v>140</v>
      </c>
      <c r="M945">
        <f t="shared" si="16"/>
        <v>140</v>
      </c>
      <c r="O94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Row],[orderNum]],ТабПозиции[orderSumm])&gt;1500),ABS(M945*VLOOKUP(ТабПозиции[[#This Row],[orderNum]],ТабЗаказы[#Data],MATCH("Percent",ТабЗаказы[#Headers],0),0))/100,200/COUNTIF(ТабПозиции[orderNum],ТабПозиции[[#This Row],[orderNum]])),0),"")</f>
        <v>21</v>
      </c>
      <c r="P945">
        <f>IF(OR(ТабПозиции[[#This Row],[item]]="По штрихкоду",ТабПозиции[[#This Row],[item]]="Посылка"),ТабПозиции[[#This Row],[deliverySumm]]+ТабПозиции[[#This Row],[deliveryPost]],SUM(M945:O945))</f>
        <v>161</v>
      </c>
      <c r="Q945" s="57">
        <v>161</v>
      </c>
      <c r="R945" s="62">
        <f>ТабПозиции[[#This Row],[totalSumm]]-ТабПозиции[[#This Row],[payment]]</f>
        <v>0</v>
      </c>
      <c r="S945" s="34" t="s">
        <v>955</v>
      </c>
      <c r="T945" s="56" t="s">
        <v>3061</v>
      </c>
      <c r="U945" s="56" t="s">
        <v>3061</v>
      </c>
      <c r="V945" s="56" t="s">
        <v>3061</v>
      </c>
      <c r="W945" s="7"/>
      <c r="X945"/>
    </row>
    <row r="946" spans="1:24" x14ac:dyDescent="0.25">
      <c r="A946" s="26">
        <v>271</v>
      </c>
      <c r="B946" s="1">
        <f>IFERROR(VLOOKUP(ТабПозиции[[#This Row],[orderNum]],ТабЗаказы[#Data],MATCH(B$7,ТабЗаказы[#Headers],0),0),"")</f>
        <v>45565</v>
      </c>
      <c r="C946" t="str">
        <f>MONTH(ТабПозиции[[#This Row],[date]])&amp;"/"&amp;YEAR(ТабПозиции[[#This Row],[date]])</f>
        <v>9/2024</v>
      </c>
      <c r="D946" s="1" t="str">
        <f>IFERROR(VLOOKUP(ТабПозиции[[#This Row],[orderNum]],ТабЗаказы[#Data],MATCH(D$7,ТабЗаказы[#Headers],0),0),"")</f>
        <v>Лариса Кирова</v>
      </c>
      <c r="E946" s="32" t="s">
        <v>1525</v>
      </c>
      <c r="F946" s="56" t="s">
        <v>3061</v>
      </c>
      <c r="H946" s="34">
        <v>45568</v>
      </c>
      <c r="I946" s="26">
        <v>1</v>
      </c>
      <c r="J946" s="26">
        <v>331</v>
      </c>
      <c r="K946">
        <v>331</v>
      </c>
      <c r="L946" s="26">
        <v>338</v>
      </c>
      <c r="M946">
        <f t="shared" si="16"/>
        <v>338</v>
      </c>
      <c r="O94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Row],[orderNum]],ТабПозиции[orderSumm])&gt;1500),ABS(M946*VLOOKUP(ТабПозиции[[#This Row],[orderNum]],ТабЗаказы[#Data],MATCH("Percent",ТабЗаказы[#Headers],0),0))/100,200/COUNTIF(ТабПозиции[orderNum],ТабПозиции[[#This Row],[orderNum]])),0),"")</f>
        <v>51</v>
      </c>
      <c r="P946">
        <f>IF(OR(ТабПозиции[[#This Row],[item]]="По штрихкоду",ТабПозиции[[#This Row],[item]]="Посылка"),ТабПозиции[[#This Row],[deliverySumm]]+ТабПозиции[[#This Row],[deliveryPost]],SUM(M946:O946))</f>
        <v>389</v>
      </c>
      <c r="Q946" s="57">
        <v>389</v>
      </c>
      <c r="R946" s="62">
        <f>ТабПозиции[[#This Row],[totalSumm]]-ТабПозиции[[#This Row],[payment]]</f>
        <v>0</v>
      </c>
      <c r="S946" s="34" t="s">
        <v>955</v>
      </c>
      <c r="T946" s="56" t="s">
        <v>3061</v>
      </c>
      <c r="U946" s="56" t="s">
        <v>3061</v>
      </c>
      <c r="V946" s="56" t="s">
        <v>3061</v>
      </c>
      <c r="W946" s="7"/>
      <c r="X946"/>
    </row>
    <row r="947" spans="1:24" x14ac:dyDescent="0.25">
      <c r="A947" s="26">
        <v>272</v>
      </c>
      <c r="B947" s="1">
        <f>IFERROR(VLOOKUP(ТабПозиции[[#This Row],[orderNum]],ТабЗаказы[#Data],MATCH(B$7,ТабЗаказы[#Headers],0),0),"")</f>
        <v>45565</v>
      </c>
      <c r="C947" t="str">
        <f>MONTH(ТабПозиции[[#This Row],[date]])&amp;"/"&amp;YEAR(ТабПозиции[[#This Row],[date]])</f>
        <v>9/2024</v>
      </c>
      <c r="D947" s="1" t="str">
        <f>IFERROR(VLOOKUP(ТабПозиции[[#This Row],[orderNum]],ТабЗаказы[#Data],MATCH(D$7,ТабЗаказы[#Headers],0),0),"")</f>
        <v>Галина Агабекова(церковь)</v>
      </c>
      <c r="E947" s="32" t="s">
        <v>1535</v>
      </c>
      <c r="F947" s="56" t="s">
        <v>3061</v>
      </c>
      <c r="G947" s="28" t="s">
        <v>1556</v>
      </c>
      <c r="H947" s="34"/>
      <c r="I947" s="26">
        <v>1</v>
      </c>
      <c r="J947" s="26">
        <v>198</v>
      </c>
      <c r="K947">
        <v>198</v>
      </c>
      <c r="L947" s="26">
        <v>222</v>
      </c>
      <c r="M947">
        <f t="shared" ref="M947:M973" si="17">L947*I947</f>
        <v>222</v>
      </c>
      <c r="N947" s="26">
        <v>240</v>
      </c>
      <c r="O94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Row],[orderNum]],ТабПозиции[orderSumm])&gt;1500),ABS(M947*VLOOKUP(ТабПозиции[[#This Row],[orderNum]],ТабЗаказы[#Data],MATCH("Percent",ТабЗаказы[#Headers],0),0))/100,200/COUNTIF(ТабПозиции[orderNum],ТабПозиции[[#This Row],[orderNum]])),0),"")</f>
        <v>22</v>
      </c>
      <c r="P947">
        <f>IF(OR(ТабПозиции[[#This Row],[item]]="По штрихкоду",ТабПозиции[[#This Row],[item]]="Посылка"),ТабПозиции[[#This Row],[deliverySumm]]+ТабПозиции[[#This Row],[deliveryPost]],SUM(M947:O947))</f>
        <v>484</v>
      </c>
      <c r="Q947" s="57">
        <v>484</v>
      </c>
      <c r="R947" s="62">
        <f>ТабПозиции[[#This Row],[totalSumm]]-ТабПозиции[[#This Row],[payment]]</f>
        <v>0</v>
      </c>
      <c r="S947" s="34" t="s">
        <v>1113</v>
      </c>
      <c r="T947" s="56" t="s">
        <v>3061</v>
      </c>
      <c r="U947" s="56" t="s">
        <v>3061</v>
      </c>
      <c r="V947" s="56" t="s">
        <v>3061</v>
      </c>
      <c r="W947" s="7"/>
      <c r="X947"/>
    </row>
    <row r="948" spans="1:24" x14ac:dyDescent="0.25">
      <c r="A948" s="26">
        <v>272</v>
      </c>
      <c r="B948" s="1">
        <f>IFERROR(VLOOKUP(ТабПозиции[[#This Row],[orderNum]],ТабЗаказы[#Data],MATCH(B$7,ТабЗаказы[#Headers],0),0),"")</f>
        <v>45565</v>
      </c>
      <c r="C948" t="str">
        <f>MONTH(ТабПозиции[[#This Row],[date]])&amp;"/"&amp;YEAR(ТабПозиции[[#This Row],[date]])</f>
        <v>9/2024</v>
      </c>
      <c r="D948" s="1" t="str">
        <f>IFERROR(VLOOKUP(ТабПозиции[[#This Row],[orderNum]],ТабЗаказы[#Data],MATCH(D$7,ТабЗаказы[#Headers],0),0),"")</f>
        <v>Галина Агабекова(церковь)</v>
      </c>
      <c r="E948" s="32" t="s">
        <v>1540</v>
      </c>
      <c r="F948" s="56" t="s">
        <v>3061</v>
      </c>
      <c r="H948" s="34"/>
      <c r="I948" s="39">
        <v>0</v>
      </c>
      <c r="J948" s="26">
        <v>529</v>
      </c>
      <c r="K948">
        <v>0</v>
      </c>
      <c r="L948" s="26">
        <v>529</v>
      </c>
      <c r="M948">
        <f t="shared" si="17"/>
        <v>0</v>
      </c>
      <c r="O94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Row],[orderNum]],ТабПозиции[orderSumm])&gt;1500),ABS(M948*VLOOKUP(ТабПозиции[[#This Row],[orderNum]],ТабЗаказы[#Data],MATCH("Percent",ТабЗаказы[#Headers],0),0))/100,200/COUNTIF(ТабПозиции[orderNum],ТабПозиции[[#This Row],[orderNum]])),0),"")</f>
        <v>0</v>
      </c>
      <c r="P948">
        <f>IF(OR(ТабПозиции[[#This Row],[item]]="По штрихкоду",ТабПозиции[[#This Row],[item]]="Посылка"),ТабПозиции[[#This Row],[deliverySumm]]+ТабПозиции[[#This Row],[deliveryPost]],SUM(M948:O948))</f>
        <v>0</v>
      </c>
      <c r="R948" s="62">
        <f>ТабПозиции[[#This Row],[totalSumm]]-ТабПозиции[[#This Row],[payment]]</f>
        <v>0</v>
      </c>
      <c r="S948" s="34" t="s">
        <v>1011</v>
      </c>
      <c r="T948" s="56" t="s">
        <v>3061</v>
      </c>
      <c r="U948" s="56" t="s">
        <v>3061</v>
      </c>
      <c r="V948" s="56" t="s">
        <v>3061</v>
      </c>
      <c r="W948" s="7"/>
      <c r="X948"/>
    </row>
    <row r="949" spans="1:24" x14ac:dyDescent="0.25">
      <c r="A949" s="26">
        <v>272</v>
      </c>
      <c r="B949" s="1">
        <f>IFERROR(VLOOKUP(ТабПозиции[[#This Row],[orderNum]],ТабЗаказы[#Data],MATCH(B$7,ТабЗаказы[#Headers],0),0),"")</f>
        <v>45565</v>
      </c>
      <c r="C949" t="str">
        <f>MONTH(ТабПозиции[[#This Row],[date]])&amp;"/"&amp;YEAR(ТабПозиции[[#This Row],[date]])</f>
        <v>9/2024</v>
      </c>
      <c r="D949" s="1" t="str">
        <f>IFERROR(VLOOKUP(ТабПозиции[[#This Row],[orderNum]],ТабЗаказы[#Data],MATCH(D$7,ТабЗаказы[#Headers],0),0),"")</f>
        <v>Галина Агабекова(церковь)</v>
      </c>
      <c r="E949" s="32" t="s">
        <v>1541</v>
      </c>
      <c r="F949" s="56" t="s">
        <v>3061</v>
      </c>
      <c r="H949" s="34"/>
      <c r="I949" s="26">
        <v>1</v>
      </c>
      <c r="J949" s="26">
        <v>445</v>
      </c>
      <c r="K949">
        <v>445</v>
      </c>
      <c r="L949" s="26">
        <v>479</v>
      </c>
      <c r="M949">
        <f t="shared" si="17"/>
        <v>479</v>
      </c>
      <c r="O94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Row],[orderNum]],ТабПозиции[orderSumm])&gt;1500),ABS(M949*VLOOKUP(ТабПозиции[[#This Row],[orderNum]],ТабЗаказы[#Data],MATCH("Percent",ТабЗаказы[#Headers],0),0))/100,200/COUNTIF(ТабПозиции[orderNum],ТабПозиции[[#This Row],[orderNum]])),0),"")</f>
        <v>48</v>
      </c>
      <c r="P949">
        <f>IF(OR(ТабПозиции[[#This Row],[item]]="По штрихкоду",ТабПозиции[[#This Row],[item]]="Посылка"),ТабПозиции[[#This Row],[deliverySumm]]+ТабПозиции[[#This Row],[deliveryPost]],SUM(M949:O949))</f>
        <v>527</v>
      </c>
      <c r="Q949" s="57">
        <v>527</v>
      </c>
      <c r="R949" s="62">
        <f>ТабПозиции[[#This Row],[totalSumm]]-ТабПозиции[[#This Row],[payment]]</f>
        <v>0</v>
      </c>
      <c r="S949" s="34" t="s">
        <v>955</v>
      </c>
      <c r="T949" s="56" t="s">
        <v>3061</v>
      </c>
      <c r="U949" s="56" t="s">
        <v>3061</v>
      </c>
      <c r="V949" s="56" t="s">
        <v>3061</v>
      </c>
      <c r="W949" s="7"/>
      <c r="X949"/>
    </row>
    <row r="950" spans="1:24" x14ac:dyDescent="0.25">
      <c r="A950" s="26">
        <v>272</v>
      </c>
      <c r="B950" s="1">
        <f>IFERROR(VLOOKUP(ТабПозиции[[#This Row],[orderNum]],ТабЗаказы[#Data],MATCH(B$7,ТабЗаказы[#Headers],0),0),"")</f>
        <v>45565</v>
      </c>
      <c r="C950" t="str">
        <f>MONTH(ТабПозиции[[#This Row],[date]])&amp;"/"&amp;YEAR(ТабПозиции[[#This Row],[date]])</f>
        <v>9/2024</v>
      </c>
      <c r="D950" s="1" t="str">
        <f>IFERROR(VLOOKUP(ТабПозиции[[#This Row],[orderNum]],ТабЗаказы[#Data],MATCH(D$7,ТабЗаказы[#Headers],0),0),"")</f>
        <v>Галина Агабекова(церковь)</v>
      </c>
      <c r="E950" s="32" t="s">
        <v>1528</v>
      </c>
      <c r="F950" s="56" t="s">
        <v>3061</v>
      </c>
      <c r="H950" s="34"/>
      <c r="I950" s="26">
        <v>2</v>
      </c>
      <c r="J950" s="26">
        <v>154</v>
      </c>
      <c r="K950">
        <v>308</v>
      </c>
      <c r="L950" s="26">
        <v>154</v>
      </c>
      <c r="M950">
        <f t="shared" si="17"/>
        <v>308</v>
      </c>
      <c r="N950" s="26">
        <v>99</v>
      </c>
      <c r="O95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Row],[orderNum]],ТабПозиции[orderSumm])&gt;1500),ABS(M950*VLOOKUP(ТабПозиции[[#This Row],[orderNum]],ТабЗаказы[#Data],MATCH("Percent",ТабЗаказы[#Headers],0),0))/100,200/COUNTIF(ТабПозиции[orderNum],ТабПозиции[[#This Row],[orderNum]])),0),"")</f>
        <v>31</v>
      </c>
      <c r="P950">
        <f>IF(OR(ТабПозиции[[#This Row],[item]]="По штрихкоду",ТабПозиции[[#This Row],[item]]="Посылка"),ТабПозиции[[#This Row],[deliverySumm]]+ТабПозиции[[#This Row],[deliveryPost]],SUM(M950:O950))</f>
        <v>438</v>
      </c>
      <c r="Q950" s="57">
        <v>438</v>
      </c>
      <c r="R950" s="62">
        <f>ТабПозиции[[#This Row],[totalSumm]]-ТабПозиции[[#This Row],[payment]]</f>
        <v>0</v>
      </c>
      <c r="S950" s="34" t="s">
        <v>1554</v>
      </c>
      <c r="T950" s="56" t="s">
        <v>3061</v>
      </c>
      <c r="U950" s="56" t="s">
        <v>3061</v>
      </c>
      <c r="V950" s="56" t="s">
        <v>3061</v>
      </c>
      <c r="W950" s="7"/>
      <c r="X950"/>
    </row>
    <row r="951" spans="1:24" x14ac:dyDescent="0.25">
      <c r="A951" s="26">
        <v>272</v>
      </c>
      <c r="B951" s="1">
        <f>IFERROR(VLOOKUP(ТабПозиции[[#This Row],[orderNum]],ТабЗаказы[#Data],MATCH(B$7,ТабЗаказы[#Headers],0),0),"")</f>
        <v>45565</v>
      </c>
      <c r="C951" t="str">
        <f>MONTH(ТабПозиции[[#This Row],[date]])&amp;"/"&amp;YEAR(ТабПозиции[[#This Row],[date]])</f>
        <v>9/2024</v>
      </c>
      <c r="D951" s="1" t="str">
        <f>IFERROR(VLOOKUP(ТабПозиции[[#This Row],[orderNum]],ТабЗаказы[#Data],MATCH(D$7,ТабЗаказы[#Headers],0),0),"")</f>
        <v>Галина Агабекова(церковь)</v>
      </c>
      <c r="E951" s="32" t="s">
        <v>1529</v>
      </c>
      <c r="F951" s="56" t="s">
        <v>3061</v>
      </c>
      <c r="H951" s="34"/>
      <c r="I951" s="39">
        <v>1</v>
      </c>
      <c r="J951" s="26">
        <v>154</v>
      </c>
      <c r="K951">
        <v>154</v>
      </c>
      <c r="L951" s="26">
        <v>154</v>
      </c>
      <c r="M951">
        <f t="shared" si="17"/>
        <v>154</v>
      </c>
      <c r="N951" s="26">
        <v>98</v>
      </c>
      <c r="O95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Row],[orderNum]],ТабПозиции[orderSumm])&gt;1500),ABS(M951*VLOOKUP(ТабПозиции[[#This Row],[orderNum]],ТабЗаказы[#Data],MATCH("Percent",ТабЗаказы[#Headers],0),0))/100,200/COUNTIF(ТабПозиции[orderNum],ТабПозиции[[#This Row],[orderNum]])),0),"")</f>
        <v>15</v>
      </c>
      <c r="P951">
        <f>IF(OR(ТабПозиции[[#This Row],[item]]="По штрихкоду",ТабПозиции[[#This Row],[item]]="Посылка"),ТабПозиции[[#This Row],[deliverySumm]]+ТабПозиции[[#This Row],[deliveryPost]],SUM(M951:O951))</f>
        <v>267</v>
      </c>
      <c r="Q951" s="57">
        <v>267</v>
      </c>
      <c r="R951" s="62">
        <f>ТабПозиции[[#This Row],[totalSumm]]-ТабПозиции[[#This Row],[payment]]</f>
        <v>0</v>
      </c>
      <c r="S951" s="34" t="s">
        <v>1554</v>
      </c>
      <c r="T951" s="56" t="s">
        <v>3061</v>
      </c>
      <c r="U951" s="56" t="s">
        <v>3061</v>
      </c>
      <c r="V951" s="56" t="s">
        <v>3061</v>
      </c>
      <c r="W951" s="7"/>
      <c r="X951"/>
    </row>
    <row r="952" spans="1:24" x14ac:dyDescent="0.25">
      <c r="A952" s="26">
        <v>272</v>
      </c>
      <c r="B952" s="1">
        <f>IFERROR(VLOOKUP(ТабПозиции[[#This Row],[orderNum]],ТабЗаказы[#Data],MATCH(B$7,ТабЗаказы[#Headers],0),0),"")</f>
        <v>45565</v>
      </c>
      <c r="C952" t="str">
        <f>MONTH(ТабПозиции[[#This Row],[date]])&amp;"/"&amp;YEAR(ТабПозиции[[#This Row],[date]])</f>
        <v>9/2024</v>
      </c>
      <c r="D952" s="1" t="str">
        <f>IFERROR(VLOOKUP(ТабПозиции[[#This Row],[orderNum]],ТабЗаказы[#Data],MATCH(D$7,ТабЗаказы[#Headers],0),0),"")</f>
        <v>Галина Агабекова(церковь)</v>
      </c>
      <c r="E952" s="32" t="s">
        <v>1534</v>
      </c>
      <c r="F952" s="56" t="s">
        <v>3061</v>
      </c>
      <c r="H952" s="34"/>
      <c r="I952" s="26">
        <v>1</v>
      </c>
      <c r="J952" s="26">
        <v>349</v>
      </c>
      <c r="K952">
        <v>349</v>
      </c>
      <c r="L952" s="26">
        <v>349</v>
      </c>
      <c r="M952">
        <f t="shared" si="17"/>
        <v>349</v>
      </c>
      <c r="N952" s="26">
        <v>99</v>
      </c>
      <c r="O95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Row],[orderNum]],ТабПозиции[orderSumm])&gt;1500),ABS(M952*VLOOKUP(ТабПозиции[[#This Row],[orderNum]],ТабЗаказы[#Data],MATCH("Percent",ТабЗаказы[#Headers],0),0))/100,200/COUNTIF(ТабПозиции[orderNum],ТабПозиции[[#This Row],[orderNum]])),0),"")</f>
        <v>35</v>
      </c>
      <c r="P952">
        <f>IF(OR(ТабПозиции[[#This Row],[item]]="По штрихкоду",ТабПозиции[[#This Row],[item]]="Посылка"),ТабПозиции[[#This Row],[deliverySumm]]+ТабПозиции[[#This Row],[deliveryPost]],SUM(M952:O952))</f>
        <v>483</v>
      </c>
      <c r="Q952" s="57">
        <v>483</v>
      </c>
      <c r="R952" s="62">
        <f>ТабПозиции[[#This Row],[totalSumm]]-ТабПозиции[[#This Row],[payment]]</f>
        <v>0</v>
      </c>
      <c r="S952" s="34" t="s">
        <v>1554</v>
      </c>
      <c r="T952" s="56" t="s">
        <v>3061</v>
      </c>
      <c r="U952" s="56" t="s">
        <v>3061</v>
      </c>
      <c r="V952" s="56" t="s">
        <v>3061</v>
      </c>
      <c r="W952" s="7"/>
      <c r="X952"/>
    </row>
    <row r="953" spans="1:24" x14ac:dyDescent="0.25">
      <c r="A953" s="26">
        <v>272</v>
      </c>
      <c r="B953" s="1">
        <f>IFERROR(VLOOKUP(ТабПозиции[[#This Row],[orderNum]],ТабЗаказы[#Data],MATCH(B$7,ТабЗаказы[#Headers],0),0),"")</f>
        <v>45565</v>
      </c>
      <c r="C953" t="str">
        <f>MONTH(ТабПозиции[[#This Row],[date]])&amp;"/"&amp;YEAR(ТабПозиции[[#This Row],[date]])</f>
        <v>9/2024</v>
      </c>
      <c r="D953" s="1" t="str">
        <f>IFERROR(VLOOKUP(ТабПозиции[[#This Row],[orderNum]],ТабЗаказы[#Data],MATCH(D$7,ТабЗаказы[#Headers],0),0),"")</f>
        <v>Галина Агабекова(церковь)</v>
      </c>
      <c r="E953" s="32" t="s">
        <v>1538</v>
      </c>
      <c r="F953" s="56" t="s">
        <v>3061</v>
      </c>
      <c r="H953" s="34"/>
      <c r="I953" s="26">
        <v>1</v>
      </c>
      <c r="J953" s="26">
        <v>439</v>
      </c>
      <c r="K953">
        <v>439</v>
      </c>
      <c r="L953" s="26">
        <v>439</v>
      </c>
      <c r="M953">
        <f t="shared" si="17"/>
        <v>439</v>
      </c>
      <c r="N953" s="26">
        <v>98</v>
      </c>
      <c r="O95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Row],[orderNum]],ТабПозиции[orderSumm])&gt;1500),ABS(M953*VLOOKUP(ТабПозиции[[#This Row],[orderNum]],ТабЗаказы[#Data],MATCH("Percent",ТабЗаказы[#Headers],0),0))/100,200/COUNTIF(ТабПозиции[orderNum],ТабПозиции[[#This Row],[orderNum]])),0),"")</f>
        <v>44</v>
      </c>
      <c r="P953">
        <f>IF(OR(ТабПозиции[[#This Row],[item]]="По штрихкоду",ТабПозиции[[#This Row],[item]]="Посылка"),ТабПозиции[[#This Row],[deliverySumm]]+ТабПозиции[[#This Row],[deliveryPost]],SUM(M953:O953))</f>
        <v>581</v>
      </c>
      <c r="Q953" s="57">
        <v>581</v>
      </c>
      <c r="R953" s="62">
        <f>ТабПозиции[[#This Row],[totalSumm]]-ТабПозиции[[#This Row],[payment]]</f>
        <v>0</v>
      </c>
      <c r="S953" s="34" t="s">
        <v>1554</v>
      </c>
      <c r="T953" s="56" t="s">
        <v>3061</v>
      </c>
      <c r="U953" s="56" t="s">
        <v>3061</v>
      </c>
      <c r="V953" s="56" t="s">
        <v>3061</v>
      </c>
      <c r="W953" s="7"/>
      <c r="X953"/>
    </row>
    <row r="954" spans="1:24" x14ac:dyDescent="0.25">
      <c r="A954" s="26">
        <v>272</v>
      </c>
      <c r="B954" s="1">
        <f>IFERROR(VLOOKUP(ТабПозиции[[#This Row],[orderNum]],ТабЗаказы[#Data],MATCH(B$7,ТабЗаказы[#Headers],0),0),"")</f>
        <v>45565</v>
      </c>
      <c r="C954" t="str">
        <f>MONTH(ТабПозиции[[#This Row],[date]])&amp;"/"&amp;YEAR(ТабПозиции[[#This Row],[date]])</f>
        <v>9/2024</v>
      </c>
      <c r="D954" s="1" t="str">
        <f>IFERROR(VLOOKUP(ТабПозиции[[#This Row],[orderNum]],ТабЗаказы[#Data],MATCH(D$7,ТабЗаказы[#Headers],0),0),"")</f>
        <v>Галина Агабекова(церковь)</v>
      </c>
      <c r="E954" s="32" t="s">
        <v>1530</v>
      </c>
      <c r="F954" s="56" t="s">
        <v>3061</v>
      </c>
      <c r="H954" s="34">
        <v>45569</v>
      </c>
      <c r="I954" s="26">
        <v>1</v>
      </c>
      <c r="J954" s="26">
        <v>468</v>
      </c>
      <c r="K954">
        <v>468</v>
      </c>
      <c r="L954" s="26">
        <v>493</v>
      </c>
      <c r="M954" s="21">
        <f t="shared" si="17"/>
        <v>493</v>
      </c>
      <c r="O95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Row],[orderNum]],ТабПозиции[orderSumm])&gt;1500),ABS(M954*VLOOKUP(ТабПозиции[[#This Row],[orderNum]],ТабЗаказы[#Data],MATCH("Percent",ТабЗаказы[#Headers],0),0))/100,200/COUNTIF(ТабПозиции[orderNum],ТабПозиции[[#This Row],[orderNum]])),0),"")</f>
        <v>49</v>
      </c>
      <c r="P954">
        <f>IF(OR(ТабПозиции[[#This Row],[item]]="По штрихкоду",ТабПозиции[[#This Row],[item]]="Посылка"),ТабПозиции[[#This Row],[deliverySumm]]+ТабПозиции[[#This Row],[deliveryPost]],SUM(M954:O954))</f>
        <v>542</v>
      </c>
      <c r="Q954" s="57">
        <v>542</v>
      </c>
      <c r="R954" s="62">
        <f>ТабПозиции[[#This Row],[totalSumm]]-ТабПозиции[[#This Row],[payment]]</f>
        <v>0</v>
      </c>
      <c r="S954" s="34" t="s">
        <v>955</v>
      </c>
      <c r="T954" s="56" t="s">
        <v>3061</v>
      </c>
      <c r="U954" s="56" t="s">
        <v>3061</v>
      </c>
      <c r="V954" s="56" t="s">
        <v>3061</v>
      </c>
      <c r="W954" s="7"/>
      <c r="X954"/>
    </row>
    <row r="955" spans="1:24" x14ac:dyDescent="0.25">
      <c r="A955" s="26">
        <v>272</v>
      </c>
      <c r="B955" s="1">
        <f>IFERROR(VLOOKUP(ТабПозиции[[#This Row],[orderNum]],ТабЗаказы[#Data],MATCH(B$7,ТабЗаказы[#Headers],0),0),"")</f>
        <v>45565</v>
      </c>
      <c r="C955" t="str">
        <f>MONTH(ТабПозиции[[#This Row],[date]])&amp;"/"&amp;YEAR(ТабПозиции[[#This Row],[date]])</f>
        <v>9/2024</v>
      </c>
      <c r="D955" s="1" t="str">
        <f>IFERROR(VLOOKUP(ТабПозиции[[#This Row],[orderNum]],ТабЗаказы[#Data],MATCH(D$7,ТабЗаказы[#Headers],0),0),"")</f>
        <v>Галина Агабекова(церковь)</v>
      </c>
      <c r="E955" s="32" t="s">
        <v>1531</v>
      </c>
      <c r="F955" s="56" t="s">
        <v>3061</v>
      </c>
      <c r="H955" s="34">
        <v>45566</v>
      </c>
      <c r="I955" s="26">
        <v>1</v>
      </c>
      <c r="J955" s="26">
        <v>1197</v>
      </c>
      <c r="K955">
        <v>1197</v>
      </c>
      <c r="L955" s="26">
        <v>1293</v>
      </c>
      <c r="M955" s="21">
        <f t="shared" si="17"/>
        <v>1293</v>
      </c>
      <c r="O95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Row],[orderNum]],ТабПозиции[orderSumm])&gt;1500),ABS(M955*VLOOKUP(ТабПозиции[[#This Row],[orderNum]],ТабЗаказы[#Data],MATCH("Percent",ТабЗаказы[#Headers],0),0))/100,200/COUNTIF(ТабПозиции[orderNum],ТабПозиции[[#This Row],[orderNum]])),0),"")</f>
        <v>129</v>
      </c>
      <c r="P955">
        <f>IF(OR(ТабПозиции[[#This Row],[item]]="По штрихкоду",ТабПозиции[[#This Row],[item]]="Посылка"),ТабПозиции[[#This Row],[deliverySumm]]+ТабПозиции[[#This Row],[deliveryPost]],SUM(M955:O955))</f>
        <v>1422</v>
      </c>
      <c r="Q955" s="57">
        <v>1422</v>
      </c>
      <c r="R955" s="62">
        <f>ТабПозиции[[#This Row],[totalSumm]]-ТабПозиции[[#This Row],[payment]]</f>
        <v>0</v>
      </c>
      <c r="S955" s="34" t="s">
        <v>955</v>
      </c>
      <c r="T955" s="56" t="s">
        <v>3061</v>
      </c>
      <c r="U955" s="56" t="s">
        <v>3061</v>
      </c>
      <c r="V955" s="56" t="s">
        <v>3061</v>
      </c>
      <c r="W955" s="7"/>
      <c r="X955"/>
    </row>
    <row r="956" spans="1:24" x14ac:dyDescent="0.25">
      <c r="A956" s="26">
        <v>272</v>
      </c>
      <c r="B956" s="1">
        <f>IFERROR(VLOOKUP(ТабПозиции[[#This Row],[orderNum]],ТабЗаказы[#Data],MATCH(B$7,ТабЗаказы[#Headers],0),0),"")</f>
        <v>45565</v>
      </c>
      <c r="C956" t="str">
        <f>MONTH(ТабПозиции[[#This Row],[date]])&amp;"/"&amp;YEAR(ТабПозиции[[#This Row],[date]])</f>
        <v>9/2024</v>
      </c>
      <c r="D956" s="1" t="str">
        <f>IFERROR(VLOOKUP(ТабПозиции[[#This Row],[orderNum]],ТабЗаказы[#Data],MATCH(D$7,ТабЗаказы[#Headers],0),0),"")</f>
        <v>Галина Агабекова(церковь)</v>
      </c>
      <c r="E956" s="32" t="s">
        <v>1533</v>
      </c>
      <c r="F956" s="56" t="s">
        <v>3061</v>
      </c>
      <c r="H956" s="34">
        <v>45566</v>
      </c>
      <c r="I956" s="26">
        <v>1</v>
      </c>
      <c r="J956" s="26">
        <v>377</v>
      </c>
      <c r="K956">
        <v>377</v>
      </c>
      <c r="L956" s="26">
        <v>406</v>
      </c>
      <c r="M956" s="21">
        <f t="shared" si="17"/>
        <v>406</v>
      </c>
      <c r="O95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Row],[orderNum]],ТабПозиции[orderSumm])&gt;1500),ABS(M956*VLOOKUP(ТабПозиции[[#This Row],[orderNum]],ТабЗаказы[#Data],MATCH("Percent",ТабЗаказы[#Headers],0),0))/100,200/COUNTIF(ТабПозиции[orderNum],ТабПозиции[[#This Row],[orderNum]])),0),"")</f>
        <v>41</v>
      </c>
      <c r="P956">
        <f>IF(OR(ТабПозиции[[#This Row],[item]]="По штрихкоду",ТабПозиции[[#This Row],[item]]="Посылка"),ТабПозиции[[#This Row],[deliverySumm]]+ТабПозиции[[#This Row],[deliveryPost]],SUM(M956:O956))</f>
        <v>447</v>
      </c>
      <c r="Q956" s="57">
        <v>447</v>
      </c>
      <c r="R956" s="62">
        <f>ТабПозиции[[#This Row],[totalSumm]]-ТабПозиции[[#This Row],[payment]]</f>
        <v>0</v>
      </c>
      <c r="S956" s="34" t="s">
        <v>955</v>
      </c>
      <c r="T956" s="56" t="s">
        <v>3061</v>
      </c>
      <c r="U956" s="56" t="s">
        <v>3061</v>
      </c>
      <c r="V956" s="56" t="s">
        <v>3061</v>
      </c>
      <c r="W956" s="7"/>
      <c r="X956"/>
    </row>
    <row r="957" spans="1:24" x14ac:dyDescent="0.25">
      <c r="A957" s="26">
        <v>272</v>
      </c>
      <c r="B957" s="1">
        <f>IFERROR(VLOOKUP(ТабПозиции[[#This Row],[orderNum]],ТабЗаказы[#Data],MATCH(B$7,ТабЗаказы[#Headers],0),0),"")</f>
        <v>45565</v>
      </c>
      <c r="C957" t="str">
        <f>MONTH(ТабПозиции[[#This Row],[date]])&amp;"/"&amp;YEAR(ТабПозиции[[#This Row],[date]])</f>
        <v>9/2024</v>
      </c>
      <c r="D957" s="1" t="str">
        <f>IFERROR(VLOOKUP(ТабПозиции[[#This Row],[orderNum]],ТабЗаказы[#Data],MATCH(D$7,ТабЗаказы[#Headers],0),0),"")</f>
        <v>Галина Агабекова(церковь)</v>
      </c>
      <c r="E957" s="32" t="s">
        <v>856</v>
      </c>
      <c r="F957" s="56" t="s">
        <v>3061</v>
      </c>
      <c r="H957" s="34">
        <v>45572</v>
      </c>
      <c r="I957" s="26">
        <v>1</v>
      </c>
      <c r="J957" s="26">
        <v>1620</v>
      </c>
      <c r="K957">
        <v>1620</v>
      </c>
      <c r="L957" s="26">
        <v>1761</v>
      </c>
      <c r="M957" s="21">
        <f t="shared" si="17"/>
        <v>1761</v>
      </c>
      <c r="O95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Row],[orderNum]],ТабПозиции[orderSumm])&gt;1500),ABS(M957*VLOOKUP(ТабПозиции[[#This Row],[orderNum]],ТабЗаказы[#Data],MATCH("Percent",ТабЗаказы[#Headers],0),0))/100,200/COUNTIF(ТабПозиции[orderNum],ТабПозиции[[#This Row],[orderNum]])),0),"")</f>
        <v>176</v>
      </c>
      <c r="P957">
        <f>IF(OR(ТабПозиции[[#This Row],[item]]="По штрихкоду",ТабПозиции[[#This Row],[item]]="Посылка"),ТабПозиции[[#This Row],[deliverySumm]]+ТабПозиции[[#This Row],[deliveryPost]],SUM(M957:O957))</f>
        <v>1937</v>
      </c>
      <c r="Q957" s="57">
        <v>1937</v>
      </c>
      <c r="R957" s="62">
        <f>ТабПозиции[[#This Row],[totalSumm]]-ТабПозиции[[#This Row],[payment]]</f>
        <v>0</v>
      </c>
      <c r="S957" s="34" t="s">
        <v>955</v>
      </c>
      <c r="T957" s="56" t="s">
        <v>3061</v>
      </c>
      <c r="U957" s="56" t="s">
        <v>3061</v>
      </c>
      <c r="V957" s="56" t="s">
        <v>3061</v>
      </c>
      <c r="W957" s="7"/>
      <c r="X957"/>
    </row>
    <row r="958" spans="1:24" x14ac:dyDescent="0.25">
      <c r="A958" s="26">
        <v>272</v>
      </c>
      <c r="B958" s="1">
        <f>IFERROR(VLOOKUP(ТабПозиции[[#This Row],[orderNum]],ТабЗаказы[#Data],MATCH(B$7,ТабЗаказы[#Headers],0),0),"")</f>
        <v>45565</v>
      </c>
      <c r="C958" t="str">
        <f>MONTH(ТабПозиции[[#This Row],[date]])&amp;"/"&amp;YEAR(ТабПозиции[[#This Row],[date]])</f>
        <v>9/2024</v>
      </c>
      <c r="D958" s="1" t="str">
        <f>IFERROR(VLOOKUP(ТабПозиции[[#This Row],[orderNum]],ТабЗаказы[#Data],MATCH(D$7,ТабЗаказы[#Headers],0),0),"")</f>
        <v>Галина Агабекова(церковь)</v>
      </c>
      <c r="E958" s="32" t="s">
        <v>1539</v>
      </c>
      <c r="F958" s="56" t="s">
        <v>3061</v>
      </c>
      <c r="H958" s="34">
        <v>45568</v>
      </c>
      <c r="I958" s="26">
        <v>1</v>
      </c>
      <c r="J958" s="26">
        <v>532</v>
      </c>
      <c r="K958">
        <v>532</v>
      </c>
      <c r="L958" s="26">
        <v>575</v>
      </c>
      <c r="M958" s="21">
        <f t="shared" si="17"/>
        <v>575</v>
      </c>
      <c r="O95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Row],[orderNum]],ТабПозиции[orderSumm])&gt;1500),ABS(M958*VLOOKUP(ТабПозиции[[#This Row],[orderNum]],ТабЗаказы[#Data],MATCH("Percent",ТабЗаказы[#Headers],0),0))/100,200/COUNTIF(ТабПозиции[orderNum],ТабПозиции[[#This Row],[orderNum]])),0),"")</f>
        <v>58</v>
      </c>
      <c r="P958">
        <f>IF(OR(ТабПозиции[[#This Row],[item]]="По штрихкоду",ТабПозиции[[#This Row],[item]]="Посылка"),ТабПозиции[[#This Row],[deliverySumm]]+ТабПозиции[[#This Row],[deliveryPost]],SUM(M958:O958))</f>
        <v>633</v>
      </c>
      <c r="Q958" s="57">
        <v>633</v>
      </c>
      <c r="R958" s="62">
        <f>ТабПозиции[[#This Row],[totalSumm]]-ТабПозиции[[#This Row],[payment]]</f>
        <v>0</v>
      </c>
      <c r="S958" s="34" t="s">
        <v>955</v>
      </c>
      <c r="T958" s="56" t="s">
        <v>3061</v>
      </c>
      <c r="U958" s="56" t="s">
        <v>3061</v>
      </c>
      <c r="V958" s="56" t="s">
        <v>3061</v>
      </c>
      <c r="W958" s="7"/>
      <c r="X958"/>
    </row>
    <row r="959" spans="1:24" x14ac:dyDescent="0.25">
      <c r="A959" s="26">
        <v>272</v>
      </c>
      <c r="B959" s="1">
        <f>IFERROR(VLOOKUP(ТабПозиции[[#This Row],[orderNum]],ТабЗаказы[#Data],MATCH(B$7,ТабЗаказы[#Headers],0),0),"")</f>
        <v>45565</v>
      </c>
      <c r="C959" t="str">
        <f>MONTH(ТабПозиции[[#This Row],[date]])&amp;"/"&amp;YEAR(ТабПозиции[[#This Row],[date]])</f>
        <v>9/2024</v>
      </c>
      <c r="D959" s="1" t="str">
        <f>IFERROR(VLOOKUP(ТабПозиции[[#This Row],[orderNum]],ТабЗаказы[#Data],MATCH(D$7,ТабЗаказы[#Headers],0),0),"")</f>
        <v>Галина Агабекова(церковь)</v>
      </c>
      <c r="E959" s="32" t="s">
        <v>1542</v>
      </c>
      <c r="F959" s="56" t="s">
        <v>3061</v>
      </c>
      <c r="H959" s="34">
        <v>45574</v>
      </c>
      <c r="I959" s="26">
        <v>1</v>
      </c>
      <c r="J959" s="26">
        <v>230</v>
      </c>
      <c r="K959">
        <v>230</v>
      </c>
      <c r="L959" s="26">
        <v>235</v>
      </c>
      <c r="M959" s="21">
        <f t="shared" si="17"/>
        <v>235</v>
      </c>
      <c r="O95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Row],[orderNum]],ТабПозиции[orderSumm])&gt;1500),ABS(M959*VLOOKUP(ТабПозиции[[#This Row],[orderNum]],ТабЗаказы[#Data],MATCH("Percent",ТабЗаказы[#Headers],0),0))/100,200/COUNTIF(ТабПозиции[orderNum],ТабПозиции[[#This Row],[orderNum]])),0),"")</f>
        <v>24</v>
      </c>
      <c r="P959">
        <f>IF(OR(ТабПозиции[[#This Row],[item]]="По штрихкоду",ТабПозиции[[#This Row],[item]]="Посылка"),ТабПозиции[[#This Row],[deliverySumm]]+ТабПозиции[[#This Row],[deliveryPost]],SUM(M959:O959))</f>
        <v>259</v>
      </c>
      <c r="Q959" s="57">
        <v>259</v>
      </c>
      <c r="R959" s="62">
        <f>ТабПозиции[[#This Row],[totalSumm]]-ТабПозиции[[#This Row],[payment]]</f>
        <v>0</v>
      </c>
      <c r="S959" s="34" t="s">
        <v>955</v>
      </c>
      <c r="T959" s="56" t="s">
        <v>3061</v>
      </c>
      <c r="U959" s="56" t="s">
        <v>3061</v>
      </c>
      <c r="V959" s="56" t="s">
        <v>3061</v>
      </c>
      <c r="W959" s="7"/>
      <c r="X959"/>
    </row>
    <row r="960" spans="1:24" x14ac:dyDescent="0.25">
      <c r="A960" s="26">
        <v>272</v>
      </c>
      <c r="B960" s="1">
        <f>IFERROR(VLOOKUP(ТабПозиции[[#This Row],[orderNum]],ТабЗаказы[#Data],MATCH(B$7,ТабЗаказы[#Headers],0),0),"")</f>
        <v>45565</v>
      </c>
      <c r="C960" t="str">
        <f>MONTH(ТабПозиции[[#This Row],[date]])&amp;"/"&amp;YEAR(ТабПозиции[[#This Row],[date]])</f>
        <v>9/2024</v>
      </c>
      <c r="D960" s="1" t="str">
        <f>IFERROR(VLOOKUP(ТабПозиции[[#This Row],[orderNum]],ТабЗаказы[#Data],MATCH(D$7,ТабЗаказы[#Headers],0),0),"")</f>
        <v>Галина Агабекова(церковь)</v>
      </c>
      <c r="E960" s="49" t="s">
        <v>1543</v>
      </c>
      <c r="F960" s="56" t="s">
        <v>3061</v>
      </c>
      <c r="H960" s="34">
        <v>45573</v>
      </c>
      <c r="I960" s="39">
        <v>0</v>
      </c>
      <c r="J960" s="26">
        <v>791</v>
      </c>
      <c r="K960">
        <v>0</v>
      </c>
      <c r="L960" s="26">
        <v>854</v>
      </c>
      <c r="M960" s="21">
        <f t="shared" si="17"/>
        <v>0</v>
      </c>
      <c r="O96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Row],[orderNum]],ТабПозиции[orderSumm])&gt;1500),ABS(M960*VLOOKUP(ТабПозиции[[#This Row],[orderNum]],ТабЗаказы[#Data],MATCH("Percent",ТабЗаказы[#Headers],0),0))/100,200/COUNTIF(ТабПозиции[orderNum],ТабПозиции[[#This Row],[orderNum]])),0),"")</f>
        <v>0</v>
      </c>
      <c r="P960">
        <f>IF(OR(ТабПозиции[[#This Row],[item]]="По штрихкоду",ТабПозиции[[#This Row],[item]]="Посылка"),ТабПозиции[[#This Row],[deliverySumm]]+ТабПозиции[[#This Row],[deliveryPost]],SUM(M960:O960))</f>
        <v>0</v>
      </c>
      <c r="Q960" s="57">
        <v>0</v>
      </c>
      <c r="R960" s="62">
        <f>ТабПозиции[[#This Row],[totalSumm]]-ТабПозиции[[#This Row],[payment]]</f>
        <v>0</v>
      </c>
      <c r="S960" s="34" t="s">
        <v>955</v>
      </c>
      <c r="T960" s="56" t="s">
        <v>3061</v>
      </c>
      <c r="U960" s="56" t="s">
        <v>3061</v>
      </c>
      <c r="V960" s="56" t="s">
        <v>3061</v>
      </c>
      <c r="W960" s="7"/>
      <c r="X960"/>
    </row>
    <row r="961" spans="1:24" x14ac:dyDescent="0.25">
      <c r="A961" s="26">
        <v>272</v>
      </c>
      <c r="B961" s="1">
        <f>IFERROR(VLOOKUP(ТабПозиции[[#This Row],[orderNum]],ТабЗаказы[#Data],MATCH(B$7,ТабЗаказы[#Headers],0),0),"")</f>
        <v>45565</v>
      </c>
      <c r="C961" t="str">
        <f>MONTH(ТабПозиции[[#This Row],[date]])&amp;"/"&amp;YEAR(ТабПозиции[[#This Row],[date]])</f>
        <v>9/2024</v>
      </c>
      <c r="D961" s="1" t="str">
        <f>IFERROR(VLOOKUP(ТабПозиции[[#This Row],[orderNum]],ТабЗаказы[#Data],MATCH(D$7,ТабЗаказы[#Headers],0),0),"")</f>
        <v>Галина Агабекова(церковь)</v>
      </c>
      <c r="E961" s="32" t="s">
        <v>1547</v>
      </c>
      <c r="F961" s="56" t="s">
        <v>3061</v>
      </c>
      <c r="H961" s="34">
        <v>45566</v>
      </c>
      <c r="I961" s="26">
        <v>1</v>
      </c>
      <c r="J961" s="26">
        <v>196</v>
      </c>
      <c r="K961">
        <v>196</v>
      </c>
      <c r="L961" s="26">
        <v>200</v>
      </c>
      <c r="M961" s="21">
        <f t="shared" si="17"/>
        <v>200</v>
      </c>
      <c r="O96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Row],[orderNum]],ТабПозиции[orderSumm])&gt;1500),ABS(M961*VLOOKUP(ТабПозиции[[#This Row],[orderNum]],ТабЗаказы[#Data],MATCH("Percent",ТабЗаказы[#Headers],0),0))/100,200/COUNTIF(ТабПозиции[orderNum],ТабПозиции[[#This Row],[orderNum]])),0),"")</f>
        <v>20</v>
      </c>
      <c r="P961">
        <f>IF(OR(ТабПозиции[[#This Row],[item]]="По штрихкоду",ТабПозиции[[#This Row],[item]]="Посылка"),ТабПозиции[[#This Row],[deliverySumm]]+ТабПозиции[[#This Row],[deliveryPost]],SUM(M961:O961))</f>
        <v>220</v>
      </c>
      <c r="Q961" s="57">
        <v>220</v>
      </c>
      <c r="R961" s="62">
        <f>ТабПозиции[[#This Row],[totalSumm]]-ТабПозиции[[#This Row],[payment]]</f>
        <v>0</v>
      </c>
      <c r="S961" s="34" t="s">
        <v>955</v>
      </c>
      <c r="T961" s="56" t="s">
        <v>3061</v>
      </c>
      <c r="U961" s="56" t="s">
        <v>3061</v>
      </c>
      <c r="V961" s="56" t="s">
        <v>3061</v>
      </c>
      <c r="W961" s="7"/>
      <c r="X961"/>
    </row>
    <row r="962" spans="1:24" x14ac:dyDescent="0.25">
      <c r="A962" s="26">
        <v>272</v>
      </c>
      <c r="B962" s="1">
        <f>IFERROR(VLOOKUP(ТабПозиции[[#This Row],[orderNum]],ТабЗаказы[#Data],MATCH(B$7,ТабЗаказы[#Headers],0),0),"")</f>
        <v>45565</v>
      </c>
      <c r="C962" t="str">
        <f>MONTH(ТабПозиции[[#This Row],[date]])&amp;"/"&amp;YEAR(ТабПозиции[[#This Row],[date]])</f>
        <v>9/2024</v>
      </c>
      <c r="D962" s="1" t="str">
        <f>IFERROR(VLOOKUP(ТабПозиции[[#This Row],[orderNum]],ТабЗаказы[#Data],MATCH(D$7,ТабЗаказы[#Headers],0),0),"")</f>
        <v>Галина Агабекова(церковь)</v>
      </c>
      <c r="E962" s="32" t="s">
        <v>1548</v>
      </c>
      <c r="F962" s="56" t="s">
        <v>3061</v>
      </c>
      <c r="H962" s="34">
        <v>45572</v>
      </c>
      <c r="I962" s="26">
        <v>1</v>
      </c>
      <c r="J962" s="26">
        <v>1495</v>
      </c>
      <c r="K962">
        <v>1495</v>
      </c>
      <c r="L962" s="26">
        <v>1558</v>
      </c>
      <c r="M962" s="21">
        <f t="shared" si="17"/>
        <v>1558</v>
      </c>
      <c r="O96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Row],[orderNum]],ТабПозиции[orderSumm])&gt;1500),ABS(M962*VLOOKUP(ТабПозиции[[#This Row],[orderNum]],ТабЗаказы[#Data],MATCH("Percent",ТабЗаказы[#Headers],0),0))/100,200/COUNTIF(ТабПозиции[orderNum],ТабПозиции[[#This Row],[orderNum]])),0),"")</f>
        <v>156</v>
      </c>
      <c r="P962">
        <f>IF(OR(ТабПозиции[[#This Row],[item]]="По штрихкоду",ТабПозиции[[#This Row],[item]]="Посылка"),ТабПозиции[[#This Row],[deliverySumm]]+ТабПозиции[[#This Row],[deliveryPost]],SUM(M962:O962))</f>
        <v>1714</v>
      </c>
      <c r="Q962" s="57">
        <v>1714</v>
      </c>
      <c r="R962" s="62">
        <f>ТабПозиции[[#This Row],[totalSumm]]-ТабПозиции[[#This Row],[payment]]</f>
        <v>0</v>
      </c>
      <c r="S962" s="34" t="s">
        <v>955</v>
      </c>
      <c r="T962" s="56" t="s">
        <v>3061</v>
      </c>
      <c r="U962" s="56" t="s">
        <v>3061</v>
      </c>
      <c r="V962" s="56" t="s">
        <v>3061</v>
      </c>
      <c r="W962" s="7"/>
      <c r="X962"/>
    </row>
    <row r="963" spans="1:24" x14ac:dyDescent="0.25">
      <c r="A963" s="26">
        <v>272</v>
      </c>
      <c r="B963" s="1">
        <f>IFERROR(VLOOKUP(ТабПозиции[[#This Row],[orderNum]],ТабЗаказы[#Data],MATCH(B$7,ТабЗаказы[#Headers],0),0),"")</f>
        <v>45565</v>
      </c>
      <c r="C963" t="str">
        <f>MONTH(ТабПозиции[[#This Row],[date]])&amp;"/"&amp;YEAR(ТабПозиции[[#This Row],[date]])</f>
        <v>9/2024</v>
      </c>
      <c r="D963" s="1" t="str">
        <f>IFERROR(VLOOKUP(ТабПозиции[[#This Row],[orderNum]],ТабЗаказы[#Data],MATCH(D$7,ТабЗаказы[#Headers],0),0),"")</f>
        <v>Галина Агабекова(церковь)</v>
      </c>
      <c r="E963" s="32" t="s">
        <v>1551</v>
      </c>
      <c r="F963" s="56" t="s">
        <v>3061</v>
      </c>
      <c r="H963" s="34">
        <v>45569</v>
      </c>
      <c r="I963" s="26">
        <v>1</v>
      </c>
      <c r="J963" s="26">
        <v>180</v>
      </c>
      <c r="K963">
        <v>180</v>
      </c>
      <c r="L963" s="26">
        <v>184</v>
      </c>
      <c r="M963" s="21">
        <f t="shared" si="17"/>
        <v>184</v>
      </c>
      <c r="O96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Row],[orderNum]],ТабПозиции[orderSumm])&gt;1500),ABS(M963*VLOOKUP(ТабПозиции[[#This Row],[orderNum]],ТабЗаказы[#Data],MATCH("Percent",ТабЗаказы[#Headers],0),0))/100,200/COUNTIF(ТабПозиции[orderNum],ТабПозиции[[#This Row],[orderNum]])),0),"")</f>
        <v>18</v>
      </c>
      <c r="P963">
        <f>IF(OR(ТабПозиции[[#This Row],[item]]="По штрихкоду",ТабПозиции[[#This Row],[item]]="Посылка"),ТабПозиции[[#This Row],[deliverySumm]]+ТабПозиции[[#This Row],[deliveryPost]],SUM(M963:O963))</f>
        <v>202</v>
      </c>
      <c r="Q963" s="57">
        <v>202</v>
      </c>
      <c r="R963" s="62">
        <f>ТабПозиции[[#This Row],[totalSumm]]-ТабПозиции[[#This Row],[payment]]</f>
        <v>0</v>
      </c>
      <c r="S963" s="34" t="s">
        <v>955</v>
      </c>
      <c r="T963" s="56" t="s">
        <v>3061</v>
      </c>
      <c r="U963" s="56" t="s">
        <v>3061</v>
      </c>
      <c r="V963" s="56" t="s">
        <v>3061</v>
      </c>
      <c r="W963" s="7"/>
      <c r="X963"/>
    </row>
    <row r="964" spans="1:24" x14ac:dyDescent="0.25">
      <c r="A964" s="26">
        <v>272</v>
      </c>
      <c r="B964" s="1">
        <f>IFERROR(VLOOKUP(ТабПозиции[[#This Row],[orderNum]],ТабЗаказы[#Data],MATCH(B$7,ТабЗаказы[#Headers],0),0),"")</f>
        <v>45565</v>
      </c>
      <c r="C964" t="str">
        <f>MONTH(ТабПозиции[[#This Row],[date]])&amp;"/"&amp;YEAR(ТабПозиции[[#This Row],[date]])</f>
        <v>9/2024</v>
      </c>
      <c r="D964" s="1" t="str">
        <f>IFERROR(VLOOKUP(ТабПозиции[[#This Row],[orderNum]],ТабЗаказы[#Data],MATCH(D$7,ТабЗаказы[#Headers],0),0),"")</f>
        <v>Галина Агабекова(церковь)</v>
      </c>
      <c r="E964" s="32" t="s">
        <v>1552</v>
      </c>
      <c r="F964" s="56" t="s">
        <v>3061</v>
      </c>
      <c r="H964" s="34">
        <v>45566</v>
      </c>
      <c r="I964" s="26">
        <v>1</v>
      </c>
      <c r="J964" s="26">
        <v>306</v>
      </c>
      <c r="K964">
        <v>306</v>
      </c>
      <c r="L964" s="26">
        <v>312</v>
      </c>
      <c r="M964" s="21">
        <f t="shared" si="17"/>
        <v>312</v>
      </c>
      <c r="O96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Row],[orderNum]],ТабПозиции[orderSumm])&gt;1500),ABS(M964*VLOOKUP(ТабПозиции[[#This Row],[orderNum]],ТабЗаказы[#Data],MATCH("Percent",ТабЗаказы[#Headers],0),0))/100,200/COUNTIF(ТабПозиции[orderNum],ТабПозиции[[#This Row],[orderNum]])),0),"")</f>
        <v>31</v>
      </c>
      <c r="P964">
        <f>IF(OR(ТабПозиции[[#This Row],[item]]="По штрихкоду",ТабПозиции[[#This Row],[item]]="Посылка"),ТабПозиции[[#This Row],[deliverySumm]]+ТабПозиции[[#This Row],[deliveryPost]],SUM(M964:O964))</f>
        <v>343</v>
      </c>
      <c r="Q964" s="57">
        <v>343</v>
      </c>
      <c r="R964" s="62">
        <f>ТабПозиции[[#This Row],[totalSumm]]-ТабПозиции[[#This Row],[payment]]</f>
        <v>0</v>
      </c>
      <c r="S964" s="34" t="s">
        <v>955</v>
      </c>
      <c r="T964" s="56" t="s">
        <v>3061</v>
      </c>
      <c r="U964" s="56" t="s">
        <v>3061</v>
      </c>
      <c r="V964" s="56" t="s">
        <v>3061</v>
      </c>
      <c r="W964" s="7"/>
      <c r="X964"/>
    </row>
    <row r="965" spans="1:24" x14ac:dyDescent="0.25">
      <c r="A965" s="26">
        <v>272</v>
      </c>
      <c r="B965" s="1">
        <f>IFERROR(VLOOKUP(ТабПозиции[[#This Row],[orderNum]],ТабЗаказы[#Data],MATCH(B$7,ТабЗаказы[#Headers],0),0),"")</f>
        <v>45565</v>
      </c>
      <c r="C965" t="str">
        <f>MONTH(ТабПозиции[[#This Row],[date]])&amp;"/"&amp;YEAR(ТабПозиции[[#This Row],[date]])</f>
        <v>9/2024</v>
      </c>
      <c r="D965" s="1" t="str">
        <f>IFERROR(VLOOKUP(ТабПозиции[[#This Row],[orderNum]],ТабЗаказы[#Data],MATCH(D$7,ТабЗаказы[#Headers],0),0),"")</f>
        <v>Галина Агабекова(церковь)</v>
      </c>
      <c r="E965" s="32" t="s">
        <v>1553</v>
      </c>
      <c r="F965" s="56" t="s">
        <v>3061</v>
      </c>
      <c r="H965" s="34">
        <v>45566</v>
      </c>
      <c r="I965" s="26">
        <v>1</v>
      </c>
      <c r="J965" s="26">
        <v>279</v>
      </c>
      <c r="K965">
        <v>279</v>
      </c>
      <c r="L965" s="26">
        <v>285</v>
      </c>
      <c r="M965" s="21">
        <f t="shared" si="17"/>
        <v>285</v>
      </c>
      <c r="O96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Row],[orderNum]],ТабПозиции[orderSumm])&gt;1500),ABS(M965*VLOOKUP(ТабПозиции[[#This Row],[orderNum]],ТабЗаказы[#Data],MATCH("Percent",ТабЗаказы[#Headers],0),0))/100,200/COUNTIF(ТабПозиции[orderNum],ТабПозиции[[#This Row],[orderNum]])),0),"")</f>
        <v>29</v>
      </c>
      <c r="P965">
        <f>IF(OR(ТабПозиции[[#This Row],[item]]="По штрихкоду",ТабПозиции[[#This Row],[item]]="Посылка"),ТабПозиции[[#This Row],[deliverySumm]]+ТабПозиции[[#This Row],[deliveryPost]],SUM(M965:O965))</f>
        <v>314</v>
      </c>
      <c r="Q965" s="57">
        <v>314</v>
      </c>
      <c r="R965" s="62">
        <f>ТабПозиции[[#This Row],[totalSumm]]-ТабПозиции[[#This Row],[payment]]</f>
        <v>0</v>
      </c>
      <c r="S965" s="34" t="s">
        <v>955</v>
      </c>
      <c r="T965" s="56" t="s">
        <v>3061</v>
      </c>
      <c r="U965" s="56" t="s">
        <v>3061</v>
      </c>
      <c r="V965" s="56" t="s">
        <v>3061</v>
      </c>
      <c r="W965" s="7"/>
      <c r="X965"/>
    </row>
    <row r="966" spans="1:24" x14ac:dyDescent="0.25">
      <c r="A966" s="26">
        <v>272</v>
      </c>
      <c r="B966" s="1">
        <f>IFERROR(VLOOKUP(ТабПозиции[[#This Row],[orderNum]],ТабЗаказы[#Data],MATCH(B$7,ТабЗаказы[#Headers],0),0),"")</f>
        <v>45565</v>
      </c>
      <c r="C966" t="str">
        <f>MONTH(ТабПозиции[[#This Row],[date]])&amp;"/"&amp;YEAR(ТабПозиции[[#This Row],[date]])</f>
        <v>9/2024</v>
      </c>
      <c r="D966" s="1" t="str">
        <f>IFERROR(VLOOKUP(ТабПозиции[[#This Row],[orderNum]],ТабЗаказы[#Data],MATCH(D$7,ТабЗаказы[#Headers],0),0),"")</f>
        <v>Галина Агабекова(церковь)</v>
      </c>
      <c r="E966" s="32" t="s">
        <v>1537</v>
      </c>
      <c r="F966" s="56" t="s">
        <v>3061</v>
      </c>
      <c r="H966" s="34"/>
      <c r="I966" s="26">
        <v>1</v>
      </c>
      <c r="J966" s="26">
        <v>400</v>
      </c>
      <c r="K966">
        <v>400</v>
      </c>
      <c r="L966" s="26">
        <v>400</v>
      </c>
      <c r="M966">
        <f t="shared" si="17"/>
        <v>400</v>
      </c>
      <c r="N966" s="26">
        <v>212</v>
      </c>
      <c r="O96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Row],[orderNum]],ТабПозиции[orderSumm])&gt;1500),ABS(M966*VLOOKUP(ТабПозиции[[#This Row],[orderNum]],ТабЗаказы[#Data],MATCH("Percent",ТабЗаказы[#Headers],0),0))/100,200/COUNTIF(ТабПозиции[orderNum],ТабПозиции[[#This Row],[orderNum]])),0),"")</f>
        <v>40</v>
      </c>
      <c r="P966">
        <f>IF(OR(ТабПозиции[[#This Row],[item]]="По штрихкоду",ТабПозиции[[#This Row],[item]]="Посылка"),ТабПозиции[[#This Row],[deliverySumm]]+ТабПозиции[[#This Row],[deliveryPost]],SUM(M966:O966))</f>
        <v>652</v>
      </c>
      <c r="Q966" s="57">
        <v>652</v>
      </c>
      <c r="R966" s="62">
        <f>ТабПозиции[[#This Row],[totalSumm]]-ТабПозиции[[#This Row],[payment]]</f>
        <v>0</v>
      </c>
      <c r="S966" s="34" t="s">
        <v>1011</v>
      </c>
      <c r="T966" s="56" t="s">
        <v>3061</v>
      </c>
      <c r="U966" s="56" t="s">
        <v>3061</v>
      </c>
      <c r="V966" s="56" t="s">
        <v>3061</v>
      </c>
      <c r="W966" s="7"/>
      <c r="X966"/>
    </row>
    <row r="967" spans="1:24" x14ac:dyDescent="0.25">
      <c r="A967" s="26">
        <v>272</v>
      </c>
      <c r="B967" s="1">
        <f>IFERROR(VLOOKUP(ТабПозиции[[#This Row],[orderNum]],ТабЗаказы[#Data],MATCH(B$7,ТабЗаказы[#Headers],0),0),"")</f>
        <v>45565</v>
      </c>
      <c r="C967" t="str">
        <f>MONTH(ТабПозиции[[#This Row],[date]])&amp;"/"&amp;YEAR(ТабПозиции[[#This Row],[date]])</f>
        <v>9/2024</v>
      </c>
      <c r="D967" s="1" t="str">
        <f>IFERROR(VLOOKUP(ТабПозиции[[#This Row],[orderNum]],ТабЗаказы[#Data],MATCH(D$7,ТабЗаказы[#Headers],0),0),"")</f>
        <v>Галина Агабекова(церковь)</v>
      </c>
      <c r="E967" s="32" t="s">
        <v>1532</v>
      </c>
      <c r="F967" s="56" t="s">
        <v>3061</v>
      </c>
      <c r="H967" s="34">
        <v>45567</v>
      </c>
      <c r="I967" s="26">
        <v>1</v>
      </c>
      <c r="J967" s="26">
        <v>201</v>
      </c>
      <c r="K967">
        <v>201</v>
      </c>
      <c r="L967" s="26">
        <v>212</v>
      </c>
      <c r="M967">
        <f t="shared" si="17"/>
        <v>212</v>
      </c>
      <c r="O96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Row],[orderNum]],ТабПозиции[orderSumm])&gt;1500),ABS(M967*VLOOKUP(ТабПозиции[[#This Row],[orderNum]],ТабЗаказы[#Data],MATCH("Percent",ТабЗаказы[#Headers],0),0))/100,200/COUNTIF(ТабПозиции[orderNum],ТабПозиции[[#This Row],[orderNum]])),0),"")</f>
        <v>21</v>
      </c>
      <c r="P967">
        <f>IF(OR(ТабПозиции[[#This Row],[item]]="По штрихкоду",ТабПозиции[[#This Row],[item]]="Посылка"),ТабПозиции[[#This Row],[deliverySumm]]+ТабПозиции[[#This Row],[deliveryPost]],SUM(M967:O967))</f>
        <v>233</v>
      </c>
      <c r="Q967" s="57">
        <v>233</v>
      </c>
      <c r="R967" s="62">
        <f>ТабПозиции[[#This Row],[totalSumm]]-ТабПозиции[[#This Row],[payment]]</f>
        <v>0</v>
      </c>
      <c r="S967" s="34" t="s">
        <v>965</v>
      </c>
      <c r="T967" s="56" t="s">
        <v>3061</v>
      </c>
      <c r="U967" s="56" t="s">
        <v>3061</v>
      </c>
      <c r="V967" s="56" t="s">
        <v>3061</v>
      </c>
      <c r="W967" s="7"/>
      <c r="X967"/>
    </row>
    <row r="968" spans="1:24" x14ac:dyDescent="0.25">
      <c r="A968" s="26">
        <v>272</v>
      </c>
      <c r="B968" s="1">
        <f>IFERROR(VLOOKUP(ТабПозиции[[#This Row],[orderNum]],ТабЗаказы[#Data],MATCH(B$7,ТабЗаказы[#Headers],0),0),"")</f>
        <v>45565</v>
      </c>
      <c r="C968" t="str">
        <f>MONTH(ТабПозиции[[#This Row],[date]])&amp;"/"&amp;YEAR(ТабПозиции[[#This Row],[date]])</f>
        <v>9/2024</v>
      </c>
      <c r="D968" s="1" t="str">
        <f>IFERROR(VLOOKUP(ТабПозиции[[#This Row],[orderNum]],ТабЗаказы[#Data],MATCH(D$7,ТабЗаказы[#Headers],0),0),"")</f>
        <v>Галина Агабекова(церковь)</v>
      </c>
      <c r="E968" s="32" t="s">
        <v>1544</v>
      </c>
      <c r="F968" s="56" t="s">
        <v>3061</v>
      </c>
      <c r="H968" s="34">
        <v>45567</v>
      </c>
      <c r="I968" s="26">
        <v>1</v>
      </c>
      <c r="J968" s="26">
        <v>383</v>
      </c>
      <c r="K968">
        <v>383</v>
      </c>
      <c r="L968" s="26">
        <v>404</v>
      </c>
      <c r="M968">
        <f t="shared" si="17"/>
        <v>404</v>
      </c>
      <c r="O96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Row],[orderNum]],ТабПозиции[orderSumm])&gt;1500),ABS(M968*VLOOKUP(ТабПозиции[[#This Row],[orderNum]],ТабЗаказы[#Data],MATCH("Percent",ТабЗаказы[#Headers],0),0))/100,200/COUNTIF(ТабПозиции[orderNum],ТабПозиции[[#This Row],[orderNum]])),0),"")</f>
        <v>40</v>
      </c>
      <c r="P968">
        <f>IF(OR(ТабПозиции[[#This Row],[item]]="По штрихкоду",ТабПозиции[[#This Row],[item]]="Посылка"),ТабПозиции[[#This Row],[deliverySumm]]+ТабПозиции[[#This Row],[deliveryPost]],SUM(M968:O968))</f>
        <v>444</v>
      </c>
      <c r="Q968" s="57">
        <v>444</v>
      </c>
      <c r="R968" s="62">
        <f>ТабПозиции[[#This Row],[totalSumm]]-ТабПозиции[[#This Row],[payment]]</f>
        <v>0</v>
      </c>
      <c r="S968" s="34" t="s">
        <v>965</v>
      </c>
      <c r="T968" s="56" t="s">
        <v>3061</v>
      </c>
      <c r="U968" s="56" t="s">
        <v>3061</v>
      </c>
      <c r="V968" s="56" t="s">
        <v>3061</v>
      </c>
      <c r="W968" s="7"/>
      <c r="X968"/>
    </row>
    <row r="969" spans="1:24" x14ac:dyDescent="0.25">
      <c r="A969" s="26">
        <v>272</v>
      </c>
      <c r="B969" s="1">
        <f>IFERROR(VLOOKUP(ТабПозиции[[#This Row],[orderNum]],ТабЗаказы[#Data],MATCH(B$7,ТабЗаказы[#Headers],0),0),"")</f>
        <v>45565</v>
      </c>
      <c r="C969" t="str">
        <f>MONTH(ТабПозиции[[#This Row],[date]])&amp;"/"&amp;YEAR(ТабПозиции[[#This Row],[date]])</f>
        <v>9/2024</v>
      </c>
      <c r="D969" s="1" t="str">
        <f>IFERROR(VLOOKUP(ТабПозиции[[#This Row],[orderNum]],ТабЗаказы[#Data],MATCH(D$7,ТабЗаказы[#Headers],0),0),"")</f>
        <v>Галина Агабекова(церковь)</v>
      </c>
      <c r="E969" s="32" t="s">
        <v>1545</v>
      </c>
      <c r="F969" s="56" t="s">
        <v>3061</v>
      </c>
      <c r="H969" s="34">
        <v>45566</v>
      </c>
      <c r="I969" s="26">
        <v>1</v>
      </c>
      <c r="J969" s="26">
        <v>164</v>
      </c>
      <c r="K969">
        <v>164</v>
      </c>
      <c r="L969" s="26">
        <v>173</v>
      </c>
      <c r="M969">
        <f t="shared" si="17"/>
        <v>173</v>
      </c>
      <c r="O96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Row],[orderNum]],ТабПозиции[orderSumm])&gt;1500),ABS(M969*VLOOKUP(ТабПозиции[[#This Row],[orderNum]],ТабЗаказы[#Data],MATCH("Percent",ТабЗаказы[#Headers],0),0))/100,200/COUNTIF(ТабПозиции[orderNum],ТабПозиции[[#This Row],[orderNum]])),0),"")</f>
        <v>17</v>
      </c>
      <c r="P969">
        <f>IF(OR(ТабПозиции[[#This Row],[item]]="По штрихкоду",ТабПозиции[[#This Row],[item]]="Посылка"),ТабПозиции[[#This Row],[deliverySumm]]+ТабПозиции[[#This Row],[deliveryPost]],SUM(M969:O969))</f>
        <v>190</v>
      </c>
      <c r="Q969" s="57">
        <v>190</v>
      </c>
      <c r="R969" s="62">
        <f>ТабПозиции[[#This Row],[totalSumm]]-ТабПозиции[[#This Row],[payment]]</f>
        <v>0</v>
      </c>
      <c r="S969" s="34" t="s">
        <v>965</v>
      </c>
      <c r="T969" s="56" t="s">
        <v>3061</v>
      </c>
      <c r="U969" s="56" t="s">
        <v>3061</v>
      </c>
      <c r="V969" s="56" t="s">
        <v>3061</v>
      </c>
      <c r="W969" s="7"/>
      <c r="X969"/>
    </row>
    <row r="970" spans="1:24" x14ac:dyDescent="0.25">
      <c r="A970" s="26">
        <v>272</v>
      </c>
      <c r="B970" s="1">
        <f>IFERROR(VLOOKUP(ТабПозиции[[#This Row],[orderNum]],ТабЗаказы[#Data],MATCH(B$7,ТабЗаказы[#Headers],0),0),"")</f>
        <v>45565</v>
      </c>
      <c r="C970" t="str">
        <f>MONTH(ТабПозиции[[#This Row],[date]])&amp;"/"&amp;YEAR(ТабПозиции[[#This Row],[date]])</f>
        <v>9/2024</v>
      </c>
      <c r="D970" s="1" t="str">
        <f>IFERROR(VLOOKUP(ТабПозиции[[#This Row],[orderNum]],ТабЗаказы[#Data],MATCH(D$7,ТабЗаказы[#Headers],0),0),"")</f>
        <v>Галина Агабекова(церковь)</v>
      </c>
      <c r="E970" s="32" t="s">
        <v>1546</v>
      </c>
      <c r="F970" s="56" t="s">
        <v>3061</v>
      </c>
      <c r="H970" s="34">
        <v>45573</v>
      </c>
      <c r="I970" s="26">
        <v>1</v>
      </c>
      <c r="J970" s="26">
        <v>126</v>
      </c>
      <c r="K970">
        <v>126</v>
      </c>
      <c r="L970" s="26">
        <v>133</v>
      </c>
      <c r="M970">
        <f t="shared" si="17"/>
        <v>133</v>
      </c>
      <c r="O97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Row],[orderNum]],ТабПозиции[orderSumm])&gt;1500),ABS(M970*VLOOKUP(ТабПозиции[[#This Row],[orderNum]],ТабЗаказы[#Data],MATCH("Percent",ТабЗаказы[#Headers],0),0))/100,200/COUNTIF(ТабПозиции[orderNum],ТабПозиции[[#This Row],[orderNum]])),0),"")</f>
        <v>13</v>
      </c>
      <c r="P970">
        <f>IF(OR(ТабПозиции[[#This Row],[item]]="По штрихкоду",ТабПозиции[[#This Row],[item]]="Посылка"),ТабПозиции[[#This Row],[deliverySumm]]+ТабПозиции[[#This Row],[deliveryPost]],SUM(M970:O970))</f>
        <v>146</v>
      </c>
      <c r="Q970" s="57">
        <v>146</v>
      </c>
      <c r="R970" s="62">
        <f>ТабПозиции[[#This Row],[totalSumm]]-ТабПозиции[[#This Row],[payment]]</f>
        <v>0</v>
      </c>
      <c r="S970" s="34" t="s">
        <v>965</v>
      </c>
      <c r="T970" s="56" t="s">
        <v>3061</v>
      </c>
      <c r="U970" s="56" t="s">
        <v>3061</v>
      </c>
      <c r="V970" s="56" t="s">
        <v>3061</v>
      </c>
      <c r="W970" s="7"/>
      <c r="X970"/>
    </row>
    <row r="971" spans="1:24" x14ac:dyDescent="0.25">
      <c r="A971" s="26">
        <v>272</v>
      </c>
      <c r="B971" s="1">
        <f>IFERROR(VLOOKUP(ТабПозиции[[#This Row],[orderNum]],ТабЗаказы[#Data],MATCH(B$7,ТабЗаказы[#Headers],0),0),"")</f>
        <v>45565</v>
      </c>
      <c r="C971" t="str">
        <f>MONTH(ТабПозиции[[#This Row],[date]])&amp;"/"&amp;YEAR(ТабПозиции[[#This Row],[date]])</f>
        <v>9/2024</v>
      </c>
      <c r="D971" s="1" t="str">
        <f>IFERROR(VLOOKUP(ТабПозиции[[#This Row],[orderNum]],ТабЗаказы[#Data],MATCH(D$7,ТабЗаказы[#Headers],0),0),"")</f>
        <v>Галина Агабекова(церковь)</v>
      </c>
      <c r="E971" s="32" t="s">
        <v>1549</v>
      </c>
      <c r="F971" s="56" t="s">
        <v>3061</v>
      </c>
      <c r="H971" s="34">
        <v>45567</v>
      </c>
      <c r="I971" s="26">
        <v>1</v>
      </c>
      <c r="J971" s="26">
        <v>276</v>
      </c>
      <c r="K971">
        <v>276</v>
      </c>
      <c r="L971" s="26">
        <v>291</v>
      </c>
      <c r="M971">
        <f t="shared" si="17"/>
        <v>291</v>
      </c>
      <c r="O97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Row],[orderNum]],ТабПозиции[orderSumm])&gt;1500),ABS(M971*VLOOKUP(ТабПозиции[[#This Row],[orderNum]],ТабЗаказы[#Data],MATCH("Percent",ТабЗаказы[#Headers],0),0))/100,200/COUNTIF(ТабПозиции[orderNum],ТабПозиции[[#This Row],[orderNum]])),0),"")</f>
        <v>29</v>
      </c>
      <c r="P971">
        <f>IF(OR(ТабПозиции[[#This Row],[item]]="По штрихкоду",ТабПозиции[[#This Row],[item]]="Посылка"),ТабПозиции[[#This Row],[deliverySumm]]+ТабПозиции[[#This Row],[deliveryPost]],SUM(M971:O971))</f>
        <v>320</v>
      </c>
      <c r="Q971" s="57">
        <v>320</v>
      </c>
      <c r="R971" s="62">
        <f>ТабПозиции[[#This Row],[totalSumm]]-ТабПозиции[[#This Row],[payment]]</f>
        <v>0</v>
      </c>
      <c r="S971" s="34" t="s">
        <v>965</v>
      </c>
      <c r="T971" s="56" t="s">
        <v>3061</v>
      </c>
      <c r="U971" s="56" t="s">
        <v>3061</v>
      </c>
      <c r="V971" s="56" t="s">
        <v>3061</v>
      </c>
      <c r="W971" s="7"/>
      <c r="X971"/>
    </row>
    <row r="972" spans="1:24" x14ac:dyDescent="0.25">
      <c r="A972" s="26">
        <v>272</v>
      </c>
      <c r="B972" s="1">
        <f>IFERROR(VLOOKUP(ТабПозиции[[#This Row],[orderNum]],ТабЗаказы[#Data],MATCH(B$7,ТабЗаказы[#Headers],0),0),"")</f>
        <v>45565</v>
      </c>
      <c r="C972" t="str">
        <f>MONTH(ТабПозиции[[#This Row],[date]])&amp;"/"&amp;YEAR(ТабПозиции[[#This Row],[date]])</f>
        <v>9/2024</v>
      </c>
      <c r="D972" s="1" t="str">
        <f>IFERROR(VLOOKUP(ТабПозиции[[#This Row],[orderNum]],ТабЗаказы[#Data],MATCH(D$7,ТабЗаказы[#Headers],0),0),"")</f>
        <v>Галина Агабекова(церковь)</v>
      </c>
      <c r="E972" s="32" t="s">
        <v>1550</v>
      </c>
      <c r="F972" s="56" t="s">
        <v>3061</v>
      </c>
      <c r="H972" s="34">
        <v>45566</v>
      </c>
      <c r="I972" s="26">
        <v>1</v>
      </c>
      <c r="J972" s="26">
        <v>1087</v>
      </c>
      <c r="K972">
        <v>1087</v>
      </c>
      <c r="L972" s="26">
        <v>1145</v>
      </c>
      <c r="M972">
        <f t="shared" si="17"/>
        <v>1145</v>
      </c>
      <c r="O97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Row],[orderNum]],ТабПозиции[orderSumm])&gt;1500),ABS(M972*VLOOKUP(ТабПозиции[[#This Row],[orderNum]],ТабЗаказы[#Data],MATCH("Percent",ТабЗаказы[#Headers],0),0))/100,200/COUNTIF(ТабПозиции[orderNum],ТабПозиции[[#This Row],[orderNum]])),0),"")</f>
        <v>115</v>
      </c>
      <c r="P972">
        <f>IF(OR(ТабПозиции[[#This Row],[item]]="По штрихкоду",ТабПозиции[[#This Row],[item]]="Посылка"),ТабПозиции[[#This Row],[deliverySumm]]+ТабПозиции[[#This Row],[deliveryPost]],SUM(M972:O972))</f>
        <v>1260</v>
      </c>
      <c r="Q972" s="57">
        <v>1260</v>
      </c>
      <c r="R972" s="62">
        <f>ТабПозиции[[#This Row],[totalSumm]]-ТабПозиции[[#This Row],[payment]]</f>
        <v>0</v>
      </c>
      <c r="S972" s="34" t="s">
        <v>965</v>
      </c>
      <c r="T972" s="56" t="s">
        <v>3061</v>
      </c>
      <c r="U972" s="56" t="s">
        <v>3061</v>
      </c>
      <c r="V972" s="56" t="s">
        <v>3061</v>
      </c>
      <c r="W972" s="7"/>
      <c r="X972"/>
    </row>
    <row r="973" spans="1:24" x14ac:dyDescent="0.25">
      <c r="A973" s="26">
        <v>272</v>
      </c>
      <c r="B973" s="1">
        <f>IFERROR(VLOOKUP(ТабПозиции[[#This Row],[orderNum]],ТабЗаказы[#Data],MATCH(B$7,ТабЗаказы[#Headers],0),0),"")</f>
        <v>45565</v>
      </c>
      <c r="C973" t="str">
        <f>MONTH(ТабПозиции[[#This Row],[date]])&amp;"/"&amp;YEAR(ТабПозиции[[#This Row],[date]])</f>
        <v>9/2024</v>
      </c>
      <c r="D973" s="1" t="str">
        <f>IFERROR(VLOOKUP(ТабПозиции[[#This Row],[orderNum]],ТабЗаказы[#Data],MATCH(D$7,ТабЗаказы[#Headers],0),0),"")</f>
        <v>Галина Агабекова(церковь)</v>
      </c>
      <c r="E973" s="32" t="s">
        <v>1536</v>
      </c>
      <c r="F973" s="56" t="s">
        <v>3061</v>
      </c>
      <c r="H973" s="34">
        <v>45566</v>
      </c>
      <c r="I973" s="26">
        <v>1</v>
      </c>
      <c r="J973" s="26">
        <v>242</v>
      </c>
      <c r="K973">
        <v>242</v>
      </c>
      <c r="L973" s="26">
        <v>242</v>
      </c>
      <c r="M973">
        <f t="shared" si="17"/>
        <v>242</v>
      </c>
      <c r="O97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Row],[orderNum]],ТабПозиции[orderSumm])&gt;1500),ABS(M973*VLOOKUP(ТабПозиции[[#This Row],[orderNum]],ТабЗаказы[#Data],MATCH("Percent",ТабЗаказы[#Headers],0),0))/100,200/COUNTIF(ТабПозиции[orderNum],ТабПозиции[[#This Row],[orderNum]])),0),"")</f>
        <v>24</v>
      </c>
      <c r="P973">
        <f>IF(OR(ТабПозиции[[#This Row],[item]]="По штрихкоду",ТабПозиции[[#This Row],[item]]="Посылка"),ТабПозиции[[#This Row],[deliverySumm]]+ТабПозиции[[#This Row],[deliveryPost]],SUM(M973:O973))</f>
        <v>266</v>
      </c>
      <c r="Q973" s="57">
        <v>266</v>
      </c>
      <c r="R973" s="62">
        <f>ТабПозиции[[#This Row],[totalSumm]]-ТабПозиции[[#This Row],[payment]]</f>
        <v>0</v>
      </c>
      <c r="S973" s="34" t="s">
        <v>1000</v>
      </c>
      <c r="T973" s="56" t="s">
        <v>3061</v>
      </c>
      <c r="U973" s="56" t="s">
        <v>3061</v>
      </c>
      <c r="V973" s="56" t="s">
        <v>3061</v>
      </c>
      <c r="W973" s="7"/>
      <c r="X973"/>
    </row>
    <row r="974" spans="1:24" x14ac:dyDescent="0.25">
      <c r="A974" s="26">
        <v>272</v>
      </c>
      <c r="B974" s="1">
        <f>IFERROR(VLOOKUP(ТабПозиции[[#This Row],[orderNum]],ТабЗаказы[#Data],MATCH(B$7,ТабЗаказы[#Headers],0),0),"")</f>
        <v>45565</v>
      </c>
      <c r="C974" t="str">
        <f>MONTH(ТабПозиции[[#This Row],[date]])&amp;"/"&amp;YEAR(ТабПозиции[[#This Row],[date]])</f>
        <v>9/2024</v>
      </c>
      <c r="D974" s="1" t="str">
        <f>IFERROR(VLOOKUP(ТабПозиции[[#This Row],[orderNum]],ТабЗаказы[#Data],MATCH(D$7,ТабЗаказы[#Headers],0),0),"")</f>
        <v>Галина Агабекова(церковь)</v>
      </c>
      <c r="E974" s="32" t="s">
        <v>1555</v>
      </c>
      <c r="F974" s="56" t="s">
        <v>3061</v>
      </c>
      <c r="H974" s="34">
        <v>45568</v>
      </c>
      <c r="I974" s="26">
        <v>3</v>
      </c>
      <c r="J974" s="26">
        <v>622</v>
      </c>
      <c r="K974">
        <v>1866</v>
      </c>
      <c r="L974" s="26">
        <v>655</v>
      </c>
      <c r="M974">
        <f t="shared" si="16"/>
        <v>1965</v>
      </c>
      <c r="O97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Row],[orderNum]],ТабПозиции[orderSumm])&gt;1500),ABS(M974*VLOOKUP(ТабПозиции[[#This Row],[orderNum]],ТабЗаказы[#Data],MATCH("Percent",ТабЗаказы[#Headers],0),0))/100,200/COUNTIF(ТабПозиции[orderNum],ТабПозиции[[#This Row],[orderNum]])),0),"")</f>
        <v>197</v>
      </c>
      <c r="P974">
        <f>IF(OR(ТабПозиции[[#This Row],[item]]="По штрихкоду",ТабПозиции[[#This Row],[item]]="Посылка"),ТабПозиции[[#This Row],[deliverySumm]]+ТабПозиции[[#This Row],[deliveryPost]],SUM(M974:O974))</f>
        <v>2162</v>
      </c>
      <c r="Q974" s="57">
        <v>2162</v>
      </c>
      <c r="R974" s="62">
        <f>ТабПозиции[[#This Row],[totalSumm]]-ТабПозиции[[#This Row],[payment]]</f>
        <v>0</v>
      </c>
      <c r="S974" s="34" t="s">
        <v>965</v>
      </c>
      <c r="T974" s="56" t="s">
        <v>3061</v>
      </c>
      <c r="U974" s="56" t="s">
        <v>3061</v>
      </c>
      <c r="V974" s="56" t="s">
        <v>3061</v>
      </c>
      <c r="W974" s="7"/>
      <c r="X974"/>
    </row>
    <row r="975" spans="1:24" x14ac:dyDescent="0.25">
      <c r="A975" s="26">
        <v>272</v>
      </c>
      <c r="B975" s="1">
        <f>IFERROR(VLOOKUP(ТабПозиции[[#This Row],[orderNum]],ТабЗаказы[#Data],MATCH(B$7,ТабЗаказы[#Headers],0),0),"")</f>
        <v>45565</v>
      </c>
      <c r="C975" t="str">
        <f>MONTH(ТабПозиции[[#This Row],[date]])&amp;"/"&amp;YEAR(ТабПозиции[[#This Row],[date]])</f>
        <v>9/2024</v>
      </c>
      <c r="D975" s="1" t="str">
        <f>IFERROR(VLOOKUP(ТабПозиции[[#This Row],[orderNum]],ТабЗаказы[#Data],MATCH(D$7,ТабЗаказы[#Headers],0),0),"")</f>
        <v>Галина Агабекова(церковь)</v>
      </c>
      <c r="E975" s="32" t="s">
        <v>1557</v>
      </c>
      <c r="F975" s="56" t="s">
        <v>3061</v>
      </c>
      <c r="H975" s="34"/>
      <c r="I975" s="26">
        <v>0</v>
      </c>
      <c r="J975" s="26">
        <v>690</v>
      </c>
      <c r="K975">
        <v>0</v>
      </c>
      <c r="L975" s="26">
        <v>690</v>
      </c>
      <c r="M975">
        <f t="shared" si="16"/>
        <v>0</v>
      </c>
      <c r="O97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Row],[orderNum]],ТабПозиции[orderSumm])&gt;1500),ABS(M975*VLOOKUP(ТабПозиции[[#This Row],[orderNum]],ТабЗаказы[#Data],MATCH("Percent",ТабЗаказы[#Headers],0),0))/100,200/COUNTIF(ТабПозиции[orderNum],ТабПозиции[[#This Row],[orderNum]])),0),"")</f>
        <v>0</v>
      </c>
      <c r="P975">
        <f>IF(OR(ТабПозиции[[#This Row],[item]]="По штрихкоду",ТабПозиции[[#This Row],[item]]="Посылка"),ТабПозиции[[#This Row],[deliverySumm]]+ТабПозиции[[#This Row],[deliveryPost]],SUM(M975:O975))</f>
        <v>0</v>
      </c>
      <c r="R975" s="62">
        <f>ТабПозиции[[#This Row],[totalSumm]]-ТабПозиции[[#This Row],[payment]]</f>
        <v>0</v>
      </c>
      <c r="S975" s="66" t="s">
        <v>1558</v>
      </c>
      <c r="T975" s="56" t="s">
        <v>3061</v>
      </c>
      <c r="U975" s="56" t="s">
        <v>3061</v>
      </c>
      <c r="V975" s="56" t="s">
        <v>3061</v>
      </c>
      <c r="W975" s="7"/>
      <c r="X975"/>
    </row>
    <row r="976" spans="1:24" x14ac:dyDescent="0.25">
      <c r="A976" s="26">
        <v>272</v>
      </c>
      <c r="B976" s="1">
        <f>IFERROR(VLOOKUP(ТабПозиции[[#This Row],[orderNum]],ТабЗаказы[#Data],MATCH(B$7,ТабЗаказы[#Headers],0),0),"")</f>
        <v>45565</v>
      </c>
      <c r="C976" t="str">
        <f>MONTH(ТабПозиции[[#This Row],[date]])&amp;"/"&amp;YEAR(ТабПозиции[[#This Row],[date]])</f>
        <v>9/2024</v>
      </c>
      <c r="D976" s="1" t="str">
        <f>IFERROR(VLOOKUP(ТабПозиции[[#This Row],[orderNum]],ТабЗаказы[#Data],MATCH(D$7,ТабЗаказы[#Headers],0),0),"")</f>
        <v>Галина Агабекова(церковь)</v>
      </c>
      <c r="E976" s="32" t="s">
        <v>1559</v>
      </c>
      <c r="F976" s="56" t="s">
        <v>3061</v>
      </c>
      <c r="H976" s="34">
        <v>45570</v>
      </c>
      <c r="I976" s="26">
        <v>1</v>
      </c>
      <c r="J976" s="26">
        <v>1043</v>
      </c>
      <c r="K976">
        <v>1043</v>
      </c>
      <c r="L976" s="26">
        <v>1098</v>
      </c>
      <c r="M976">
        <f t="shared" si="16"/>
        <v>1098</v>
      </c>
      <c r="O97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Row],[orderNum]],ТабПозиции[orderSumm])&gt;1500),ABS(M976*VLOOKUP(ТабПозиции[[#This Row],[orderNum]],ТабЗаказы[#Data],MATCH("Percent",ТабЗаказы[#Headers],0),0))/100,200/COUNTIF(ТабПозиции[orderNum],ТабПозиции[[#This Row],[orderNum]])),0),"")</f>
        <v>110</v>
      </c>
      <c r="P976">
        <f>IF(OR(ТабПозиции[[#This Row],[item]]="По штрихкоду",ТабПозиции[[#This Row],[item]]="Посылка"),ТабПозиции[[#This Row],[deliverySumm]]+ТабПозиции[[#This Row],[deliveryPost]],SUM(M976:O976))</f>
        <v>1208</v>
      </c>
      <c r="Q976" s="57">
        <v>1208</v>
      </c>
      <c r="R976" s="62">
        <f>ТабПозиции[[#This Row],[totalSumm]]-ТабПозиции[[#This Row],[payment]]</f>
        <v>0</v>
      </c>
      <c r="S976" s="34" t="s">
        <v>965</v>
      </c>
      <c r="T976" s="56" t="s">
        <v>3061</v>
      </c>
      <c r="U976" s="56" t="s">
        <v>3061</v>
      </c>
      <c r="V976" s="56" t="s">
        <v>3061</v>
      </c>
      <c r="W976" s="7"/>
      <c r="X976"/>
    </row>
    <row r="977" spans="1:24" x14ac:dyDescent="0.25">
      <c r="A977" s="26">
        <v>272</v>
      </c>
      <c r="B977" s="1">
        <f>IFERROR(VLOOKUP(ТабПозиции[[#This Row],[orderNum]],ТабЗаказы[#Data],MATCH(B$7,ТабЗаказы[#Headers],0),0),"")</f>
        <v>45565</v>
      </c>
      <c r="C977" t="str">
        <f>MONTH(ТабПозиции[[#This Row],[date]])&amp;"/"&amp;YEAR(ТабПозиции[[#This Row],[date]])</f>
        <v>9/2024</v>
      </c>
      <c r="D977" s="1" t="str">
        <f>IFERROR(VLOOKUP(ТабПозиции[[#This Row],[orderNum]],ТабЗаказы[#Data],MATCH(D$7,ТабЗаказы[#Headers],0),0),"")</f>
        <v>Галина Агабекова(церковь)</v>
      </c>
      <c r="E977" s="32" t="s">
        <v>1560</v>
      </c>
      <c r="F977" s="56" t="s">
        <v>3061</v>
      </c>
      <c r="H977" s="34">
        <v>45575</v>
      </c>
      <c r="I977" s="26">
        <v>1</v>
      </c>
      <c r="J977" s="26">
        <v>946</v>
      </c>
      <c r="K977">
        <v>946</v>
      </c>
      <c r="L977" s="26">
        <v>1021</v>
      </c>
      <c r="M977">
        <f t="shared" si="16"/>
        <v>1021</v>
      </c>
      <c r="O97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Row],[orderNum]],ТабПозиции[orderSumm])&gt;1500),ABS(M977*VLOOKUP(ТабПозиции[[#This Row],[orderNum]],ТабЗаказы[#Data],MATCH("Percent",ТабЗаказы[#Headers],0),0))/100,200/COUNTIF(ТабПозиции[orderNum],ТабПозиции[[#This Row],[orderNum]])),0),"")</f>
        <v>102</v>
      </c>
      <c r="P977">
        <f>IF(OR(ТабПозиции[[#This Row],[item]]="По штрихкоду",ТабПозиции[[#This Row],[item]]="Посылка"),ТабПозиции[[#This Row],[deliverySumm]]+ТабПозиции[[#This Row],[deliveryPost]],SUM(M977:O977))</f>
        <v>1123</v>
      </c>
      <c r="Q977" s="57">
        <v>1123</v>
      </c>
      <c r="R977" s="62">
        <f>ТабПозиции[[#This Row],[totalSumm]]-ТабПозиции[[#This Row],[payment]]</f>
        <v>0</v>
      </c>
      <c r="S977" s="34" t="s">
        <v>955</v>
      </c>
      <c r="T977" s="56" t="s">
        <v>3061</v>
      </c>
      <c r="U977" s="56" t="s">
        <v>3061</v>
      </c>
      <c r="V977" s="56" t="s">
        <v>3061</v>
      </c>
      <c r="W977" s="7"/>
      <c r="X977"/>
    </row>
    <row r="978" spans="1:24" x14ac:dyDescent="0.25">
      <c r="A978" s="26">
        <v>272</v>
      </c>
      <c r="B978" s="1">
        <f>IFERROR(VLOOKUP(ТабПозиции[[#This Row],[orderNum]],ТабЗаказы[#Data],MATCH(B$7,ТабЗаказы[#Headers],0),0),"")</f>
        <v>45565</v>
      </c>
      <c r="C978" t="str">
        <f>MONTH(ТабПозиции[[#This Row],[date]])&amp;"/"&amp;YEAR(ТабПозиции[[#This Row],[date]])</f>
        <v>9/2024</v>
      </c>
      <c r="D978" s="1" t="str">
        <f>IFERROR(VLOOKUP(ТабПозиции[[#This Row],[orderNum]],ТабЗаказы[#Data],MATCH(D$7,ТабЗаказы[#Headers],0),0),"")</f>
        <v>Галина Агабекова(церковь)</v>
      </c>
      <c r="E978" s="32" t="s">
        <v>1561</v>
      </c>
      <c r="F978" s="56" t="s">
        <v>3061</v>
      </c>
      <c r="H978" s="34">
        <v>45575</v>
      </c>
      <c r="I978" s="26">
        <v>1</v>
      </c>
      <c r="J978" s="26">
        <v>630</v>
      </c>
      <c r="K978">
        <v>630</v>
      </c>
      <c r="L978" s="26">
        <v>679</v>
      </c>
      <c r="M978">
        <f t="shared" si="16"/>
        <v>679</v>
      </c>
      <c r="O97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Row],[orderNum]],ТабПозиции[orderSumm])&gt;1500),ABS(M978*VLOOKUP(ТабПозиции[[#This Row],[orderNum]],ТабЗаказы[#Data],MATCH("Percent",ТабЗаказы[#Headers],0),0))/100,200/COUNTIF(ТабПозиции[orderNum],ТабПозиции[[#This Row],[orderNum]])),0),"")</f>
        <v>68</v>
      </c>
      <c r="P978">
        <f>IF(OR(ТабПозиции[[#This Row],[item]]="По штрихкоду",ТабПозиции[[#This Row],[item]]="Посылка"),ТабПозиции[[#This Row],[deliverySumm]]+ТабПозиции[[#This Row],[deliveryPost]],SUM(M978:O978))</f>
        <v>747</v>
      </c>
      <c r="Q978" s="57">
        <v>747</v>
      </c>
      <c r="R978" s="62">
        <f>ТабПозиции[[#This Row],[totalSumm]]-ТабПозиции[[#This Row],[payment]]</f>
        <v>0</v>
      </c>
      <c r="S978" s="34" t="s">
        <v>955</v>
      </c>
      <c r="T978" s="56" t="s">
        <v>3061</v>
      </c>
      <c r="U978" s="56" t="s">
        <v>3061</v>
      </c>
      <c r="V978" s="56" t="s">
        <v>3061</v>
      </c>
      <c r="W978" s="7"/>
      <c r="X978"/>
    </row>
    <row r="979" spans="1:24" x14ac:dyDescent="0.25">
      <c r="A979" s="26">
        <v>272</v>
      </c>
      <c r="B979" s="1">
        <f>IFERROR(VLOOKUP(ТабПозиции[[#This Row],[orderNum]],ТабЗаказы[#Data],MATCH(B$7,ТабЗаказы[#Headers],0),0),"")</f>
        <v>45565</v>
      </c>
      <c r="C979" t="str">
        <f>MONTH(ТабПозиции[[#This Row],[date]])&amp;"/"&amp;YEAR(ТабПозиции[[#This Row],[date]])</f>
        <v>9/2024</v>
      </c>
      <c r="D979" s="1" t="str">
        <f>IFERROR(VLOOKUP(ТабПозиции[[#This Row],[orderNum]],ТабЗаказы[#Data],MATCH(D$7,ТабЗаказы[#Headers],0),0),"")</f>
        <v>Галина Агабекова(церковь)</v>
      </c>
      <c r="E979" s="32" t="s">
        <v>1562</v>
      </c>
      <c r="F979" s="56" t="s">
        <v>3061</v>
      </c>
      <c r="H979" s="34">
        <v>45577</v>
      </c>
      <c r="I979" s="26">
        <v>1</v>
      </c>
      <c r="J979" s="26">
        <v>199</v>
      </c>
      <c r="K979">
        <v>199</v>
      </c>
      <c r="L979" s="26">
        <v>199</v>
      </c>
      <c r="M979">
        <f t="shared" si="16"/>
        <v>199</v>
      </c>
      <c r="O97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Row],[orderNum]],ТабПозиции[orderSumm])&gt;1500),ABS(M979*VLOOKUP(ТабПозиции[[#This Row],[orderNum]],ТабЗаказы[#Data],MATCH("Percent",ТабЗаказы[#Headers],0),0))/100,200/COUNTIF(ТабПозиции[orderNum],ТабПозиции[[#This Row],[orderNum]])),0),"")</f>
        <v>20</v>
      </c>
      <c r="P979">
        <f>IF(OR(ТабПозиции[[#This Row],[item]]="По штрихкоду",ТабПозиции[[#This Row],[item]]="Посылка"),ТабПозиции[[#This Row],[deliverySumm]]+ТабПозиции[[#This Row],[deliveryPost]],SUM(M979:O979))</f>
        <v>219</v>
      </c>
      <c r="Q979" s="57">
        <v>219</v>
      </c>
      <c r="R979" s="62">
        <f>ТабПозиции[[#This Row],[totalSumm]]-ТабПозиции[[#This Row],[payment]]</f>
        <v>0</v>
      </c>
      <c r="S979" s="34" t="s">
        <v>1062</v>
      </c>
      <c r="T979" s="56" t="s">
        <v>3061</v>
      </c>
      <c r="U979" s="56" t="s">
        <v>3061</v>
      </c>
      <c r="V979" s="56" t="s">
        <v>3061</v>
      </c>
      <c r="W979" s="7"/>
      <c r="X979"/>
    </row>
    <row r="980" spans="1:24" x14ac:dyDescent="0.25">
      <c r="A980" s="26">
        <v>272</v>
      </c>
      <c r="B980" s="1">
        <f>IFERROR(VLOOKUP(ТабПозиции[[#This Row],[orderNum]],ТабЗаказы[#Data],MATCH(B$7,ТабЗаказы[#Headers],0),0),"")</f>
        <v>45565</v>
      </c>
      <c r="C980" t="str">
        <f>MONTH(ТабПозиции[[#This Row],[date]])&amp;"/"&amp;YEAR(ТабПозиции[[#This Row],[date]])</f>
        <v>9/2024</v>
      </c>
      <c r="D980" s="1" t="str">
        <f>IFERROR(VLOOKUP(ТабПозиции[[#This Row],[orderNum]],ТабЗаказы[#Data],MATCH(D$7,ТабЗаказы[#Headers],0),0),"")</f>
        <v>Галина Агабекова(церковь)</v>
      </c>
      <c r="E980" s="32" t="s">
        <v>1563</v>
      </c>
      <c r="F980" s="56" t="s">
        <v>3061</v>
      </c>
      <c r="H980" s="34">
        <v>45569</v>
      </c>
      <c r="I980" s="26">
        <v>1</v>
      </c>
      <c r="J980" s="26">
        <v>195</v>
      </c>
      <c r="K980">
        <v>195</v>
      </c>
      <c r="L980" s="26">
        <v>199</v>
      </c>
      <c r="M980">
        <f t="shared" si="16"/>
        <v>199</v>
      </c>
      <c r="O98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Row],[orderNum]],ТабПозиции[orderSumm])&gt;1500),ABS(M980*VLOOKUP(ТабПозиции[[#This Row],[orderNum]],ТабЗаказы[#Data],MATCH("Percent",ТабЗаказы[#Headers],0),0))/100,200/COUNTIF(ТабПозиции[orderNum],ТабПозиции[[#This Row],[orderNum]])),0),"")</f>
        <v>20</v>
      </c>
      <c r="P980">
        <f>IF(OR(ТабПозиции[[#This Row],[item]]="По штрихкоду",ТабПозиции[[#This Row],[item]]="Посылка"),ТабПозиции[[#This Row],[deliverySumm]]+ТабПозиции[[#This Row],[deliveryPost]],SUM(M980:O980))</f>
        <v>219</v>
      </c>
      <c r="Q980" s="57">
        <v>219</v>
      </c>
      <c r="R980" s="62">
        <f>ТабПозиции[[#This Row],[totalSumm]]-ТабПозиции[[#This Row],[payment]]</f>
        <v>0</v>
      </c>
      <c r="S980" s="34" t="s">
        <v>955</v>
      </c>
      <c r="T980" s="56" t="s">
        <v>3061</v>
      </c>
      <c r="U980" s="56" t="s">
        <v>3061</v>
      </c>
      <c r="V980" s="56" t="s">
        <v>3061</v>
      </c>
      <c r="W980" s="7"/>
      <c r="X980"/>
    </row>
    <row r="981" spans="1:24" x14ac:dyDescent="0.25">
      <c r="A981" s="26">
        <v>273</v>
      </c>
      <c r="B981" s="1">
        <f>IFERROR(VLOOKUP(ТабПозиции[[#This Row],[orderNum]],ТабЗаказы[#Data],MATCH(B$7,ТабЗаказы[#Headers],0),0),"")</f>
        <v>45568</v>
      </c>
      <c r="C981" t="str">
        <f>MONTH(ТабПозиции[[#This Row],[date]])&amp;"/"&amp;YEAR(ТабПозиции[[#This Row],[date]])</f>
        <v>10/2024</v>
      </c>
      <c r="D981" s="1" t="str">
        <f>IFERROR(VLOOKUP(ТабПозиции[[#This Row],[orderNum]],ТабЗаказы[#Data],MATCH(D$7,ТабЗаказы[#Headers],0),0),"")</f>
        <v>Юля Ларисына</v>
      </c>
      <c r="E981" s="32" t="s">
        <v>1564</v>
      </c>
      <c r="F981" s="56" t="s">
        <v>3061</v>
      </c>
      <c r="H981" s="34">
        <v>45570</v>
      </c>
      <c r="I981" s="26">
        <v>1</v>
      </c>
      <c r="J981" s="26">
        <v>185</v>
      </c>
      <c r="K981">
        <v>185</v>
      </c>
      <c r="L981" s="26">
        <v>189</v>
      </c>
      <c r="M981">
        <f t="shared" si="16"/>
        <v>189</v>
      </c>
      <c r="O98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Row],[orderNum]],ТабПозиции[orderSumm])&gt;1500),ABS(M981*VLOOKUP(ТабПозиции[[#This Row],[orderNum]],ТабЗаказы[#Data],MATCH("Percent",ТабЗаказы[#Headers],0),0))/100,200/COUNTIF(ТабПозиции[orderNum],ТабПозиции[[#This Row],[orderNum]])),0),"")</f>
        <v>28</v>
      </c>
      <c r="P981">
        <f>IF(OR(ТабПозиции[[#This Row],[item]]="По штрихкоду",ТабПозиции[[#This Row],[item]]="Посылка"),ТабПозиции[[#This Row],[deliverySumm]]+ТабПозиции[[#This Row],[deliveryPost]],SUM(M981:O981))</f>
        <v>217</v>
      </c>
      <c r="Q981" s="57">
        <v>217</v>
      </c>
      <c r="R981" s="62">
        <f>ТабПозиции[[#This Row],[totalSumm]]-ТабПозиции[[#This Row],[payment]]</f>
        <v>0</v>
      </c>
      <c r="S981" s="34" t="s">
        <v>955</v>
      </c>
      <c r="T981" s="56" t="s">
        <v>3061</v>
      </c>
      <c r="U981" s="56" t="s">
        <v>3061</v>
      </c>
      <c r="V981" s="56" t="s">
        <v>3061</v>
      </c>
      <c r="W981" s="7"/>
      <c r="X981"/>
    </row>
    <row r="982" spans="1:24" x14ac:dyDescent="0.25">
      <c r="A982" s="26">
        <v>273</v>
      </c>
      <c r="B982" s="1">
        <f>IFERROR(VLOOKUP(ТабПозиции[[#This Row],[orderNum]],ТабЗаказы[#Data],MATCH(B$7,ТабЗаказы[#Headers],0),0),"")</f>
        <v>45568</v>
      </c>
      <c r="C982" t="str">
        <f>MONTH(ТабПозиции[[#This Row],[date]])&amp;"/"&amp;YEAR(ТабПозиции[[#This Row],[date]])</f>
        <v>10/2024</v>
      </c>
      <c r="D982" s="1" t="str">
        <f>IFERROR(VLOOKUP(ТабПозиции[[#This Row],[orderNum]],ТабЗаказы[#Data],MATCH(D$7,ТабЗаказы[#Headers],0),0),"")</f>
        <v>Юля Ларисына</v>
      </c>
      <c r="E982" s="32" t="s">
        <v>1565</v>
      </c>
      <c r="F982" s="56" t="s">
        <v>3061</v>
      </c>
      <c r="H982" s="34">
        <v>45570</v>
      </c>
      <c r="I982" s="26">
        <v>1</v>
      </c>
      <c r="J982" s="26">
        <v>197</v>
      </c>
      <c r="K982">
        <v>197</v>
      </c>
      <c r="L982" s="26">
        <v>208</v>
      </c>
      <c r="M982">
        <f t="shared" si="16"/>
        <v>208</v>
      </c>
      <c r="O98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Row],[orderNum]],ТабПозиции[orderSumm])&gt;1500),ABS(M982*VLOOKUP(ТабПозиции[[#This Row],[orderNum]],ТабЗаказы[#Data],MATCH("Percent",ТабЗаказы[#Headers],0),0))/100,200/COUNTIF(ТабПозиции[orderNum],ТабПозиции[[#This Row],[orderNum]])),0),"")</f>
        <v>31</v>
      </c>
      <c r="P982">
        <f>IF(OR(ТабПозиции[[#This Row],[item]]="По штрихкоду",ТабПозиции[[#This Row],[item]]="Посылка"),ТабПозиции[[#This Row],[deliverySumm]]+ТабПозиции[[#This Row],[deliveryPost]],SUM(M982:O982))</f>
        <v>239</v>
      </c>
      <c r="Q982" s="57">
        <v>239</v>
      </c>
      <c r="R982" s="62">
        <f>ТабПозиции[[#This Row],[totalSumm]]-ТабПозиции[[#This Row],[payment]]</f>
        <v>0</v>
      </c>
      <c r="S982" s="34" t="s">
        <v>965</v>
      </c>
      <c r="T982" s="56" t="s">
        <v>3061</v>
      </c>
      <c r="U982" s="56" t="s">
        <v>3061</v>
      </c>
      <c r="V982" s="56" t="s">
        <v>3061</v>
      </c>
      <c r="W982" s="7"/>
      <c r="X982"/>
    </row>
    <row r="983" spans="1:24" x14ac:dyDescent="0.25">
      <c r="A983" s="26">
        <v>273</v>
      </c>
      <c r="B983" s="1">
        <f>IFERROR(VLOOKUP(ТабПозиции[[#This Row],[orderNum]],ТабЗаказы[#Data],MATCH(B$7,ТабЗаказы[#Headers],0),0),"")</f>
        <v>45568</v>
      </c>
      <c r="C983" t="str">
        <f>MONTH(ТабПозиции[[#This Row],[date]])&amp;"/"&amp;YEAR(ТабПозиции[[#This Row],[date]])</f>
        <v>10/2024</v>
      </c>
      <c r="D983" s="1" t="str">
        <f>IFERROR(VLOOKUP(ТабПозиции[[#This Row],[orderNum]],ТабЗаказы[#Data],MATCH(D$7,ТабЗаказы[#Headers],0),0),"")</f>
        <v>Юля Ларисына</v>
      </c>
      <c r="E983" s="32" t="s">
        <v>1566</v>
      </c>
      <c r="F983" s="56" t="s">
        <v>3061</v>
      </c>
      <c r="H983" s="34">
        <v>45570</v>
      </c>
      <c r="I983" s="26">
        <v>1</v>
      </c>
      <c r="J983" s="26">
        <v>754</v>
      </c>
      <c r="K983">
        <v>754</v>
      </c>
      <c r="L983" s="26">
        <v>794</v>
      </c>
      <c r="M983">
        <f t="shared" si="16"/>
        <v>794</v>
      </c>
      <c r="O98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Row],[orderNum]],ТабПозиции[orderSumm])&gt;1500),ABS(M983*VLOOKUP(ТабПозиции[[#This Row],[orderNum]],ТабЗаказы[#Data],MATCH("Percent",ТабЗаказы[#Headers],0),0))/100,200/COUNTIF(ТабПозиции[orderNum],ТабПозиции[[#This Row],[orderNum]])),0),"")</f>
        <v>119</v>
      </c>
      <c r="P983">
        <f>IF(OR(ТабПозиции[[#This Row],[item]]="По штрихкоду",ТабПозиции[[#This Row],[item]]="Посылка"),ТабПозиции[[#This Row],[deliverySumm]]+ТабПозиции[[#This Row],[deliveryPost]],SUM(M983:O983))</f>
        <v>913</v>
      </c>
      <c r="Q983" s="57">
        <v>913</v>
      </c>
      <c r="R983" s="62">
        <f>ТабПозиции[[#This Row],[totalSumm]]-ТабПозиции[[#This Row],[payment]]</f>
        <v>0</v>
      </c>
      <c r="S983" s="34" t="s">
        <v>965</v>
      </c>
      <c r="T983" s="56" t="s">
        <v>3061</v>
      </c>
      <c r="U983" s="56" t="s">
        <v>3061</v>
      </c>
      <c r="V983" s="56" t="s">
        <v>3061</v>
      </c>
      <c r="W983" s="7"/>
      <c r="X983"/>
    </row>
    <row r="984" spans="1:24" x14ac:dyDescent="0.25">
      <c r="A984" s="26">
        <v>273</v>
      </c>
      <c r="B984" s="1">
        <f>IFERROR(VLOOKUP(ТабПозиции[[#This Row],[orderNum]],ТабЗаказы[#Data],MATCH(B$7,ТабЗаказы[#Headers],0),0),"")</f>
        <v>45568</v>
      </c>
      <c r="C984" t="str">
        <f>MONTH(ТабПозиции[[#This Row],[date]])&amp;"/"&amp;YEAR(ТабПозиции[[#This Row],[date]])</f>
        <v>10/2024</v>
      </c>
      <c r="D984" s="1" t="str">
        <f>IFERROR(VLOOKUP(ТабПозиции[[#This Row],[orderNum]],ТабЗаказы[#Data],MATCH(D$7,ТабЗаказы[#Headers],0),0),"")</f>
        <v>Юля Ларисына</v>
      </c>
      <c r="E984" s="32" t="s">
        <v>1567</v>
      </c>
      <c r="F984" s="56" t="s">
        <v>3061</v>
      </c>
      <c r="H984" s="34">
        <v>45571</v>
      </c>
      <c r="I984" s="26">
        <v>1</v>
      </c>
      <c r="J984" s="26">
        <v>291</v>
      </c>
      <c r="K984">
        <v>291</v>
      </c>
      <c r="L984" s="26">
        <v>307</v>
      </c>
      <c r="M984">
        <f t="shared" ref="M984:M1047" si="18">L984*I984</f>
        <v>307</v>
      </c>
      <c r="O98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Row],[orderNum]],ТабПозиции[orderSumm])&gt;1500),ABS(M984*VLOOKUP(ТабПозиции[[#This Row],[orderNum]],ТабЗаказы[#Data],MATCH("Percent",ТабЗаказы[#Headers],0),0))/100,200/COUNTIF(ТабПозиции[orderNum],ТабПозиции[[#This Row],[orderNum]])),0),"")</f>
        <v>46</v>
      </c>
      <c r="P984">
        <f>IF(OR(ТабПозиции[[#This Row],[item]]="По штрихкоду",ТабПозиции[[#This Row],[item]]="Посылка"),ТабПозиции[[#This Row],[deliverySumm]]+ТабПозиции[[#This Row],[deliveryPost]],SUM(M984:O984))</f>
        <v>353</v>
      </c>
      <c r="Q984" s="57">
        <v>353</v>
      </c>
      <c r="R984" s="62">
        <f>ТабПозиции[[#This Row],[totalSumm]]-ТабПозиции[[#This Row],[payment]]</f>
        <v>0</v>
      </c>
      <c r="S984" s="34" t="s">
        <v>965</v>
      </c>
      <c r="T984" s="56" t="s">
        <v>3061</v>
      </c>
      <c r="U984" s="56" t="s">
        <v>3061</v>
      </c>
      <c r="V984" s="56" t="s">
        <v>3061</v>
      </c>
      <c r="W984" s="7"/>
      <c r="X984"/>
    </row>
    <row r="985" spans="1:24" x14ac:dyDescent="0.25">
      <c r="A985" s="26">
        <v>273</v>
      </c>
      <c r="B985" s="1">
        <f>IFERROR(VLOOKUP(ТабПозиции[[#This Row],[orderNum]],ТабЗаказы[#Data],MATCH(B$7,ТабЗаказы[#Headers],0),0),"")</f>
        <v>45568</v>
      </c>
      <c r="C985" t="str">
        <f>MONTH(ТабПозиции[[#This Row],[date]])&amp;"/"&amp;YEAR(ТабПозиции[[#This Row],[date]])</f>
        <v>10/2024</v>
      </c>
      <c r="D985" s="1" t="str">
        <f>IFERROR(VLOOKUP(ТабПозиции[[#This Row],[orderNum]],ТабЗаказы[#Data],MATCH(D$7,ТабЗаказы[#Headers],0),0),"")</f>
        <v>Юля Ларисына</v>
      </c>
      <c r="E985" s="32" t="s">
        <v>1568</v>
      </c>
      <c r="F985" s="56" t="s">
        <v>3061</v>
      </c>
      <c r="H985" s="34">
        <v>45570</v>
      </c>
      <c r="I985" s="26">
        <v>1</v>
      </c>
      <c r="J985" s="26">
        <v>159</v>
      </c>
      <c r="K985">
        <v>159</v>
      </c>
      <c r="L985" s="26">
        <v>168</v>
      </c>
      <c r="M985">
        <f t="shared" si="18"/>
        <v>168</v>
      </c>
      <c r="O98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Row],[orderNum]],ТабПозиции[orderSumm])&gt;1500),ABS(M985*VLOOKUP(ТабПозиции[[#This Row],[orderNum]],ТабЗаказы[#Data],MATCH("Percent",ТабЗаказы[#Headers],0),0))/100,200/COUNTIF(ТабПозиции[orderNum],ТабПозиции[[#This Row],[orderNum]])),0),"")</f>
        <v>25</v>
      </c>
      <c r="P985">
        <f>IF(OR(ТабПозиции[[#This Row],[item]]="По штрихкоду",ТабПозиции[[#This Row],[item]]="Посылка"),ТабПозиции[[#This Row],[deliverySumm]]+ТабПозиции[[#This Row],[deliveryPost]],SUM(M985:O985))</f>
        <v>193</v>
      </c>
      <c r="Q985" s="57">
        <v>193</v>
      </c>
      <c r="R985" s="62">
        <f>ТабПозиции[[#This Row],[totalSumm]]-ТабПозиции[[#This Row],[payment]]</f>
        <v>0</v>
      </c>
      <c r="S985" s="34" t="s">
        <v>965</v>
      </c>
      <c r="T985" s="56" t="s">
        <v>3061</v>
      </c>
      <c r="U985" s="56" t="s">
        <v>3061</v>
      </c>
      <c r="V985" s="56" t="s">
        <v>3061</v>
      </c>
      <c r="W985" s="7"/>
      <c r="X985"/>
    </row>
    <row r="986" spans="1:24" x14ac:dyDescent="0.25">
      <c r="A986" s="26">
        <v>273</v>
      </c>
      <c r="B986" s="1">
        <f>IFERROR(VLOOKUP(ТабПозиции[[#This Row],[orderNum]],ТабЗаказы[#Data],MATCH(B$7,ТабЗаказы[#Headers],0),0),"")</f>
        <v>45568</v>
      </c>
      <c r="C986" t="str">
        <f>MONTH(ТабПозиции[[#This Row],[date]])&amp;"/"&amp;YEAR(ТабПозиции[[#This Row],[date]])</f>
        <v>10/2024</v>
      </c>
      <c r="D986" s="1" t="str">
        <f>IFERROR(VLOOKUP(ТабПозиции[[#This Row],[orderNum]],ТабЗаказы[#Data],MATCH(D$7,ТабЗаказы[#Headers],0),0),"")</f>
        <v>Юля Ларисына</v>
      </c>
      <c r="E986" s="32" t="s">
        <v>1569</v>
      </c>
      <c r="F986" s="56" t="s">
        <v>3061</v>
      </c>
      <c r="H986" s="34">
        <v>45570</v>
      </c>
      <c r="I986" s="26">
        <v>1</v>
      </c>
      <c r="J986" s="26">
        <v>1035</v>
      </c>
      <c r="K986">
        <v>1035</v>
      </c>
      <c r="L986" s="26">
        <v>1090</v>
      </c>
      <c r="M986">
        <f t="shared" si="18"/>
        <v>1090</v>
      </c>
      <c r="O98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Row],[orderNum]],ТабПозиции[orderSumm])&gt;1500),ABS(M986*VLOOKUP(ТабПозиции[[#This Row],[orderNum]],ТабЗаказы[#Data],MATCH("Percent",ТабЗаказы[#Headers],0),0))/100,200/COUNTIF(ТабПозиции[orderNum],ТабПозиции[[#This Row],[orderNum]])),0),"")</f>
        <v>164</v>
      </c>
      <c r="P986">
        <f>IF(OR(ТабПозиции[[#This Row],[item]]="По штрихкоду",ТабПозиции[[#This Row],[item]]="Посылка"),ТабПозиции[[#This Row],[deliverySumm]]+ТабПозиции[[#This Row],[deliveryPost]],SUM(M986:O986))</f>
        <v>1254</v>
      </c>
      <c r="Q986" s="57">
        <v>1254</v>
      </c>
      <c r="R986" s="62">
        <f>ТабПозиции[[#This Row],[totalSumm]]-ТабПозиции[[#This Row],[payment]]</f>
        <v>0</v>
      </c>
      <c r="S986" s="34" t="s">
        <v>965</v>
      </c>
      <c r="T986" s="56" t="s">
        <v>3061</v>
      </c>
      <c r="U986" s="56" t="s">
        <v>3061</v>
      </c>
      <c r="V986" s="56" t="s">
        <v>3061</v>
      </c>
      <c r="W986" s="7"/>
      <c r="X986"/>
    </row>
    <row r="987" spans="1:24" x14ac:dyDescent="0.25">
      <c r="A987" s="26">
        <v>273</v>
      </c>
      <c r="B987" s="1">
        <f>IFERROR(VLOOKUP(ТабПозиции[[#This Row],[orderNum]],ТабЗаказы[#Data],MATCH(B$7,ТабЗаказы[#Headers],0),0),"")</f>
        <v>45568</v>
      </c>
      <c r="C987" t="str">
        <f>MONTH(ТабПозиции[[#This Row],[date]])&amp;"/"&amp;YEAR(ТабПозиции[[#This Row],[date]])</f>
        <v>10/2024</v>
      </c>
      <c r="D987" s="1" t="str">
        <f>IFERROR(VLOOKUP(ТабПозиции[[#This Row],[orderNum]],ТабЗаказы[#Data],MATCH(D$7,ТабЗаказы[#Headers],0),0),"")</f>
        <v>Юля Ларисына</v>
      </c>
      <c r="E987" s="32" t="s">
        <v>1570</v>
      </c>
      <c r="F987" s="56" t="s">
        <v>3061</v>
      </c>
      <c r="H987" s="34">
        <v>45570</v>
      </c>
      <c r="I987" s="26">
        <v>1</v>
      </c>
      <c r="J987" s="26">
        <v>322</v>
      </c>
      <c r="K987">
        <v>322</v>
      </c>
      <c r="L987" s="26">
        <v>339</v>
      </c>
      <c r="M987">
        <f t="shared" si="18"/>
        <v>339</v>
      </c>
      <c r="O98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Row],[orderNum]],ТабПозиции[orderSumm])&gt;1500),ABS(M987*VLOOKUP(ТабПозиции[[#This Row],[orderNum]],ТабЗаказы[#Data],MATCH("Percent",ТабЗаказы[#Headers],0),0))/100,200/COUNTIF(ТабПозиции[orderNum],ТабПозиции[[#This Row],[orderNum]])),0),"")</f>
        <v>51</v>
      </c>
      <c r="P987">
        <f>IF(OR(ТабПозиции[[#This Row],[item]]="По штрихкоду",ТабПозиции[[#This Row],[item]]="Посылка"),ТабПозиции[[#This Row],[deliverySumm]]+ТабПозиции[[#This Row],[deliveryPost]],SUM(M987:O987))</f>
        <v>390</v>
      </c>
      <c r="Q987" s="57">
        <v>390</v>
      </c>
      <c r="R987" s="62">
        <f>ТабПозиции[[#This Row],[totalSumm]]-ТабПозиции[[#This Row],[payment]]</f>
        <v>0</v>
      </c>
      <c r="S987" s="34" t="s">
        <v>965</v>
      </c>
      <c r="T987" s="56" t="s">
        <v>3061</v>
      </c>
      <c r="U987" s="56" t="s">
        <v>3061</v>
      </c>
      <c r="V987" s="56" t="s">
        <v>3061</v>
      </c>
      <c r="W987" s="7"/>
      <c r="X987"/>
    </row>
    <row r="988" spans="1:24" x14ac:dyDescent="0.25">
      <c r="A988" s="26">
        <v>273</v>
      </c>
      <c r="B988" s="1">
        <f>IFERROR(VLOOKUP(ТабПозиции[[#This Row],[orderNum]],ТабЗаказы[#Data],MATCH(B$7,ТабЗаказы[#Headers],0),0),"")</f>
        <v>45568</v>
      </c>
      <c r="C988" t="str">
        <f>MONTH(ТабПозиции[[#This Row],[date]])&amp;"/"&amp;YEAR(ТабПозиции[[#This Row],[date]])</f>
        <v>10/2024</v>
      </c>
      <c r="D988" s="1" t="str">
        <f>IFERROR(VLOOKUP(ТабПозиции[[#This Row],[orderNum]],ТабЗаказы[#Data],MATCH(D$7,ТабЗаказы[#Headers],0),0),"")</f>
        <v>Юля Ларисына</v>
      </c>
      <c r="E988" s="32" t="s">
        <v>1571</v>
      </c>
      <c r="F988" s="56" t="s">
        <v>3061</v>
      </c>
      <c r="H988" s="34">
        <v>45570</v>
      </c>
      <c r="I988" s="26">
        <v>1</v>
      </c>
      <c r="J988" s="26">
        <v>233</v>
      </c>
      <c r="K988">
        <v>233</v>
      </c>
      <c r="L988" s="26">
        <v>246</v>
      </c>
      <c r="M988">
        <f t="shared" si="18"/>
        <v>246</v>
      </c>
      <c r="O98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Row],[orderNum]],ТабПозиции[orderSumm])&gt;1500),ABS(M988*VLOOKUP(ТабПозиции[[#This Row],[orderNum]],ТабЗаказы[#Data],MATCH("Percent",ТабЗаказы[#Headers],0),0))/100,200/COUNTIF(ТабПозиции[orderNum],ТабПозиции[[#This Row],[orderNum]])),0),"")</f>
        <v>37</v>
      </c>
      <c r="P988">
        <f>IF(OR(ТабПозиции[[#This Row],[item]]="По штрихкоду",ТабПозиции[[#This Row],[item]]="Посылка"),ТабПозиции[[#This Row],[deliverySumm]]+ТабПозиции[[#This Row],[deliveryPost]],SUM(M988:O988))</f>
        <v>283</v>
      </c>
      <c r="Q988" s="57">
        <v>283</v>
      </c>
      <c r="R988" s="62">
        <f>ТабПозиции[[#This Row],[totalSumm]]-ТабПозиции[[#This Row],[payment]]</f>
        <v>0</v>
      </c>
      <c r="S988" s="34" t="s">
        <v>965</v>
      </c>
      <c r="T988" s="56" t="s">
        <v>3061</v>
      </c>
      <c r="U988" s="56" t="s">
        <v>3061</v>
      </c>
      <c r="V988" s="56" t="s">
        <v>3061</v>
      </c>
      <c r="W988" s="7"/>
      <c r="X988"/>
    </row>
    <row r="989" spans="1:24" x14ac:dyDescent="0.25">
      <c r="A989" s="26">
        <v>273</v>
      </c>
      <c r="B989" s="1">
        <f>IFERROR(VLOOKUP(ТабПозиции[[#This Row],[orderNum]],ТабЗаказы[#Data],MATCH(B$7,ТабЗаказы[#Headers],0),0),"")</f>
        <v>45568</v>
      </c>
      <c r="C989" t="str">
        <f>MONTH(ТабПозиции[[#This Row],[date]])&amp;"/"&amp;YEAR(ТабПозиции[[#This Row],[date]])</f>
        <v>10/2024</v>
      </c>
      <c r="D989" s="1" t="str">
        <f>IFERROR(VLOOKUP(ТабПозиции[[#This Row],[orderNum]],ТабЗаказы[#Data],MATCH(D$7,ТабЗаказы[#Headers],0),0),"")</f>
        <v>Юля Ларисына</v>
      </c>
      <c r="E989" s="32" t="s">
        <v>1572</v>
      </c>
      <c r="F989" s="56" t="s">
        <v>3061</v>
      </c>
      <c r="H989" s="34">
        <v>45570</v>
      </c>
      <c r="I989" s="26">
        <v>1</v>
      </c>
      <c r="J989" s="26">
        <v>304</v>
      </c>
      <c r="K989">
        <v>304</v>
      </c>
      <c r="L989" s="26">
        <v>321</v>
      </c>
      <c r="M989">
        <f t="shared" si="18"/>
        <v>321</v>
      </c>
      <c r="O98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Row],[orderNum]],ТабПозиции[orderSumm])&gt;1500),ABS(M989*VLOOKUP(ТабПозиции[[#This Row],[orderNum]],ТабЗаказы[#Data],MATCH("Percent",ТабЗаказы[#Headers],0),0))/100,200/COUNTIF(ТабПозиции[orderNum],ТабПозиции[[#This Row],[orderNum]])),0),"")</f>
        <v>48</v>
      </c>
      <c r="P989">
        <f>IF(OR(ТабПозиции[[#This Row],[item]]="По штрихкоду",ТабПозиции[[#This Row],[item]]="Посылка"),ТабПозиции[[#This Row],[deliverySumm]]+ТабПозиции[[#This Row],[deliveryPost]],SUM(M989:O989))</f>
        <v>369</v>
      </c>
      <c r="Q989" s="57">
        <v>369</v>
      </c>
      <c r="R989" s="62">
        <f>ТабПозиции[[#This Row],[totalSumm]]-ТабПозиции[[#This Row],[payment]]</f>
        <v>0</v>
      </c>
      <c r="S989" s="34" t="s">
        <v>965</v>
      </c>
      <c r="T989" s="56" t="s">
        <v>3061</v>
      </c>
      <c r="U989" s="56" t="s">
        <v>3061</v>
      </c>
      <c r="V989" s="56" t="s">
        <v>3061</v>
      </c>
      <c r="W989" s="7"/>
      <c r="X989"/>
    </row>
    <row r="990" spans="1:24" x14ac:dyDescent="0.25">
      <c r="A990" s="26">
        <v>273</v>
      </c>
      <c r="B990" s="1">
        <f>IFERROR(VLOOKUP(ТабПозиции[[#This Row],[orderNum]],ТабЗаказы[#Data],MATCH(B$7,ТабЗаказы[#Headers],0),0),"")</f>
        <v>45568</v>
      </c>
      <c r="C990" t="str">
        <f>MONTH(ТабПозиции[[#This Row],[date]])&amp;"/"&amp;YEAR(ТабПозиции[[#This Row],[date]])</f>
        <v>10/2024</v>
      </c>
      <c r="D990" s="1" t="str">
        <f>IFERROR(VLOOKUP(ТабПозиции[[#This Row],[orderNum]],ТабЗаказы[#Data],MATCH(D$7,ТабЗаказы[#Headers],0),0),"")</f>
        <v>Юля Ларисына</v>
      </c>
      <c r="E990" s="32" t="s">
        <v>691</v>
      </c>
      <c r="F990" s="56" t="s">
        <v>3061</v>
      </c>
      <c r="H990" s="34">
        <v>45570</v>
      </c>
      <c r="I990" s="26">
        <v>1</v>
      </c>
      <c r="J990" s="26">
        <v>119</v>
      </c>
      <c r="K990">
        <v>119</v>
      </c>
      <c r="L990" s="26">
        <v>126</v>
      </c>
      <c r="M990">
        <f t="shared" si="18"/>
        <v>126</v>
      </c>
      <c r="O99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Row],[orderNum]],ТабПозиции[orderSumm])&gt;1500),ABS(M990*VLOOKUP(ТабПозиции[[#This Row],[orderNum]],ТабЗаказы[#Data],MATCH("Percent",ТабЗаказы[#Headers],0),0))/100,200/COUNTIF(ТабПозиции[orderNum],ТабПозиции[[#This Row],[orderNum]])),0),"")</f>
        <v>19</v>
      </c>
      <c r="P990">
        <f>IF(OR(ТабПозиции[[#This Row],[item]]="По штрихкоду",ТабПозиции[[#This Row],[item]]="Посылка"),ТабПозиции[[#This Row],[deliverySumm]]+ТабПозиции[[#This Row],[deliveryPost]],SUM(M990:O990))</f>
        <v>145</v>
      </c>
      <c r="Q990" s="57">
        <v>145</v>
      </c>
      <c r="R990" s="62">
        <f>ТабПозиции[[#This Row],[totalSumm]]-ТабПозиции[[#This Row],[payment]]</f>
        <v>0</v>
      </c>
      <c r="S990" s="34" t="s">
        <v>965</v>
      </c>
      <c r="T990" s="56" t="s">
        <v>3061</v>
      </c>
      <c r="U990" s="56" t="s">
        <v>3061</v>
      </c>
      <c r="V990" s="56" t="s">
        <v>3061</v>
      </c>
      <c r="W990" s="7"/>
      <c r="X990"/>
    </row>
    <row r="991" spans="1:24" x14ac:dyDescent="0.25">
      <c r="A991" s="26">
        <v>273</v>
      </c>
      <c r="B991" s="1">
        <f>IFERROR(VLOOKUP(ТабПозиции[[#This Row],[orderNum]],ТабЗаказы[#Data],MATCH(B$7,ТабЗаказы[#Headers],0),0),"")</f>
        <v>45568</v>
      </c>
      <c r="C991" t="str">
        <f>MONTH(ТабПозиции[[#This Row],[date]])&amp;"/"&amp;YEAR(ТабПозиции[[#This Row],[date]])</f>
        <v>10/2024</v>
      </c>
      <c r="D991" s="1" t="str">
        <f>IFERROR(VLOOKUP(ТабПозиции[[#This Row],[orderNum]],ТабЗаказы[#Data],MATCH(D$7,ТабЗаказы[#Headers],0),0),"")</f>
        <v>Юля Ларисына</v>
      </c>
      <c r="E991" s="32" t="s">
        <v>1573</v>
      </c>
      <c r="F991" s="56" t="s">
        <v>3061</v>
      </c>
      <c r="H991" s="34">
        <v>45570</v>
      </c>
      <c r="I991" s="26">
        <v>1</v>
      </c>
      <c r="J991" s="26">
        <v>178</v>
      </c>
      <c r="K991">
        <v>178</v>
      </c>
      <c r="L991" s="26">
        <v>188</v>
      </c>
      <c r="M991">
        <f t="shared" si="18"/>
        <v>188</v>
      </c>
      <c r="O99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Row],[orderNum]],ТабПозиции[orderSumm])&gt;1500),ABS(M991*VLOOKUP(ТабПозиции[[#This Row],[orderNum]],ТабЗаказы[#Data],MATCH("Percent",ТабЗаказы[#Headers],0),0))/100,200/COUNTIF(ТабПозиции[orderNum],ТабПозиции[[#This Row],[orderNum]])),0),"")</f>
        <v>28</v>
      </c>
      <c r="P991">
        <f>IF(OR(ТабПозиции[[#This Row],[item]]="По штрихкоду",ТабПозиции[[#This Row],[item]]="Посылка"),ТабПозиции[[#This Row],[deliverySumm]]+ТабПозиции[[#This Row],[deliveryPost]],SUM(M991:O991))</f>
        <v>216</v>
      </c>
      <c r="Q991" s="57">
        <v>216</v>
      </c>
      <c r="R991" s="62">
        <f>ТабПозиции[[#This Row],[totalSumm]]-ТабПозиции[[#This Row],[payment]]</f>
        <v>0</v>
      </c>
      <c r="S991" s="34" t="s">
        <v>965</v>
      </c>
      <c r="T991" s="56" t="s">
        <v>3061</v>
      </c>
      <c r="U991" s="56" t="s">
        <v>3061</v>
      </c>
      <c r="V991" s="56" t="s">
        <v>3061</v>
      </c>
      <c r="W991" s="7"/>
      <c r="X991"/>
    </row>
    <row r="992" spans="1:24" x14ac:dyDescent="0.25">
      <c r="A992" s="26">
        <v>273</v>
      </c>
      <c r="B992" s="1">
        <f>IFERROR(VLOOKUP(ТабПозиции[[#This Row],[orderNum]],ТабЗаказы[#Data],MATCH(B$7,ТабЗаказы[#Headers],0),0),"")</f>
        <v>45568</v>
      </c>
      <c r="C992" t="str">
        <f>MONTH(ТабПозиции[[#This Row],[date]])&amp;"/"&amp;YEAR(ТабПозиции[[#This Row],[date]])</f>
        <v>10/2024</v>
      </c>
      <c r="D992" s="1" t="str">
        <f>IFERROR(VLOOKUP(ТабПозиции[[#This Row],[orderNum]],ТабЗаказы[#Data],MATCH(D$7,ТабЗаказы[#Headers],0),0),"")</f>
        <v>Юля Ларисына</v>
      </c>
      <c r="E992" s="32" t="s">
        <v>1574</v>
      </c>
      <c r="F992" s="56" t="s">
        <v>3061</v>
      </c>
      <c r="H992" s="34">
        <v>45570</v>
      </c>
      <c r="I992" s="26">
        <v>1</v>
      </c>
      <c r="J992" s="26">
        <v>527</v>
      </c>
      <c r="K992">
        <v>527</v>
      </c>
      <c r="L992" s="26">
        <v>555</v>
      </c>
      <c r="M992">
        <f t="shared" si="18"/>
        <v>555</v>
      </c>
      <c r="O99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Row],[orderNum]],ТабПозиции[orderSumm])&gt;1500),ABS(M992*VLOOKUP(ТабПозиции[[#This Row],[orderNum]],ТабЗаказы[#Data],MATCH("Percent",ТабЗаказы[#Headers],0),0))/100,200/COUNTIF(ТабПозиции[orderNum],ТабПозиции[[#This Row],[orderNum]])),0),"")</f>
        <v>83</v>
      </c>
      <c r="P992">
        <f>IF(OR(ТабПозиции[[#This Row],[item]]="По штрихкоду",ТабПозиции[[#This Row],[item]]="Посылка"),ТабПозиции[[#This Row],[deliverySumm]]+ТабПозиции[[#This Row],[deliveryPost]],SUM(M992:O992))</f>
        <v>638</v>
      </c>
      <c r="Q992" s="57">
        <v>638</v>
      </c>
      <c r="R992" s="62">
        <f>ТабПозиции[[#This Row],[totalSumm]]-ТабПозиции[[#This Row],[payment]]</f>
        <v>0</v>
      </c>
      <c r="S992" s="34" t="s">
        <v>965</v>
      </c>
      <c r="T992" s="56" t="s">
        <v>3061</v>
      </c>
      <c r="U992" s="56" t="s">
        <v>3061</v>
      </c>
      <c r="V992" s="56" t="s">
        <v>3061</v>
      </c>
      <c r="W992" s="7"/>
      <c r="X992"/>
    </row>
    <row r="993" spans="1:24" x14ac:dyDescent="0.25">
      <c r="A993" s="26">
        <v>273</v>
      </c>
      <c r="B993" s="1">
        <f>IFERROR(VLOOKUP(ТабПозиции[[#This Row],[orderNum]],ТабЗаказы[#Data],MATCH(B$7,ТабЗаказы[#Headers],0),0),"")</f>
        <v>45568</v>
      </c>
      <c r="C993" t="str">
        <f>MONTH(ТабПозиции[[#This Row],[date]])&amp;"/"&amp;YEAR(ТабПозиции[[#This Row],[date]])</f>
        <v>10/2024</v>
      </c>
      <c r="D993" s="1" t="str">
        <f>IFERROR(VLOOKUP(ТабПозиции[[#This Row],[orderNum]],ТабЗаказы[#Data],MATCH(D$7,ТабЗаказы[#Headers],0),0),"")</f>
        <v>Юля Ларисына</v>
      </c>
      <c r="E993" s="32" t="s">
        <v>1575</v>
      </c>
      <c r="F993" s="56" t="s">
        <v>3061</v>
      </c>
      <c r="H993" s="34">
        <v>45570</v>
      </c>
      <c r="I993" s="26">
        <v>1</v>
      </c>
      <c r="J993" s="26">
        <v>238</v>
      </c>
      <c r="K993">
        <v>238</v>
      </c>
      <c r="L993" s="26">
        <v>251</v>
      </c>
      <c r="M993">
        <f t="shared" si="18"/>
        <v>251</v>
      </c>
      <c r="O99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Row],[orderNum]],ТабПозиции[orderSumm])&gt;1500),ABS(M993*VLOOKUP(ТабПозиции[[#This Row],[orderNum]],ТабЗаказы[#Data],MATCH("Percent",ТабЗаказы[#Headers],0),0))/100,200/COUNTIF(ТабПозиции[orderNum],ТабПозиции[[#This Row],[orderNum]])),0),"")</f>
        <v>38</v>
      </c>
      <c r="P993">
        <f>IF(OR(ТабПозиции[[#This Row],[item]]="По штрихкоду",ТабПозиции[[#This Row],[item]]="Посылка"),ТабПозиции[[#This Row],[deliverySumm]]+ТабПозиции[[#This Row],[deliveryPost]],SUM(M993:O993))</f>
        <v>289</v>
      </c>
      <c r="Q993" s="57">
        <v>289</v>
      </c>
      <c r="R993" s="62">
        <f>ТабПозиции[[#This Row],[totalSumm]]-ТабПозиции[[#This Row],[payment]]</f>
        <v>0</v>
      </c>
      <c r="S993" s="34" t="s">
        <v>965</v>
      </c>
      <c r="T993" s="56" t="s">
        <v>3061</v>
      </c>
      <c r="U993" s="56" t="s">
        <v>3061</v>
      </c>
      <c r="V993" s="56" t="s">
        <v>3061</v>
      </c>
      <c r="W993" s="7"/>
      <c r="X993"/>
    </row>
    <row r="994" spans="1:24" x14ac:dyDescent="0.25">
      <c r="A994" s="26">
        <v>273</v>
      </c>
      <c r="B994" s="1">
        <f>IFERROR(VLOOKUP(ТабПозиции[[#This Row],[orderNum]],ТабЗаказы[#Data],MATCH(B$7,ТабЗаказы[#Headers],0),0),"")</f>
        <v>45568</v>
      </c>
      <c r="C994" t="str">
        <f>MONTH(ТабПозиции[[#This Row],[date]])&amp;"/"&amp;YEAR(ТабПозиции[[#This Row],[date]])</f>
        <v>10/2024</v>
      </c>
      <c r="D994" s="1" t="str">
        <f>IFERROR(VLOOKUP(ТабПозиции[[#This Row],[orderNum]],ТабЗаказы[#Data],MATCH(D$7,ТабЗаказы[#Headers],0),0),"")</f>
        <v>Юля Ларисына</v>
      </c>
      <c r="E994" s="32" t="s">
        <v>1576</v>
      </c>
      <c r="F994" s="56" t="s">
        <v>3061</v>
      </c>
      <c r="H994" s="34">
        <v>45570</v>
      </c>
      <c r="I994" s="26">
        <v>1</v>
      </c>
      <c r="J994" s="26">
        <v>351</v>
      </c>
      <c r="K994">
        <v>351</v>
      </c>
      <c r="L994" s="26">
        <v>370</v>
      </c>
      <c r="M994">
        <f t="shared" si="18"/>
        <v>370</v>
      </c>
      <c r="O99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Row],[orderNum]],ТабПозиции[orderSumm])&gt;1500),ABS(M994*VLOOKUP(ТабПозиции[[#This Row],[orderNum]],ТабЗаказы[#Data],MATCH("Percent",ТабЗаказы[#Headers],0),0))/100,200/COUNTIF(ТабПозиции[orderNum],ТабПозиции[[#This Row],[orderNum]])),0),"")</f>
        <v>56</v>
      </c>
      <c r="P994">
        <f>IF(OR(ТабПозиции[[#This Row],[item]]="По штрихкоду",ТабПозиции[[#This Row],[item]]="Посылка"),ТабПозиции[[#This Row],[deliverySumm]]+ТабПозиции[[#This Row],[deliveryPost]],SUM(M994:O994))</f>
        <v>426</v>
      </c>
      <c r="Q994" s="57">
        <v>426</v>
      </c>
      <c r="R994" s="62">
        <f>ТабПозиции[[#This Row],[totalSumm]]-ТабПозиции[[#This Row],[payment]]</f>
        <v>0</v>
      </c>
      <c r="S994" s="34" t="s">
        <v>965</v>
      </c>
      <c r="T994" s="56" t="s">
        <v>3061</v>
      </c>
      <c r="U994" s="56" t="s">
        <v>3061</v>
      </c>
      <c r="V994" s="56" t="s">
        <v>3061</v>
      </c>
      <c r="W994" s="7"/>
      <c r="X994"/>
    </row>
    <row r="995" spans="1:24" x14ac:dyDescent="0.25">
      <c r="A995" s="26">
        <v>273</v>
      </c>
      <c r="B995" s="1">
        <f>IFERROR(VLOOKUP(ТабПозиции[[#This Row],[orderNum]],ТабЗаказы[#Data],MATCH(B$7,ТабЗаказы[#Headers],0),0),"")</f>
        <v>45568</v>
      </c>
      <c r="C995" t="str">
        <f>MONTH(ТабПозиции[[#This Row],[date]])&amp;"/"&amp;YEAR(ТабПозиции[[#This Row],[date]])</f>
        <v>10/2024</v>
      </c>
      <c r="D995" s="1" t="str">
        <f>IFERROR(VLOOKUP(ТабПозиции[[#This Row],[orderNum]],ТабЗаказы[#Data],MATCH(D$7,ТабЗаказы[#Headers],0),0),"")</f>
        <v>Юля Ларисына</v>
      </c>
      <c r="E995" s="32" t="s">
        <v>1577</v>
      </c>
      <c r="F995" s="56" t="s">
        <v>3061</v>
      </c>
      <c r="H995" s="34">
        <v>45570</v>
      </c>
      <c r="I995" s="26">
        <v>1</v>
      </c>
      <c r="J995" s="26">
        <v>308</v>
      </c>
      <c r="K995">
        <v>308</v>
      </c>
      <c r="L995" s="26">
        <v>325</v>
      </c>
      <c r="M995">
        <f t="shared" si="18"/>
        <v>325</v>
      </c>
      <c r="O99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Row],[orderNum]],ТабПозиции[orderSumm])&gt;1500),ABS(M995*VLOOKUP(ТабПозиции[[#This Row],[orderNum]],ТабЗаказы[#Data],MATCH("Percent",ТабЗаказы[#Headers],0),0))/100,200/COUNTIF(ТабПозиции[orderNum],ТабПозиции[[#This Row],[orderNum]])),0),"")</f>
        <v>49</v>
      </c>
      <c r="P995">
        <f>IF(OR(ТабПозиции[[#This Row],[item]]="По штрихкоду",ТабПозиции[[#This Row],[item]]="Посылка"),ТабПозиции[[#This Row],[deliverySumm]]+ТабПозиции[[#This Row],[deliveryPost]],SUM(M995:O995))</f>
        <v>374</v>
      </c>
      <c r="Q995" s="57">
        <v>374</v>
      </c>
      <c r="R995" s="62">
        <f>ТабПозиции[[#This Row],[totalSumm]]-ТабПозиции[[#This Row],[payment]]</f>
        <v>0</v>
      </c>
      <c r="S995" s="34" t="s">
        <v>965</v>
      </c>
      <c r="T995" s="56" t="s">
        <v>3061</v>
      </c>
      <c r="U995" s="56" t="s">
        <v>3061</v>
      </c>
      <c r="V995" s="56" t="s">
        <v>3061</v>
      </c>
      <c r="W995" s="7"/>
      <c r="X995"/>
    </row>
    <row r="996" spans="1:24" x14ac:dyDescent="0.25">
      <c r="A996" s="26">
        <v>295</v>
      </c>
      <c r="B996" s="1">
        <f>IFERROR(VLOOKUP(ТабПозиции[[#This Row],[orderNum]],ТабЗаказы[#Data],MATCH(B$7,ТабЗаказы[#Headers],0),0),"")</f>
        <v>45580</v>
      </c>
      <c r="C996" t="str">
        <f>MONTH(ТабПозиции[[#This Row],[date]])&amp;"/"&amp;YEAR(ТабПозиции[[#This Row],[date]])</f>
        <v>10/2024</v>
      </c>
      <c r="D996" s="1" t="str">
        <f>IFERROR(VLOOKUP(ТабПозиции[[#This Row],[orderNum]],ТабЗаказы[#Data],MATCH(D$7,ТабЗаказы[#Headers],0),0),"")</f>
        <v>Юля Ларисына</v>
      </c>
      <c r="E996" s="32" t="s">
        <v>1578</v>
      </c>
      <c r="F996" s="56" t="s">
        <v>3061</v>
      </c>
      <c r="H996" s="34">
        <v>45574</v>
      </c>
      <c r="I996" s="26">
        <v>0</v>
      </c>
      <c r="J996" s="26">
        <v>324</v>
      </c>
      <c r="K996">
        <v>0</v>
      </c>
      <c r="L996" s="26">
        <v>342</v>
      </c>
      <c r="M996">
        <f t="shared" si="18"/>
        <v>0</v>
      </c>
      <c r="O99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Row],[orderNum]],ТабПозиции[orderSumm])&gt;1500),ABS(M996*VLOOKUP(ТабПозиции[[#This Row],[orderNum]],ТабЗаказы[#Data],MATCH("Percent",ТабЗаказы[#Headers],0),0))/100,200/COUNTIF(ТабПозиции[orderNum],ТабПозиции[[#This Row],[orderNum]])),0),"")</f>
        <v>0</v>
      </c>
      <c r="P996">
        <f>IF(OR(ТабПозиции[[#This Row],[item]]="По штрихкоду",ТабПозиции[[#This Row],[item]]="Посылка"),ТабПозиции[[#This Row],[deliverySumm]]+ТабПозиции[[#This Row],[deliveryPost]],SUM(M996:O996))</f>
        <v>0</v>
      </c>
      <c r="Q996" s="57">
        <v>0</v>
      </c>
      <c r="R996" s="62">
        <f>ТабПозиции[[#This Row],[totalSumm]]-ТабПозиции[[#This Row],[payment]]</f>
        <v>0</v>
      </c>
      <c r="S996" s="34" t="s">
        <v>965</v>
      </c>
      <c r="T996" s="56" t="s">
        <v>3061</v>
      </c>
      <c r="U996" s="56" t="s">
        <v>3061</v>
      </c>
      <c r="V996" s="56" t="s">
        <v>3061</v>
      </c>
      <c r="W996" s="7"/>
      <c r="X996"/>
    </row>
    <row r="997" spans="1:24" x14ac:dyDescent="0.25">
      <c r="A997" s="26">
        <v>275</v>
      </c>
      <c r="B997" s="1">
        <f>IFERROR(VLOOKUP(ТабПозиции[[#This Row],[orderNum]],ТабЗаказы[#Data],MATCH(B$7,ТабЗаказы[#Headers],0),0),"")</f>
        <v>45569</v>
      </c>
      <c r="C997" t="str">
        <f>MONTH(ТабПозиции[[#This Row],[date]])&amp;"/"&amp;YEAR(ТабПозиции[[#This Row],[date]])</f>
        <v>10/2024</v>
      </c>
      <c r="D997" s="1" t="str">
        <f>IFERROR(VLOOKUP(ТабПозиции[[#This Row],[orderNum]],ТабЗаказы[#Data],MATCH(D$7,ТабЗаказы[#Headers],0),0),"")</f>
        <v>Алена Бондаренко</v>
      </c>
      <c r="E997" s="26" t="s">
        <v>32</v>
      </c>
      <c r="F997" s="56" t="s">
        <v>3061</v>
      </c>
      <c r="H997" s="34">
        <v>45569</v>
      </c>
      <c r="I997" s="26">
        <v>1</v>
      </c>
      <c r="J997" s="26">
        <f>4525+301+307</f>
        <v>5133</v>
      </c>
      <c r="K997">
        <v>5133</v>
      </c>
      <c r="L997" s="26">
        <f>4525+301+307</f>
        <v>5133</v>
      </c>
      <c r="M997">
        <f t="shared" si="18"/>
        <v>5133</v>
      </c>
      <c r="N997" s="26">
        <v>200</v>
      </c>
      <c r="O99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Row],[orderNum]],ТабПозиции[orderSumm])&gt;1500),ABS(M997*VLOOKUP(ТабПозиции[[#This Row],[orderNum]],ТабЗаказы[#Data],MATCH("Percent",ТабЗаказы[#Headers],0),0))/100,200/COUNTIF(ТабПозиции[orderNum],ТабПозиции[[#This Row],[orderNum]])),0),"")</f>
        <v>513</v>
      </c>
      <c r="P997">
        <f>IF(OR(ТабПозиции[[#This Row],[item]]="По штрихкоду",ТабПозиции[[#This Row],[item]]="Посылка"),ТабПозиции[[#This Row],[deliverySumm]]+ТабПозиции[[#This Row],[deliveryPost]],SUM(M997:O997))</f>
        <v>713</v>
      </c>
      <c r="Q997" s="57">
        <v>713</v>
      </c>
      <c r="R997" s="62">
        <f>ТабПозиции[[#This Row],[totalSumm]]-ТабПозиции[[#This Row],[payment]]</f>
        <v>0</v>
      </c>
      <c r="S997" s="34" t="s">
        <v>965</v>
      </c>
      <c r="T997" s="56" t="s">
        <v>3061</v>
      </c>
      <c r="U997" s="56" t="s">
        <v>3061</v>
      </c>
      <c r="V997" s="56" t="s">
        <v>3061</v>
      </c>
      <c r="W997" s="7"/>
      <c r="X997"/>
    </row>
    <row r="998" spans="1:24" x14ac:dyDescent="0.25">
      <c r="A998" s="26">
        <v>276</v>
      </c>
      <c r="B998" s="1">
        <f>IFERROR(VLOOKUP(ТабПозиции[[#This Row],[orderNum]],ТабЗаказы[#Data],MATCH(B$7,ТабЗаказы[#Headers],0),0),"")</f>
        <v>45569</v>
      </c>
      <c r="C998" t="str">
        <f>MONTH(ТабПозиции[[#This Row],[date]])&amp;"/"&amp;YEAR(ТабПозиции[[#This Row],[date]])</f>
        <v>10/2024</v>
      </c>
      <c r="D998" s="1" t="str">
        <f>IFERROR(VLOOKUP(ТабПозиции[[#This Row],[orderNum]],ТабЗаказы[#Data],MATCH(D$7,ТабЗаказы[#Headers],0),0),"")</f>
        <v>Анна Лавицкого</v>
      </c>
      <c r="E998" s="26" t="s">
        <v>32</v>
      </c>
      <c r="F998" s="56" t="s">
        <v>3061</v>
      </c>
      <c r="H998" s="34">
        <v>45569</v>
      </c>
      <c r="I998" s="26">
        <v>1</v>
      </c>
      <c r="J998" s="26">
        <v>8838</v>
      </c>
      <c r="K998">
        <v>8838</v>
      </c>
      <c r="L998" s="26">
        <v>8838</v>
      </c>
      <c r="M998">
        <f t="shared" si="18"/>
        <v>8838</v>
      </c>
      <c r="O99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Row],[orderNum]],ТабПозиции[orderSumm])&gt;1500),ABS(M998*VLOOKUP(ТабПозиции[[#This Row],[orderNum]],ТабЗаказы[#Data],MATCH("Percent",ТабЗаказы[#Headers],0),0))/100,200/COUNTIF(ТабПозиции[orderNum],ТабПозиции[[#This Row],[orderNum]])),0),"")</f>
        <v>1326</v>
      </c>
      <c r="P998">
        <f>IF(OR(ТабПозиции[[#This Row],[item]]="По штрихкоду",ТабПозиции[[#This Row],[item]]="Посылка"),ТабПозиции[[#This Row],[deliverySumm]]+ТабПозиции[[#This Row],[deliveryPost]],SUM(M998:O998))</f>
        <v>1326</v>
      </c>
      <c r="Q998" s="57">
        <v>1326</v>
      </c>
      <c r="R998" s="62">
        <f>ТабПозиции[[#This Row],[totalSumm]]-ТабПозиции[[#This Row],[payment]]</f>
        <v>0</v>
      </c>
      <c r="S998" s="34" t="s">
        <v>965</v>
      </c>
      <c r="T998" s="56" t="s">
        <v>3061</v>
      </c>
      <c r="U998" s="56" t="s">
        <v>3061</v>
      </c>
      <c r="V998" s="56" t="s">
        <v>3061</v>
      </c>
      <c r="W998" s="7"/>
      <c r="X998"/>
    </row>
    <row r="999" spans="1:24" x14ac:dyDescent="0.25">
      <c r="A999" s="26">
        <v>277</v>
      </c>
      <c r="B999" s="1">
        <f>IFERROR(VLOOKUP(ТабПозиции[[#This Row],[orderNum]],ТабЗаказы[#Data],MATCH(B$7,ТабЗаказы[#Headers],0),0),"")</f>
        <v>45569</v>
      </c>
      <c r="C999" t="str">
        <f>MONTH(ТабПозиции[[#This Row],[date]])&amp;"/"&amp;YEAR(ТабПозиции[[#This Row],[date]])</f>
        <v>10/2024</v>
      </c>
      <c r="D999" s="1" t="str">
        <f>IFERROR(VLOOKUP(ТабПозиции[[#This Row],[orderNum]],ТабЗаказы[#Data],MATCH(D$7,ТабЗаказы[#Headers],0),0),"")</f>
        <v>Алена Зелинского</v>
      </c>
      <c r="E999" s="26" t="s">
        <v>32</v>
      </c>
      <c r="F999" s="56" t="s">
        <v>3061</v>
      </c>
      <c r="H999" s="34">
        <v>45569</v>
      </c>
      <c r="I999" s="26">
        <v>1</v>
      </c>
      <c r="J999" s="26">
        <v>4468</v>
      </c>
      <c r="K999">
        <v>4468</v>
      </c>
      <c r="L999" s="26">
        <v>4468</v>
      </c>
      <c r="M999">
        <f t="shared" si="18"/>
        <v>4468</v>
      </c>
      <c r="O99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Row],[orderNum]],ТабПозиции[orderSumm])&gt;1500),ABS(M999*VLOOKUP(ТабПозиции[[#This Row],[orderNum]],ТабЗаказы[#Data],MATCH("Percent",ТабЗаказы[#Headers],0),0))/100,200/COUNTIF(ТабПозиции[orderNum],ТабПозиции[[#This Row],[orderNum]])),0),"")</f>
        <v>670</v>
      </c>
      <c r="P999">
        <f>IF(OR(ТабПозиции[[#This Row],[item]]="По штрихкоду",ТабПозиции[[#This Row],[item]]="Посылка"),ТабПозиции[[#This Row],[deliverySumm]]+ТабПозиции[[#This Row],[deliveryPost]],SUM(M999:O999))</f>
        <v>670</v>
      </c>
      <c r="Q999" s="57">
        <v>670</v>
      </c>
      <c r="R999" s="62">
        <f>ТабПозиции[[#This Row],[totalSumm]]-ТабПозиции[[#This Row],[payment]]</f>
        <v>0</v>
      </c>
      <c r="S999" s="34" t="s">
        <v>965</v>
      </c>
      <c r="T999" s="56" t="s">
        <v>3061</v>
      </c>
      <c r="U999" s="56" t="s">
        <v>3061</v>
      </c>
      <c r="V999" s="56" t="s">
        <v>3061</v>
      </c>
      <c r="W999" s="7"/>
      <c r="X999"/>
    </row>
    <row r="1000" spans="1:24" x14ac:dyDescent="0.25">
      <c r="A1000" s="26">
        <v>278</v>
      </c>
      <c r="B1000" s="1">
        <f>IFERROR(VLOOKUP(ТабПозиции[[#This Row],[orderNum]],ТабЗаказы[#Data],MATCH(B$7,ТабЗаказы[#Headers],0),0),"")</f>
        <v>45569</v>
      </c>
      <c r="C1000" t="str">
        <f>MONTH(ТабПозиции[[#This Row],[date]])&amp;"/"&amp;YEAR(ТабПозиции[[#This Row],[date]])</f>
        <v>10/2024</v>
      </c>
      <c r="D1000" s="1" t="str">
        <f>IFERROR(VLOOKUP(ТабПозиции[[#This Row],[orderNum]],ТабЗаказы[#Data],MATCH(D$7,ТабЗаказы[#Headers],0),0),"")</f>
        <v>Лариса Кирова</v>
      </c>
      <c r="E1000" s="32" t="s">
        <v>1585</v>
      </c>
      <c r="F1000" s="56" t="s">
        <v>3061</v>
      </c>
      <c r="H1000" s="34">
        <v>45571</v>
      </c>
      <c r="I1000" s="26">
        <v>1</v>
      </c>
      <c r="J1000" s="26">
        <v>420</v>
      </c>
      <c r="K1000">
        <v>420</v>
      </c>
      <c r="L1000" s="26">
        <v>429</v>
      </c>
      <c r="M1000">
        <f t="shared" si="18"/>
        <v>429</v>
      </c>
      <c r="O100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Row],[orderNum]],ТабПозиции[orderSumm])&gt;1500),ABS(M1000*VLOOKUP(ТабПозиции[[#This Row],[orderNum]],ТабЗаказы[#Data],MATCH("Percent",ТабЗаказы[#Headers],0),0))/100,200/COUNTIF(ТабПозиции[orderNum],ТабПозиции[[#This Row],[orderNum]])),0),"")</f>
        <v>64</v>
      </c>
      <c r="P1000">
        <f>IF(OR(ТабПозиции[[#This Row],[item]]="По штрихкоду",ТабПозиции[[#This Row],[item]]="Посылка"),ТабПозиции[[#This Row],[deliverySumm]]+ТабПозиции[[#This Row],[deliveryPost]],SUM(M1000:O1000))</f>
        <v>493</v>
      </c>
      <c r="Q1000" s="57">
        <v>493</v>
      </c>
      <c r="R1000" s="62">
        <f>ТабПозиции[[#This Row],[totalSumm]]-ТабПозиции[[#This Row],[payment]]</f>
        <v>0</v>
      </c>
      <c r="S1000" s="34" t="s">
        <v>955</v>
      </c>
      <c r="T1000" s="56" t="s">
        <v>3061</v>
      </c>
      <c r="U1000" s="56" t="s">
        <v>3061</v>
      </c>
      <c r="V1000" s="56" t="s">
        <v>3061</v>
      </c>
      <c r="W1000" s="7"/>
      <c r="X1000"/>
    </row>
    <row r="1001" spans="1:24" x14ac:dyDescent="0.25">
      <c r="A1001" s="26">
        <v>278</v>
      </c>
      <c r="B1001" s="1">
        <f>IFERROR(VLOOKUP(ТабПозиции[[#This Row],[orderNum]],ТабЗаказы[#Data],MATCH(B$7,ТабЗаказы[#Headers],0),0),"")</f>
        <v>45569</v>
      </c>
      <c r="C1001" t="str">
        <f>MONTH(ТабПозиции[[#This Row],[date]])&amp;"/"&amp;YEAR(ТабПозиции[[#This Row],[date]])</f>
        <v>10/2024</v>
      </c>
      <c r="D1001" s="1" t="str">
        <f>IFERROR(VLOOKUP(ТабПозиции[[#This Row],[orderNum]],ТабЗаказы[#Data],MATCH(D$7,ТабЗаказы[#Headers],0),0),"")</f>
        <v>Лариса Кирова</v>
      </c>
      <c r="E1001" s="32" t="s">
        <v>1586</v>
      </c>
      <c r="F1001" s="56" t="s">
        <v>3061</v>
      </c>
      <c r="H1001" s="34">
        <v>45571</v>
      </c>
      <c r="I1001" s="26">
        <v>1</v>
      </c>
      <c r="J1001" s="26">
        <v>318</v>
      </c>
      <c r="K1001">
        <v>318</v>
      </c>
      <c r="L1001" s="26">
        <v>325</v>
      </c>
      <c r="M1001">
        <f t="shared" si="18"/>
        <v>325</v>
      </c>
      <c r="O100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Row],[orderNum]],ТабПозиции[orderSumm])&gt;1500),ABS(M1001*VLOOKUP(ТабПозиции[[#This Row],[orderNum]],ТабЗаказы[#Data],MATCH("Percent",ТабЗаказы[#Headers],0),0))/100,200/COUNTIF(ТабПозиции[orderNum],ТабПозиции[[#This Row],[orderNum]])),0),"")</f>
        <v>49</v>
      </c>
      <c r="P1001">
        <f>IF(OR(ТабПозиции[[#This Row],[item]]="По штрихкоду",ТабПозиции[[#This Row],[item]]="Посылка"),ТабПозиции[[#This Row],[deliverySumm]]+ТабПозиции[[#This Row],[deliveryPost]],SUM(M1001:O1001))</f>
        <v>374</v>
      </c>
      <c r="Q1001" s="57">
        <v>374</v>
      </c>
      <c r="R1001" s="62">
        <f>ТабПозиции[[#This Row],[totalSumm]]-ТабПозиции[[#This Row],[payment]]</f>
        <v>0</v>
      </c>
      <c r="S1001" s="34" t="s">
        <v>955</v>
      </c>
      <c r="T1001" s="56" t="s">
        <v>3061</v>
      </c>
      <c r="U1001" s="56" t="s">
        <v>3061</v>
      </c>
      <c r="V1001" s="56" t="s">
        <v>3061</v>
      </c>
      <c r="W1001" s="7"/>
      <c r="X1001"/>
    </row>
    <row r="1002" spans="1:24" x14ac:dyDescent="0.25">
      <c r="A1002" s="26">
        <v>278</v>
      </c>
      <c r="B1002" s="1">
        <f>IFERROR(VLOOKUP(ТабПозиции[[#This Row],[orderNum]],ТабЗаказы[#Data],MATCH(B$7,ТабЗаказы[#Headers],0),0),"")</f>
        <v>45569</v>
      </c>
      <c r="C1002" t="str">
        <f>MONTH(ТабПозиции[[#This Row],[date]])&amp;"/"&amp;YEAR(ТабПозиции[[#This Row],[date]])</f>
        <v>10/2024</v>
      </c>
      <c r="D1002" s="1" t="str">
        <f>IFERROR(VLOOKUP(ТабПозиции[[#This Row],[orderNum]],ТабЗаказы[#Data],MATCH(D$7,ТабЗаказы[#Headers],0),0),"")</f>
        <v>Лариса Кирова</v>
      </c>
      <c r="E1002" s="32" t="s">
        <v>1587</v>
      </c>
      <c r="F1002" s="56" t="s">
        <v>3061</v>
      </c>
      <c r="H1002" s="34">
        <v>45572</v>
      </c>
      <c r="I1002" s="26">
        <v>1</v>
      </c>
      <c r="J1002" s="26">
        <v>327</v>
      </c>
      <c r="K1002">
        <v>327</v>
      </c>
      <c r="L1002" s="26">
        <v>345</v>
      </c>
      <c r="M1002">
        <f t="shared" si="18"/>
        <v>345</v>
      </c>
      <c r="O100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Row],[orderNum]],ТабПозиции[orderSumm])&gt;1500),ABS(M1002*VLOOKUP(ТабПозиции[[#This Row],[orderNum]],ТабЗаказы[#Data],MATCH("Percent",ТабЗаказы[#Headers],0),0))/100,200/COUNTIF(ТабПозиции[orderNum],ТабПозиции[[#This Row],[orderNum]])),0),"")</f>
        <v>52</v>
      </c>
      <c r="P1002">
        <f>IF(OR(ТабПозиции[[#This Row],[item]]="По штрихкоду",ТабПозиции[[#This Row],[item]]="Посылка"),ТабПозиции[[#This Row],[deliverySumm]]+ТабПозиции[[#This Row],[deliveryPost]],SUM(M1002:O1002))</f>
        <v>397</v>
      </c>
      <c r="Q1002" s="57">
        <v>397</v>
      </c>
      <c r="R1002" s="62">
        <f>ТабПозиции[[#This Row],[totalSumm]]-ТабПозиции[[#This Row],[payment]]</f>
        <v>0</v>
      </c>
      <c r="S1002" s="34" t="s">
        <v>965</v>
      </c>
      <c r="T1002" s="56" t="s">
        <v>3061</v>
      </c>
      <c r="U1002" s="56" t="s">
        <v>3061</v>
      </c>
      <c r="V1002" s="56" t="s">
        <v>3061</v>
      </c>
      <c r="W1002" s="7"/>
      <c r="X1002"/>
    </row>
    <row r="1003" spans="1:24" x14ac:dyDescent="0.25">
      <c r="A1003" s="26">
        <v>278</v>
      </c>
      <c r="B1003" s="1">
        <f>IFERROR(VLOOKUP(ТабПозиции[[#This Row],[orderNum]],ТабЗаказы[#Data],MATCH(B$7,ТабЗаказы[#Headers],0),0),"")</f>
        <v>45569</v>
      </c>
      <c r="C1003" t="str">
        <f>MONTH(ТабПозиции[[#This Row],[date]])&amp;"/"&amp;YEAR(ТабПозиции[[#This Row],[date]])</f>
        <v>10/2024</v>
      </c>
      <c r="D1003" s="1" t="str">
        <f>IFERROR(VLOOKUP(ТабПозиции[[#This Row],[orderNum]],ТабЗаказы[#Data],MATCH(D$7,ТабЗаказы[#Headers],0),0),"")</f>
        <v>Лариса Кирова</v>
      </c>
      <c r="E1003" s="32" t="s">
        <v>1087</v>
      </c>
      <c r="F1003" s="56" t="s">
        <v>3061</v>
      </c>
      <c r="H1003" s="34">
        <v>45571</v>
      </c>
      <c r="I1003" s="26">
        <v>1</v>
      </c>
      <c r="J1003" s="26">
        <v>636</v>
      </c>
      <c r="K1003">
        <v>636</v>
      </c>
      <c r="L1003" s="26">
        <v>670</v>
      </c>
      <c r="M1003">
        <f t="shared" si="18"/>
        <v>670</v>
      </c>
      <c r="O100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Row],[orderNum]],ТабПозиции[orderSumm])&gt;1500),ABS(M1003*VLOOKUP(ТабПозиции[[#This Row],[orderNum]],ТабЗаказы[#Data],MATCH("Percent",ТабЗаказы[#Headers],0),0))/100,200/COUNTIF(ТабПозиции[orderNum],ТабПозиции[[#This Row],[orderNum]])),0),"")</f>
        <v>101</v>
      </c>
      <c r="P1003">
        <f>IF(OR(ТабПозиции[[#This Row],[item]]="По штрихкоду",ТабПозиции[[#This Row],[item]]="Посылка"),ТабПозиции[[#This Row],[deliverySumm]]+ТабПозиции[[#This Row],[deliveryPost]],SUM(M1003:O1003))</f>
        <v>771</v>
      </c>
      <c r="Q1003" s="57">
        <v>771</v>
      </c>
      <c r="R1003" s="62">
        <f>ТабПозиции[[#This Row],[totalSumm]]-ТабПозиции[[#This Row],[payment]]</f>
        <v>0</v>
      </c>
      <c r="S1003" s="34" t="s">
        <v>965</v>
      </c>
      <c r="T1003" s="56" t="s">
        <v>3061</v>
      </c>
      <c r="U1003" s="56" t="s">
        <v>3061</v>
      </c>
      <c r="V1003" s="56" t="s">
        <v>3061</v>
      </c>
      <c r="W1003" s="7"/>
      <c r="X1003"/>
    </row>
    <row r="1004" spans="1:24" x14ac:dyDescent="0.25">
      <c r="A1004" s="26">
        <v>278</v>
      </c>
      <c r="B1004" s="1">
        <f>IFERROR(VLOOKUP(ТабПозиции[[#This Row],[orderNum]],ТабЗаказы[#Data],MATCH(B$7,ТабЗаказы[#Headers],0),0),"")</f>
        <v>45569</v>
      </c>
      <c r="C1004" t="str">
        <f>MONTH(ТабПозиции[[#This Row],[date]])&amp;"/"&amp;YEAR(ТабПозиции[[#This Row],[date]])</f>
        <v>10/2024</v>
      </c>
      <c r="D1004" s="1" t="str">
        <f>IFERROR(VLOOKUP(ТабПозиции[[#This Row],[orderNum]],ТабЗаказы[#Data],MATCH(D$7,ТабЗаказы[#Headers],0),0),"")</f>
        <v>Лариса Кирова</v>
      </c>
      <c r="E1004" s="32" t="s">
        <v>1588</v>
      </c>
      <c r="F1004" s="56" t="s">
        <v>3061</v>
      </c>
      <c r="H1004" s="34">
        <v>45571</v>
      </c>
      <c r="I1004" s="26">
        <v>1</v>
      </c>
      <c r="J1004" s="26">
        <v>128</v>
      </c>
      <c r="K1004">
        <v>128</v>
      </c>
      <c r="L1004" s="26">
        <v>135</v>
      </c>
      <c r="M1004">
        <f t="shared" si="18"/>
        <v>135</v>
      </c>
      <c r="O100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Row],[orderNum]],ТабПозиции[orderSumm])&gt;1500),ABS(M1004*VLOOKUP(ТабПозиции[[#This Row],[orderNum]],ТабЗаказы[#Data],MATCH("Percent",ТабЗаказы[#Headers],0),0))/100,200/COUNTIF(ТабПозиции[orderNum],ТабПозиции[[#This Row],[orderNum]])),0),"")</f>
        <v>20</v>
      </c>
      <c r="P1004">
        <f>IF(OR(ТабПозиции[[#This Row],[item]]="По штрихкоду",ТабПозиции[[#This Row],[item]]="Посылка"),ТабПозиции[[#This Row],[deliverySumm]]+ТабПозиции[[#This Row],[deliveryPost]],SUM(M1004:O1004))</f>
        <v>155</v>
      </c>
      <c r="Q1004" s="57">
        <v>155</v>
      </c>
      <c r="R1004" s="62">
        <f>ТабПозиции[[#This Row],[totalSumm]]-ТабПозиции[[#This Row],[payment]]</f>
        <v>0</v>
      </c>
      <c r="S1004" s="34" t="s">
        <v>965</v>
      </c>
      <c r="T1004" s="56" t="s">
        <v>3061</v>
      </c>
      <c r="U1004" s="56" t="s">
        <v>3061</v>
      </c>
      <c r="V1004" s="56" t="s">
        <v>3061</v>
      </c>
      <c r="W1004" s="7"/>
      <c r="X1004"/>
    </row>
    <row r="1005" spans="1:24" x14ac:dyDescent="0.25">
      <c r="A1005" s="26">
        <v>278</v>
      </c>
      <c r="B1005" s="1">
        <f>IFERROR(VLOOKUP(ТабПозиции[[#This Row],[orderNum]],ТабЗаказы[#Data],MATCH(B$7,ТабЗаказы[#Headers],0),0),"")</f>
        <v>45569</v>
      </c>
      <c r="C1005" t="str">
        <f>MONTH(ТабПозиции[[#This Row],[date]])&amp;"/"&amp;YEAR(ТабПозиции[[#This Row],[date]])</f>
        <v>10/2024</v>
      </c>
      <c r="D1005" s="1" t="str">
        <f>IFERROR(VLOOKUP(ТабПозиции[[#This Row],[orderNum]],ТабЗаказы[#Data],MATCH(D$7,ТабЗаказы[#Headers],0),0),"")</f>
        <v>Лариса Кирова</v>
      </c>
      <c r="E1005" s="32" t="s">
        <v>1589</v>
      </c>
      <c r="F1005" s="56" t="s">
        <v>3061</v>
      </c>
      <c r="H1005" s="34">
        <v>45572</v>
      </c>
      <c r="I1005" s="26">
        <v>1</v>
      </c>
      <c r="J1005" s="26">
        <v>1125</v>
      </c>
      <c r="K1005">
        <v>1125</v>
      </c>
      <c r="L1005" s="26">
        <v>1211</v>
      </c>
      <c r="M1005">
        <f t="shared" si="18"/>
        <v>1211</v>
      </c>
      <c r="O100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Row],[orderNum]],ТабПозиции[orderSumm])&gt;1500),ABS(M1005*VLOOKUP(ТабПозиции[[#This Row],[orderNum]],ТабЗаказы[#Data],MATCH("Percent",ТабЗаказы[#Headers],0),0))/100,200/COUNTIF(ТабПозиции[orderNum],ТабПозиции[[#This Row],[orderNum]])),0),"")</f>
        <v>182</v>
      </c>
      <c r="P1005">
        <f>IF(OR(ТабПозиции[[#This Row],[item]]="По штрихкоду",ТабПозиции[[#This Row],[item]]="Посылка"),ТабПозиции[[#This Row],[deliverySumm]]+ТабПозиции[[#This Row],[deliveryPost]],SUM(M1005:O1005))</f>
        <v>1393</v>
      </c>
      <c r="Q1005" s="57">
        <v>1393</v>
      </c>
      <c r="R1005" s="62">
        <f>ТабПозиции[[#This Row],[totalSumm]]-ТабПозиции[[#This Row],[payment]]</f>
        <v>0</v>
      </c>
      <c r="S1005" s="34" t="s">
        <v>955</v>
      </c>
      <c r="T1005" s="56" t="s">
        <v>3061</v>
      </c>
      <c r="U1005" s="56" t="s">
        <v>3061</v>
      </c>
      <c r="V1005" s="56" t="s">
        <v>3061</v>
      </c>
      <c r="W1005" s="7"/>
      <c r="X1005"/>
    </row>
    <row r="1006" spans="1:24" x14ac:dyDescent="0.25">
      <c r="A1006" s="26">
        <v>278</v>
      </c>
      <c r="B1006" s="1">
        <f>IFERROR(VLOOKUP(ТабПозиции[[#This Row],[orderNum]],ТабЗаказы[#Data],MATCH(B$7,ТабЗаказы[#Headers],0),0),"")</f>
        <v>45569</v>
      </c>
      <c r="C1006" t="str">
        <f>MONTH(ТабПозиции[[#This Row],[date]])&amp;"/"&amp;YEAR(ТабПозиции[[#This Row],[date]])</f>
        <v>10/2024</v>
      </c>
      <c r="D1006" s="1" t="str">
        <f>IFERROR(VLOOKUP(ТабПозиции[[#This Row],[orderNum]],ТабЗаказы[#Data],MATCH(D$7,ТабЗаказы[#Headers],0),0),"")</f>
        <v>Лариса Кирова</v>
      </c>
      <c r="E1006" s="32" t="s">
        <v>1589</v>
      </c>
      <c r="F1006" s="56" t="s">
        <v>3061</v>
      </c>
      <c r="H1006" s="34">
        <v>45571</v>
      </c>
      <c r="I1006" s="26">
        <v>1</v>
      </c>
      <c r="J1006" s="26">
        <v>282</v>
      </c>
      <c r="K1006">
        <v>282</v>
      </c>
      <c r="L1006" s="26">
        <v>297</v>
      </c>
      <c r="M1006">
        <f t="shared" si="18"/>
        <v>297</v>
      </c>
      <c r="O100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Row],[orderNum]],ТабПозиции[orderSumm])&gt;1500),ABS(M1006*VLOOKUP(ТабПозиции[[#This Row],[orderNum]],ТабЗаказы[#Data],MATCH("Percent",ТабЗаказы[#Headers],0),0))/100,200/COUNTIF(ТабПозиции[orderNum],ТабПозиции[[#This Row],[orderNum]])),0),"")</f>
        <v>45</v>
      </c>
      <c r="P1006">
        <f>IF(OR(ТабПозиции[[#This Row],[item]]="По штрихкоду",ТабПозиции[[#This Row],[item]]="Посылка"),ТабПозиции[[#This Row],[deliverySumm]]+ТабПозиции[[#This Row],[deliveryPost]],SUM(M1006:O1006))</f>
        <v>342</v>
      </c>
      <c r="Q1006" s="57">
        <v>342</v>
      </c>
      <c r="R1006" s="62">
        <f>ТабПозиции[[#This Row],[totalSumm]]-ТабПозиции[[#This Row],[payment]]</f>
        <v>0</v>
      </c>
      <c r="S1006" s="34" t="s">
        <v>965</v>
      </c>
      <c r="T1006" s="56" t="s">
        <v>3061</v>
      </c>
      <c r="U1006" s="56" t="s">
        <v>3061</v>
      </c>
      <c r="V1006" s="56" t="s">
        <v>3061</v>
      </c>
      <c r="W1006" s="7"/>
      <c r="X1006"/>
    </row>
    <row r="1007" spans="1:24" x14ac:dyDescent="0.25">
      <c r="A1007" s="26">
        <v>279</v>
      </c>
      <c r="B1007" s="1">
        <f>IFERROR(VLOOKUP(ТабПозиции[[#This Row],[orderNum]],ТабЗаказы[#Data],MATCH(B$7,ТабЗаказы[#Headers],0),0),"")</f>
        <v>45569</v>
      </c>
      <c r="C1007" t="str">
        <f>MONTH(ТабПозиции[[#This Row],[date]])&amp;"/"&amp;YEAR(ТабПозиции[[#This Row],[date]])</f>
        <v>10/2024</v>
      </c>
      <c r="D1007" s="1" t="str">
        <f>IFERROR(VLOOKUP(ТабПозиции[[#This Row],[orderNum]],ТабЗаказы[#Data],MATCH(D$7,ТабЗаказы[#Headers],0),0),"")</f>
        <v>Алена шмалко</v>
      </c>
      <c r="E1007" s="32" t="s">
        <v>1600</v>
      </c>
      <c r="F1007" s="56" t="s">
        <v>3061</v>
      </c>
      <c r="H1007" s="34">
        <v>45569</v>
      </c>
      <c r="I1007" s="26">
        <v>1</v>
      </c>
      <c r="J1007" s="26">
        <v>249</v>
      </c>
      <c r="K1007">
        <v>249</v>
      </c>
      <c r="L1007" s="26">
        <v>263</v>
      </c>
      <c r="M1007">
        <f t="shared" si="18"/>
        <v>263</v>
      </c>
      <c r="O100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Row],[orderNum]],ТабПозиции[orderSumm])&gt;1500),ABS(M1007*VLOOKUP(ТабПозиции[[#This Row],[orderNum]],ТабЗаказы[#Data],MATCH("Percent",ТабЗаказы[#Headers],0),0))/100,200/COUNTIF(ТабПозиции[orderNum],ТабПозиции[[#This Row],[orderNum]])),0),"")</f>
        <v>39</v>
      </c>
      <c r="P1007">
        <f>IF(OR(ТабПозиции[[#This Row],[item]]="По штрихкоду",ТабПозиции[[#This Row],[item]]="Посылка"),ТабПозиции[[#This Row],[deliverySumm]]+ТабПозиции[[#This Row],[deliveryPost]],SUM(M1007:O1007))</f>
        <v>302</v>
      </c>
      <c r="Q1007" s="57">
        <v>302</v>
      </c>
      <c r="R1007" s="62">
        <f>ТабПозиции[[#This Row],[totalSumm]]-ТабПозиции[[#This Row],[payment]]</f>
        <v>0</v>
      </c>
      <c r="S1007" s="34" t="s">
        <v>965</v>
      </c>
      <c r="T1007" s="56" t="s">
        <v>3061</v>
      </c>
      <c r="U1007" s="56" t="s">
        <v>3061</v>
      </c>
      <c r="V1007" s="56" t="s">
        <v>3061</v>
      </c>
      <c r="W1007" s="7"/>
      <c r="X1007"/>
    </row>
    <row r="1008" spans="1:24" x14ac:dyDescent="0.25">
      <c r="A1008" s="26">
        <v>279</v>
      </c>
      <c r="B1008" s="1">
        <f>IFERROR(VLOOKUP(ТабПозиции[[#This Row],[orderNum]],ТабЗаказы[#Data],MATCH(B$7,ТабЗаказы[#Headers],0),0),"")</f>
        <v>45569</v>
      </c>
      <c r="C1008" t="str">
        <f>MONTH(ТабПозиции[[#This Row],[date]])&amp;"/"&amp;YEAR(ТабПозиции[[#This Row],[date]])</f>
        <v>10/2024</v>
      </c>
      <c r="D1008" s="1" t="str">
        <f>IFERROR(VLOOKUP(ТабПозиции[[#This Row],[orderNum]],ТабЗаказы[#Data],MATCH(D$7,ТабЗаказы[#Headers],0),0),"")</f>
        <v>Алена шмалко</v>
      </c>
      <c r="E1008" s="32" t="s">
        <v>1601</v>
      </c>
      <c r="F1008" s="56" t="s">
        <v>3061</v>
      </c>
      <c r="H1008" s="34">
        <v>45571</v>
      </c>
      <c r="I1008" s="26">
        <v>1</v>
      </c>
      <c r="J1008" s="26">
        <v>357</v>
      </c>
      <c r="K1008">
        <v>357</v>
      </c>
      <c r="L1008" s="26">
        <v>376</v>
      </c>
      <c r="M1008">
        <f t="shared" si="18"/>
        <v>376</v>
      </c>
      <c r="O100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Row],[orderNum]],ТабПозиции[orderSumm])&gt;1500),ABS(M1008*VLOOKUP(ТабПозиции[[#This Row],[orderNum]],ТабЗаказы[#Data],MATCH("Percent",ТабЗаказы[#Headers],0),0))/100,200/COUNTIF(ТабПозиции[orderNum],ТабПозиции[[#This Row],[orderNum]])),0),"")</f>
        <v>56</v>
      </c>
      <c r="P1008">
        <f>IF(OR(ТабПозиции[[#This Row],[item]]="По штрихкоду",ТабПозиции[[#This Row],[item]]="Посылка"),ТабПозиции[[#This Row],[deliverySumm]]+ТабПозиции[[#This Row],[deliveryPost]],SUM(M1008:O1008))</f>
        <v>432</v>
      </c>
      <c r="Q1008" s="57">
        <v>432</v>
      </c>
      <c r="R1008" s="62">
        <f>ТабПозиции[[#This Row],[totalSumm]]-ТабПозиции[[#This Row],[payment]]</f>
        <v>0</v>
      </c>
      <c r="S1008" s="34" t="s">
        <v>965</v>
      </c>
      <c r="T1008" s="56" t="s">
        <v>3061</v>
      </c>
      <c r="U1008" s="56" t="s">
        <v>3061</v>
      </c>
      <c r="V1008" s="56" t="s">
        <v>3061</v>
      </c>
      <c r="W1008" s="7"/>
      <c r="X1008"/>
    </row>
    <row r="1009" spans="1:24" x14ac:dyDescent="0.25">
      <c r="A1009" s="26">
        <v>279</v>
      </c>
      <c r="B1009" s="1">
        <f>IFERROR(VLOOKUP(ТабПозиции[[#This Row],[orderNum]],ТабЗаказы[#Data],MATCH(B$7,ТабЗаказы[#Headers],0),0),"")</f>
        <v>45569</v>
      </c>
      <c r="C1009" t="str">
        <f>MONTH(ТабПозиции[[#This Row],[date]])&amp;"/"&amp;YEAR(ТабПозиции[[#This Row],[date]])</f>
        <v>10/2024</v>
      </c>
      <c r="D1009" s="1" t="str">
        <f>IFERROR(VLOOKUP(ТабПозиции[[#This Row],[orderNum]],ТабЗаказы[#Data],MATCH(D$7,ТабЗаказы[#Headers],0),0),"")</f>
        <v>Алена шмалко</v>
      </c>
      <c r="E1009" s="32" t="s">
        <v>1602</v>
      </c>
      <c r="F1009" s="56" t="s">
        <v>3061</v>
      </c>
      <c r="H1009" s="34">
        <v>45571</v>
      </c>
      <c r="I1009" s="26">
        <v>1</v>
      </c>
      <c r="J1009" s="26">
        <v>195</v>
      </c>
      <c r="K1009">
        <v>195</v>
      </c>
      <c r="L1009" s="26">
        <v>206</v>
      </c>
      <c r="M1009">
        <f t="shared" si="18"/>
        <v>206</v>
      </c>
      <c r="O100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Row],[orderNum]],ТабПозиции[orderSumm])&gt;1500),ABS(M1009*VLOOKUP(ТабПозиции[[#This Row],[orderNum]],ТабЗаказы[#Data],MATCH("Percent",ТабЗаказы[#Headers],0),0))/100,200/COUNTIF(ТабПозиции[orderNum],ТабПозиции[[#This Row],[orderNum]])),0),"")</f>
        <v>31</v>
      </c>
      <c r="P1009">
        <f>IF(OR(ТабПозиции[[#This Row],[item]]="По штрихкоду",ТабПозиции[[#This Row],[item]]="Посылка"),ТабПозиции[[#This Row],[deliverySumm]]+ТабПозиции[[#This Row],[deliveryPost]],SUM(M1009:O1009))</f>
        <v>237</v>
      </c>
      <c r="Q1009" s="57">
        <v>237</v>
      </c>
      <c r="R1009" s="62">
        <f>ТабПозиции[[#This Row],[totalSumm]]-ТабПозиции[[#This Row],[payment]]</f>
        <v>0</v>
      </c>
      <c r="S1009" s="34" t="s">
        <v>965</v>
      </c>
      <c r="T1009" s="56" t="s">
        <v>3061</v>
      </c>
      <c r="U1009" s="56" t="s">
        <v>3061</v>
      </c>
      <c r="V1009" s="56" t="s">
        <v>3061</v>
      </c>
      <c r="W1009" s="7"/>
      <c r="X1009"/>
    </row>
    <row r="1010" spans="1:24" x14ac:dyDescent="0.25">
      <c r="A1010" s="26">
        <v>279</v>
      </c>
      <c r="B1010" s="1">
        <f>IFERROR(VLOOKUP(ТабПозиции[[#This Row],[orderNum]],ТабЗаказы[#Data],MATCH(B$7,ТабЗаказы[#Headers],0),0),"")</f>
        <v>45569</v>
      </c>
      <c r="C1010" t="str">
        <f>MONTH(ТабПозиции[[#This Row],[date]])&amp;"/"&amp;YEAR(ТабПозиции[[#This Row],[date]])</f>
        <v>10/2024</v>
      </c>
      <c r="D1010" s="1" t="str">
        <f>IFERROR(VLOOKUP(ТабПозиции[[#This Row],[orderNum]],ТабЗаказы[#Data],MATCH(D$7,ТабЗаказы[#Headers],0),0),"")</f>
        <v>Алена шмалко</v>
      </c>
      <c r="E1010" s="32" t="s">
        <v>1024</v>
      </c>
      <c r="F1010" s="56" t="s">
        <v>3061</v>
      </c>
      <c r="H1010" s="34">
        <v>45572</v>
      </c>
      <c r="I1010" s="26">
        <v>1</v>
      </c>
      <c r="J1010" s="26">
        <v>228</v>
      </c>
      <c r="K1010">
        <v>228</v>
      </c>
      <c r="L1010" s="26">
        <v>241</v>
      </c>
      <c r="M1010">
        <f t="shared" si="18"/>
        <v>241</v>
      </c>
      <c r="O101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Row],[orderNum]],ТабПозиции[orderSumm])&gt;1500),ABS(M1010*VLOOKUP(ТабПозиции[[#This Row],[orderNum]],ТабЗаказы[#Data],MATCH("Percent",ТабЗаказы[#Headers],0),0))/100,200/COUNTIF(ТабПозиции[orderNum],ТабПозиции[[#This Row],[orderNum]])),0),"")</f>
        <v>36</v>
      </c>
      <c r="P1010">
        <f>IF(OR(ТабПозиции[[#This Row],[item]]="По штрихкоду",ТабПозиции[[#This Row],[item]]="Посылка"),ТабПозиции[[#This Row],[deliverySumm]]+ТабПозиции[[#This Row],[deliveryPost]],SUM(M1010:O1010))</f>
        <v>277</v>
      </c>
      <c r="Q1010" s="57">
        <v>277</v>
      </c>
      <c r="R1010" s="62">
        <f>ТабПозиции[[#This Row],[totalSumm]]-ТабПозиции[[#This Row],[payment]]</f>
        <v>0</v>
      </c>
      <c r="S1010" s="34" t="s">
        <v>965</v>
      </c>
      <c r="T1010" s="56" t="s">
        <v>3061</v>
      </c>
      <c r="U1010" s="56" t="s">
        <v>3061</v>
      </c>
      <c r="V1010" s="56" t="s">
        <v>3061</v>
      </c>
      <c r="W1010" s="7"/>
      <c r="X1010"/>
    </row>
    <row r="1011" spans="1:24" x14ac:dyDescent="0.25">
      <c r="A1011" s="26">
        <v>279</v>
      </c>
      <c r="B1011" s="1">
        <f>IFERROR(VLOOKUP(ТабПозиции[[#This Row],[orderNum]],ТабЗаказы[#Data],MATCH(B$7,ТабЗаказы[#Headers],0),0),"")</f>
        <v>45569</v>
      </c>
      <c r="C1011" t="str">
        <f>MONTH(ТабПозиции[[#This Row],[date]])&amp;"/"&amp;YEAR(ТабПозиции[[#This Row],[date]])</f>
        <v>10/2024</v>
      </c>
      <c r="D1011" s="1" t="str">
        <f>IFERROR(VLOOKUP(ТабПозиции[[#This Row],[orderNum]],ТабЗаказы[#Data],MATCH(D$7,ТабЗаказы[#Headers],0),0),"")</f>
        <v>Алена шмалко</v>
      </c>
      <c r="E1011" s="32" t="s">
        <v>1603</v>
      </c>
      <c r="F1011" s="56" t="s">
        <v>3061</v>
      </c>
      <c r="H1011" s="34">
        <v>45571</v>
      </c>
      <c r="I1011" s="26">
        <v>1</v>
      </c>
      <c r="J1011" s="26">
        <v>376</v>
      </c>
      <c r="K1011">
        <v>376</v>
      </c>
      <c r="L1011" s="26">
        <v>396</v>
      </c>
      <c r="M1011">
        <f t="shared" si="18"/>
        <v>396</v>
      </c>
      <c r="O101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Row],[orderNum]],ТабПозиции[orderSumm])&gt;1500),ABS(M1011*VLOOKUP(ТабПозиции[[#This Row],[orderNum]],ТабЗаказы[#Data],MATCH("Percent",ТабЗаказы[#Headers],0),0))/100,200/COUNTIF(ТабПозиции[orderNum],ТабПозиции[[#This Row],[orderNum]])),0),"")</f>
        <v>59</v>
      </c>
      <c r="P1011">
        <f>IF(OR(ТабПозиции[[#This Row],[item]]="По штрихкоду",ТабПозиции[[#This Row],[item]]="Посылка"),ТабПозиции[[#This Row],[deliverySumm]]+ТабПозиции[[#This Row],[deliveryPost]],SUM(M1011:O1011))</f>
        <v>455</v>
      </c>
      <c r="Q1011" s="57">
        <v>455</v>
      </c>
      <c r="R1011" s="62">
        <f>ТабПозиции[[#This Row],[totalSumm]]-ТабПозиции[[#This Row],[payment]]</f>
        <v>0</v>
      </c>
      <c r="S1011" s="34" t="s">
        <v>965</v>
      </c>
      <c r="T1011" s="56" t="s">
        <v>3061</v>
      </c>
      <c r="U1011" s="56" t="s">
        <v>3061</v>
      </c>
      <c r="V1011" s="56" t="s">
        <v>3061</v>
      </c>
      <c r="W1011" s="7"/>
      <c r="X1011"/>
    </row>
    <row r="1012" spans="1:24" x14ac:dyDescent="0.25">
      <c r="A1012" s="26">
        <v>279</v>
      </c>
      <c r="B1012" s="1">
        <f>IFERROR(VLOOKUP(ТабПозиции[[#This Row],[orderNum]],ТабЗаказы[#Data],MATCH(B$7,ТабЗаказы[#Headers],0),0),"")</f>
        <v>45569</v>
      </c>
      <c r="C1012" t="str">
        <f>MONTH(ТабПозиции[[#This Row],[date]])&amp;"/"&amp;YEAR(ТабПозиции[[#This Row],[date]])</f>
        <v>10/2024</v>
      </c>
      <c r="D1012" s="1" t="str">
        <f>IFERROR(VLOOKUP(ТабПозиции[[#This Row],[orderNum]],ТабЗаказы[#Data],MATCH(D$7,ТабЗаказы[#Headers],0),0),"")</f>
        <v>Алена шмалко</v>
      </c>
      <c r="E1012" s="32" t="s">
        <v>1604</v>
      </c>
      <c r="F1012" s="56" t="s">
        <v>3061</v>
      </c>
      <c r="H1012" s="34">
        <v>45571</v>
      </c>
      <c r="I1012" s="26">
        <v>1</v>
      </c>
      <c r="J1012" s="26">
        <v>116</v>
      </c>
      <c r="K1012">
        <v>116</v>
      </c>
      <c r="L1012" s="26">
        <v>123</v>
      </c>
      <c r="M1012">
        <f t="shared" si="18"/>
        <v>123</v>
      </c>
      <c r="O101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Row],[orderNum]],ТабПозиции[orderSumm])&gt;1500),ABS(M1012*VLOOKUP(ТабПозиции[[#This Row],[orderNum]],ТабЗаказы[#Data],MATCH("Percent",ТабЗаказы[#Headers],0),0))/100,200/COUNTIF(ТабПозиции[orderNum],ТабПозиции[[#This Row],[orderNum]])),0),"")</f>
        <v>18</v>
      </c>
      <c r="P1012">
        <f>IF(OR(ТабПозиции[[#This Row],[item]]="По штрихкоду",ТабПозиции[[#This Row],[item]]="Посылка"),ТабПозиции[[#This Row],[deliverySumm]]+ТабПозиции[[#This Row],[deliveryPost]],SUM(M1012:O1012))</f>
        <v>141</v>
      </c>
      <c r="Q1012" s="57">
        <v>141</v>
      </c>
      <c r="R1012" s="62">
        <f>ТабПозиции[[#This Row],[totalSumm]]-ТабПозиции[[#This Row],[payment]]</f>
        <v>0</v>
      </c>
      <c r="S1012" s="34" t="s">
        <v>965</v>
      </c>
      <c r="T1012" s="56" t="s">
        <v>3061</v>
      </c>
      <c r="U1012" s="56" t="s">
        <v>3061</v>
      </c>
      <c r="V1012" s="56" t="s">
        <v>3061</v>
      </c>
      <c r="W1012" s="7"/>
      <c r="X1012"/>
    </row>
    <row r="1013" spans="1:24" x14ac:dyDescent="0.25">
      <c r="A1013" s="26">
        <v>279</v>
      </c>
      <c r="B1013" s="1">
        <f>IFERROR(VLOOKUP(ТабПозиции[[#This Row],[orderNum]],ТабЗаказы[#Data],MATCH(B$7,ТабЗаказы[#Headers],0),0),"")</f>
        <v>45569</v>
      </c>
      <c r="C1013" t="str">
        <f>MONTH(ТабПозиции[[#This Row],[date]])&amp;"/"&amp;YEAR(ТабПозиции[[#This Row],[date]])</f>
        <v>10/2024</v>
      </c>
      <c r="D1013" s="1" t="str">
        <f>IFERROR(VLOOKUP(ТабПозиции[[#This Row],[orderNum]],ТабЗаказы[#Data],MATCH(D$7,ТабЗаказы[#Headers],0),0),"")</f>
        <v>Алена шмалко</v>
      </c>
      <c r="E1013" s="32" t="s">
        <v>1605</v>
      </c>
      <c r="F1013" s="56" t="s">
        <v>3061</v>
      </c>
      <c r="H1013" s="34">
        <v>45571</v>
      </c>
      <c r="I1013" s="26">
        <v>1</v>
      </c>
      <c r="J1013" s="26">
        <v>440</v>
      </c>
      <c r="K1013">
        <v>440</v>
      </c>
      <c r="L1013" s="26">
        <v>464</v>
      </c>
      <c r="M1013">
        <f t="shared" si="18"/>
        <v>464</v>
      </c>
      <c r="O101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Row],[orderNum]],ТабПозиции[orderSumm])&gt;1500),ABS(M1013*VLOOKUP(ТабПозиции[[#This Row],[orderNum]],ТабЗаказы[#Data],MATCH("Percent",ТабЗаказы[#Headers],0),0))/100,200/COUNTIF(ТабПозиции[orderNum],ТабПозиции[[#This Row],[orderNum]])),0),"")</f>
        <v>70</v>
      </c>
      <c r="P1013">
        <f>IF(OR(ТабПозиции[[#This Row],[item]]="По штрихкоду",ТабПозиции[[#This Row],[item]]="Посылка"),ТабПозиции[[#This Row],[deliverySumm]]+ТабПозиции[[#This Row],[deliveryPost]],SUM(M1013:O1013))</f>
        <v>534</v>
      </c>
      <c r="Q1013" s="57">
        <v>534</v>
      </c>
      <c r="R1013" s="62">
        <f>ТабПозиции[[#This Row],[totalSumm]]-ТабПозиции[[#This Row],[payment]]</f>
        <v>0</v>
      </c>
      <c r="S1013" s="34" t="s">
        <v>965</v>
      </c>
      <c r="T1013" s="56" t="s">
        <v>3061</v>
      </c>
      <c r="U1013" s="56" t="s">
        <v>3061</v>
      </c>
      <c r="V1013" s="56" t="s">
        <v>3061</v>
      </c>
      <c r="W1013" s="7"/>
      <c r="X1013"/>
    </row>
    <row r="1014" spans="1:24" x14ac:dyDescent="0.25">
      <c r="A1014" s="26">
        <v>279</v>
      </c>
      <c r="B1014" s="1">
        <f>IFERROR(VLOOKUP(ТабПозиции[[#This Row],[orderNum]],ТабЗаказы[#Data],MATCH(B$7,ТабЗаказы[#Headers],0),0),"")</f>
        <v>45569</v>
      </c>
      <c r="C1014" t="str">
        <f>MONTH(ТабПозиции[[#This Row],[date]])&amp;"/"&amp;YEAR(ТабПозиции[[#This Row],[date]])</f>
        <v>10/2024</v>
      </c>
      <c r="D1014" s="1" t="str">
        <f>IFERROR(VLOOKUP(ТабПозиции[[#This Row],[orderNum]],ТабЗаказы[#Data],MATCH(D$7,ТабЗаказы[#Headers],0),0),"")</f>
        <v>Алена шмалко</v>
      </c>
      <c r="E1014" s="32" t="s">
        <v>1606</v>
      </c>
      <c r="F1014" s="56" t="s">
        <v>3061</v>
      </c>
      <c r="H1014" s="34">
        <v>45571</v>
      </c>
      <c r="I1014" s="26">
        <v>1</v>
      </c>
      <c r="J1014" s="26">
        <v>581</v>
      </c>
      <c r="K1014">
        <v>581</v>
      </c>
      <c r="L1014" s="26">
        <v>612</v>
      </c>
      <c r="M1014">
        <f t="shared" si="18"/>
        <v>612</v>
      </c>
      <c r="O101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Row],[orderNum]],ТабПозиции[orderSumm])&gt;1500),ABS(M1014*VLOOKUP(ТабПозиции[[#This Row],[orderNum]],ТабЗаказы[#Data],MATCH("Percent",ТабЗаказы[#Headers],0),0))/100,200/COUNTIF(ТабПозиции[orderNum],ТабПозиции[[#This Row],[orderNum]])),0),"")</f>
        <v>92</v>
      </c>
      <c r="P1014">
        <f>IF(OR(ТабПозиции[[#This Row],[item]]="По штрихкоду",ТабПозиции[[#This Row],[item]]="Посылка"),ТабПозиции[[#This Row],[deliverySumm]]+ТабПозиции[[#This Row],[deliveryPost]],SUM(M1014:O1014))</f>
        <v>704</v>
      </c>
      <c r="Q1014" s="57">
        <v>704</v>
      </c>
      <c r="R1014" s="62">
        <f>ТабПозиции[[#This Row],[totalSumm]]-ТабПозиции[[#This Row],[payment]]</f>
        <v>0</v>
      </c>
      <c r="S1014" s="34" t="s">
        <v>965</v>
      </c>
      <c r="T1014" s="56" t="s">
        <v>3061</v>
      </c>
      <c r="U1014" s="56" t="s">
        <v>3061</v>
      </c>
      <c r="V1014" s="56" t="s">
        <v>3061</v>
      </c>
      <c r="W1014" s="7"/>
      <c r="X1014"/>
    </row>
    <row r="1015" spans="1:24" x14ac:dyDescent="0.25">
      <c r="A1015" s="26">
        <v>279</v>
      </c>
      <c r="B1015" s="1">
        <f>IFERROR(VLOOKUP(ТабПозиции[[#This Row],[orderNum]],ТабЗаказы[#Data],MATCH(B$7,ТабЗаказы[#Headers],0),0),"")</f>
        <v>45569</v>
      </c>
      <c r="C1015" t="str">
        <f>MONTH(ТабПозиции[[#This Row],[date]])&amp;"/"&amp;YEAR(ТабПозиции[[#This Row],[date]])</f>
        <v>10/2024</v>
      </c>
      <c r="D1015" s="1" t="str">
        <f>IFERROR(VLOOKUP(ТабПозиции[[#This Row],[orderNum]],ТабЗаказы[#Data],MATCH(D$7,ТабЗаказы[#Headers],0),0),"")</f>
        <v>Алена шмалко</v>
      </c>
      <c r="E1015" s="32" t="s">
        <v>1607</v>
      </c>
      <c r="F1015" s="56" t="s">
        <v>3061</v>
      </c>
      <c r="H1015" s="34">
        <v>45571</v>
      </c>
      <c r="I1015" s="26">
        <v>1</v>
      </c>
      <c r="J1015" s="26">
        <v>279</v>
      </c>
      <c r="K1015">
        <v>279</v>
      </c>
      <c r="L1015" s="26">
        <v>294</v>
      </c>
      <c r="M1015">
        <f t="shared" si="18"/>
        <v>294</v>
      </c>
      <c r="O101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Row],[orderNum]],ТабПозиции[orderSumm])&gt;1500),ABS(M1015*VLOOKUP(ТабПозиции[[#This Row],[orderNum]],ТабЗаказы[#Data],MATCH("Percent",ТабЗаказы[#Headers],0),0))/100,200/COUNTIF(ТабПозиции[orderNum],ТабПозиции[[#This Row],[orderNum]])),0),"")</f>
        <v>44</v>
      </c>
      <c r="P1015">
        <f>IF(OR(ТабПозиции[[#This Row],[item]]="По штрихкоду",ТабПозиции[[#This Row],[item]]="Посылка"),ТабПозиции[[#This Row],[deliverySumm]]+ТабПозиции[[#This Row],[deliveryPost]],SUM(M1015:O1015))</f>
        <v>338</v>
      </c>
      <c r="Q1015" s="57">
        <v>338</v>
      </c>
      <c r="R1015" s="62">
        <f>ТабПозиции[[#This Row],[totalSumm]]-ТабПозиции[[#This Row],[payment]]</f>
        <v>0</v>
      </c>
      <c r="S1015" s="34" t="s">
        <v>965</v>
      </c>
      <c r="T1015" s="56" t="s">
        <v>3061</v>
      </c>
      <c r="U1015" s="56" t="s">
        <v>3061</v>
      </c>
      <c r="V1015" s="56" t="s">
        <v>3061</v>
      </c>
      <c r="W1015" s="7"/>
      <c r="X1015"/>
    </row>
    <row r="1016" spans="1:24" x14ac:dyDescent="0.25">
      <c r="A1016" s="26">
        <v>279</v>
      </c>
      <c r="B1016" s="1">
        <f>IFERROR(VLOOKUP(ТабПозиции[[#This Row],[orderNum]],ТабЗаказы[#Data],MATCH(B$7,ТабЗаказы[#Headers],0),0),"")</f>
        <v>45569</v>
      </c>
      <c r="C1016" t="str">
        <f>MONTH(ТабПозиции[[#This Row],[date]])&amp;"/"&amp;YEAR(ТабПозиции[[#This Row],[date]])</f>
        <v>10/2024</v>
      </c>
      <c r="D1016" s="1" t="str">
        <f>IFERROR(VLOOKUP(ТабПозиции[[#This Row],[orderNum]],ТабЗаказы[#Data],MATCH(D$7,ТабЗаказы[#Headers],0),0),"")</f>
        <v>Алена шмалко</v>
      </c>
      <c r="E1016" s="32" t="s">
        <v>1608</v>
      </c>
      <c r="F1016" s="56" t="s">
        <v>3061</v>
      </c>
      <c r="H1016" s="34">
        <v>45572</v>
      </c>
      <c r="I1016" s="26">
        <v>1</v>
      </c>
      <c r="J1016" s="26">
        <v>116</v>
      </c>
      <c r="K1016">
        <v>116</v>
      </c>
      <c r="L1016" s="26">
        <v>123</v>
      </c>
      <c r="M1016">
        <f t="shared" si="18"/>
        <v>123</v>
      </c>
      <c r="O101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Row],[orderNum]],ТабПозиции[orderSumm])&gt;1500),ABS(M1016*VLOOKUP(ТабПозиции[[#This Row],[orderNum]],ТабЗаказы[#Data],MATCH("Percent",ТабЗаказы[#Headers],0),0))/100,200/COUNTIF(ТабПозиции[orderNum],ТабПозиции[[#This Row],[orderNum]])),0),"")</f>
        <v>18</v>
      </c>
      <c r="P1016">
        <f>IF(OR(ТабПозиции[[#This Row],[item]]="По штрихкоду",ТабПозиции[[#This Row],[item]]="Посылка"),ТабПозиции[[#This Row],[deliverySumm]]+ТабПозиции[[#This Row],[deliveryPost]],SUM(M1016:O1016))</f>
        <v>141</v>
      </c>
      <c r="Q1016" s="57">
        <v>141</v>
      </c>
      <c r="R1016" s="62">
        <f>ТабПозиции[[#This Row],[totalSumm]]-ТабПозиции[[#This Row],[payment]]</f>
        <v>0</v>
      </c>
      <c r="S1016" s="34" t="s">
        <v>965</v>
      </c>
      <c r="T1016" s="56" t="s">
        <v>3061</v>
      </c>
      <c r="U1016" s="56" t="s">
        <v>3061</v>
      </c>
      <c r="V1016" s="56" t="s">
        <v>3061</v>
      </c>
      <c r="W1016" s="7"/>
      <c r="X1016"/>
    </row>
    <row r="1017" spans="1:24" x14ac:dyDescent="0.25">
      <c r="A1017" s="26">
        <v>279</v>
      </c>
      <c r="B1017" s="1">
        <f>IFERROR(VLOOKUP(ТабПозиции[[#This Row],[orderNum]],ТабЗаказы[#Data],MATCH(B$7,ТабЗаказы[#Headers],0),0),"")</f>
        <v>45569</v>
      </c>
      <c r="C1017" t="str">
        <f>MONTH(ТабПозиции[[#This Row],[date]])&amp;"/"&amp;YEAR(ТабПозиции[[#This Row],[date]])</f>
        <v>10/2024</v>
      </c>
      <c r="D1017" s="1" t="str">
        <f>IFERROR(VLOOKUP(ТабПозиции[[#This Row],[orderNum]],ТабЗаказы[#Data],MATCH(D$7,ТабЗаказы[#Headers],0),0),"")</f>
        <v>Алена шмалко</v>
      </c>
      <c r="E1017" s="32" t="s">
        <v>1609</v>
      </c>
      <c r="F1017" s="56" t="s">
        <v>3061</v>
      </c>
      <c r="H1017" s="34">
        <v>45573</v>
      </c>
      <c r="I1017" s="26">
        <v>1</v>
      </c>
      <c r="J1017" s="26">
        <v>188</v>
      </c>
      <c r="K1017">
        <v>188</v>
      </c>
      <c r="L1017" s="26">
        <v>198</v>
      </c>
      <c r="M1017">
        <f t="shared" si="18"/>
        <v>198</v>
      </c>
      <c r="O101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Row],[orderNum]],ТабПозиции[orderSumm])&gt;1500),ABS(M1017*VLOOKUP(ТабПозиции[[#This Row],[orderNum]],ТабЗаказы[#Data],MATCH("Percent",ТабЗаказы[#Headers],0),0))/100,200/COUNTIF(ТабПозиции[orderNum],ТабПозиции[[#This Row],[orderNum]])),0),"")</f>
        <v>30</v>
      </c>
      <c r="P1017">
        <f>IF(OR(ТабПозиции[[#This Row],[item]]="По штрихкоду",ТабПозиции[[#This Row],[item]]="Посылка"),ТабПозиции[[#This Row],[deliverySumm]]+ТабПозиции[[#This Row],[deliveryPost]],SUM(M1017:O1017))</f>
        <v>228</v>
      </c>
      <c r="Q1017" s="57">
        <v>228</v>
      </c>
      <c r="R1017" s="62">
        <f>ТабПозиции[[#This Row],[totalSumm]]-ТабПозиции[[#This Row],[payment]]</f>
        <v>0</v>
      </c>
      <c r="S1017" s="34" t="s">
        <v>965</v>
      </c>
      <c r="T1017" s="56" t="s">
        <v>3061</v>
      </c>
      <c r="U1017" s="56" t="s">
        <v>3061</v>
      </c>
      <c r="V1017" s="56" t="s">
        <v>3061</v>
      </c>
      <c r="W1017" s="7"/>
      <c r="X1017"/>
    </row>
    <row r="1018" spans="1:24" x14ac:dyDescent="0.25">
      <c r="A1018" s="26">
        <v>279</v>
      </c>
      <c r="B1018" s="1">
        <f>IFERROR(VLOOKUP(ТабПозиции[[#This Row],[orderNum]],ТабЗаказы[#Data],MATCH(B$7,ТабЗаказы[#Headers],0),0),"")</f>
        <v>45569</v>
      </c>
      <c r="C1018" t="str">
        <f>MONTH(ТабПозиции[[#This Row],[date]])&amp;"/"&amp;YEAR(ТабПозиции[[#This Row],[date]])</f>
        <v>10/2024</v>
      </c>
      <c r="D1018" s="1" t="str">
        <f>IFERROR(VLOOKUP(ТабПозиции[[#This Row],[orderNum]],ТабЗаказы[#Data],MATCH(D$7,ТабЗаказы[#Headers],0),0),"")</f>
        <v>Алена шмалко</v>
      </c>
      <c r="E1018" s="32" t="s">
        <v>1610</v>
      </c>
      <c r="F1018" s="56" t="s">
        <v>3061</v>
      </c>
      <c r="H1018" s="34">
        <v>45572</v>
      </c>
      <c r="I1018" s="26">
        <v>1</v>
      </c>
      <c r="J1018" s="26">
        <v>155</v>
      </c>
      <c r="K1018">
        <v>155</v>
      </c>
      <c r="L1018" s="26">
        <v>164</v>
      </c>
      <c r="M1018">
        <f t="shared" si="18"/>
        <v>164</v>
      </c>
      <c r="O101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Row],[orderNum]],ТабПозиции[orderSumm])&gt;1500),ABS(M1018*VLOOKUP(ТабПозиции[[#This Row],[orderNum]],ТабЗаказы[#Data],MATCH("Percent",ТабЗаказы[#Headers],0),0))/100,200/COUNTIF(ТабПозиции[orderNum],ТабПозиции[[#This Row],[orderNum]])),0),"")</f>
        <v>25</v>
      </c>
      <c r="P1018">
        <f>IF(OR(ТабПозиции[[#This Row],[item]]="По штрихкоду",ТабПозиции[[#This Row],[item]]="Посылка"),ТабПозиции[[#This Row],[deliverySumm]]+ТабПозиции[[#This Row],[deliveryPost]],SUM(M1018:O1018))</f>
        <v>189</v>
      </c>
      <c r="Q1018" s="57">
        <v>189</v>
      </c>
      <c r="R1018" s="62">
        <f>ТабПозиции[[#This Row],[totalSumm]]-ТабПозиции[[#This Row],[payment]]</f>
        <v>0</v>
      </c>
      <c r="S1018" s="34" t="s">
        <v>965</v>
      </c>
      <c r="T1018" s="56" t="s">
        <v>3061</v>
      </c>
      <c r="U1018" s="56" t="s">
        <v>3061</v>
      </c>
      <c r="V1018" s="56" t="s">
        <v>3061</v>
      </c>
      <c r="W1018" s="7"/>
      <c r="X1018"/>
    </row>
    <row r="1019" spans="1:24" x14ac:dyDescent="0.25">
      <c r="A1019" s="26">
        <v>279</v>
      </c>
      <c r="B1019" s="1">
        <f>IFERROR(VLOOKUP(ТабПозиции[[#This Row],[orderNum]],ТабЗаказы[#Data],MATCH(B$7,ТабЗаказы[#Headers],0),0),"")</f>
        <v>45569</v>
      </c>
      <c r="C1019" t="str">
        <f>MONTH(ТабПозиции[[#This Row],[date]])&amp;"/"&amp;YEAR(ТабПозиции[[#This Row],[date]])</f>
        <v>10/2024</v>
      </c>
      <c r="D1019" s="1" t="str">
        <f>IFERROR(VLOOKUP(ТабПозиции[[#This Row],[orderNum]],ТабЗаказы[#Data],MATCH(D$7,ТабЗаказы[#Headers],0),0),"")</f>
        <v>Алена шмалко</v>
      </c>
      <c r="E1019" s="32" t="s">
        <v>1611</v>
      </c>
      <c r="F1019" s="56" t="s">
        <v>3061</v>
      </c>
      <c r="H1019" s="34">
        <v>45572</v>
      </c>
      <c r="I1019" s="26">
        <v>1</v>
      </c>
      <c r="J1019" s="26">
        <v>152</v>
      </c>
      <c r="K1019">
        <v>152</v>
      </c>
      <c r="L1019" s="26">
        <v>160</v>
      </c>
      <c r="M1019">
        <f t="shared" si="18"/>
        <v>160</v>
      </c>
      <c r="O101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Row],[orderNum]],ТабПозиции[orderSumm])&gt;1500),ABS(M1019*VLOOKUP(ТабПозиции[[#This Row],[orderNum]],ТабЗаказы[#Data],MATCH("Percent",ТабЗаказы[#Headers],0),0))/100,200/COUNTIF(ТабПозиции[orderNum],ТабПозиции[[#This Row],[orderNum]])),0),"")</f>
        <v>24</v>
      </c>
      <c r="P1019">
        <f>IF(OR(ТабПозиции[[#This Row],[item]]="По штрихкоду",ТабПозиции[[#This Row],[item]]="Посылка"),ТабПозиции[[#This Row],[deliverySumm]]+ТабПозиции[[#This Row],[deliveryPost]],SUM(M1019:O1019))</f>
        <v>184</v>
      </c>
      <c r="Q1019" s="57">
        <v>184</v>
      </c>
      <c r="R1019" s="62">
        <f>ТабПозиции[[#This Row],[totalSumm]]-ТабПозиции[[#This Row],[payment]]</f>
        <v>0</v>
      </c>
      <c r="S1019" s="34" t="s">
        <v>965</v>
      </c>
      <c r="T1019" s="56" t="s">
        <v>3061</v>
      </c>
      <c r="U1019" s="56" t="s">
        <v>3061</v>
      </c>
      <c r="V1019" s="56" t="s">
        <v>3061</v>
      </c>
      <c r="W1019" s="7"/>
      <c r="X1019"/>
    </row>
    <row r="1020" spans="1:24" x14ac:dyDescent="0.25">
      <c r="A1020" s="26">
        <v>279</v>
      </c>
      <c r="B1020" s="1">
        <f>IFERROR(VLOOKUP(ТабПозиции[[#This Row],[orderNum]],ТабЗаказы[#Data],MATCH(B$7,ТабЗаказы[#Headers],0),0),"")</f>
        <v>45569</v>
      </c>
      <c r="C1020" t="str">
        <f>MONTH(ТабПозиции[[#This Row],[date]])&amp;"/"&amp;YEAR(ТабПозиции[[#This Row],[date]])</f>
        <v>10/2024</v>
      </c>
      <c r="D1020" s="1" t="str">
        <f>IFERROR(VLOOKUP(ТабПозиции[[#This Row],[orderNum]],ТабЗаказы[#Data],MATCH(D$7,ТабЗаказы[#Headers],0),0),"")</f>
        <v>Алена шмалко</v>
      </c>
      <c r="E1020" s="32" t="s">
        <v>1612</v>
      </c>
      <c r="F1020" s="56" t="s">
        <v>3061</v>
      </c>
      <c r="H1020" s="34">
        <v>45571</v>
      </c>
      <c r="I1020" s="26">
        <v>1</v>
      </c>
      <c r="J1020" s="26">
        <v>162</v>
      </c>
      <c r="K1020">
        <v>162</v>
      </c>
      <c r="L1020" s="26">
        <v>171</v>
      </c>
      <c r="M1020">
        <f t="shared" si="18"/>
        <v>171</v>
      </c>
      <c r="O102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Row],[orderNum]],ТабПозиции[orderSumm])&gt;1500),ABS(M1020*VLOOKUP(ТабПозиции[[#This Row],[orderNum]],ТабЗаказы[#Data],MATCH("Percent",ТабЗаказы[#Headers],0),0))/100,200/COUNTIF(ТабПозиции[orderNum],ТабПозиции[[#This Row],[orderNum]])),0),"")</f>
        <v>26</v>
      </c>
      <c r="P1020">
        <f>IF(OR(ТабПозиции[[#This Row],[item]]="По штрихкоду",ТабПозиции[[#This Row],[item]]="Посылка"),ТабПозиции[[#This Row],[deliverySumm]]+ТабПозиции[[#This Row],[deliveryPost]],SUM(M1020:O1020))</f>
        <v>197</v>
      </c>
      <c r="Q1020" s="57">
        <v>197</v>
      </c>
      <c r="R1020" s="62">
        <f>ТабПозиции[[#This Row],[totalSumm]]-ТабПозиции[[#This Row],[payment]]</f>
        <v>0</v>
      </c>
      <c r="S1020" s="34" t="s">
        <v>965</v>
      </c>
      <c r="T1020" s="56" t="s">
        <v>3061</v>
      </c>
      <c r="U1020" s="56" t="s">
        <v>3061</v>
      </c>
      <c r="V1020" s="56" t="s">
        <v>3061</v>
      </c>
      <c r="W1020" s="7"/>
      <c r="X1020"/>
    </row>
    <row r="1021" spans="1:24" x14ac:dyDescent="0.25">
      <c r="A1021" s="26">
        <v>279</v>
      </c>
      <c r="B1021" s="1">
        <f>IFERROR(VLOOKUP(ТабПозиции[[#This Row],[orderNum]],ТабЗаказы[#Data],MATCH(B$7,ТабЗаказы[#Headers],0),0),"")</f>
        <v>45569</v>
      </c>
      <c r="C1021" t="str">
        <f>MONTH(ТабПозиции[[#This Row],[date]])&amp;"/"&amp;YEAR(ТабПозиции[[#This Row],[date]])</f>
        <v>10/2024</v>
      </c>
      <c r="D1021" s="1" t="str">
        <f>IFERROR(VLOOKUP(ТабПозиции[[#This Row],[orderNum]],ТабЗаказы[#Data],MATCH(D$7,ТабЗаказы[#Headers],0),0),"")</f>
        <v>Алена шмалко</v>
      </c>
      <c r="E1021" s="32" t="s">
        <v>1613</v>
      </c>
      <c r="F1021" s="56" t="s">
        <v>3061</v>
      </c>
      <c r="H1021" s="34">
        <v>45573</v>
      </c>
      <c r="I1021" s="26">
        <v>1</v>
      </c>
      <c r="J1021" s="26">
        <v>250</v>
      </c>
      <c r="K1021">
        <v>250</v>
      </c>
      <c r="L1021" s="26">
        <v>264</v>
      </c>
      <c r="M1021">
        <f t="shared" si="18"/>
        <v>264</v>
      </c>
      <c r="O102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Row],[orderNum]],ТабПозиции[orderSumm])&gt;1500),ABS(M1021*VLOOKUP(ТабПозиции[[#This Row],[orderNum]],ТабЗаказы[#Data],MATCH("Percent",ТабЗаказы[#Headers],0),0))/100,200/COUNTIF(ТабПозиции[orderNum],ТабПозиции[[#This Row],[orderNum]])),0),"")</f>
        <v>40</v>
      </c>
      <c r="P1021">
        <f>IF(OR(ТабПозиции[[#This Row],[item]]="По штрихкоду",ТабПозиции[[#This Row],[item]]="Посылка"),ТабПозиции[[#This Row],[deliverySumm]]+ТабПозиции[[#This Row],[deliveryPost]],SUM(M1021:O1021))</f>
        <v>304</v>
      </c>
      <c r="Q1021" s="57">
        <v>304</v>
      </c>
      <c r="R1021" s="62">
        <f>ТабПозиции[[#This Row],[totalSumm]]-ТабПозиции[[#This Row],[payment]]</f>
        <v>0</v>
      </c>
      <c r="S1021" s="34" t="s">
        <v>965</v>
      </c>
      <c r="T1021" s="56" t="s">
        <v>3061</v>
      </c>
      <c r="U1021" s="56" t="s">
        <v>3061</v>
      </c>
      <c r="V1021" s="56" t="s">
        <v>3061</v>
      </c>
      <c r="W1021" s="7"/>
      <c r="X1021"/>
    </row>
    <row r="1022" spans="1:24" x14ac:dyDescent="0.25">
      <c r="A1022" s="26">
        <v>279</v>
      </c>
      <c r="B1022" s="1">
        <f>IFERROR(VLOOKUP(ТабПозиции[[#This Row],[orderNum]],ТабЗаказы[#Data],MATCH(B$7,ТабЗаказы[#Headers],0),0),"")</f>
        <v>45569</v>
      </c>
      <c r="C1022" t="str">
        <f>MONTH(ТабПозиции[[#This Row],[date]])&amp;"/"&amp;YEAR(ТабПозиции[[#This Row],[date]])</f>
        <v>10/2024</v>
      </c>
      <c r="D1022" s="1" t="str">
        <f>IFERROR(VLOOKUP(ТабПозиции[[#This Row],[orderNum]],ТабЗаказы[#Data],MATCH(D$7,ТабЗаказы[#Headers],0),0),"")</f>
        <v>Алена шмалко</v>
      </c>
      <c r="E1022" s="32" t="s">
        <v>1614</v>
      </c>
      <c r="F1022" s="56" t="s">
        <v>3061</v>
      </c>
      <c r="H1022" s="34">
        <v>45572</v>
      </c>
      <c r="I1022" s="26">
        <v>1</v>
      </c>
      <c r="J1022" s="26">
        <v>196</v>
      </c>
      <c r="K1022">
        <v>196</v>
      </c>
      <c r="L1022" s="26">
        <v>207</v>
      </c>
      <c r="M1022">
        <f t="shared" si="18"/>
        <v>207</v>
      </c>
      <c r="O102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Row],[orderNum]],ТабПозиции[orderSumm])&gt;1500),ABS(M1022*VLOOKUP(ТабПозиции[[#This Row],[orderNum]],ТабЗаказы[#Data],MATCH("Percent",ТабЗаказы[#Headers],0),0))/100,200/COUNTIF(ТабПозиции[orderNum],ТабПозиции[[#This Row],[orderNum]])),0),"")</f>
        <v>31</v>
      </c>
      <c r="P1022">
        <f>IF(OR(ТабПозиции[[#This Row],[item]]="По штрихкоду",ТабПозиции[[#This Row],[item]]="Посылка"),ТабПозиции[[#This Row],[deliverySumm]]+ТабПозиции[[#This Row],[deliveryPost]],SUM(M1022:O1022))</f>
        <v>238</v>
      </c>
      <c r="Q1022" s="57">
        <v>238</v>
      </c>
      <c r="R1022" s="62">
        <f>ТабПозиции[[#This Row],[totalSumm]]-ТабПозиции[[#This Row],[payment]]</f>
        <v>0</v>
      </c>
      <c r="S1022" s="34" t="s">
        <v>965</v>
      </c>
      <c r="T1022" s="56" t="s">
        <v>3061</v>
      </c>
      <c r="U1022" s="56" t="s">
        <v>3061</v>
      </c>
      <c r="V1022" s="56" t="s">
        <v>3061</v>
      </c>
      <c r="W1022" s="7"/>
      <c r="X1022"/>
    </row>
    <row r="1023" spans="1:24" x14ac:dyDescent="0.25">
      <c r="A1023" s="26">
        <v>280</v>
      </c>
      <c r="B1023" s="1">
        <f>IFERROR(VLOOKUP(ТабПозиции[[#This Row],[orderNum]],ТабЗаказы[#Data],MATCH(B$7,ТабЗаказы[#Headers],0),0),"")</f>
        <v>45571</v>
      </c>
      <c r="C1023" t="str">
        <f>MONTH(ТабПозиции[[#This Row],[date]])&amp;"/"&amp;YEAR(ТабПозиции[[#This Row],[date]])</f>
        <v>10/2024</v>
      </c>
      <c r="D1023" s="1" t="str">
        <f>IFERROR(VLOOKUP(ТабПозиции[[#This Row],[orderNum]],ТабЗаказы[#Data],MATCH(D$7,ТабЗаказы[#Headers],0),0),"")</f>
        <v>Руденко Юля</v>
      </c>
      <c r="E1023" s="32" t="s">
        <v>1615</v>
      </c>
      <c r="F1023" s="56" t="s">
        <v>3061</v>
      </c>
      <c r="H1023" s="34">
        <v>45572</v>
      </c>
      <c r="I1023" s="26">
        <v>1</v>
      </c>
      <c r="J1023" s="26">
        <v>1615</v>
      </c>
      <c r="K1023">
        <v>1615</v>
      </c>
      <c r="L1023" s="26">
        <v>1655</v>
      </c>
      <c r="M1023">
        <f t="shared" si="18"/>
        <v>1655</v>
      </c>
      <c r="O102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Row],[orderNum]],ТабПозиции[orderSumm])&gt;1500),ABS(M1023*VLOOKUP(ТабПозиции[[#This Row],[orderNum]],ТабЗаказы[#Data],MATCH("Percent",ТабЗаказы[#Headers],0),0))/100,200/COUNTIF(ТабПозиции[orderNum],ТабПозиции[[#This Row],[orderNum]])),0),"")</f>
        <v>166</v>
      </c>
      <c r="P1023">
        <f>IF(OR(ТабПозиции[[#This Row],[item]]="По штрихкоду",ТабПозиции[[#This Row],[item]]="Посылка"),ТабПозиции[[#This Row],[deliverySumm]]+ТабПозиции[[#This Row],[deliveryPost]],SUM(M1023:O1023))</f>
        <v>1821</v>
      </c>
      <c r="Q1023" s="57">
        <v>1821</v>
      </c>
      <c r="R1023" s="62">
        <f>ТабПозиции[[#This Row],[totalSumm]]-ТабПозиции[[#This Row],[payment]]</f>
        <v>0</v>
      </c>
      <c r="S1023" s="34" t="s">
        <v>965</v>
      </c>
      <c r="T1023" s="56" t="s">
        <v>3061</v>
      </c>
      <c r="U1023" s="56" t="s">
        <v>3061</v>
      </c>
      <c r="V1023" s="56" t="s">
        <v>3061</v>
      </c>
      <c r="W1023" s="7"/>
      <c r="X1023"/>
    </row>
    <row r="1024" spans="1:24" x14ac:dyDescent="0.25">
      <c r="A1024" s="26">
        <v>281</v>
      </c>
      <c r="B1024" s="1">
        <f>IFERROR(VLOOKUP(ТабПозиции[[#This Row],[orderNum]],ТабЗаказы[#Data],MATCH(B$7,ТабЗаказы[#Headers],0),0),"")</f>
        <v>45572</v>
      </c>
      <c r="C1024" t="str">
        <f>MONTH(ТабПозиции[[#This Row],[date]])&amp;"/"&amp;YEAR(ТабПозиции[[#This Row],[date]])</f>
        <v>10/2024</v>
      </c>
      <c r="D1024" s="1" t="str">
        <f>IFERROR(VLOOKUP(ТабПозиции[[#This Row],[orderNum]],ТабЗаказы[#Data],MATCH(D$7,ТабЗаказы[#Headers],0),0),"")</f>
        <v>Максим рюкзак</v>
      </c>
      <c r="E1024" s="32" t="s">
        <v>758</v>
      </c>
      <c r="F1024" s="56" t="s">
        <v>3061</v>
      </c>
      <c r="H1024" s="34">
        <v>45575</v>
      </c>
      <c r="I1024" s="26">
        <v>1</v>
      </c>
      <c r="J1024" s="26">
        <v>494</v>
      </c>
      <c r="K1024">
        <v>494</v>
      </c>
      <c r="L1024" s="26">
        <v>524</v>
      </c>
      <c r="M1024">
        <f t="shared" si="18"/>
        <v>524</v>
      </c>
      <c r="O102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Row],[orderNum]],ТабПозиции[orderSumm])&gt;1500),ABS(M1024*VLOOKUP(ТабПозиции[[#This Row],[orderNum]],ТабЗаказы[#Data],MATCH("Percent",ТабЗаказы[#Headers],0),0))/100,200/COUNTIF(ТабПозиции[orderNum],ТабПозиции[[#This Row],[orderNum]])),0),"")</f>
        <v>100</v>
      </c>
      <c r="P1024">
        <f>IF(OR(ТабПозиции[[#This Row],[item]]="По штрихкоду",ТабПозиции[[#This Row],[item]]="Посылка"),ТабПозиции[[#This Row],[deliverySumm]]+ТабПозиции[[#This Row],[deliveryPost]],SUM(M1024:O1024))</f>
        <v>624</v>
      </c>
      <c r="Q1024" s="57">
        <v>624</v>
      </c>
      <c r="R1024" s="62">
        <f>ТабПозиции[[#This Row],[totalSumm]]-ТабПозиции[[#This Row],[payment]]</f>
        <v>0</v>
      </c>
      <c r="S1024" s="34" t="s">
        <v>955</v>
      </c>
      <c r="T1024" s="56" t="s">
        <v>3061</v>
      </c>
      <c r="U1024" s="56" t="s">
        <v>3061</v>
      </c>
      <c r="V1024" s="56" t="s">
        <v>3061</v>
      </c>
      <c r="W1024" s="7"/>
      <c r="X1024"/>
    </row>
    <row r="1025" spans="1:24" x14ac:dyDescent="0.25">
      <c r="A1025" s="26">
        <v>282</v>
      </c>
      <c r="B1025" s="1">
        <f>IFERROR(VLOOKUP(ТабПозиции[[#This Row],[orderNum]],ТабЗаказы[#Data],MATCH(B$7,ТабЗаказы[#Headers],0),0),"")</f>
        <v>45572</v>
      </c>
      <c r="C1025" t="str">
        <f>MONTH(ТабПозиции[[#This Row],[date]])&amp;"/"&amp;YEAR(ТабПозиции[[#This Row],[date]])</f>
        <v>10/2024</v>
      </c>
      <c r="D1025" s="1" t="str">
        <f>IFERROR(VLOOKUP(ТабПозиции[[#This Row],[orderNum]],ТабЗаказы[#Data],MATCH(D$7,ТабЗаказы[#Headers],0),0),"")</f>
        <v>Митрофанов Евгений</v>
      </c>
      <c r="E1025" s="26" t="s">
        <v>710</v>
      </c>
      <c r="F1025" s="56" t="s">
        <v>3061</v>
      </c>
      <c r="H1025" s="34">
        <v>45577</v>
      </c>
      <c r="I1025" s="26">
        <v>1</v>
      </c>
      <c r="J1025" s="26">
        <v>5000</v>
      </c>
      <c r="K1025">
        <v>5000</v>
      </c>
      <c r="L1025" s="26">
        <v>5000</v>
      </c>
      <c r="M1025">
        <f t="shared" si="18"/>
        <v>5000</v>
      </c>
      <c r="N1025" s="26">
        <v>190</v>
      </c>
      <c r="O102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Row],[orderNum]],ТабПозиции[orderSumm])&gt;1500),ABS(M1025*VLOOKUP(ТабПозиции[[#This Row],[orderNum]],ТабЗаказы[#Data],MATCH("Percent",ТабЗаказы[#Headers],0),0))/100,200/COUNTIF(ТабПозиции[orderNum],ТабПозиции[[#This Row],[orderNum]])),0),"")</f>
        <v>750</v>
      </c>
      <c r="P1025">
        <f>IF(OR(ТабПозиции[[#This Row],[item]]="По штрихкоду",ТабПозиции[[#This Row],[item]]="Посылка"),ТабПозиции[[#This Row],[deliverySumm]]+ТабПозиции[[#This Row],[deliveryPost]],SUM(M1025:O1025))</f>
        <v>5940</v>
      </c>
      <c r="Q1025" s="57">
        <v>5940</v>
      </c>
      <c r="R1025" s="62">
        <f>ТабПозиции[[#This Row],[totalSumm]]-ТабПозиции[[#This Row],[payment]]</f>
        <v>0</v>
      </c>
      <c r="S1025" s="34" t="s">
        <v>612</v>
      </c>
      <c r="T1025" s="56" t="s">
        <v>3061</v>
      </c>
      <c r="U1025" s="56" t="s">
        <v>3061</v>
      </c>
      <c r="V1025" s="56" t="s">
        <v>3061</v>
      </c>
      <c r="W1025" s="7"/>
      <c r="X1025"/>
    </row>
    <row r="1026" spans="1:24" x14ac:dyDescent="0.25">
      <c r="A1026" s="26">
        <v>281</v>
      </c>
      <c r="B1026" s="1">
        <f>IFERROR(VLOOKUP(ТабПозиции[[#This Row],[orderNum]],ТабЗаказы[#Data],MATCH(B$7,ТабЗаказы[#Headers],0),0),"")</f>
        <v>45572</v>
      </c>
      <c r="C1026" t="str">
        <f>MONTH(ТабПозиции[[#This Row],[date]])&amp;"/"&amp;YEAR(ТабПозиции[[#This Row],[date]])</f>
        <v>10/2024</v>
      </c>
      <c r="D1026" s="1" t="str">
        <f>IFERROR(VLOOKUP(ТабПозиции[[#This Row],[orderNum]],ТабЗаказы[#Data],MATCH(D$7,ТабЗаказы[#Headers],0),0),"")</f>
        <v>Максим рюкзак</v>
      </c>
      <c r="E1026" s="32" t="s">
        <v>1616</v>
      </c>
      <c r="F1026" s="56" t="s">
        <v>3061</v>
      </c>
      <c r="H1026" s="34">
        <v>45575</v>
      </c>
      <c r="I1026" s="26">
        <v>1</v>
      </c>
      <c r="J1026" s="26">
        <v>580</v>
      </c>
      <c r="K1026">
        <v>580</v>
      </c>
      <c r="L1026" s="26">
        <v>580</v>
      </c>
      <c r="M1026">
        <f t="shared" si="18"/>
        <v>580</v>
      </c>
      <c r="O102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Row],[orderNum]],ТабПозиции[orderSumm])&gt;1500),ABS(M1026*VLOOKUP(ТабПозиции[[#This Row],[orderNum]],ТабЗаказы[#Data],MATCH("Percent",ТабЗаказы[#Headers],0),0))/100,200/COUNTIF(ТабПозиции[orderNum],ТабПозиции[[#This Row],[orderNum]])),0),"")</f>
        <v>100</v>
      </c>
      <c r="P1026">
        <f>IF(OR(ТабПозиции[[#This Row],[item]]="По штрихкоду",ТабПозиции[[#This Row],[item]]="Посылка"),ТабПозиции[[#This Row],[deliverySumm]]+ТабПозиции[[#This Row],[deliveryPost]],SUM(M1026:O1026))</f>
        <v>680</v>
      </c>
      <c r="Q1026" s="57">
        <v>680</v>
      </c>
      <c r="R1026" s="62">
        <f>ТабПозиции[[#This Row],[totalSumm]]-ТабПозиции[[#This Row],[payment]]</f>
        <v>0</v>
      </c>
      <c r="S1026" s="34" t="s">
        <v>955</v>
      </c>
      <c r="T1026" s="56" t="s">
        <v>3061</v>
      </c>
      <c r="U1026" s="56" t="s">
        <v>3061</v>
      </c>
      <c r="V1026" s="56" t="s">
        <v>3061</v>
      </c>
      <c r="W1026" s="7"/>
      <c r="X1026"/>
    </row>
    <row r="1027" spans="1:24" x14ac:dyDescent="0.25">
      <c r="A1027" s="26">
        <v>283</v>
      </c>
      <c r="B1027" s="1">
        <f>IFERROR(VLOOKUP(ТабПозиции[[#This Row],[orderNum]],ТабЗаказы[#Data],MATCH(B$7,ТабЗаказы[#Headers],0),0),"")</f>
        <v>45575</v>
      </c>
      <c r="C1027" t="str">
        <f>MONTH(ТабПозиции[[#This Row],[date]])&amp;"/"&amp;YEAR(ТабПозиции[[#This Row],[date]])</f>
        <v>10/2024</v>
      </c>
      <c r="D1027" s="1" t="str">
        <f>IFERROR(VLOOKUP(ТабПозиции[[#This Row],[orderNum]],ТабЗаказы[#Data],MATCH(D$7,ТабЗаказы[#Headers],0),0),"")</f>
        <v>Максим телевизор</v>
      </c>
      <c r="E1027" s="26" t="s">
        <v>815</v>
      </c>
      <c r="F1027" s="56" t="s">
        <v>3061</v>
      </c>
      <c r="G1027" s="28" t="s">
        <v>1617</v>
      </c>
      <c r="H1027" s="34">
        <v>45572</v>
      </c>
      <c r="I1027" s="26">
        <v>1</v>
      </c>
      <c r="J1027" s="26">
        <v>14000</v>
      </c>
      <c r="K1027">
        <v>14000</v>
      </c>
      <c r="L1027" s="26">
        <v>14000</v>
      </c>
      <c r="M1027">
        <f t="shared" si="18"/>
        <v>14000</v>
      </c>
      <c r="O102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Row],[orderNum]],ТабПозиции[orderSumm])&gt;1500),ABS(M1027*VLOOKUP(ТабПозиции[[#This Row],[orderNum]],ТабЗаказы[#Data],MATCH("Percent",ТабЗаказы[#Headers],0),0))/100,200/COUNTIF(ТабПозиции[orderNum],ТабПозиции[[#This Row],[orderNum]])),0),"")</f>
        <v>1400</v>
      </c>
      <c r="P1027">
        <f>IF(OR(ТабПозиции[[#This Row],[item]]="По штрихкоду",ТабПозиции[[#This Row],[item]]="Посылка"),ТабПозиции[[#This Row],[deliverySumm]]+ТабПозиции[[#This Row],[deliveryPost]],SUM(M1027:O1027))</f>
        <v>1400</v>
      </c>
      <c r="Q1027" s="57">
        <v>1400</v>
      </c>
      <c r="R1027" s="62">
        <f>ТабПозиции[[#This Row],[totalSumm]]-ТабПозиции[[#This Row],[payment]]</f>
        <v>0</v>
      </c>
      <c r="S1027" s="34" t="s">
        <v>1016</v>
      </c>
      <c r="T1027" s="56" t="s">
        <v>3061</v>
      </c>
      <c r="U1027" s="56" t="s">
        <v>3061</v>
      </c>
      <c r="V1027" s="56" t="s">
        <v>3061</v>
      </c>
      <c r="W1027" s="7"/>
      <c r="X1027"/>
    </row>
    <row r="1028" spans="1:24" x14ac:dyDescent="0.25">
      <c r="A1028" s="26">
        <v>283</v>
      </c>
      <c r="B1028" s="1">
        <f>IFERROR(VLOOKUP(ТабПозиции[[#This Row],[orderNum]],ТабЗаказы[#Data],MATCH(B$7,ТабЗаказы[#Headers],0),0),"")</f>
        <v>45575</v>
      </c>
      <c r="C1028" t="str">
        <f>MONTH(ТабПозиции[[#This Row],[date]])&amp;"/"&amp;YEAR(ТабПозиции[[#This Row],[date]])</f>
        <v>10/2024</v>
      </c>
      <c r="D1028" s="1" t="str">
        <f>IFERROR(VLOOKUP(ТабПозиции[[#This Row],[orderNum]],ТабЗаказы[#Data],MATCH(D$7,ТабЗаказы[#Headers],0),0),"")</f>
        <v>Максим телевизор</v>
      </c>
      <c r="E1028" s="26" t="s">
        <v>815</v>
      </c>
      <c r="F1028" s="56" t="s">
        <v>3061</v>
      </c>
      <c r="G1028" s="28" t="s">
        <v>1618</v>
      </c>
      <c r="H1028" s="34">
        <v>45574</v>
      </c>
      <c r="I1028" s="26">
        <v>1</v>
      </c>
      <c r="J1028" s="26">
        <v>3600</v>
      </c>
      <c r="K1028">
        <v>3600</v>
      </c>
      <c r="L1028" s="26">
        <v>3600</v>
      </c>
      <c r="M1028">
        <f t="shared" si="18"/>
        <v>3600</v>
      </c>
      <c r="O102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Row],[orderNum]],ТабПозиции[orderSumm])&gt;1500),ABS(M1028*VLOOKUP(ТабПозиции[[#This Row],[orderNum]],ТабЗаказы[#Data],MATCH("Percent",ТабЗаказы[#Headers],0),0))/100,200/COUNTIF(ТабПозиции[orderNum],ТабПозиции[[#This Row],[orderNum]])),0),"")</f>
        <v>360</v>
      </c>
      <c r="P1028">
        <f>IF(OR(ТабПозиции[[#This Row],[item]]="По штрихкоду",ТабПозиции[[#This Row],[item]]="Посылка"),ТабПозиции[[#This Row],[deliverySumm]]+ТабПозиции[[#This Row],[deliveryPost]],SUM(M1028:O1028))</f>
        <v>360</v>
      </c>
      <c r="Q1028" s="57">
        <v>360</v>
      </c>
      <c r="R1028" s="62">
        <f>ТабПозиции[[#This Row],[totalSumm]]-ТабПозиции[[#This Row],[payment]]</f>
        <v>0</v>
      </c>
      <c r="S1028" s="34" t="s">
        <v>1016</v>
      </c>
      <c r="T1028" s="56" t="s">
        <v>3061</v>
      </c>
      <c r="U1028" s="56" t="s">
        <v>3061</v>
      </c>
      <c r="V1028" s="56" t="s">
        <v>3061</v>
      </c>
      <c r="W1028" s="7"/>
      <c r="X1028"/>
    </row>
    <row r="1029" spans="1:24" x14ac:dyDescent="0.25">
      <c r="A1029" s="26">
        <v>283</v>
      </c>
      <c r="B1029" s="1">
        <f>IFERROR(VLOOKUP(ТабПозиции[[#This Row],[orderNum]],ТабЗаказы[#Data],MATCH(B$7,ТабЗаказы[#Headers],0),0),"")</f>
        <v>45575</v>
      </c>
      <c r="C1029" t="str">
        <f>MONTH(ТабПозиции[[#This Row],[date]])&amp;"/"&amp;YEAR(ТабПозиции[[#This Row],[date]])</f>
        <v>10/2024</v>
      </c>
      <c r="D1029" s="1" t="str">
        <f>IFERROR(VLOOKUP(ТабПозиции[[#This Row],[orderNum]],ТабЗаказы[#Data],MATCH(D$7,ТабЗаказы[#Headers],0),0),"")</f>
        <v>Максим телевизор</v>
      </c>
      <c r="E1029" s="26" t="s">
        <v>815</v>
      </c>
      <c r="F1029" s="56" t="s">
        <v>3061</v>
      </c>
      <c r="G1029" s="43" t="s">
        <v>1619</v>
      </c>
      <c r="H1029" s="34">
        <v>45589</v>
      </c>
      <c r="I1029" s="26">
        <v>1</v>
      </c>
      <c r="J1029" s="26">
        <v>6600</v>
      </c>
      <c r="K1029">
        <v>6600</v>
      </c>
      <c r="L1029" s="26">
        <v>6600</v>
      </c>
      <c r="M1029">
        <f t="shared" si="18"/>
        <v>6600</v>
      </c>
      <c r="O102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Row],[orderNum]],ТабПозиции[orderSumm])&gt;1500),ABS(M1029*VLOOKUP(ТабПозиции[[#This Row],[orderNum]],ТабЗаказы[#Data],MATCH("Percent",ТабЗаказы[#Headers],0),0))/100,200/COUNTIF(ТабПозиции[orderNum],ТабПозиции[[#This Row],[orderNum]])),0),"")</f>
        <v>660</v>
      </c>
      <c r="P1029">
        <f>IF(OR(ТабПозиции[[#This Row],[item]]="По штрихкоду",ТабПозиции[[#This Row],[item]]="Посылка"),ТабПозиции[[#This Row],[deliverySumm]]+ТабПозиции[[#This Row],[deliveryPost]],SUM(M1029:O1029))</f>
        <v>660</v>
      </c>
      <c r="Q1029" s="57">
        <v>660</v>
      </c>
      <c r="R1029" s="62">
        <f>ТабПозиции[[#This Row],[totalSumm]]-ТабПозиции[[#This Row],[payment]]</f>
        <v>0</v>
      </c>
      <c r="S1029" s="34" t="s">
        <v>1016</v>
      </c>
      <c r="T1029" s="56" t="s">
        <v>3061</v>
      </c>
      <c r="U1029" s="56" t="s">
        <v>3061</v>
      </c>
      <c r="V1029" s="56" t="s">
        <v>3061</v>
      </c>
      <c r="W1029" s="7"/>
      <c r="X1029"/>
    </row>
    <row r="1030" spans="1:24" x14ac:dyDescent="0.25">
      <c r="A1030" s="26">
        <v>283</v>
      </c>
      <c r="B1030" s="1">
        <f>IFERROR(VLOOKUP(ТабПозиции[[#This Row],[orderNum]],ТабЗаказы[#Data],MATCH(B$7,ТабЗаказы[#Headers],0),0),"")</f>
        <v>45575</v>
      </c>
      <c r="C1030" t="str">
        <f>MONTH(ТабПозиции[[#This Row],[date]])&amp;"/"&amp;YEAR(ТабПозиции[[#This Row],[date]])</f>
        <v>10/2024</v>
      </c>
      <c r="D1030" s="1" t="str">
        <f>IFERROR(VLOOKUP(ТабПозиции[[#This Row],[orderNum]],ТабЗаказы[#Data],MATCH(D$7,ТабЗаказы[#Headers],0),0),"")</f>
        <v>Максим телевизор</v>
      </c>
      <c r="E1030" s="26" t="s">
        <v>815</v>
      </c>
      <c r="F1030" s="56" t="s">
        <v>3061</v>
      </c>
      <c r="G1030" s="28" t="s">
        <v>1620</v>
      </c>
      <c r="H1030" s="34">
        <v>45574</v>
      </c>
      <c r="I1030" s="26">
        <v>1</v>
      </c>
      <c r="J1030" s="26">
        <v>7000</v>
      </c>
      <c r="K1030">
        <v>7000</v>
      </c>
      <c r="L1030" s="26">
        <v>7000</v>
      </c>
      <c r="M1030">
        <f t="shared" si="18"/>
        <v>7000</v>
      </c>
      <c r="O103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Row],[orderNum]],ТабПозиции[orderSumm])&gt;1500),ABS(M1030*VLOOKUP(ТабПозиции[[#This Row],[orderNum]],ТабЗаказы[#Data],MATCH("Percent",ТабЗаказы[#Headers],0),0))/100,200/COUNTIF(ТабПозиции[orderNum],ТабПозиции[[#This Row],[orderNum]])),0),"")</f>
        <v>700</v>
      </c>
      <c r="P1030">
        <f>IF(OR(ТабПозиции[[#This Row],[item]]="По штрихкоду",ТабПозиции[[#This Row],[item]]="Посылка"),ТабПозиции[[#This Row],[deliverySumm]]+ТабПозиции[[#This Row],[deliveryPost]],SUM(M1030:O1030))</f>
        <v>700</v>
      </c>
      <c r="Q1030" s="57">
        <v>700</v>
      </c>
      <c r="R1030" s="62">
        <f>ТабПозиции[[#This Row],[totalSumm]]-ТабПозиции[[#This Row],[payment]]</f>
        <v>0</v>
      </c>
      <c r="S1030" s="34" t="s">
        <v>1016</v>
      </c>
      <c r="T1030" s="56" t="s">
        <v>3061</v>
      </c>
      <c r="U1030" s="56" t="s">
        <v>3061</v>
      </c>
      <c r="V1030" s="56" t="s">
        <v>3061</v>
      </c>
      <c r="W1030" s="7"/>
      <c r="X1030"/>
    </row>
    <row r="1031" spans="1:24" x14ac:dyDescent="0.25">
      <c r="A1031" s="26">
        <v>283</v>
      </c>
      <c r="B1031" s="1">
        <f>IFERROR(VLOOKUP(ТабПозиции[[#This Row],[orderNum]],ТабЗаказы[#Data],MATCH(B$7,ТабЗаказы[#Headers],0),0),"")</f>
        <v>45575</v>
      </c>
      <c r="C1031" t="str">
        <f>MONTH(ТабПозиции[[#This Row],[date]])&amp;"/"&amp;YEAR(ТабПозиции[[#This Row],[date]])</f>
        <v>10/2024</v>
      </c>
      <c r="D1031" s="1" t="str">
        <f>IFERROR(VLOOKUP(ТабПозиции[[#This Row],[orderNum]],ТабЗаказы[#Data],MATCH(D$7,ТабЗаказы[#Headers],0),0),"")</f>
        <v>Максим телевизор</v>
      </c>
      <c r="E1031" s="26" t="s">
        <v>1628</v>
      </c>
      <c r="F1031" s="56" t="s">
        <v>3061</v>
      </c>
      <c r="G1031" s="28" t="s">
        <v>1621</v>
      </c>
      <c r="H1031" s="34">
        <v>45575</v>
      </c>
      <c r="I1031" s="26">
        <v>1</v>
      </c>
      <c r="J1031" s="26">
        <f>5000-370</f>
        <v>4630</v>
      </c>
      <c r="K1031">
        <v>4630</v>
      </c>
      <c r="L1031" s="26">
        <f>5000-370</f>
        <v>4630</v>
      </c>
      <c r="M1031">
        <f t="shared" si="18"/>
        <v>4630</v>
      </c>
      <c r="O103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Row],[orderNum]],ТабПозиции[orderSumm])&gt;1500),ABS(M1031*VLOOKUP(ТабПозиции[[#This Row],[orderNum]],ТабЗаказы[#Data],MATCH("Percent",ТабЗаказы[#Headers],0),0))/100,200/COUNTIF(ТабПозиции[orderNum],ТабПозиции[[#This Row],[orderNum]])),0),"")</f>
        <v>463</v>
      </c>
      <c r="P1031">
        <f>IF(OR(ТабПозиции[[#This Row],[item]]="По штрихкоду",ТабПозиции[[#This Row],[item]]="Посылка"),ТабПозиции[[#This Row],[deliverySumm]]+ТабПозиции[[#This Row],[deliveryPost]],SUM(M1031:O1031))</f>
        <v>463</v>
      </c>
      <c r="Q1031" s="57">
        <v>463</v>
      </c>
      <c r="R1031" s="62">
        <f>ТабПозиции[[#This Row],[totalSumm]]-ТабПозиции[[#This Row],[payment]]</f>
        <v>0</v>
      </c>
      <c r="S1031" s="34" t="s">
        <v>1016</v>
      </c>
      <c r="T1031" s="56" t="s">
        <v>3061</v>
      </c>
      <c r="U1031" s="56" t="s">
        <v>3061</v>
      </c>
      <c r="V1031" s="56" t="s">
        <v>3061</v>
      </c>
      <c r="W1031" s="7"/>
      <c r="X1031"/>
    </row>
    <row r="1032" spans="1:24" x14ac:dyDescent="0.25">
      <c r="A1032" s="26">
        <v>283</v>
      </c>
      <c r="B1032" s="1">
        <f>IFERROR(VLOOKUP(ТабПозиции[[#This Row],[orderNum]],ТабЗаказы[#Data],MATCH(B$7,ТабЗаказы[#Headers],0),0),"")</f>
        <v>45575</v>
      </c>
      <c r="C1032" t="str">
        <f>MONTH(ТабПозиции[[#This Row],[date]])&amp;"/"&amp;YEAR(ТабПозиции[[#This Row],[date]])</f>
        <v>10/2024</v>
      </c>
      <c r="D1032" s="1" t="str">
        <f>IFERROR(VLOOKUP(ТабПозиции[[#This Row],[orderNum]],ТабЗаказы[#Data],MATCH(D$7,ТабЗаказы[#Headers],0),0),"")</f>
        <v>Максим телевизор</v>
      </c>
      <c r="E1032" s="26" t="s">
        <v>815</v>
      </c>
      <c r="F1032" s="56" t="s">
        <v>3061</v>
      </c>
      <c r="G1032" s="43" t="s">
        <v>1622</v>
      </c>
      <c r="H1032" s="34">
        <v>45579</v>
      </c>
      <c r="I1032" s="26">
        <v>1</v>
      </c>
      <c r="J1032" s="26">
        <v>7900</v>
      </c>
      <c r="K1032">
        <v>7900</v>
      </c>
      <c r="L1032" s="26">
        <v>7900</v>
      </c>
      <c r="M1032">
        <f t="shared" si="18"/>
        <v>7900</v>
      </c>
      <c r="O103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Row],[orderNum]],ТабПозиции[orderSumm])&gt;1500),ABS(M1032*VLOOKUP(ТабПозиции[[#This Row],[orderNum]],ТабЗаказы[#Data],MATCH("Percent",ТабЗаказы[#Headers],0),0))/100,200/COUNTIF(ТабПозиции[orderNum],ТабПозиции[[#This Row],[orderNum]])),0),"")</f>
        <v>790</v>
      </c>
      <c r="P1032">
        <f>IF(OR(ТабПозиции[[#This Row],[item]]="По штрихкоду",ТабПозиции[[#This Row],[item]]="Посылка"),ТабПозиции[[#This Row],[deliverySumm]]+ТабПозиции[[#This Row],[deliveryPost]],SUM(M1032:O1032))</f>
        <v>790</v>
      </c>
      <c r="Q1032" s="57">
        <v>790</v>
      </c>
      <c r="R1032" s="62">
        <f>ТабПозиции[[#This Row],[totalSumm]]-ТабПозиции[[#This Row],[payment]]</f>
        <v>0</v>
      </c>
      <c r="S1032" s="34" t="s">
        <v>1016</v>
      </c>
      <c r="T1032" s="56" t="s">
        <v>3061</v>
      </c>
      <c r="U1032" s="56" t="s">
        <v>3061</v>
      </c>
      <c r="V1032" s="56" t="s">
        <v>3061</v>
      </c>
      <c r="W1032" s="7"/>
      <c r="X1032"/>
    </row>
    <row r="1033" spans="1:24" x14ac:dyDescent="0.25">
      <c r="A1033" s="26">
        <v>283</v>
      </c>
      <c r="B1033" s="1">
        <f>IFERROR(VLOOKUP(ТабПозиции[[#This Row],[orderNum]],ТабЗаказы[#Data],MATCH(B$7,ТабЗаказы[#Headers],0),0),"")</f>
        <v>45575</v>
      </c>
      <c r="C1033" t="str">
        <f>MONTH(ТабПозиции[[#This Row],[date]])&amp;"/"&amp;YEAR(ТабПозиции[[#This Row],[date]])</f>
        <v>10/2024</v>
      </c>
      <c r="D1033" s="1" t="str">
        <f>IFERROR(VLOOKUP(ТабПозиции[[#This Row],[orderNum]],ТабЗаказы[#Data],MATCH(D$7,ТабЗаказы[#Headers],0),0),"")</f>
        <v>Максим телевизор</v>
      </c>
      <c r="E1033" s="26" t="s">
        <v>815</v>
      </c>
      <c r="F1033" s="56" t="s">
        <v>3061</v>
      </c>
      <c r="G1033" s="43" t="s">
        <v>1623</v>
      </c>
      <c r="H1033" s="34">
        <v>45581</v>
      </c>
      <c r="I1033" s="26">
        <v>1</v>
      </c>
      <c r="J1033" s="26">
        <v>12500</v>
      </c>
      <c r="K1033">
        <v>12500</v>
      </c>
      <c r="L1033" s="26">
        <v>12500</v>
      </c>
      <c r="M1033">
        <f t="shared" si="18"/>
        <v>12500</v>
      </c>
      <c r="O103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Row],[orderNum]],ТабПозиции[orderSumm])&gt;1500),ABS(M1033*VLOOKUP(ТабПозиции[[#This Row],[orderNum]],ТабЗаказы[#Data],MATCH("Percent",ТабЗаказы[#Headers],0),0))/100,200/COUNTIF(ТабПозиции[orderNum],ТабПозиции[[#This Row],[orderNum]])),0),"")</f>
        <v>1250</v>
      </c>
      <c r="P1033">
        <f>IF(OR(ТабПозиции[[#This Row],[item]]="По штрихкоду",ТабПозиции[[#This Row],[item]]="Посылка"),ТабПозиции[[#This Row],[deliverySumm]]+ТабПозиции[[#This Row],[deliveryPost]],SUM(M1033:O1033))</f>
        <v>1250</v>
      </c>
      <c r="Q1033" s="57">
        <v>1250</v>
      </c>
      <c r="R1033" s="62">
        <f>ТабПозиции[[#This Row],[totalSumm]]-ТабПозиции[[#This Row],[payment]]</f>
        <v>0</v>
      </c>
      <c r="S1033" s="34" t="s">
        <v>1016</v>
      </c>
      <c r="T1033" s="56" t="s">
        <v>3061</v>
      </c>
      <c r="U1033" s="56" t="s">
        <v>3061</v>
      </c>
      <c r="V1033" s="56" t="s">
        <v>3061</v>
      </c>
      <c r="W1033" s="7"/>
      <c r="X1033"/>
    </row>
    <row r="1034" spans="1:24" x14ac:dyDescent="0.25">
      <c r="A1034" s="26">
        <v>283</v>
      </c>
      <c r="B1034" s="1">
        <f>IFERROR(VLOOKUP(ТабПозиции[[#This Row],[orderNum]],ТабЗаказы[#Data],MATCH(B$7,ТабЗаказы[#Headers],0),0),"")</f>
        <v>45575</v>
      </c>
      <c r="C1034" t="str">
        <f>MONTH(ТабПозиции[[#This Row],[date]])&amp;"/"&amp;YEAR(ТабПозиции[[#This Row],[date]])</f>
        <v>10/2024</v>
      </c>
      <c r="D1034" s="1" t="str">
        <f>IFERROR(VLOOKUP(ТабПозиции[[#This Row],[orderNum]],ТабЗаказы[#Data],MATCH(D$7,ТабЗаказы[#Headers],0),0),"")</f>
        <v>Максим телевизор</v>
      </c>
      <c r="E1034" s="26" t="s">
        <v>815</v>
      </c>
      <c r="F1034" s="56" t="s">
        <v>3061</v>
      </c>
      <c r="G1034" s="43" t="s">
        <v>1624</v>
      </c>
      <c r="H1034" s="34">
        <v>45580</v>
      </c>
      <c r="I1034" s="26">
        <v>1</v>
      </c>
      <c r="J1034" s="26">
        <v>4750</v>
      </c>
      <c r="K1034">
        <v>4750</v>
      </c>
      <c r="L1034" s="26">
        <v>4750</v>
      </c>
      <c r="M1034">
        <f t="shared" si="18"/>
        <v>4750</v>
      </c>
      <c r="O103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Row],[orderNum]],ТабПозиции[orderSumm])&gt;1500),ABS(M1034*VLOOKUP(ТабПозиции[[#This Row],[orderNum]],ТабЗаказы[#Data],MATCH("Percent",ТабЗаказы[#Headers],0),0))/100,200/COUNTIF(ТабПозиции[orderNum],ТабПозиции[[#This Row],[orderNum]])),0),"")</f>
        <v>475</v>
      </c>
      <c r="P1034">
        <f>IF(OR(ТабПозиции[[#This Row],[item]]="По штрихкоду",ТабПозиции[[#This Row],[item]]="Посылка"),ТабПозиции[[#This Row],[deliverySumm]]+ТабПозиции[[#This Row],[deliveryPost]],SUM(M1034:O1034))</f>
        <v>475</v>
      </c>
      <c r="Q1034" s="57">
        <v>475</v>
      </c>
      <c r="R1034" s="62">
        <f>ТабПозиции[[#This Row],[totalSumm]]-ТабПозиции[[#This Row],[payment]]</f>
        <v>0</v>
      </c>
      <c r="S1034" s="34" t="s">
        <v>1016</v>
      </c>
      <c r="T1034" s="56" t="s">
        <v>3061</v>
      </c>
      <c r="U1034" s="56" t="s">
        <v>3061</v>
      </c>
      <c r="V1034" s="56" t="s">
        <v>3061</v>
      </c>
      <c r="W1034" s="7"/>
      <c r="X1034"/>
    </row>
    <row r="1035" spans="1:24" x14ac:dyDescent="0.25">
      <c r="A1035" s="26">
        <v>284</v>
      </c>
      <c r="B1035" s="1">
        <f>IFERROR(VLOOKUP(ТабПозиции[[#This Row],[orderNum]],ТабЗаказы[#Data],MATCH(B$7,ТабЗаказы[#Headers],0),0),"")</f>
        <v>45575</v>
      </c>
      <c r="C1035" t="str">
        <f>MONTH(ТабПозиции[[#This Row],[date]])&amp;"/"&amp;YEAR(ТабПозиции[[#This Row],[date]])</f>
        <v>10/2024</v>
      </c>
      <c r="D1035" s="1" t="str">
        <f>IFERROR(VLOOKUP(ТабПозиции[[#This Row],[orderNum]],ТабЗаказы[#Data],MATCH(D$7,ТабЗаказы[#Headers],0),0),"")</f>
        <v>Соколовский Е. И.</v>
      </c>
      <c r="E1035" s="26" t="s">
        <v>815</v>
      </c>
      <c r="F1035" s="56" t="s">
        <v>3061</v>
      </c>
      <c r="G1035" s="43" t="s">
        <v>1625</v>
      </c>
      <c r="H1035" s="34">
        <v>45583</v>
      </c>
      <c r="I1035" s="26">
        <v>1</v>
      </c>
      <c r="J1035" s="26">
        <v>2100</v>
      </c>
      <c r="K1035">
        <v>2100</v>
      </c>
      <c r="L1035" s="26">
        <v>2100</v>
      </c>
      <c r="M1035">
        <f t="shared" si="18"/>
        <v>2100</v>
      </c>
      <c r="O103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Row],[orderNum]],ТабПозиции[orderSumm])&gt;1500),ABS(M1035*VLOOKUP(ТабПозиции[[#This Row],[orderNum]],ТабЗаказы[#Data],MATCH("Percent",ТабЗаказы[#Headers],0),0))/100,200/COUNTIF(ТабПозиции[orderNum],ТабПозиции[[#This Row],[orderNum]])),0),"")</f>
        <v>315</v>
      </c>
      <c r="P1035">
        <f>IF(OR(ТабПозиции[[#This Row],[item]]="По штрихкоду",ТабПозиции[[#This Row],[item]]="Посылка"),ТабПозиции[[#This Row],[deliverySumm]]+ТабПозиции[[#This Row],[deliveryPost]],SUM(M1035:O1035))</f>
        <v>315</v>
      </c>
      <c r="Q1035" s="57">
        <v>315</v>
      </c>
      <c r="R1035" s="62">
        <f>ТабПозиции[[#This Row],[totalSumm]]-ТабПозиции[[#This Row],[payment]]</f>
        <v>0</v>
      </c>
      <c r="S1035" s="34" t="s">
        <v>1016</v>
      </c>
      <c r="T1035" s="56" t="s">
        <v>3061</v>
      </c>
      <c r="U1035" s="56" t="s">
        <v>3061</v>
      </c>
      <c r="V1035" s="56" t="s">
        <v>3061</v>
      </c>
      <c r="W1035" s="7"/>
      <c r="X1035"/>
    </row>
    <row r="1036" spans="1:24" x14ac:dyDescent="0.25">
      <c r="A1036" s="26">
        <v>285</v>
      </c>
      <c r="B1036" s="1">
        <f>IFERROR(VLOOKUP(ТабПозиции[[#This Row],[orderNum]],ТабЗаказы[#Data],MATCH(B$7,ТабЗаказы[#Headers],0),0),"")</f>
        <v>45576</v>
      </c>
      <c r="C1036" t="str">
        <f>MONTH(ТабПозиции[[#This Row],[date]])&amp;"/"&amp;YEAR(ТабПозиции[[#This Row],[date]])</f>
        <v>10/2024</v>
      </c>
      <c r="D1036" s="1" t="str">
        <f>IFERROR(VLOOKUP(ТабПозиции[[#This Row],[orderNum]],ТабЗаказы[#Data],MATCH(D$7,ТабЗаказы[#Headers],0),0),"")</f>
        <v>Наталья Лунина 13</v>
      </c>
      <c r="E1036" s="26" t="s">
        <v>32</v>
      </c>
      <c r="F1036" s="56" t="s">
        <v>3061</v>
      </c>
      <c r="H1036" s="34">
        <v>45576</v>
      </c>
      <c r="I1036" s="26">
        <v>1</v>
      </c>
      <c r="J1036" s="26">
        <v>2807</v>
      </c>
      <c r="K1036">
        <v>2807</v>
      </c>
      <c r="L1036" s="26">
        <v>2807</v>
      </c>
      <c r="M1036">
        <f t="shared" si="18"/>
        <v>2807</v>
      </c>
      <c r="O103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Row],[orderNum]],ТабПозиции[orderSumm])&gt;1500),ABS(M1036*VLOOKUP(ТабПозиции[[#This Row],[orderNum]],ТабЗаказы[#Data],MATCH("Percent",ТабЗаказы[#Headers],0),0))/100,200/COUNTIF(ТабПозиции[orderNum],ТабПозиции[[#This Row],[orderNum]])),0),"")</f>
        <v>421</v>
      </c>
      <c r="P1036">
        <f>IF(OR(ТабПозиции[[#This Row],[item]]="По штрихкоду",ТабПозиции[[#This Row],[item]]="Посылка"),ТабПозиции[[#This Row],[deliverySumm]]+ТабПозиции[[#This Row],[deliveryPost]],SUM(M1036:O1036))</f>
        <v>421</v>
      </c>
      <c r="Q1036" s="57">
        <v>421</v>
      </c>
      <c r="R1036" s="62">
        <f>ТабПозиции[[#This Row],[totalSumm]]-ТабПозиции[[#This Row],[payment]]</f>
        <v>0</v>
      </c>
      <c r="S1036" s="34" t="s">
        <v>955</v>
      </c>
      <c r="T1036" s="56" t="s">
        <v>3061</v>
      </c>
      <c r="U1036" s="56" t="s">
        <v>3061</v>
      </c>
      <c r="V1036" s="56" t="s">
        <v>3061</v>
      </c>
      <c r="W1036" s="7"/>
      <c r="X1036"/>
    </row>
    <row r="1037" spans="1:24" x14ac:dyDescent="0.25">
      <c r="A1037" s="26">
        <v>286</v>
      </c>
      <c r="B1037" s="1">
        <f>IFERROR(VLOOKUP(ТабПозиции[[#This Row],[orderNum]],ТабЗаказы[#Data],MATCH(B$7,ТабЗаказы[#Headers],0),0),"")</f>
        <v>45576</v>
      </c>
      <c r="C1037" t="str">
        <f>MONTH(ТабПозиции[[#This Row],[date]])&amp;"/"&amp;YEAR(ТабПозиции[[#This Row],[date]])</f>
        <v>10/2024</v>
      </c>
      <c r="D1037" s="1" t="str">
        <f>IFERROR(VLOOKUP(ТабПозиции[[#This Row],[orderNum]],ТабЗаказы[#Data],MATCH(D$7,ТабЗаказы[#Headers],0),0),"")</f>
        <v>Аннет</v>
      </c>
      <c r="E1037" s="26" t="s">
        <v>32</v>
      </c>
      <c r="F1037" s="56" t="s">
        <v>3061</v>
      </c>
      <c r="H1037" s="34">
        <v>45576</v>
      </c>
      <c r="I1037" s="26">
        <v>1</v>
      </c>
      <c r="J1037" s="26">
        <f>15301+23654</f>
        <v>38955</v>
      </c>
      <c r="K1037">
        <v>38955</v>
      </c>
      <c r="L1037" s="26">
        <v>38955</v>
      </c>
      <c r="M1037">
        <f t="shared" si="18"/>
        <v>38955</v>
      </c>
      <c r="O103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Row],[orderNum]],ТабПозиции[orderSumm])&gt;1500),ABS(M1037*VLOOKUP(ТабПозиции[[#This Row],[orderNum]],ТабЗаказы[#Data],MATCH("Percent",ТабЗаказы[#Headers],0),0))/100,200/COUNTIF(ТабПозиции[orderNum],ТабПозиции[[#This Row],[orderNum]])),0),"")</f>
        <v>3896</v>
      </c>
      <c r="P1037">
        <f>IF(OR(ТабПозиции[[#This Row],[item]]="По штрихкоду",ТабПозиции[[#This Row],[item]]="Посылка"),ТабПозиции[[#This Row],[deliverySumm]]+ТабПозиции[[#This Row],[deliveryPost]],SUM(M1037:O1037))</f>
        <v>3896</v>
      </c>
      <c r="Q1037" s="57">
        <v>3896</v>
      </c>
      <c r="R1037" s="62">
        <f>ТабПозиции[[#This Row],[totalSumm]]-ТабПозиции[[#This Row],[payment]]</f>
        <v>0</v>
      </c>
      <c r="S1037" s="34" t="s">
        <v>955</v>
      </c>
      <c r="T1037" s="56" t="s">
        <v>3061</v>
      </c>
      <c r="U1037" s="56" t="s">
        <v>3061</v>
      </c>
      <c r="V1037" s="56" t="s">
        <v>3061</v>
      </c>
      <c r="W1037" s="7"/>
      <c r="X1037"/>
    </row>
    <row r="1038" spans="1:24" x14ac:dyDescent="0.25">
      <c r="A1038" s="26">
        <v>287</v>
      </c>
      <c r="B1038" s="1">
        <f>IFERROR(VLOOKUP(ТабПозиции[[#This Row],[orderNum]],ТабЗаказы[#Data],MATCH(B$7,ТабЗаказы[#Headers],0),0),"")</f>
        <v>45576</v>
      </c>
      <c r="C1038" t="str">
        <f>MONTH(ТабПозиции[[#This Row],[date]])&amp;"/"&amp;YEAR(ТабПозиции[[#This Row],[date]])</f>
        <v>10/2024</v>
      </c>
      <c r="D1038" s="1" t="str">
        <f>IFERROR(VLOOKUP(ТабПозиции[[#This Row],[orderNum]],ТабЗаказы[#Data],MATCH(D$7,ТабЗаказы[#Headers],0),0),"")</f>
        <v>Лана</v>
      </c>
      <c r="E1038" s="26" t="s">
        <v>32</v>
      </c>
      <c r="F1038" s="56" t="s">
        <v>3061</v>
      </c>
      <c r="H1038" s="34">
        <v>45576</v>
      </c>
      <c r="I1038" s="26">
        <v>1</v>
      </c>
      <c r="J1038" s="26">
        <v>1230</v>
      </c>
      <c r="K1038">
        <v>1230</v>
      </c>
      <c r="L1038" s="26">
        <v>1230</v>
      </c>
      <c r="M1038">
        <f t="shared" si="18"/>
        <v>1230</v>
      </c>
      <c r="O103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Row],[orderNum]],ТабПозиции[orderSumm])&gt;1500),ABS(M1038*VLOOKUP(ТабПозиции[[#This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038">
        <f>IF(OR(ТабПозиции[[#This Row],[item]]="По штрихкоду",ТабПозиции[[#This Row],[item]]="Посылка"),ТабПозиции[[#This Row],[deliverySumm]]+ТабПозиции[[#This Row],[deliveryPost]],SUM(M1038:O1038))</f>
        <v>200</v>
      </c>
      <c r="Q1038" s="57">
        <v>200</v>
      </c>
      <c r="R1038" s="62">
        <f>ТабПозиции[[#This Row],[totalSumm]]-ТабПозиции[[#This Row],[payment]]</f>
        <v>0</v>
      </c>
      <c r="S1038" s="34" t="s">
        <v>955</v>
      </c>
      <c r="T1038" s="56" t="s">
        <v>3061</v>
      </c>
      <c r="U1038" s="56" t="s">
        <v>3061</v>
      </c>
      <c r="V1038" s="56" t="s">
        <v>3061</v>
      </c>
      <c r="W1038" s="7"/>
      <c r="X1038"/>
    </row>
    <row r="1039" spans="1:24" x14ac:dyDescent="0.25">
      <c r="A1039" s="26">
        <v>288</v>
      </c>
      <c r="B1039" s="1">
        <f>IFERROR(VLOOKUP(ТабПозиции[[#This Row],[orderNum]],ТабЗаказы[#Data],MATCH(B$7,ТабЗаказы[#Headers],0),0),"")</f>
        <v>45576</v>
      </c>
      <c r="C1039" t="str">
        <f>MONTH(ТабПозиции[[#This Row],[date]])&amp;"/"&amp;YEAR(ТабПозиции[[#This Row],[date]])</f>
        <v>10/2024</v>
      </c>
      <c r="D1039" s="1" t="str">
        <f>IFERROR(VLOOKUP(ТабПозиции[[#This Row],[orderNum]],ТабЗаказы[#Data],MATCH(D$7,ТабЗаказы[#Headers],0),0),"")</f>
        <v>Алена Бондаренко</v>
      </c>
      <c r="E1039" s="26" t="s">
        <v>32</v>
      </c>
      <c r="F1039" s="56" t="s">
        <v>3061</v>
      </c>
      <c r="H1039" s="34">
        <v>45576</v>
      </c>
      <c r="I1039" s="26">
        <v>1</v>
      </c>
      <c r="J1039" s="26">
        <v>5138</v>
      </c>
      <c r="K1039">
        <v>5138</v>
      </c>
      <c r="L1039" s="26">
        <v>5138</v>
      </c>
      <c r="M1039">
        <f t="shared" si="18"/>
        <v>5138</v>
      </c>
      <c r="O103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Row],[orderNum]],ТабПозиции[orderSumm])&gt;1500),ABS(M1039*VLOOKUP(ТабПозиции[[#This Row],[orderNum]],ТабЗаказы[#Data],MATCH("Percent",ТабЗаказы[#Headers],0),0))/100,200/COUNTIF(ТабПозиции[orderNum],ТабПозиции[[#This Row],[orderNum]])),0),"")</f>
        <v>514</v>
      </c>
      <c r="P1039">
        <f>IF(OR(ТабПозиции[[#This Row],[item]]="По штрихкоду",ТабПозиции[[#This Row],[item]]="Посылка"),ТабПозиции[[#This Row],[deliverySumm]]+ТабПозиции[[#This Row],[deliveryPost]],SUM(M1039:O1039))</f>
        <v>514</v>
      </c>
      <c r="Q1039" s="57">
        <v>514</v>
      </c>
      <c r="R1039" s="62">
        <f>ТабПозиции[[#This Row],[totalSumm]]-ТабПозиции[[#This Row],[payment]]</f>
        <v>0</v>
      </c>
      <c r="S1039" s="34" t="s">
        <v>955</v>
      </c>
      <c r="T1039" s="56" t="s">
        <v>3061</v>
      </c>
      <c r="U1039" s="56" t="s">
        <v>3061</v>
      </c>
      <c r="V1039" s="56" t="s">
        <v>3061</v>
      </c>
      <c r="W1039" s="7"/>
      <c r="X1039"/>
    </row>
    <row r="1040" spans="1:24" x14ac:dyDescent="0.25">
      <c r="A1040" s="26">
        <v>289</v>
      </c>
      <c r="B1040" s="1">
        <f>IFERROR(VLOOKUP(ТабПозиции[[#This Row],[orderNum]],ТабЗаказы[#Data],MATCH(B$7,ТабЗаказы[#Headers],0),0),"")</f>
        <v>45576</v>
      </c>
      <c r="C1040" t="str">
        <f>MONTH(ТабПозиции[[#This Row],[date]])&amp;"/"&amp;YEAR(ТабПозиции[[#This Row],[date]])</f>
        <v>10/2024</v>
      </c>
      <c r="D1040" s="1" t="str">
        <f>IFERROR(VLOOKUP(ТабПозиции[[#This Row],[orderNum]],ТабЗаказы[#Data],MATCH(D$7,ТабЗаказы[#Headers],0),0),"")</f>
        <v>Алина Азовстальская</v>
      </c>
      <c r="E1040" s="26" t="s">
        <v>32</v>
      </c>
      <c r="F1040" s="56" t="s">
        <v>3061</v>
      </c>
      <c r="H1040" s="34">
        <v>45576</v>
      </c>
      <c r="I1040" s="26">
        <v>1</v>
      </c>
      <c r="J1040" s="26">
        <v>3810</v>
      </c>
      <c r="K1040">
        <v>3810</v>
      </c>
      <c r="L1040" s="26">
        <v>3810</v>
      </c>
      <c r="M1040">
        <f t="shared" si="18"/>
        <v>3810</v>
      </c>
      <c r="O104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Row],[orderNum]],ТабПозиции[orderSumm])&gt;1500),ABS(M1040*VLOOKUP(ТабПозиции[[#This Row],[orderNum]],ТабЗаказы[#Data],MATCH("Percent",ТабЗаказы[#Headers],0),0))/100,200/COUNTIF(ТабПозиции[orderNum],ТабПозиции[[#This Row],[orderNum]])),0),"")</f>
        <v>572</v>
      </c>
      <c r="P1040">
        <f>IF(OR(ТабПозиции[[#This Row],[item]]="По штрихкоду",ТабПозиции[[#This Row],[item]]="Посылка"),ТабПозиции[[#This Row],[deliverySumm]]+ТабПозиции[[#This Row],[deliveryPost]],SUM(M1040:O1040))</f>
        <v>572</v>
      </c>
      <c r="Q1040" s="57">
        <v>572</v>
      </c>
      <c r="R1040" s="62">
        <f>ТабПозиции[[#This Row],[totalSumm]]-ТабПозиции[[#This Row],[payment]]</f>
        <v>0</v>
      </c>
      <c r="S1040" s="34" t="s">
        <v>955</v>
      </c>
      <c r="T1040" s="56" t="s">
        <v>3061</v>
      </c>
      <c r="U1040" s="56" t="s">
        <v>3061</v>
      </c>
      <c r="V1040" s="56" t="s">
        <v>3061</v>
      </c>
      <c r="W1040" s="7"/>
      <c r="X1040"/>
    </row>
    <row r="1041" spans="1:24" x14ac:dyDescent="0.25">
      <c r="A1041" s="26">
        <v>290</v>
      </c>
      <c r="B1041" s="1">
        <f>IFERROR(VLOOKUP(ТабПозиции[[#This Row],[orderNum]],ТабЗаказы[#Data],MATCH(B$7,ТабЗаказы[#Headers],0),0),"")</f>
        <v>45575</v>
      </c>
      <c r="C1041" t="str">
        <f>MONTH(ТабПозиции[[#This Row],[date]])&amp;"/"&amp;YEAR(ТабПозиции[[#This Row],[date]])</f>
        <v>10/2024</v>
      </c>
      <c r="D1041" s="1" t="str">
        <f>IFERROR(VLOOKUP(ТабПозиции[[#This Row],[orderNum]],ТабЗаказы[#Data],MATCH(D$7,ТабЗаказы[#Headers],0),0),"")</f>
        <v>Александр 3 Металлургов</v>
      </c>
      <c r="E1041" s="32" t="s">
        <v>1644</v>
      </c>
      <c r="F1041" s="56" t="s">
        <v>3061</v>
      </c>
      <c r="H1041" s="34">
        <v>45580</v>
      </c>
      <c r="I1041" s="26">
        <v>1</v>
      </c>
      <c r="J1041" s="26">
        <v>3654</v>
      </c>
      <c r="K1041">
        <v>3654</v>
      </c>
      <c r="L1041" s="26">
        <v>3654</v>
      </c>
      <c r="M1041">
        <f t="shared" ref="M1041" si="19">L1041*I1041</f>
        <v>3654</v>
      </c>
      <c r="O104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Row],[orderNum]],ТабПозиции[orderSumm])&gt;1500),ABS(M1041*VLOOKUP(ТабПозиции[[#This Row],[orderNum]],ТабЗаказы[#Data],MATCH("Percent",ТабЗаказы[#Headers],0),0))/100,200/COUNTIF(ТабПозиции[orderNum],ТабПозиции[[#This Row],[orderNum]])),0),"")</f>
        <v>548</v>
      </c>
      <c r="P1041">
        <f>IF(OR(ТабПозиции[[#This Row],[item]]="По штрихкоду",ТабПозиции[[#This Row],[item]]="Посылка"),ТабПозиции[[#This Row],[deliverySumm]]+ТабПозиции[[#This Row],[deliveryPost]],SUM(M1041:O1041))</f>
        <v>4202</v>
      </c>
      <c r="Q1041" s="57">
        <v>4202</v>
      </c>
      <c r="R1041" s="62">
        <f>ТабПозиции[[#This Row],[totalSumm]]-ТабПозиции[[#This Row],[payment]]</f>
        <v>0</v>
      </c>
      <c r="S1041" s="34" t="s">
        <v>955</v>
      </c>
      <c r="T1041" s="56" t="s">
        <v>3061</v>
      </c>
      <c r="U1041" s="56" t="s">
        <v>3061</v>
      </c>
      <c r="V1041" s="56" t="s">
        <v>3061</v>
      </c>
      <c r="W1041" s="7"/>
      <c r="X1041"/>
    </row>
    <row r="1042" spans="1:24" x14ac:dyDescent="0.25">
      <c r="A1042" s="26">
        <v>290</v>
      </c>
      <c r="B1042" s="1">
        <f>IFERROR(VLOOKUP(ТабПозиции[[#This Row],[orderNum]],ТабЗаказы[#Data],MATCH(B$7,ТабЗаказы[#Headers],0),0),"")</f>
        <v>45575</v>
      </c>
      <c r="C1042" t="str">
        <f>MONTH(ТабПозиции[[#This Row],[date]])&amp;"/"&amp;YEAR(ТабПозиции[[#This Row],[date]])</f>
        <v>10/2024</v>
      </c>
      <c r="D1042" s="1" t="str">
        <f>IFERROR(VLOOKUP(ТабПозиции[[#This Row],[orderNum]],ТабЗаказы[#Data],MATCH(D$7,ТабЗаказы[#Headers],0),0),"")</f>
        <v>Александр 3 Металлургов</v>
      </c>
      <c r="E1042" s="32" t="s">
        <v>1645</v>
      </c>
      <c r="F1042" s="56" t="s">
        <v>3061</v>
      </c>
      <c r="H1042" s="34">
        <v>45582</v>
      </c>
      <c r="I1042" s="26">
        <v>1</v>
      </c>
      <c r="J1042" s="26">
        <v>912</v>
      </c>
      <c r="K1042">
        <v>912</v>
      </c>
      <c r="L1042" s="26">
        <v>980</v>
      </c>
      <c r="M1042">
        <f t="shared" si="18"/>
        <v>980</v>
      </c>
      <c r="O104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Row],[orderNum]],ТабПозиции[orderSumm])&gt;1500),ABS(M1042*VLOOKUP(ТабПозиции[[#This Row],[orderNum]],ТабЗаказы[#Data],MATCH("Percent",ТабЗаказы[#Headers],0),0))/100,200/COUNTIF(ТабПозиции[orderNum],ТабПозиции[[#This Row],[orderNum]])),0),"")</f>
        <v>147</v>
      </c>
      <c r="P1042">
        <f>IF(OR(ТабПозиции[[#This Row],[item]]="По штрихкоду",ТабПозиции[[#This Row],[item]]="Посылка"),ТабПозиции[[#This Row],[deliverySumm]]+ТабПозиции[[#This Row],[deliveryPost]],SUM(M1042:O1042))</f>
        <v>1127</v>
      </c>
      <c r="Q1042" s="57">
        <v>1127</v>
      </c>
      <c r="R1042" s="62">
        <f>ТабПозиции[[#This Row],[totalSumm]]-ТабПозиции[[#This Row],[payment]]</f>
        <v>0</v>
      </c>
      <c r="S1042" s="34" t="s">
        <v>955</v>
      </c>
      <c r="T1042" s="56" t="s">
        <v>3061</v>
      </c>
      <c r="U1042" s="56" t="s">
        <v>3061</v>
      </c>
      <c r="V1042" s="56" t="s">
        <v>3061</v>
      </c>
      <c r="W1042" s="7"/>
      <c r="X1042"/>
    </row>
    <row r="1043" spans="1:24" x14ac:dyDescent="0.25">
      <c r="A1043" s="26">
        <v>291</v>
      </c>
      <c r="B1043" s="1">
        <f>IFERROR(VLOOKUP(ТабПозиции[[#This Row],[orderNum]],ТабЗаказы[#Data],MATCH(B$7,ТабЗаказы[#Headers],0),0),"")</f>
        <v>45578</v>
      </c>
      <c r="C1043" t="str">
        <f>MONTH(ТабПозиции[[#This Row],[date]])&amp;"/"&amp;YEAR(ТабПозиции[[#This Row],[date]])</f>
        <v>10/2024</v>
      </c>
      <c r="D1043" s="1" t="str">
        <f>IFERROR(VLOOKUP(ТабПозиции[[#This Row],[orderNum]],ТабЗаказы[#Data],MATCH(D$7,ТабЗаказы[#Headers],0),0),"")</f>
        <v>Лариса Кирова</v>
      </c>
      <c r="E1043" s="32" t="s">
        <v>677</v>
      </c>
      <c r="F1043" s="56" t="s">
        <v>3061</v>
      </c>
      <c r="H1043" s="34">
        <v>45581</v>
      </c>
      <c r="I1043" s="26">
        <v>1</v>
      </c>
      <c r="J1043" s="26">
        <v>251</v>
      </c>
      <c r="K1043">
        <v>251</v>
      </c>
      <c r="L1043" s="26">
        <v>265</v>
      </c>
      <c r="M1043">
        <f t="shared" si="18"/>
        <v>265</v>
      </c>
      <c r="O104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Row],[orderNum]],ТабПозиции[orderSumm])&gt;1500),ABS(M1043*VLOOKUP(ТабПозиции[[#This Row],[orderNum]],ТабЗаказы[#Data],MATCH("Percent",ТабЗаказы[#Headers],0),0))/100,200/COUNTIF(ТабПозиции[orderNum],ТабПозиции[[#This Row],[orderNum]])),0),"")</f>
        <v>40</v>
      </c>
      <c r="P1043">
        <f>IF(OR(ТабПозиции[[#This Row],[item]]="По штрихкоду",ТабПозиции[[#This Row],[item]]="Посылка"),ТабПозиции[[#This Row],[deliverySumm]]+ТабПозиции[[#This Row],[deliveryPost]],SUM(M1043:O1043))</f>
        <v>305</v>
      </c>
      <c r="Q1043" s="57">
        <v>305</v>
      </c>
      <c r="R1043" s="62">
        <f>ТабПозиции[[#This Row],[totalSumm]]-ТабПозиции[[#This Row],[payment]]</f>
        <v>0</v>
      </c>
      <c r="S1043" s="34" t="s">
        <v>965</v>
      </c>
      <c r="T1043" s="56" t="s">
        <v>3061</v>
      </c>
      <c r="U1043" s="56" t="s">
        <v>3061</v>
      </c>
      <c r="V1043" s="56" t="s">
        <v>3061</v>
      </c>
      <c r="W1043" s="7"/>
      <c r="X1043"/>
    </row>
    <row r="1044" spans="1:24" x14ac:dyDescent="0.25">
      <c r="A1044" s="26">
        <v>291</v>
      </c>
      <c r="B1044" s="1">
        <f>IFERROR(VLOOKUP(ТабПозиции[[#This Row],[orderNum]],ТабЗаказы[#Data],MATCH(B$7,ТабЗаказы[#Headers],0),0),"")</f>
        <v>45578</v>
      </c>
      <c r="C1044" t="str">
        <f>MONTH(ТабПозиции[[#This Row],[date]])&amp;"/"&amp;YEAR(ТабПозиции[[#This Row],[date]])</f>
        <v>10/2024</v>
      </c>
      <c r="D1044" s="1" t="str">
        <f>IFERROR(VLOOKUP(ТабПозиции[[#This Row],[orderNum]],ТабЗаказы[#Data],MATCH(D$7,ТабЗаказы[#Headers],0),0),"")</f>
        <v>Лариса Кирова</v>
      </c>
      <c r="E1044" s="32" t="s">
        <v>1637</v>
      </c>
      <c r="F1044" s="56" t="s">
        <v>3061</v>
      </c>
      <c r="H1044" s="34">
        <v>45580</v>
      </c>
      <c r="I1044" s="26">
        <v>1</v>
      </c>
      <c r="J1044" s="26">
        <v>171</v>
      </c>
      <c r="K1044">
        <v>171</v>
      </c>
      <c r="L1044" s="26">
        <v>180</v>
      </c>
      <c r="M1044">
        <f t="shared" si="18"/>
        <v>180</v>
      </c>
      <c r="O104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Row],[orderNum]],ТабПозиции[orderSumm])&gt;1500),ABS(M1044*VLOOKUP(ТабПозиции[[#This Row],[orderNum]],ТабЗаказы[#Data],MATCH("Percent",ТабЗаказы[#Headers],0),0))/100,200/COUNTIF(ТабПозиции[orderNum],ТабПозиции[[#This Row],[orderNum]])),0),"")</f>
        <v>27</v>
      </c>
      <c r="P1044">
        <f>IF(OR(ТабПозиции[[#This Row],[item]]="По штрихкоду",ТабПозиции[[#This Row],[item]]="Посылка"),ТабПозиции[[#This Row],[deliverySumm]]+ТабПозиции[[#This Row],[deliveryPost]],SUM(M1044:O1044))</f>
        <v>207</v>
      </c>
      <c r="Q1044" s="57">
        <v>207</v>
      </c>
      <c r="R1044" s="62">
        <f>ТабПозиции[[#This Row],[totalSumm]]-ТабПозиции[[#This Row],[payment]]</f>
        <v>0</v>
      </c>
      <c r="S1044" s="34" t="s">
        <v>965</v>
      </c>
      <c r="T1044" s="56" t="s">
        <v>3061</v>
      </c>
      <c r="U1044" s="56" t="s">
        <v>3061</v>
      </c>
      <c r="V1044" s="56" t="s">
        <v>3061</v>
      </c>
      <c r="W1044" s="7"/>
      <c r="X1044"/>
    </row>
    <row r="1045" spans="1:24" x14ac:dyDescent="0.25">
      <c r="A1045" s="26">
        <v>291</v>
      </c>
      <c r="B1045" s="1">
        <f>IFERROR(VLOOKUP(ТабПозиции[[#This Row],[orderNum]],ТабЗаказы[#Data],MATCH(B$7,ТабЗаказы[#Headers],0),0),"")</f>
        <v>45578</v>
      </c>
      <c r="C1045" t="str">
        <f>MONTH(ТабПозиции[[#This Row],[date]])&amp;"/"&amp;YEAR(ТабПозиции[[#This Row],[date]])</f>
        <v>10/2024</v>
      </c>
      <c r="D1045" s="1" t="str">
        <f>IFERROR(VLOOKUP(ТабПозиции[[#This Row],[orderNum]],ТабЗаказы[#Data],MATCH(D$7,ТабЗаказы[#Headers],0),0),"")</f>
        <v>Лариса Кирова</v>
      </c>
      <c r="E1045" s="32" t="s">
        <v>1638</v>
      </c>
      <c r="F1045" s="56" t="s">
        <v>3061</v>
      </c>
      <c r="H1045" s="34">
        <v>45580</v>
      </c>
      <c r="I1045" s="26">
        <v>1</v>
      </c>
      <c r="J1045" s="26">
        <v>128</v>
      </c>
      <c r="K1045">
        <v>128</v>
      </c>
      <c r="L1045" s="26">
        <v>135</v>
      </c>
      <c r="M1045">
        <f t="shared" si="18"/>
        <v>135</v>
      </c>
      <c r="O104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Row],[orderNum]],ТабПозиции[orderSumm])&gt;1500),ABS(M1045*VLOOKUP(ТабПозиции[[#This Row],[orderNum]],ТабЗаказы[#Data],MATCH("Percent",ТабЗаказы[#Headers],0),0))/100,200/COUNTIF(ТабПозиции[orderNum],ТабПозиции[[#This Row],[orderNum]])),0),"")</f>
        <v>20</v>
      </c>
      <c r="P1045">
        <f>IF(OR(ТабПозиции[[#This Row],[item]]="По штрихкоду",ТабПозиции[[#This Row],[item]]="Посылка"),ТабПозиции[[#This Row],[deliverySumm]]+ТабПозиции[[#This Row],[deliveryPost]],SUM(M1045:O1045))</f>
        <v>155</v>
      </c>
      <c r="Q1045" s="57">
        <v>155</v>
      </c>
      <c r="R1045" s="62">
        <f>ТабПозиции[[#This Row],[totalSumm]]-ТабПозиции[[#This Row],[payment]]</f>
        <v>0</v>
      </c>
      <c r="S1045" s="34" t="s">
        <v>965</v>
      </c>
      <c r="T1045" s="56" t="s">
        <v>3061</v>
      </c>
      <c r="U1045" s="56" t="s">
        <v>3061</v>
      </c>
      <c r="V1045" s="56" t="s">
        <v>3061</v>
      </c>
      <c r="W1045" s="7"/>
      <c r="X1045"/>
    </row>
    <row r="1046" spans="1:24" x14ac:dyDescent="0.25">
      <c r="A1046" s="26">
        <v>291</v>
      </c>
      <c r="B1046" s="1">
        <f>IFERROR(VLOOKUP(ТабПозиции[[#This Row],[orderNum]],ТабЗаказы[#Data],MATCH(B$7,ТабЗаказы[#Headers],0),0),"")</f>
        <v>45578</v>
      </c>
      <c r="C1046" t="str">
        <f>MONTH(ТабПозиции[[#This Row],[date]])&amp;"/"&amp;YEAR(ТабПозиции[[#This Row],[date]])</f>
        <v>10/2024</v>
      </c>
      <c r="D1046" s="1" t="str">
        <f>IFERROR(VLOOKUP(ТабПозиции[[#This Row],[orderNum]],ТабЗаказы[#Data],MATCH(D$7,ТабЗаказы[#Headers],0),0),"")</f>
        <v>Лариса Кирова</v>
      </c>
      <c r="E1046" s="32" t="s">
        <v>1639</v>
      </c>
      <c r="F1046" s="56" t="s">
        <v>3061</v>
      </c>
      <c r="H1046" s="34">
        <v>45580</v>
      </c>
      <c r="I1046" s="26">
        <v>1</v>
      </c>
      <c r="J1046" s="26">
        <v>105</v>
      </c>
      <c r="K1046">
        <v>105</v>
      </c>
      <c r="L1046" s="26">
        <v>111</v>
      </c>
      <c r="M1046">
        <f t="shared" si="18"/>
        <v>111</v>
      </c>
      <c r="O104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Row],[orderNum]],ТабПозиции[orderSumm])&gt;1500),ABS(M1046*VLOOKUP(ТабПозиции[[#This Row],[orderNum]],ТабЗаказы[#Data],MATCH("Percent",ТабЗаказы[#Headers],0),0))/100,200/COUNTIF(ТабПозиции[orderNum],ТабПозиции[[#This Row],[orderNum]])),0),"")</f>
        <v>17</v>
      </c>
      <c r="P1046">
        <f>IF(OR(ТабПозиции[[#This Row],[item]]="По штрихкоду",ТабПозиции[[#This Row],[item]]="Посылка"),ТабПозиции[[#This Row],[deliverySumm]]+ТабПозиции[[#This Row],[deliveryPost]],SUM(M1046:O1046))</f>
        <v>128</v>
      </c>
      <c r="Q1046" s="57">
        <v>128</v>
      </c>
      <c r="R1046" s="62">
        <f>ТабПозиции[[#This Row],[totalSumm]]-ТабПозиции[[#This Row],[payment]]</f>
        <v>0</v>
      </c>
      <c r="S1046" s="34" t="s">
        <v>965</v>
      </c>
      <c r="T1046" s="56" t="s">
        <v>3061</v>
      </c>
      <c r="U1046" s="56" t="s">
        <v>3061</v>
      </c>
      <c r="V1046" s="56" t="s">
        <v>3061</v>
      </c>
      <c r="W1046" s="7"/>
      <c r="X1046"/>
    </row>
    <row r="1047" spans="1:24" x14ac:dyDescent="0.25">
      <c r="A1047" s="26">
        <v>291</v>
      </c>
      <c r="B1047" s="1">
        <f>IFERROR(VLOOKUP(ТабПозиции[[#This Row],[orderNum]],ТабЗаказы[#Data],MATCH(B$7,ТабЗаказы[#Headers],0),0),"")</f>
        <v>45578</v>
      </c>
      <c r="C1047" t="str">
        <f>MONTH(ТабПозиции[[#This Row],[date]])&amp;"/"&amp;YEAR(ТабПозиции[[#This Row],[date]])</f>
        <v>10/2024</v>
      </c>
      <c r="D1047" s="1" t="str">
        <f>IFERROR(VLOOKUP(ТабПозиции[[#This Row],[orderNum]],ТабЗаказы[#Data],MATCH(D$7,ТабЗаказы[#Headers],0),0),"")</f>
        <v>Лариса Кирова</v>
      </c>
      <c r="E1047" s="32" t="s">
        <v>1640</v>
      </c>
      <c r="F1047" s="56" t="s">
        <v>3061</v>
      </c>
      <c r="H1047" s="34">
        <v>45581</v>
      </c>
      <c r="I1047" s="26">
        <v>1</v>
      </c>
      <c r="J1047" s="26">
        <v>538</v>
      </c>
      <c r="K1047">
        <v>538</v>
      </c>
      <c r="L1047" s="26">
        <v>567</v>
      </c>
      <c r="M1047">
        <f t="shared" si="18"/>
        <v>567</v>
      </c>
      <c r="O104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Row],[orderNum]],ТабПозиции[orderSumm])&gt;1500),ABS(M1047*VLOOKUP(ТабПозиции[[#This Row],[orderNum]],ТабЗаказы[#Data],MATCH("Percent",ТабЗаказы[#Headers],0),0))/100,200/COUNTIF(ТабПозиции[orderNum],ТабПозиции[[#This Row],[orderNum]])),0),"")</f>
        <v>85</v>
      </c>
      <c r="P1047">
        <f>IF(OR(ТабПозиции[[#This Row],[item]]="По штрихкоду",ТабПозиции[[#This Row],[item]]="Посылка"),ТабПозиции[[#This Row],[deliverySumm]]+ТабПозиции[[#This Row],[deliveryPost]],SUM(M1047:O1047))</f>
        <v>652</v>
      </c>
      <c r="Q1047" s="57">
        <v>652</v>
      </c>
      <c r="R1047" s="62">
        <f>ТабПозиции[[#This Row],[totalSumm]]-ТабПозиции[[#This Row],[payment]]</f>
        <v>0</v>
      </c>
      <c r="S1047" s="34" t="s">
        <v>965</v>
      </c>
      <c r="T1047" s="56" t="s">
        <v>3061</v>
      </c>
      <c r="U1047" s="56" t="s">
        <v>3061</v>
      </c>
      <c r="V1047" s="56" t="s">
        <v>3061</v>
      </c>
      <c r="W1047" s="7"/>
      <c r="X1047"/>
    </row>
    <row r="1048" spans="1:24" x14ac:dyDescent="0.25">
      <c r="A1048" s="26">
        <v>291</v>
      </c>
      <c r="B1048" s="1">
        <f>IFERROR(VLOOKUP(ТабПозиции[[#This Row],[orderNum]],ТабЗаказы[#Data],MATCH(B$7,ТабЗаказы[#Headers],0),0),"")</f>
        <v>45578</v>
      </c>
      <c r="C1048" t="str">
        <f>MONTH(ТабПозиции[[#This Row],[date]])&amp;"/"&amp;YEAR(ТабПозиции[[#This Row],[date]])</f>
        <v>10/2024</v>
      </c>
      <c r="D1048" s="1" t="str">
        <f>IFERROR(VLOOKUP(ТабПозиции[[#This Row],[orderNum]],ТабЗаказы[#Data],MATCH(D$7,ТабЗаказы[#Headers],0),0),"")</f>
        <v>Лариса Кирова</v>
      </c>
      <c r="E1048" s="32" t="s">
        <v>1641</v>
      </c>
      <c r="F1048" s="56" t="s">
        <v>3061</v>
      </c>
      <c r="H1048" s="34">
        <v>45581</v>
      </c>
      <c r="I1048" s="26">
        <v>1</v>
      </c>
      <c r="J1048" s="26">
        <v>152</v>
      </c>
      <c r="K1048">
        <v>152</v>
      </c>
      <c r="L1048" s="26">
        <v>161</v>
      </c>
      <c r="M1048">
        <f t="shared" ref="M1048:M1109" si="20">L1048*I1048</f>
        <v>161</v>
      </c>
      <c r="O104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Row],[orderNum]],ТабПозиции[orderSumm])&gt;1500),ABS(M1048*VLOOKUP(ТабПозиции[[#This Row],[orderNum]],ТабЗаказы[#Data],MATCH("Percent",ТабЗаказы[#Headers],0),0))/100,200/COUNTIF(ТабПозиции[orderNum],ТабПозиции[[#This Row],[orderNum]])),0),"")</f>
        <v>24</v>
      </c>
      <c r="P1048">
        <f>IF(OR(ТабПозиции[[#This Row],[item]]="По штрихкоду",ТабПозиции[[#This Row],[item]]="Посылка"),ТабПозиции[[#This Row],[deliverySumm]]+ТабПозиции[[#This Row],[deliveryPost]],SUM(M1048:O1048))</f>
        <v>185</v>
      </c>
      <c r="Q1048" s="57">
        <v>185</v>
      </c>
      <c r="R1048" s="62">
        <f>ТабПозиции[[#This Row],[totalSumm]]-ТабПозиции[[#This Row],[payment]]</f>
        <v>0</v>
      </c>
      <c r="S1048" s="34" t="s">
        <v>965</v>
      </c>
      <c r="T1048" s="56" t="s">
        <v>3061</v>
      </c>
      <c r="U1048" s="56" t="s">
        <v>3061</v>
      </c>
      <c r="V1048" s="56" t="s">
        <v>3061</v>
      </c>
      <c r="W1048" s="7"/>
      <c r="X1048"/>
    </row>
    <row r="1049" spans="1:24" x14ac:dyDescent="0.25">
      <c r="A1049" s="26">
        <v>291</v>
      </c>
      <c r="B1049" s="1">
        <f>IFERROR(VLOOKUP(ТабПозиции[[#This Row],[orderNum]],ТабЗаказы[#Data],MATCH(B$7,ТабЗаказы[#Headers],0),0),"")</f>
        <v>45578</v>
      </c>
      <c r="C1049" t="str">
        <f>MONTH(ТабПозиции[[#This Row],[date]])&amp;"/"&amp;YEAR(ТабПозиции[[#This Row],[date]])</f>
        <v>10/2024</v>
      </c>
      <c r="D1049" s="1" t="str">
        <f>IFERROR(VLOOKUP(ТабПозиции[[#This Row],[orderNum]],ТабЗаказы[#Data],MATCH(D$7,ТабЗаказы[#Headers],0),0),"")</f>
        <v>Лариса Кирова</v>
      </c>
      <c r="E1049" s="32" t="s">
        <v>1642</v>
      </c>
      <c r="F1049" s="56" t="s">
        <v>3061</v>
      </c>
      <c r="H1049" s="34">
        <v>45579</v>
      </c>
      <c r="I1049" s="26">
        <v>1</v>
      </c>
      <c r="J1049" s="26">
        <v>277</v>
      </c>
      <c r="K1049">
        <v>277</v>
      </c>
      <c r="L1049" s="26">
        <v>292</v>
      </c>
      <c r="M1049">
        <f t="shared" si="20"/>
        <v>292</v>
      </c>
      <c r="O104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Row],[orderNum]],ТабПозиции[orderSumm])&gt;1500),ABS(M1049*VLOOKUP(ТабПозиции[[#This Row],[orderNum]],ТабЗаказы[#Data],MATCH("Percent",ТабЗаказы[#Headers],0),0))/100,200/COUNTIF(ТабПозиции[orderNum],ТабПозиции[[#This Row],[orderNum]])),0),"")</f>
        <v>44</v>
      </c>
      <c r="P1049">
        <f>IF(OR(ТабПозиции[[#This Row],[item]]="По штрихкоду",ТабПозиции[[#This Row],[item]]="Посылка"),ТабПозиции[[#This Row],[deliverySumm]]+ТабПозиции[[#This Row],[deliveryPost]],SUM(M1049:O1049))</f>
        <v>336</v>
      </c>
      <c r="Q1049" s="57">
        <v>336</v>
      </c>
      <c r="R1049" s="62">
        <f>ТабПозиции[[#This Row],[totalSumm]]-ТабПозиции[[#This Row],[payment]]</f>
        <v>0</v>
      </c>
      <c r="S1049" s="34" t="s">
        <v>965</v>
      </c>
      <c r="T1049" s="56" t="s">
        <v>3061</v>
      </c>
      <c r="U1049" s="56" t="s">
        <v>3061</v>
      </c>
      <c r="V1049" s="56" t="s">
        <v>3061</v>
      </c>
      <c r="W1049" s="7"/>
      <c r="X1049"/>
    </row>
    <row r="1050" spans="1:24" x14ac:dyDescent="0.25">
      <c r="A1050" s="26">
        <v>291</v>
      </c>
      <c r="B1050" s="1">
        <f>IFERROR(VLOOKUP(ТабПозиции[[#This Row],[orderNum]],ТабЗаказы[#Data],MATCH(B$7,ТабЗаказы[#Headers],0),0),"")</f>
        <v>45578</v>
      </c>
      <c r="C1050" t="str">
        <f>MONTH(ТабПозиции[[#This Row],[date]])&amp;"/"&amp;YEAR(ТабПозиции[[#This Row],[date]])</f>
        <v>10/2024</v>
      </c>
      <c r="D1050" s="1" t="str">
        <f>IFERROR(VLOOKUP(ТабПозиции[[#This Row],[orderNum]],ТабЗаказы[#Data],MATCH(D$7,ТабЗаказы[#Headers],0),0),"")</f>
        <v>Лариса Кирова</v>
      </c>
      <c r="E1050" s="32" t="s">
        <v>1643</v>
      </c>
      <c r="F1050" s="56" t="s">
        <v>3061</v>
      </c>
      <c r="H1050" s="34">
        <v>45583</v>
      </c>
      <c r="I1050" s="26">
        <v>1</v>
      </c>
      <c r="J1050" s="26">
        <v>170</v>
      </c>
      <c r="K1050">
        <v>170</v>
      </c>
      <c r="L1050" s="26">
        <v>179</v>
      </c>
      <c r="M1050">
        <f t="shared" si="20"/>
        <v>179</v>
      </c>
      <c r="O105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Row],[orderNum]],ТабПозиции[orderSumm])&gt;1500),ABS(M1050*VLOOKUP(ТабПозиции[[#This Row],[orderNum]],ТабЗаказы[#Data],MATCH("Percent",ТабЗаказы[#Headers],0),0))/100,200/COUNTIF(ТабПозиции[orderNum],ТабПозиции[[#This Row],[orderNum]])),0),"")</f>
        <v>27</v>
      </c>
      <c r="P1050">
        <f>IF(OR(ТабПозиции[[#This Row],[item]]="По штрихкоду",ТабПозиции[[#This Row],[item]]="Посылка"),ТабПозиции[[#This Row],[deliverySumm]]+ТабПозиции[[#This Row],[deliveryPost]],SUM(M1050:O1050))</f>
        <v>206</v>
      </c>
      <c r="Q1050" s="57">
        <v>206</v>
      </c>
      <c r="R1050" s="62">
        <f>ТабПозиции[[#This Row],[totalSumm]]-ТабПозиции[[#This Row],[payment]]</f>
        <v>0</v>
      </c>
      <c r="S1050" s="34" t="s">
        <v>965</v>
      </c>
      <c r="T1050" s="56" t="s">
        <v>3061</v>
      </c>
      <c r="U1050" s="56" t="s">
        <v>3061</v>
      </c>
      <c r="V1050" s="56" t="s">
        <v>3061</v>
      </c>
      <c r="W1050" s="7"/>
      <c r="X1050"/>
    </row>
    <row r="1051" spans="1:24" x14ac:dyDescent="0.25">
      <c r="A1051" s="26">
        <v>291</v>
      </c>
      <c r="B1051" s="1">
        <f>IFERROR(VLOOKUP(ТабПозиции[[#This Row],[orderNum]],ТабЗаказы[#Data],MATCH(B$7,ТабЗаказы[#Headers],0),0),"")</f>
        <v>45578</v>
      </c>
      <c r="C1051" t="str">
        <f>MONTH(ТабПозиции[[#This Row],[date]])&amp;"/"&amp;YEAR(ТабПозиции[[#This Row],[date]])</f>
        <v>10/2024</v>
      </c>
      <c r="D1051" s="1" t="str">
        <f>IFERROR(VLOOKUP(ТабПозиции[[#This Row],[orderNum]],ТабЗаказы[#Data],MATCH(D$7,ТабЗаказы[#Headers],0),0),"")</f>
        <v>Лариса Кирова</v>
      </c>
      <c r="E1051" s="32" t="s">
        <v>1637</v>
      </c>
      <c r="F1051" s="56" t="s">
        <v>3061</v>
      </c>
      <c r="H1051" s="34">
        <v>45582</v>
      </c>
      <c r="I1051" s="26">
        <v>1</v>
      </c>
      <c r="J1051" s="26">
        <v>179</v>
      </c>
      <c r="K1051">
        <v>179</v>
      </c>
      <c r="L1051" s="26">
        <v>189</v>
      </c>
      <c r="M1051">
        <f t="shared" si="20"/>
        <v>189</v>
      </c>
      <c r="O105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Row],[orderNum]],ТабПозиции[orderSumm])&gt;1500),ABS(M1051*VLOOKUP(ТабПозиции[[#This Row],[orderNum]],ТабЗаказы[#Data],MATCH("Percent",ТабЗаказы[#Headers],0),0))/100,200/COUNTIF(ТабПозиции[orderNum],ТабПозиции[[#This Row],[orderNum]])),0),"")</f>
        <v>28</v>
      </c>
      <c r="P1051">
        <f>IF(OR(ТабПозиции[[#This Row],[item]]="По штрихкоду",ТабПозиции[[#This Row],[item]]="Посылка"),ТабПозиции[[#This Row],[deliverySumm]]+ТабПозиции[[#This Row],[deliveryPost]],SUM(M1051:O1051))</f>
        <v>217</v>
      </c>
      <c r="Q1051" s="57">
        <v>217</v>
      </c>
      <c r="R1051" s="62">
        <f>ТабПозиции[[#This Row],[totalSumm]]-ТабПозиции[[#This Row],[payment]]</f>
        <v>0</v>
      </c>
      <c r="S1051" s="34" t="s">
        <v>965</v>
      </c>
      <c r="T1051" s="56" t="s">
        <v>3061</v>
      </c>
      <c r="U1051" s="56" t="s">
        <v>3061</v>
      </c>
      <c r="V1051" s="56" t="s">
        <v>3061</v>
      </c>
      <c r="W1051" s="7"/>
      <c r="X1051"/>
    </row>
    <row r="1052" spans="1:24" x14ac:dyDescent="0.25">
      <c r="A1052" s="26">
        <v>292</v>
      </c>
      <c r="B1052" s="1">
        <f>IFERROR(VLOOKUP(ТабПозиции[[#This Row],[orderNum]],ТабЗаказы[#Data],MATCH(B$7,ТабЗаказы[#Headers],0),0),"")</f>
        <v>45579</v>
      </c>
      <c r="C1052" t="str">
        <f>MONTH(ТабПозиции[[#This Row],[date]])&amp;"/"&amp;YEAR(ТабПозиции[[#This Row],[date]])</f>
        <v>10/2024</v>
      </c>
      <c r="D1052" s="1" t="str">
        <f>IFERROR(VLOOKUP(ТабПозиции[[#This Row],[orderNum]],ТабЗаказы[#Data],MATCH(D$7,ТабЗаказы[#Headers],0),0),"")</f>
        <v>Александр экскаваторщик</v>
      </c>
      <c r="E1052" s="32" t="s">
        <v>1648</v>
      </c>
      <c r="F1052" s="56" t="s">
        <v>3061</v>
      </c>
      <c r="H1052" s="34">
        <v>45581</v>
      </c>
      <c r="I1052" s="26">
        <v>1</v>
      </c>
      <c r="J1052" s="26">
        <v>1385</v>
      </c>
      <c r="K1052">
        <v>1385</v>
      </c>
      <c r="L1052" s="26">
        <v>1458</v>
      </c>
      <c r="M1052">
        <f t="shared" si="20"/>
        <v>1458</v>
      </c>
      <c r="O105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Row],[orderNum]],ТабПозиции[orderSumm])&gt;1500),ABS(M1052*VLOOKUP(ТабПозиции[[#This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052">
        <f>IF(OR(ТабПозиции[[#This Row],[item]]="По штрихкоду",ТабПозиции[[#This Row],[item]]="Посылка"),ТабПозиции[[#This Row],[deliverySumm]]+ТабПозиции[[#This Row],[deliveryPost]],SUM(M1052:O1052))</f>
        <v>1658</v>
      </c>
      <c r="Q1052" s="57">
        <v>1658</v>
      </c>
      <c r="R1052" s="62">
        <f>ТабПозиции[[#This Row],[totalSumm]]-ТабПозиции[[#This Row],[payment]]</f>
        <v>0</v>
      </c>
      <c r="S1052" s="34" t="s">
        <v>965</v>
      </c>
      <c r="T1052" s="56" t="s">
        <v>3061</v>
      </c>
      <c r="U1052" s="56" t="s">
        <v>3061</v>
      </c>
      <c r="V1052" s="56" t="s">
        <v>3061</v>
      </c>
      <c r="W1052" s="7"/>
      <c r="X1052"/>
    </row>
    <row r="1053" spans="1:24" x14ac:dyDescent="0.25">
      <c r="A1053" s="26">
        <v>293</v>
      </c>
      <c r="B1053" s="1">
        <f>IFERROR(VLOOKUP(ТабПозиции[[#This Row],[orderNum]],ТабЗаказы[#Data],MATCH(B$7,ТабЗаказы[#Headers],0),0),"")</f>
        <v>45579</v>
      </c>
      <c r="C1053" t="str">
        <f>MONTH(ТабПозиции[[#This Row],[date]])&amp;"/"&amp;YEAR(ТабПозиции[[#This Row],[date]])</f>
        <v>10/2024</v>
      </c>
      <c r="D1053" s="1" t="str">
        <f>IFERROR(VLOOKUP(ТабПозиции[[#This Row],[orderNum]],ТабЗаказы[#Data],MATCH(D$7,ТабЗаказы[#Headers],0),0),"")</f>
        <v>Елена Гайдар</v>
      </c>
      <c r="E1053" s="32" t="s">
        <v>1505</v>
      </c>
      <c r="F1053" s="56" t="s">
        <v>3061</v>
      </c>
      <c r="H1053" s="34">
        <v>45582</v>
      </c>
      <c r="I1053" s="26">
        <v>1</v>
      </c>
      <c r="J1053" s="26">
        <v>235</v>
      </c>
      <c r="K1053">
        <v>235</v>
      </c>
      <c r="L1053" s="26">
        <v>248</v>
      </c>
      <c r="M1053">
        <f t="shared" si="20"/>
        <v>248</v>
      </c>
      <c r="O105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Row],[orderNum]],ТабПозиции[orderSumm])&gt;1500),ABS(M1053*VLOOKUP(ТабПозиции[[#This Row],[orderNum]],ТабЗаказы[#Data],MATCH("Percent",ТабЗаказы[#Headers],0),0))/100,200/COUNTIF(ТабПозиции[orderNum],ТабПозиции[[#This Row],[orderNum]])),0),"")</f>
        <v>37</v>
      </c>
      <c r="P1053">
        <f>IF(OR(ТабПозиции[[#This Row],[item]]="По штрихкоду",ТабПозиции[[#This Row],[item]]="Посылка"),ТабПозиции[[#This Row],[deliverySumm]]+ТабПозиции[[#This Row],[deliveryPost]],SUM(M1053:O1053))</f>
        <v>285</v>
      </c>
      <c r="Q1053" s="57">
        <v>285</v>
      </c>
      <c r="R1053" s="62">
        <f>ТабПозиции[[#This Row],[totalSumm]]-ТабПозиции[[#This Row],[payment]]</f>
        <v>0</v>
      </c>
      <c r="S1053" s="34" t="s">
        <v>965</v>
      </c>
      <c r="T1053" s="56" t="s">
        <v>3061</v>
      </c>
      <c r="U1053" s="56" t="s">
        <v>3061</v>
      </c>
      <c r="V1053" s="56" t="s">
        <v>3061</v>
      </c>
      <c r="W1053" s="7"/>
      <c r="X1053"/>
    </row>
    <row r="1054" spans="1:24" x14ac:dyDescent="0.25">
      <c r="A1054" s="26">
        <v>293</v>
      </c>
      <c r="B1054" s="1">
        <f>IFERROR(VLOOKUP(ТабПозиции[[#This Row],[orderNum]],ТабЗаказы[#Data],MATCH(B$7,ТабЗаказы[#Headers],0),0),"")</f>
        <v>45579</v>
      </c>
      <c r="C1054" t="str">
        <f>MONTH(ТабПозиции[[#This Row],[date]])&amp;"/"&amp;YEAR(ТабПозиции[[#This Row],[date]])</f>
        <v>10/2024</v>
      </c>
      <c r="D1054" s="1" t="str">
        <f>IFERROR(VLOOKUP(ТабПозиции[[#This Row],[orderNum]],ТабЗаказы[#Data],MATCH(D$7,ТабЗаказы[#Headers],0),0),"")</f>
        <v>Елена Гайдар</v>
      </c>
      <c r="E1054" s="32" t="s">
        <v>1504</v>
      </c>
      <c r="F1054" s="56" t="s">
        <v>3061</v>
      </c>
      <c r="H1054" s="34">
        <v>45582</v>
      </c>
      <c r="I1054" s="26">
        <v>1</v>
      </c>
      <c r="J1054" s="26">
        <v>511</v>
      </c>
      <c r="K1054">
        <v>511</v>
      </c>
      <c r="L1054" s="26">
        <v>538</v>
      </c>
      <c r="M1054">
        <f t="shared" si="20"/>
        <v>538</v>
      </c>
      <c r="O105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Row],[orderNum]],ТабПозиции[orderSumm])&gt;1500),ABS(M1054*VLOOKUP(ТабПозиции[[#This Row],[orderNum]],ТабЗаказы[#Data],MATCH("Percent",ТабЗаказы[#Headers],0),0))/100,200/COUNTIF(ТабПозиции[orderNum],ТабПозиции[[#This Row],[orderNum]])),0),"")</f>
        <v>81</v>
      </c>
      <c r="P1054">
        <f>IF(OR(ТабПозиции[[#This Row],[item]]="По штрихкоду",ТабПозиции[[#This Row],[item]]="Посылка"),ТабПозиции[[#This Row],[deliverySumm]]+ТабПозиции[[#This Row],[deliveryPost]],SUM(M1054:O1054))</f>
        <v>619</v>
      </c>
      <c r="Q1054" s="57">
        <v>619</v>
      </c>
      <c r="R1054" s="62">
        <f>ТабПозиции[[#This Row],[totalSumm]]-ТабПозиции[[#This Row],[payment]]</f>
        <v>0</v>
      </c>
      <c r="S1054" s="34" t="s">
        <v>965</v>
      </c>
      <c r="T1054" s="56" t="s">
        <v>3061</v>
      </c>
      <c r="U1054" s="56" t="s">
        <v>3061</v>
      </c>
      <c r="V1054" s="56" t="s">
        <v>3061</v>
      </c>
      <c r="W1054" s="7"/>
      <c r="X1054"/>
    </row>
    <row r="1055" spans="1:24" x14ac:dyDescent="0.25">
      <c r="A1055" s="26">
        <v>293</v>
      </c>
      <c r="B1055" s="1">
        <f>IFERROR(VLOOKUP(ТабПозиции[[#This Row],[orderNum]],ТабЗаказы[#Data],MATCH(B$7,ТабЗаказы[#Headers],0),0),"")</f>
        <v>45579</v>
      </c>
      <c r="C1055" t="str">
        <f>MONTH(ТабПозиции[[#This Row],[date]])&amp;"/"&amp;YEAR(ТабПозиции[[#This Row],[date]])</f>
        <v>10/2024</v>
      </c>
      <c r="D1055" s="1" t="str">
        <f>IFERROR(VLOOKUP(ТабПозиции[[#This Row],[orderNum]],ТабЗаказы[#Data],MATCH(D$7,ТабЗаказы[#Headers],0),0),"")</f>
        <v>Елена Гайдар</v>
      </c>
      <c r="E1055" s="32" t="s">
        <v>1649</v>
      </c>
      <c r="F1055" s="56" t="s">
        <v>3061</v>
      </c>
      <c r="H1055" s="34">
        <v>45582</v>
      </c>
      <c r="I1055" s="26">
        <v>1</v>
      </c>
      <c r="J1055" s="26">
        <v>267</v>
      </c>
      <c r="K1055">
        <v>267</v>
      </c>
      <c r="L1055" s="26">
        <v>282</v>
      </c>
      <c r="M1055">
        <f t="shared" si="20"/>
        <v>282</v>
      </c>
      <c r="O105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Row],[orderNum]],ТабПозиции[orderSumm])&gt;1500),ABS(M1055*VLOOKUP(ТабПозиции[[#This Row],[orderNum]],ТабЗаказы[#Data],MATCH("Percent",ТабЗаказы[#Headers],0),0))/100,200/COUNTIF(ТабПозиции[orderNum],ТабПозиции[[#This Row],[orderNum]])),0),"")</f>
        <v>42</v>
      </c>
      <c r="P1055">
        <f>IF(OR(ТабПозиции[[#This Row],[item]]="По штрихкоду",ТабПозиции[[#This Row],[item]]="Посылка"),ТабПозиции[[#This Row],[deliverySumm]]+ТабПозиции[[#This Row],[deliveryPost]],SUM(M1055:O1055))</f>
        <v>324</v>
      </c>
      <c r="Q1055" s="57">
        <v>324</v>
      </c>
      <c r="R1055" s="62">
        <f>ТабПозиции[[#This Row],[totalSumm]]-ТабПозиции[[#This Row],[payment]]</f>
        <v>0</v>
      </c>
      <c r="S1055" s="34" t="s">
        <v>965</v>
      </c>
      <c r="T1055" s="56" t="s">
        <v>3061</v>
      </c>
      <c r="U1055" s="56" t="s">
        <v>3061</v>
      </c>
      <c r="V1055" s="56" t="s">
        <v>3061</v>
      </c>
      <c r="W1055" s="7"/>
      <c r="X1055"/>
    </row>
    <row r="1056" spans="1:24" x14ac:dyDescent="0.25">
      <c r="A1056" s="26">
        <v>293</v>
      </c>
      <c r="B1056" s="1">
        <f>IFERROR(VLOOKUP(ТабПозиции[[#This Row],[orderNum]],ТабЗаказы[#Data],MATCH(B$7,ТабЗаказы[#Headers],0),0),"")</f>
        <v>45579</v>
      </c>
      <c r="C1056" t="str">
        <f>MONTH(ТабПозиции[[#This Row],[date]])&amp;"/"&amp;YEAR(ТабПозиции[[#This Row],[date]])</f>
        <v>10/2024</v>
      </c>
      <c r="D1056" s="1" t="str">
        <f>IFERROR(VLOOKUP(ТабПозиции[[#This Row],[orderNum]],ТабЗаказы[#Data],MATCH(D$7,ТабЗаказы[#Headers],0),0),"")</f>
        <v>Елена Гайдар</v>
      </c>
      <c r="E1056" s="32" t="s">
        <v>1650</v>
      </c>
      <c r="F1056" s="56" t="s">
        <v>3061</v>
      </c>
      <c r="H1056" s="34">
        <v>45581</v>
      </c>
      <c r="I1056" s="26">
        <v>1</v>
      </c>
      <c r="J1056" s="26">
        <v>652</v>
      </c>
      <c r="K1056">
        <v>652</v>
      </c>
      <c r="L1056" s="26">
        <v>687</v>
      </c>
      <c r="M1056">
        <f t="shared" si="20"/>
        <v>687</v>
      </c>
      <c r="O105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Row],[orderNum]],ТабПозиции[orderSumm])&gt;1500),ABS(M1056*VLOOKUP(ТабПозиции[[#This Row],[orderNum]],ТабЗаказы[#Data],MATCH("Percent",ТабЗаказы[#Headers],0),0))/100,200/COUNTIF(ТабПозиции[orderNum],ТабПозиции[[#This Row],[orderNum]])),0),"")</f>
        <v>103</v>
      </c>
      <c r="P1056">
        <f>IF(OR(ТабПозиции[[#This Row],[item]]="По штрихкоду",ТабПозиции[[#This Row],[item]]="Посылка"),ТабПозиции[[#This Row],[deliverySumm]]+ТабПозиции[[#This Row],[deliveryPost]],SUM(M1056:O1056))</f>
        <v>790</v>
      </c>
      <c r="Q1056" s="57">
        <v>790</v>
      </c>
      <c r="R1056" s="62">
        <f>ТабПозиции[[#This Row],[totalSumm]]-ТабПозиции[[#This Row],[payment]]</f>
        <v>0</v>
      </c>
      <c r="S1056" s="34" t="s">
        <v>965</v>
      </c>
      <c r="T1056" s="56" t="s">
        <v>3061</v>
      </c>
      <c r="U1056" s="56" t="s">
        <v>3061</v>
      </c>
      <c r="V1056" s="56" t="s">
        <v>3061</v>
      </c>
      <c r="W1056" s="7"/>
      <c r="X1056"/>
    </row>
    <row r="1057" spans="1:24" x14ac:dyDescent="0.25">
      <c r="A1057" s="26">
        <v>293</v>
      </c>
      <c r="B1057" s="1">
        <f>IFERROR(VLOOKUP(ТабПозиции[[#This Row],[orderNum]],ТабЗаказы[#Data],MATCH(B$7,ТабЗаказы[#Headers],0),0),"")</f>
        <v>45579</v>
      </c>
      <c r="C1057" t="str">
        <f>MONTH(ТабПозиции[[#This Row],[date]])&amp;"/"&amp;YEAR(ТабПозиции[[#This Row],[date]])</f>
        <v>10/2024</v>
      </c>
      <c r="D1057" s="1" t="str">
        <f>IFERROR(VLOOKUP(ТабПозиции[[#This Row],[orderNum]],ТабЗаказы[#Data],MATCH(D$7,ТабЗаказы[#Headers],0),0),"")</f>
        <v>Елена Гайдар</v>
      </c>
      <c r="E1057" s="32" t="s">
        <v>1651</v>
      </c>
      <c r="F1057" s="56" t="s">
        <v>3061</v>
      </c>
      <c r="H1057" s="34">
        <v>45585</v>
      </c>
      <c r="I1057" s="26">
        <v>2</v>
      </c>
      <c r="J1057" s="26">
        <v>171</v>
      </c>
      <c r="K1057">
        <v>342</v>
      </c>
      <c r="L1057" s="26">
        <v>180</v>
      </c>
      <c r="M1057">
        <f t="shared" si="20"/>
        <v>360</v>
      </c>
      <c r="O105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Row],[orderNum]],ТабПозиции[orderSumm])&gt;1500),ABS(M1057*VLOOKUP(ТабПозиции[[#This Row],[orderNum]],ТабЗаказы[#Data],MATCH("Percent",ТабЗаказы[#Headers],0),0))/100,200/COUNTIF(ТабПозиции[orderNum],ТабПозиции[[#This Row],[orderNum]])),0),"")</f>
        <v>54</v>
      </c>
      <c r="P1057">
        <f>IF(OR(ТабПозиции[[#This Row],[item]]="По штрихкоду",ТабПозиции[[#This Row],[item]]="Посылка"),ТабПозиции[[#This Row],[deliverySumm]]+ТабПозиции[[#This Row],[deliveryPost]],SUM(M1057:O1057))</f>
        <v>414</v>
      </c>
      <c r="Q1057" s="57">
        <v>414</v>
      </c>
      <c r="R1057" s="62">
        <f>ТабПозиции[[#This Row],[totalSumm]]-ТабПозиции[[#This Row],[payment]]</f>
        <v>0</v>
      </c>
      <c r="S1057" s="34" t="s">
        <v>965</v>
      </c>
      <c r="T1057" s="56" t="s">
        <v>3061</v>
      </c>
      <c r="U1057" s="56" t="s">
        <v>3061</v>
      </c>
      <c r="V1057" s="56" t="s">
        <v>3061</v>
      </c>
      <c r="W1057" s="7"/>
      <c r="X1057"/>
    </row>
    <row r="1058" spans="1:24" x14ac:dyDescent="0.25">
      <c r="A1058" s="26">
        <v>293</v>
      </c>
      <c r="B1058" s="1">
        <f>IFERROR(VLOOKUP(ТабПозиции[[#This Row],[orderNum]],ТабЗаказы[#Data],MATCH(B$7,ТабЗаказы[#Headers],0),0),"")</f>
        <v>45579</v>
      </c>
      <c r="C1058" t="str">
        <f>MONTH(ТабПозиции[[#This Row],[date]])&amp;"/"&amp;YEAR(ТабПозиции[[#This Row],[date]])</f>
        <v>10/2024</v>
      </c>
      <c r="D1058" s="1" t="str">
        <f>IFERROR(VLOOKUP(ТабПозиции[[#This Row],[orderNum]],ТабЗаказы[#Data],MATCH(D$7,ТабЗаказы[#Headers],0),0),"")</f>
        <v>Елена Гайдар</v>
      </c>
      <c r="E1058" s="32" t="s">
        <v>1652</v>
      </c>
      <c r="F1058" s="56" t="s">
        <v>3061</v>
      </c>
      <c r="H1058" s="34">
        <v>45583</v>
      </c>
      <c r="I1058" s="26">
        <v>2</v>
      </c>
      <c r="J1058" s="26">
        <v>320</v>
      </c>
      <c r="K1058">
        <v>640</v>
      </c>
      <c r="L1058" s="26">
        <v>337</v>
      </c>
      <c r="M1058">
        <f t="shared" si="20"/>
        <v>674</v>
      </c>
      <c r="O105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Row],[orderNum]],ТабПозиции[orderSumm])&gt;1500),ABS(M1058*VLOOKUP(ТабПозиции[[#This Row],[orderNum]],ТабЗаказы[#Data],MATCH("Percent",ТабЗаказы[#Headers],0),0))/100,200/COUNTIF(ТабПозиции[orderNum],ТабПозиции[[#This Row],[orderNum]])),0),"")</f>
        <v>101</v>
      </c>
      <c r="P1058">
        <f>IF(OR(ТабПозиции[[#This Row],[item]]="По штрихкоду",ТабПозиции[[#This Row],[item]]="Посылка"),ТабПозиции[[#This Row],[deliverySumm]]+ТабПозиции[[#This Row],[deliveryPost]],SUM(M1058:O1058))</f>
        <v>775</v>
      </c>
      <c r="Q1058" s="57">
        <v>775</v>
      </c>
      <c r="R1058" s="62">
        <f>ТабПозиции[[#This Row],[totalSumm]]-ТабПозиции[[#This Row],[payment]]</f>
        <v>0</v>
      </c>
      <c r="S1058" s="34" t="s">
        <v>965</v>
      </c>
      <c r="T1058" s="56" t="s">
        <v>3061</v>
      </c>
      <c r="U1058" s="56" t="s">
        <v>3061</v>
      </c>
      <c r="V1058" s="56" t="s">
        <v>3061</v>
      </c>
      <c r="W1058" s="7"/>
      <c r="X1058"/>
    </row>
    <row r="1059" spans="1:24" x14ac:dyDescent="0.25">
      <c r="A1059" s="26">
        <v>294</v>
      </c>
      <c r="B1059" s="1">
        <f>IFERROR(VLOOKUP(ТабПозиции[[#This Row],[orderNum]],ТабЗаказы[#Data],MATCH(B$7,ТабЗаказы[#Headers],0),0),"")</f>
        <v>45580</v>
      </c>
      <c r="C1059" t="str">
        <f>MONTH(ТабПозиции[[#This Row],[date]])&amp;"/"&amp;YEAR(ТабПозиции[[#This Row],[date]])</f>
        <v>10/2024</v>
      </c>
      <c r="D1059" s="1" t="str">
        <f>IFERROR(VLOOKUP(ТабПозиции[[#This Row],[orderNum]],ТабЗаказы[#Data],MATCH(D$7,ТабЗаказы[#Headers],0),0),"")</f>
        <v>Галина Агабекова(церковь)</v>
      </c>
      <c r="E1059" s="32" t="s">
        <v>1529</v>
      </c>
      <c r="F1059" s="56" t="s">
        <v>3061</v>
      </c>
      <c r="H1059" s="34">
        <v>45590</v>
      </c>
      <c r="I1059" s="26">
        <v>1</v>
      </c>
      <c r="J1059" s="26">
        <v>370</v>
      </c>
      <c r="K1059">
        <v>370</v>
      </c>
      <c r="L1059" s="26">
        <v>398</v>
      </c>
      <c r="M1059">
        <f t="shared" si="20"/>
        <v>398</v>
      </c>
      <c r="O105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Row],[orderNum]],ТабПозиции[orderSumm])&gt;1500),ABS(M1059*VLOOKUP(ТабПозиции[[#This Row],[orderNum]],ТабЗаказы[#Data],MATCH("Percent",ТабЗаказы[#Headers],0),0))/100,200/COUNTIF(ТабПозиции[orderNum],ТабПозиции[[#This Row],[orderNum]])),0),"")</f>
        <v>60</v>
      </c>
      <c r="P1059">
        <f>IF(OR(ТабПозиции[[#This Row],[item]]="По штрихкоду",ТабПозиции[[#This Row],[item]]="Посылка"),ТабПозиции[[#This Row],[deliverySumm]]+ТабПозиции[[#This Row],[deliveryPost]],SUM(M1059:O1059))</f>
        <v>458</v>
      </c>
      <c r="Q1059" s="57">
        <v>458</v>
      </c>
      <c r="R1059" s="62">
        <f>ТабПозиции[[#This Row],[totalSumm]]-ТабПозиции[[#This Row],[payment]]</f>
        <v>0</v>
      </c>
      <c r="S1059" s="34" t="s">
        <v>955</v>
      </c>
      <c r="T1059" s="56" t="s">
        <v>3061</v>
      </c>
      <c r="U1059" s="56" t="s">
        <v>3061</v>
      </c>
      <c r="V1059" s="56" t="s">
        <v>3061</v>
      </c>
      <c r="W1059" s="7"/>
      <c r="X1059"/>
    </row>
    <row r="1060" spans="1:24" x14ac:dyDescent="0.25">
      <c r="A1060" s="26">
        <v>294</v>
      </c>
      <c r="B1060" s="1">
        <f>IFERROR(VLOOKUP(ТабПозиции[[#This Row],[orderNum]],ТабЗаказы[#Data],MATCH(B$7,ТабЗаказы[#Headers],0),0),"")</f>
        <v>45580</v>
      </c>
      <c r="C1060" t="str">
        <f>MONTH(ТабПозиции[[#This Row],[date]])&amp;"/"&amp;YEAR(ТабПозиции[[#This Row],[date]])</f>
        <v>10/2024</v>
      </c>
      <c r="D1060" s="1" t="str">
        <f>IFERROR(VLOOKUP(ТабПозиции[[#This Row],[orderNum]],ТабЗаказы[#Data],MATCH(D$7,ТабЗаказы[#Headers],0),0),"")</f>
        <v>Галина Агабекова(церковь)</v>
      </c>
      <c r="E1060" s="32" t="s">
        <v>1653</v>
      </c>
      <c r="F1060" s="56" t="s">
        <v>3061</v>
      </c>
      <c r="H1060" s="34">
        <v>45583</v>
      </c>
      <c r="I1060" s="26">
        <v>7</v>
      </c>
      <c r="J1060" s="26">
        <v>269</v>
      </c>
      <c r="K1060">
        <v>1883</v>
      </c>
      <c r="L1060" s="26">
        <v>275</v>
      </c>
      <c r="M1060">
        <f t="shared" si="20"/>
        <v>1925</v>
      </c>
      <c r="O106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Row],[orderNum]],ТабПозиции[orderSumm])&gt;1500),ABS(M1060*VLOOKUP(ТабПозиции[[#This Row],[orderNum]],ТабЗаказы[#Data],MATCH("Percent",ТабЗаказы[#Headers],0),0))/100,200/COUNTIF(ТабПозиции[orderNum],ТабПозиции[[#This Row],[orderNum]])),0),"")</f>
        <v>289</v>
      </c>
      <c r="P1060">
        <f>IF(OR(ТабПозиции[[#This Row],[item]]="По штрихкоду",ТабПозиции[[#This Row],[item]]="Посылка"),ТабПозиции[[#This Row],[deliverySumm]]+ТабПозиции[[#This Row],[deliveryPost]],SUM(M1060:O1060))</f>
        <v>2214</v>
      </c>
      <c r="Q1060" s="57">
        <v>2214</v>
      </c>
      <c r="R1060" s="62">
        <f>ТабПозиции[[#This Row],[totalSumm]]-ТабПозиции[[#This Row],[payment]]</f>
        <v>0</v>
      </c>
      <c r="S1060" s="34" t="s">
        <v>955</v>
      </c>
      <c r="T1060" s="56" t="s">
        <v>3061</v>
      </c>
      <c r="U1060" s="56" t="s">
        <v>3061</v>
      </c>
      <c r="V1060" s="56" t="s">
        <v>3061</v>
      </c>
      <c r="W1060" s="7"/>
      <c r="X1060"/>
    </row>
    <row r="1061" spans="1:24" x14ac:dyDescent="0.25">
      <c r="A1061" s="26">
        <v>295</v>
      </c>
      <c r="B1061" s="1">
        <f>IFERROR(VLOOKUP(ТабПозиции[[#This Row],[orderNum]],ТабЗаказы[#Data],MATCH(B$7,ТабЗаказы[#Headers],0),0),"")</f>
        <v>45580</v>
      </c>
      <c r="C1061" t="str">
        <f>MONTH(ТабПозиции[[#This Row],[date]])&amp;"/"&amp;YEAR(ТабПозиции[[#This Row],[date]])</f>
        <v>10/2024</v>
      </c>
      <c r="D1061" s="1" t="str">
        <f>IFERROR(VLOOKUP(ТабПозиции[[#This Row],[orderNum]],ТабЗаказы[#Data],MATCH(D$7,ТабЗаказы[#Headers],0),0),"")</f>
        <v>Юля Ларисына</v>
      </c>
      <c r="E1061" s="32" t="s">
        <v>1654</v>
      </c>
      <c r="F1061" s="56" t="s">
        <v>3061</v>
      </c>
      <c r="H1061" s="34">
        <v>45584</v>
      </c>
      <c r="I1061" s="26">
        <v>1</v>
      </c>
      <c r="J1061" s="26">
        <v>386</v>
      </c>
      <c r="K1061">
        <v>386</v>
      </c>
      <c r="L1061" s="26">
        <v>407</v>
      </c>
      <c r="M1061">
        <f t="shared" si="20"/>
        <v>407</v>
      </c>
      <c r="O106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Row],[orderNum]],ТабПозиции[orderSumm])&gt;1500),ABS(M1061*VLOOKUP(ТабПозиции[[#This Row],[orderNum]],ТабЗаказы[#Data],MATCH("Percent",ТабЗаказы[#Headers],0),0))/100,200/COUNTIF(ТабПозиции[orderNum],ТабПозиции[[#This Row],[orderNum]])),0),"")</f>
        <v>61</v>
      </c>
      <c r="P1061">
        <f>IF(OR(ТабПозиции[[#This Row],[item]]="По штрихкоду",ТабПозиции[[#This Row],[item]]="Посылка"),ТабПозиции[[#This Row],[deliverySumm]]+ТабПозиции[[#This Row],[deliveryPost]],SUM(M1061:O1061))</f>
        <v>468</v>
      </c>
      <c r="Q1061" s="57">
        <v>468</v>
      </c>
      <c r="R1061" s="62">
        <f>ТабПозиции[[#This Row],[totalSumm]]-ТабПозиции[[#This Row],[payment]]</f>
        <v>0</v>
      </c>
      <c r="S1061" s="34" t="s">
        <v>965</v>
      </c>
      <c r="T1061" s="56" t="s">
        <v>3061</v>
      </c>
      <c r="U1061" s="56" t="s">
        <v>3061</v>
      </c>
      <c r="V1061" s="56" t="s">
        <v>3061</v>
      </c>
      <c r="W1061" s="7"/>
      <c r="X1061"/>
    </row>
    <row r="1062" spans="1:24" x14ac:dyDescent="0.25">
      <c r="A1062" s="26">
        <v>295</v>
      </c>
      <c r="B1062" s="1">
        <f>IFERROR(VLOOKUP(ТабПозиции[[#This Row],[orderNum]],ТабЗаказы[#Data],MATCH(B$7,ТабЗаказы[#Headers],0),0),"")</f>
        <v>45580</v>
      </c>
      <c r="C1062" t="str">
        <f>MONTH(ТабПозиции[[#This Row],[date]])&amp;"/"&amp;YEAR(ТабПозиции[[#This Row],[date]])</f>
        <v>10/2024</v>
      </c>
      <c r="D1062" s="1" t="str">
        <f>IFERROR(VLOOKUP(ТабПозиции[[#This Row],[orderNum]],ТабЗаказы[#Data],MATCH(D$7,ТабЗаказы[#Headers],0),0),"")</f>
        <v>Юля Ларисына</v>
      </c>
      <c r="E1062" s="32" t="s">
        <v>1251</v>
      </c>
      <c r="F1062" s="56" t="s">
        <v>3061</v>
      </c>
      <c r="H1062" s="34">
        <v>45582</v>
      </c>
      <c r="I1062" s="26">
        <v>1</v>
      </c>
      <c r="J1062" s="26">
        <v>136</v>
      </c>
      <c r="K1062">
        <v>136</v>
      </c>
      <c r="L1062" s="26">
        <v>144</v>
      </c>
      <c r="M1062">
        <f t="shared" si="20"/>
        <v>144</v>
      </c>
      <c r="O106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Row],[orderNum]],ТабПозиции[orderSumm])&gt;1500),ABS(M1062*VLOOKUP(ТабПозиции[[#This Row],[orderNum]],ТабЗаказы[#Data],MATCH("Percent",ТабЗаказы[#Headers],0),0))/100,200/COUNTIF(ТабПозиции[orderNum],ТабПозиции[[#This Row],[orderNum]])),0),"")</f>
        <v>22</v>
      </c>
      <c r="P1062">
        <f>IF(OR(ТабПозиции[[#This Row],[item]]="По штрихкоду",ТабПозиции[[#This Row],[item]]="Посылка"),ТабПозиции[[#This Row],[deliverySumm]]+ТабПозиции[[#This Row],[deliveryPost]],SUM(M1062:O1062))</f>
        <v>166</v>
      </c>
      <c r="Q1062" s="57">
        <v>166</v>
      </c>
      <c r="R1062" s="62">
        <f>ТабПозиции[[#This Row],[totalSumm]]-ТабПозиции[[#This Row],[payment]]</f>
        <v>0</v>
      </c>
      <c r="S1062" s="34" t="s">
        <v>965</v>
      </c>
      <c r="T1062" s="56" t="s">
        <v>3061</v>
      </c>
      <c r="U1062" s="56" t="s">
        <v>3061</v>
      </c>
      <c r="V1062" s="56" t="s">
        <v>3061</v>
      </c>
      <c r="W1062" s="7"/>
      <c r="X1062"/>
    </row>
    <row r="1063" spans="1:24" x14ac:dyDescent="0.25">
      <c r="A1063" s="26">
        <v>295</v>
      </c>
      <c r="B1063" s="1">
        <f>IFERROR(VLOOKUP(ТабПозиции[[#This Row],[orderNum]],ТабЗаказы[#Data],MATCH(B$7,ТабЗаказы[#Headers],0),0),"")</f>
        <v>45580</v>
      </c>
      <c r="C1063" t="str">
        <f>MONTH(ТабПозиции[[#This Row],[date]])&amp;"/"&amp;YEAR(ТабПозиции[[#This Row],[date]])</f>
        <v>10/2024</v>
      </c>
      <c r="D1063" s="1" t="str">
        <f>IFERROR(VLOOKUP(ТабПозиции[[#This Row],[orderNum]],ТабЗаказы[#Data],MATCH(D$7,ТабЗаказы[#Headers],0),0),"")</f>
        <v>Юля Ларисына</v>
      </c>
      <c r="E1063" s="32" t="s">
        <v>1655</v>
      </c>
      <c r="F1063" s="56" t="s">
        <v>3061</v>
      </c>
      <c r="H1063" s="34">
        <v>45583</v>
      </c>
      <c r="I1063" s="26">
        <v>1</v>
      </c>
      <c r="J1063" s="26">
        <v>240</v>
      </c>
      <c r="K1063">
        <v>240</v>
      </c>
      <c r="L1063" s="26">
        <v>253</v>
      </c>
      <c r="M1063">
        <f t="shared" si="20"/>
        <v>253</v>
      </c>
      <c r="O106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Row],[orderNum]],ТабПозиции[orderSumm])&gt;1500),ABS(M1063*VLOOKUP(ТабПозиции[[#This Row],[orderNum]],ТабЗаказы[#Data],MATCH("Percent",ТабЗаказы[#Headers],0),0))/100,200/COUNTIF(ТабПозиции[orderNum],ТабПозиции[[#This Row],[orderNum]])),0),"")</f>
        <v>38</v>
      </c>
      <c r="P1063">
        <f>IF(OR(ТабПозиции[[#This Row],[item]]="По штрихкоду",ТабПозиции[[#This Row],[item]]="Посылка"),ТабПозиции[[#This Row],[deliverySumm]]+ТабПозиции[[#This Row],[deliveryPost]],SUM(M1063:O1063))</f>
        <v>291</v>
      </c>
      <c r="Q1063" s="57">
        <v>291</v>
      </c>
      <c r="R1063" s="62">
        <f>ТабПозиции[[#This Row],[totalSumm]]-ТабПозиции[[#This Row],[payment]]</f>
        <v>0</v>
      </c>
      <c r="S1063" s="34" t="s">
        <v>965</v>
      </c>
      <c r="T1063" s="56" t="s">
        <v>3061</v>
      </c>
      <c r="U1063" s="56" t="s">
        <v>3061</v>
      </c>
      <c r="V1063" s="56" t="s">
        <v>3061</v>
      </c>
      <c r="W1063" s="7"/>
      <c r="X1063"/>
    </row>
    <row r="1064" spans="1:24" x14ac:dyDescent="0.25">
      <c r="A1064" s="26">
        <v>295</v>
      </c>
      <c r="B1064" s="1">
        <f>IFERROR(VLOOKUP(ТабПозиции[[#This Row],[orderNum]],ТабЗаказы[#Data],MATCH(B$7,ТабЗаказы[#Headers],0),0),"")</f>
        <v>45580</v>
      </c>
      <c r="C1064" t="str">
        <f>MONTH(ТабПозиции[[#This Row],[date]])&amp;"/"&amp;YEAR(ТабПозиции[[#This Row],[date]])</f>
        <v>10/2024</v>
      </c>
      <c r="D1064" s="1" t="str">
        <f>IFERROR(VLOOKUP(ТабПозиции[[#This Row],[orderNum]],ТабЗаказы[#Data],MATCH(D$7,ТабЗаказы[#Headers],0),0),"")</f>
        <v>Юля Ларисына</v>
      </c>
      <c r="E1064" s="32" t="s">
        <v>1656</v>
      </c>
      <c r="F1064" s="56" t="s">
        <v>3061</v>
      </c>
      <c r="H1064" s="34">
        <v>45586</v>
      </c>
      <c r="I1064" s="26">
        <v>1</v>
      </c>
      <c r="J1064" s="26">
        <v>481</v>
      </c>
      <c r="K1064">
        <v>481</v>
      </c>
      <c r="L1064" s="26">
        <v>507</v>
      </c>
      <c r="M1064">
        <f t="shared" si="20"/>
        <v>507</v>
      </c>
      <c r="O106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Row],[orderNum]],ТабПозиции[orderSumm])&gt;1500),ABS(M1064*VLOOKUP(ТабПозиции[[#This Row],[orderNum]],ТабЗаказы[#Data],MATCH("Percent",ТабЗаказы[#Headers],0),0))/100,200/COUNTIF(ТабПозиции[orderNum],ТабПозиции[[#This Row],[orderNum]])),0),"")</f>
        <v>76</v>
      </c>
      <c r="P1064">
        <f>IF(OR(ТабПозиции[[#This Row],[item]]="По штрихкоду",ТабПозиции[[#This Row],[item]]="Посылка"),ТабПозиции[[#This Row],[deliverySumm]]+ТабПозиции[[#This Row],[deliveryPost]],SUM(M1064:O1064))</f>
        <v>583</v>
      </c>
      <c r="Q1064" s="57">
        <v>583</v>
      </c>
      <c r="R1064" s="62">
        <f>ТабПозиции[[#This Row],[totalSumm]]-ТабПозиции[[#This Row],[payment]]</f>
        <v>0</v>
      </c>
      <c r="S1064" s="34" t="s">
        <v>965</v>
      </c>
      <c r="T1064" s="56" t="s">
        <v>3061</v>
      </c>
      <c r="U1064" s="56" t="s">
        <v>3061</v>
      </c>
      <c r="V1064" s="56" t="s">
        <v>3061</v>
      </c>
      <c r="W1064" s="7"/>
      <c r="X1064"/>
    </row>
    <row r="1065" spans="1:24" x14ac:dyDescent="0.25">
      <c r="A1065" s="26">
        <v>295</v>
      </c>
      <c r="B1065" s="1">
        <f>IFERROR(VLOOKUP(ТабПозиции[[#This Row],[orderNum]],ТабЗаказы[#Data],MATCH(B$7,ТабЗаказы[#Headers],0),0),"")</f>
        <v>45580</v>
      </c>
      <c r="C1065" t="str">
        <f>MONTH(ТабПозиции[[#This Row],[date]])&amp;"/"&amp;YEAR(ТабПозиции[[#This Row],[date]])</f>
        <v>10/2024</v>
      </c>
      <c r="D1065" s="1" t="str">
        <f>IFERROR(VLOOKUP(ТабПозиции[[#This Row],[orderNum]],ТабЗаказы[#Data],MATCH(D$7,ТабЗаказы[#Headers],0),0),"")</f>
        <v>Юля Ларисына</v>
      </c>
      <c r="E1065" s="32" t="s">
        <v>1657</v>
      </c>
      <c r="F1065" s="56" t="s">
        <v>3061</v>
      </c>
      <c r="H1065" s="34">
        <v>45582</v>
      </c>
      <c r="I1065" s="26">
        <v>1</v>
      </c>
      <c r="J1065" s="26">
        <v>169</v>
      </c>
      <c r="K1065">
        <v>169</v>
      </c>
      <c r="L1065" s="26">
        <v>178</v>
      </c>
      <c r="M1065">
        <f t="shared" si="20"/>
        <v>178</v>
      </c>
      <c r="O106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Row],[orderNum]],ТабПозиции[orderSumm])&gt;1500),ABS(M1065*VLOOKUP(ТабПозиции[[#This Row],[orderNum]],ТабЗаказы[#Data],MATCH("Percent",ТабЗаказы[#Headers],0),0))/100,200/COUNTIF(ТабПозиции[orderNum],ТабПозиции[[#This Row],[orderNum]])),0),"")</f>
        <v>27</v>
      </c>
      <c r="P1065">
        <f>IF(OR(ТабПозиции[[#This Row],[item]]="По штрихкоду",ТабПозиции[[#This Row],[item]]="Посылка"),ТабПозиции[[#This Row],[deliverySumm]]+ТабПозиции[[#This Row],[deliveryPost]],SUM(M1065:O1065))</f>
        <v>205</v>
      </c>
      <c r="Q1065" s="57">
        <v>205</v>
      </c>
      <c r="R1065" s="62">
        <f>ТабПозиции[[#This Row],[totalSumm]]-ТабПозиции[[#This Row],[payment]]</f>
        <v>0</v>
      </c>
      <c r="S1065" s="34" t="s">
        <v>965</v>
      </c>
      <c r="T1065" s="56" t="s">
        <v>3061</v>
      </c>
      <c r="U1065" s="56" t="s">
        <v>3061</v>
      </c>
      <c r="V1065" s="56" t="s">
        <v>3061</v>
      </c>
      <c r="W1065" s="7"/>
      <c r="X1065"/>
    </row>
    <row r="1066" spans="1:24" x14ac:dyDescent="0.25">
      <c r="A1066" s="26">
        <v>295</v>
      </c>
      <c r="B1066" s="1">
        <f>IFERROR(VLOOKUP(ТабПозиции[[#This Row],[orderNum]],ТабЗаказы[#Data],MATCH(B$7,ТабЗаказы[#Headers],0),0),"")</f>
        <v>45580</v>
      </c>
      <c r="C1066" t="str">
        <f>MONTH(ТабПозиции[[#This Row],[date]])&amp;"/"&amp;YEAR(ТабПозиции[[#This Row],[date]])</f>
        <v>10/2024</v>
      </c>
      <c r="D1066" s="1" t="str">
        <f>IFERROR(VLOOKUP(ТабПозиции[[#This Row],[orderNum]],ТабЗаказы[#Data],MATCH(D$7,ТабЗаказы[#Headers],0),0),"")</f>
        <v>Юля Ларисына</v>
      </c>
      <c r="E1066" s="32" t="s">
        <v>1658</v>
      </c>
      <c r="F1066" s="56" t="s">
        <v>3061</v>
      </c>
      <c r="H1066" s="34">
        <v>45584</v>
      </c>
      <c r="I1066" s="26">
        <v>1</v>
      </c>
      <c r="J1066" s="26">
        <v>478</v>
      </c>
      <c r="K1066">
        <v>478</v>
      </c>
      <c r="L1066" s="26">
        <v>504</v>
      </c>
      <c r="M1066">
        <f t="shared" si="20"/>
        <v>504</v>
      </c>
      <c r="O106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Row],[orderNum]],ТабПозиции[orderSumm])&gt;1500),ABS(M1066*VLOOKUP(ТабПозиции[[#This Row],[orderNum]],ТабЗаказы[#Data],MATCH("Percent",ТабЗаказы[#Headers],0),0))/100,200/COUNTIF(ТабПозиции[orderNum],ТабПозиции[[#This Row],[orderNum]])),0),"")</f>
        <v>76</v>
      </c>
      <c r="P1066">
        <f>IF(OR(ТабПозиции[[#This Row],[item]]="По штрихкоду",ТабПозиции[[#This Row],[item]]="Посылка"),ТабПозиции[[#This Row],[deliverySumm]]+ТабПозиции[[#This Row],[deliveryPost]],SUM(M1066:O1066))</f>
        <v>580</v>
      </c>
      <c r="Q1066" s="57">
        <v>580</v>
      </c>
      <c r="R1066" s="62">
        <f>ТабПозиции[[#This Row],[totalSumm]]-ТабПозиции[[#This Row],[payment]]</f>
        <v>0</v>
      </c>
      <c r="S1066" s="34" t="s">
        <v>965</v>
      </c>
      <c r="T1066" s="56" t="s">
        <v>3061</v>
      </c>
      <c r="U1066" s="56" t="s">
        <v>3061</v>
      </c>
      <c r="V1066" s="56" t="s">
        <v>3061</v>
      </c>
      <c r="W1066" s="7"/>
      <c r="X1066"/>
    </row>
    <row r="1067" spans="1:24" x14ac:dyDescent="0.25">
      <c r="A1067" s="26">
        <v>295</v>
      </c>
      <c r="B1067" s="1">
        <f>IFERROR(VLOOKUP(ТабПозиции[[#This Row],[orderNum]],ТабЗаказы[#Data],MATCH(B$7,ТабЗаказы[#Headers],0),0),"")</f>
        <v>45580</v>
      </c>
      <c r="C1067" t="str">
        <f>MONTH(ТабПозиции[[#This Row],[date]])&amp;"/"&amp;YEAR(ТабПозиции[[#This Row],[date]])</f>
        <v>10/2024</v>
      </c>
      <c r="D1067" s="1" t="str">
        <f>IFERROR(VLOOKUP(ТабПозиции[[#This Row],[orderNum]],ТабЗаказы[#Data],MATCH(D$7,ТабЗаказы[#Headers],0),0),"")</f>
        <v>Юля Ларисына</v>
      </c>
      <c r="E1067" s="32" t="s">
        <v>663</v>
      </c>
      <c r="F1067" s="56" t="s">
        <v>3061</v>
      </c>
      <c r="H1067" s="34">
        <v>45583</v>
      </c>
      <c r="I1067" s="26">
        <v>1</v>
      </c>
      <c r="J1067" s="26">
        <v>270</v>
      </c>
      <c r="K1067">
        <v>270</v>
      </c>
      <c r="L1067" s="26">
        <v>285</v>
      </c>
      <c r="M1067">
        <f t="shared" si="20"/>
        <v>285</v>
      </c>
      <c r="O106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Row],[orderNum]],ТабПозиции[orderSumm])&gt;1500),ABS(M1067*VLOOKUP(ТабПозиции[[#This Row],[orderNum]],ТабЗаказы[#Data],MATCH("Percent",ТабЗаказы[#Headers],0),0))/100,200/COUNTIF(ТабПозиции[orderNum],ТабПозиции[[#This Row],[orderNum]])),0),"")</f>
        <v>43</v>
      </c>
      <c r="P1067">
        <f>IF(OR(ТабПозиции[[#This Row],[item]]="По штрихкоду",ТабПозиции[[#This Row],[item]]="Посылка"),ТабПозиции[[#This Row],[deliverySumm]]+ТабПозиции[[#This Row],[deliveryPost]],SUM(M1067:O1067))</f>
        <v>328</v>
      </c>
      <c r="Q1067" s="57">
        <v>328</v>
      </c>
      <c r="R1067" s="62">
        <f>ТабПозиции[[#This Row],[totalSumm]]-ТабПозиции[[#This Row],[payment]]</f>
        <v>0</v>
      </c>
      <c r="S1067" s="34" t="s">
        <v>965</v>
      </c>
      <c r="T1067" s="56" t="s">
        <v>3061</v>
      </c>
      <c r="U1067" s="56" t="s">
        <v>3061</v>
      </c>
      <c r="V1067" s="56" t="s">
        <v>3061</v>
      </c>
      <c r="W1067" s="7"/>
      <c r="X1067"/>
    </row>
    <row r="1068" spans="1:24" x14ac:dyDescent="0.25">
      <c r="A1068" s="26">
        <v>295</v>
      </c>
      <c r="B1068" s="1">
        <f>IFERROR(VLOOKUP(ТабПозиции[[#This Row],[orderNum]],ТабЗаказы[#Data],MATCH(B$7,ТабЗаказы[#Headers],0),0),"")</f>
        <v>45580</v>
      </c>
      <c r="C1068" t="str">
        <f>MONTH(ТабПозиции[[#This Row],[date]])&amp;"/"&amp;YEAR(ТабПозиции[[#This Row],[date]])</f>
        <v>10/2024</v>
      </c>
      <c r="D1068" s="1" t="str">
        <f>IFERROR(VLOOKUP(ТабПозиции[[#This Row],[orderNum]],ТабЗаказы[#Data],MATCH(D$7,ТабЗаказы[#Headers],0),0),"")</f>
        <v>Юля Ларисына</v>
      </c>
      <c r="E1068" s="32" t="s">
        <v>1659</v>
      </c>
      <c r="F1068" s="56" t="s">
        <v>3061</v>
      </c>
      <c r="H1068" s="34">
        <v>45583</v>
      </c>
      <c r="I1068" s="26">
        <v>1</v>
      </c>
      <c r="J1068" s="26">
        <v>263</v>
      </c>
      <c r="K1068">
        <v>263</v>
      </c>
      <c r="L1068" s="26">
        <v>277</v>
      </c>
      <c r="M1068">
        <f t="shared" si="20"/>
        <v>277</v>
      </c>
      <c r="O106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Row],[orderNum]],ТабПозиции[orderSumm])&gt;1500),ABS(M1068*VLOOKUP(ТабПозиции[[#This Row],[orderNum]],ТабЗаказы[#Data],MATCH("Percent",ТабЗаказы[#Headers],0),0))/100,200/COUNTIF(ТабПозиции[orderNum],ТабПозиции[[#This Row],[orderNum]])),0),"")</f>
        <v>42</v>
      </c>
      <c r="P1068">
        <f>IF(OR(ТабПозиции[[#This Row],[item]]="По штрихкоду",ТабПозиции[[#This Row],[item]]="Посылка"),ТабПозиции[[#This Row],[deliverySumm]]+ТабПозиции[[#This Row],[deliveryPost]],SUM(M1068:O1068))</f>
        <v>319</v>
      </c>
      <c r="Q1068" s="57">
        <v>319</v>
      </c>
      <c r="R1068" s="62">
        <f>ТабПозиции[[#This Row],[totalSumm]]-ТабПозиции[[#This Row],[payment]]</f>
        <v>0</v>
      </c>
      <c r="S1068" s="34" t="s">
        <v>965</v>
      </c>
      <c r="T1068" s="56" t="s">
        <v>3061</v>
      </c>
      <c r="U1068" s="56" t="s">
        <v>3061</v>
      </c>
      <c r="V1068" s="56" t="s">
        <v>3061</v>
      </c>
      <c r="W1068" s="7"/>
      <c r="X1068"/>
    </row>
    <row r="1069" spans="1:24" x14ac:dyDescent="0.25">
      <c r="A1069" s="26">
        <v>295</v>
      </c>
      <c r="B1069" s="1">
        <f>IFERROR(VLOOKUP(ТабПозиции[[#This Row],[orderNum]],ТабЗаказы[#Data],MATCH(B$7,ТабЗаказы[#Headers],0),0),"")</f>
        <v>45580</v>
      </c>
      <c r="C1069" t="str">
        <f>MONTH(ТабПозиции[[#This Row],[date]])&amp;"/"&amp;YEAR(ТабПозиции[[#This Row],[date]])</f>
        <v>10/2024</v>
      </c>
      <c r="D1069" s="1" t="str">
        <f>IFERROR(VLOOKUP(ТабПозиции[[#This Row],[orderNum]],ТабЗаказы[#Data],MATCH(D$7,ТабЗаказы[#Headers],0),0),"")</f>
        <v>Юля Ларисына</v>
      </c>
      <c r="E1069" s="32" t="s">
        <v>1403</v>
      </c>
      <c r="F1069" s="56" t="s">
        <v>3061</v>
      </c>
      <c r="H1069" s="34">
        <v>45585</v>
      </c>
      <c r="I1069" s="26">
        <v>1</v>
      </c>
      <c r="J1069" s="26">
        <v>184</v>
      </c>
      <c r="K1069">
        <v>184</v>
      </c>
      <c r="L1069" s="26">
        <v>194</v>
      </c>
      <c r="M1069">
        <f t="shared" si="20"/>
        <v>194</v>
      </c>
      <c r="O106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Row],[orderNum]],ТабПозиции[orderSumm])&gt;1500),ABS(M1069*VLOOKUP(ТабПозиции[[#This Row],[orderNum]],ТабЗаказы[#Data],MATCH("Percent",ТабЗаказы[#Headers],0),0))/100,200/COUNTIF(ТабПозиции[orderNum],ТабПозиции[[#This Row],[orderNum]])),0),"")</f>
        <v>29</v>
      </c>
      <c r="P1069">
        <f>IF(OR(ТабПозиции[[#This Row],[item]]="По штрихкоду",ТабПозиции[[#This Row],[item]]="Посылка"),ТабПозиции[[#This Row],[deliverySumm]]+ТабПозиции[[#This Row],[deliveryPost]],SUM(M1069:O1069))</f>
        <v>223</v>
      </c>
      <c r="Q1069" s="57">
        <v>223</v>
      </c>
      <c r="R1069" s="62">
        <f>ТабПозиции[[#This Row],[totalSumm]]-ТабПозиции[[#This Row],[payment]]</f>
        <v>0</v>
      </c>
      <c r="S1069" s="34" t="s">
        <v>965</v>
      </c>
      <c r="T1069" s="56" t="s">
        <v>3061</v>
      </c>
      <c r="U1069" s="56" t="s">
        <v>3061</v>
      </c>
      <c r="V1069" s="56" t="s">
        <v>3061</v>
      </c>
      <c r="W1069" s="7"/>
      <c r="X1069"/>
    </row>
    <row r="1070" spans="1:24" x14ac:dyDescent="0.25">
      <c r="A1070" s="26">
        <v>295</v>
      </c>
      <c r="B1070" s="1">
        <f>IFERROR(VLOOKUP(ТабПозиции[[#This Row],[orderNum]],ТабЗаказы[#Data],MATCH(B$7,ТабЗаказы[#Headers],0),0),"")</f>
        <v>45580</v>
      </c>
      <c r="C1070" t="str">
        <f>MONTH(ТабПозиции[[#This Row],[date]])&amp;"/"&amp;YEAR(ТабПозиции[[#This Row],[date]])</f>
        <v>10/2024</v>
      </c>
      <c r="D1070" s="1" t="str">
        <f>IFERROR(VLOOKUP(ТабПозиции[[#This Row],[orderNum]],ТабЗаказы[#Data],MATCH(D$7,ТабЗаказы[#Headers],0),0),"")</f>
        <v>Юля Ларисына</v>
      </c>
      <c r="E1070" s="32" t="s">
        <v>1660</v>
      </c>
      <c r="F1070" s="56" t="s">
        <v>3061</v>
      </c>
      <c r="H1070" s="34">
        <v>45583</v>
      </c>
      <c r="I1070" s="26">
        <v>1</v>
      </c>
      <c r="J1070" s="26">
        <v>459</v>
      </c>
      <c r="K1070">
        <v>459</v>
      </c>
      <c r="L1070" s="26">
        <v>484</v>
      </c>
      <c r="M1070">
        <f t="shared" si="20"/>
        <v>484</v>
      </c>
      <c r="O107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Row],[orderNum]],ТабПозиции[orderSumm])&gt;1500),ABS(M1070*VLOOKUP(ТабПозиции[[#This Row],[orderNum]],ТабЗаказы[#Data],MATCH("Percent",ТабЗаказы[#Headers],0),0))/100,200/COUNTIF(ТабПозиции[orderNum],ТабПозиции[[#This Row],[orderNum]])),0),"")</f>
        <v>73</v>
      </c>
      <c r="P1070">
        <f>IF(OR(ТабПозиции[[#This Row],[item]]="По штрихкоду",ТабПозиции[[#This Row],[item]]="Посылка"),ТабПозиции[[#This Row],[deliverySumm]]+ТабПозиции[[#This Row],[deliveryPost]],SUM(M1070:O1070))</f>
        <v>557</v>
      </c>
      <c r="Q1070" s="57">
        <v>557</v>
      </c>
      <c r="R1070" s="62">
        <f>ТабПозиции[[#This Row],[totalSumm]]-ТабПозиции[[#This Row],[payment]]</f>
        <v>0</v>
      </c>
      <c r="S1070" s="34" t="s">
        <v>965</v>
      </c>
      <c r="T1070" s="56" t="s">
        <v>3061</v>
      </c>
      <c r="U1070" s="56" t="s">
        <v>3061</v>
      </c>
      <c r="V1070" s="56" t="s">
        <v>3061</v>
      </c>
      <c r="W1070" s="7"/>
      <c r="X1070"/>
    </row>
    <row r="1071" spans="1:24" x14ac:dyDescent="0.25">
      <c r="A1071" s="26">
        <v>295</v>
      </c>
      <c r="B1071" s="1">
        <f>IFERROR(VLOOKUP(ТабПозиции[[#This Row],[orderNum]],ТабЗаказы[#Data],MATCH(B$7,ТабЗаказы[#Headers],0),0),"")</f>
        <v>45580</v>
      </c>
      <c r="C1071" t="str">
        <f>MONTH(ТабПозиции[[#This Row],[date]])&amp;"/"&amp;YEAR(ТабПозиции[[#This Row],[date]])</f>
        <v>10/2024</v>
      </c>
      <c r="D1071" s="1" t="str">
        <f>IFERROR(VLOOKUP(ТабПозиции[[#This Row],[orderNum]],ТабЗаказы[#Data],MATCH(D$7,ТабЗаказы[#Headers],0),0),"")</f>
        <v>Юля Ларисына</v>
      </c>
      <c r="E1071" s="32" t="s">
        <v>1661</v>
      </c>
      <c r="F1071" s="56" t="s">
        <v>3061</v>
      </c>
      <c r="H1071" s="34">
        <v>45583</v>
      </c>
      <c r="I1071" s="26">
        <v>1</v>
      </c>
      <c r="J1071" s="26">
        <v>274</v>
      </c>
      <c r="K1071">
        <v>274</v>
      </c>
      <c r="L1071" s="26">
        <v>289</v>
      </c>
      <c r="M1071">
        <f t="shared" si="20"/>
        <v>289</v>
      </c>
      <c r="O107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Row],[orderNum]],ТабПозиции[orderSumm])&gt;1500),ABS(M1071*VLOOKUP(ТабПозиции[[#This Row],[orderNum]],ТабЗаказы[#Data],MATCH("Percent",ТабЗаказы[#Headers],0),0))/100,200/COUNTIF(ТабПозиции[orderNum],ТабПозиции[[#This Row],[orderNum]])),0),"")</f>
        <v>43</v>
      </c>
      <c r="P1071">
        <f>IF(OR(ТабПозиции[[#This Row],[item]]="По штрихкоду",ТабПозиции[[#This Row],[item]]="Посылка"),ТабПозиции[[#This Row],[deliverySumm]]+ТабПозиции[[#This Row],[deliveryPost]],SUM(M1071:O1071))</f>
        <v>332</v>
      </c>
      <c r="Q1071" s="57">
        <v>332</v>
      </c>
      <c r="R1071" s="62">
        <f>ТабПозиции[[#This Row],[totalSumm]]-ТабПозиции[[#This Row],[payment]]</f>
        <v>0</v>
      </c>
      <c r="S1071" s="34" t="s">
        <v>965</v>
      </c>
      <c r="T1071" s="56" t="s">
        <v>3061</v>
      </c>
      <c r="U1071" s="56" t="s">
        <v>3061</v>
      </c>
      <c r="V1071" s="56" t="s">
        <v>3061</v>
      </c>
      <c r="W1071" s="7"/>
      <c r="X1071"/>
    </row>
    <row r="1072" spans="1:24" x14ac:dyDescent="0.25">
      <c r="A1072" s="26">
        <v>295</v>
      </c>
      <c r="B1072" s="1">
        <f>IFERROR(VLOOKUP(ТабПозиции[[#This Row],[orderNum]],ТабЗаказы[#Data],MATCH(B$7,ТабЗаказы[#Headers],0),0),"")</f>
        <v>45580</v>
      </c>
      <c r="C1072" t="str">
        <f>MONTH(ТабПозиции[[#This Row],[date]])&amp;"/"&amp;YEAR(ТабПозиции[[#This Row],[date]])</f>
        <v>10/2024</v>
      </c>
      <c r="D1072" s="1" t="str">
        <f>IFERROR(VLOOKUP(ТабПозиции[[#This Row],[orderNum]],ТабЗаказы[#Data],MATCH(D$7,ТабЗаказы[#Headers],0),0),"")</f>
        <v>Юля Ларисына</v>
      </c>
      <c r="E1072" s="32" t="s">
        <v>1662</v>
      </c>
      <c r="F1072" s="56" t="s">
        <v>3061</v>
      </c>
      <c r="H1072" s="34">
        <v>45584</v>
      </c>
      <c r="I1072" s="26">
        <v>1</v>
      </c>
      <c r="J1072" s="26">
        <v>352</v>
      </c>
      <c r="K1072">
        <v>352</v>
      </c>
      <c r="L1072" s="26">
        <v>371</v>
      </c>
      <c r="M1072">
        <f t="shared" si="20"/>
        <v>371</v>
      </c>
      <c r="O107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Row],[orderNum]],ТабПозиции[orderSumm])&gt;1500),ABS(M1072*VLOOKUP(ТабПозиции[[#This Row],[orderNum]],ТабЗаказы[#Data],MATCH("Percent",ТабЗаказы[#Headers],0),0))/100,200/COUNTIF(ТабПозиции[orderNum],ТабПозиции[[#This Row],[orderNum]])),0),"")</f>
        <v>56</v>
      </c>
      <c r="P1072">
        <f>IF(OR(ТабПозиции[[#This Row],[item]]="По штрихкоду",ТабПозиции[[#This Row],[item]]="Посылка"),ТабПозиции[[#This Row],[deliverySumm]]+ТабПозиции[[#This Row],[deliveryPost]],SUM(M1072:O1072))</f>
        <v>427</v>
      </c>
      <c r="Q1072" s="57">
        <v>427</v>
      </c>
      <c r="R1072" s="62">
        <f>ТабПозиции[[#This Row],[totalSumm]]-ТабПозиции[[#This Row],[payment]]</f>
        <v>0</v>
      </c>
      <c r="S1072" s="34" t="s">
        <v>965</v>
      </c>
      <c r="T1072" s="56" t="s">
        <v>3061</v>
      </c>
      <c r="U1072" s="56" t="s">
        <v>3061</v>
      </c>
      <c r="V1072" s="56" t="s">
        <v>3061</v>
      </c>
      <c r="W1072" s="7"/>
      <c r="X1072"/>
    </row>
    <row r="1073" spans="1:24" x14ac:dyDescent="0.25">
      <c r="A1073" s="26">
        <v>295</v>
      </c>
      <c r="B1073" s="1">
        <f>IFERROR(VLOOKUP(ТабПозиции[[#This Row],[orderNum]],ТабЗаказы[#Data],MATCH(B$7,ТабЗаказы[#Headers],0),0),"")</f>
        <v>45580</v>
      </c>
      <c r="C1073" t="str">
        <f>MONTH(ТабПозиции[[#This Row],[date]])&amp;"/"&amp;YEAR(ТабПозиции[[#This Row],[date]])</f>
        <v>10/2024</v>
      </c>
      <c r="D1073" s="1" t="str">
        <f>IFERROR(VLOOKUP(ТабПозиции[[#This Row],[orderNum]],ТабЗаказы[#Data],MATCH(D$7,ТабЗаказы[#Headers],0),0),"")</f>
        <v>Юля Ларисына</v>
      </c>
      <c r="E1073" s="32" t="s">
        <v>1663</v>
      </c>
      <c r="F1073" s="56" t="s">
        <v>3061</v>
      </c>
      <c r="H1073" s="34">
        <v>45582</v>
      </c>
      <c r="I1073" s="26">
        <v>1</v>
      </c>
      <c r="J1073" s="26">
        <v>373</v>
      </c>
      <c r="K1073">
        <v>373</v>
      </c>
      <c r="L1073" s="26">
        <v>393</v>
      </c>
      <c r="M1073">
        <f t="shared" si="20"/>
        <v>393</v>
      </c>
      <c r="O107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Row],[orderNum]],ТабПозиции[orderSumm])&gt;1500),ABS(M1073*VLOOKUP(ТабПозиции[[#This Row],[orderNum]],ТабЗаказы[#Data],MATCH("Percent",ТабЗаказы[#Headers],0),0))/100,200/COUNTIF(ТабПозиции[orderNum],ТабПозиции[[#This Row],[orderNum]])),0),"")</f>
        <v>59</v>
      </c>
      <c r="P1073">
        <f>IF(OR(ТабПозиции[[#This Row],[item]]="По штрихкоду",ТабПозиции[[#This Row],[item]]="Посылка"),ТабПозиции[[#This Row],[deliverySumm]]+ТабПозиции[[#This Row],[deliveryPost]],SUM(M1073:O1073))</f>
        <v>452</v>
      </c>
      <c r="Q1073" s="57">
        <v>452</v>
      </c>
      <c r="R1073" s="62">
        <f>ТабПозиции[[#This Row],[totalSumm]]-ТабПозиции[[#This Row],[payment]]</f>
        <v>0</v>
      </c>
      <c r="S1073" s="34" t="s">
        <v>965</v>
      </c>
      <c r="T1073" s="56" t="s">
        <v>3061</v>
      </c>
      <c r="U1073" s="56" t="s">
        <v>3061</v>
      </c>
      <c r="V1073" s="56" t="s">
        <v>3061</v>
      </c>
      <c r="W1073" s="7"/>
      <c r="X1073"/>
    </row>
    <row r="1074" spans="1:24" x14ac:dyDescent="0.25">
      <c r="A1074" s="26">
        <v>294</v>
      </c>
      <c r="B1074" s="1">
        <f>IFERROR(VLOOKUP(ТабПозиции[[#This Row],[orderNum]],ТабЗаказы[#Data],MATCH(B$7,ТабЗаказы[#Headers],0),0),"")</f>
        <v>45580</v>
      </c>
      <c r="C1074" t="str">
        <f>MONTH(ТабПозиции[[#This Row],[date]])&amp;"/"&amp;YEAR(ТабПозиции[[#This Row],[date]])</f>
        <v>10/2024</v>
      </c>
      <c r="D1074" s="1" t="str">
        <f>IFERROR(VLOOKUP(ТабПозиции[[#This Row],[orderNum]],ТабЗаказы[#Data],MATCH(D$7,ТабЗаказы[#Headers],0),0),"")</f>
        <v>Галина Агабекова(церковь)</v>
      </c>
      <c r="E1074" s="32" t="s">
        <v>1665</v>
      </c>
      <c r="F1074" s="56" t="s">
        <v>3061</v>
      </c>
      <c r="H1074" s="34">
        <v>45586</v>
      </c>
      <c r="I1074" s="26">
        <v>1</v>
      </c>
      <c r="J1074" s="26">
        <v>1940</v>
      </c>
      <c r="K1074">
        <v>1940</v>
      </c>
      <c r="L1074" s="26">
        <v>1940</v>
      </c>
      <c r="M1074">
        <f t="shared" si="20"/>
        <v>1940</v>
      </c>
      <c r="O107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Row],[orderNum]],ТабПозиции[orderSumm])&gt;1500),ABS(M1074*VLOOKUP(ТабПозиции[[#This Row],[orderNum]],ТабЗаказы[#Data],MATCH("Percent",ТабЗаказы[#Headers],0),0))/100,200/COUNTIF(ТабПозиции[orderNum],ТабПозиции[[#This Row],[orderNum]])),0),"")</f>
        <v>291</v>
      </c>
      <c r="P1074">
        <f>IF(OR(ТабПозиции[[#This Row],[item]]="По штрихкоду",ТабПозиции[[#This Row],[item]]="Посылка"),ТабПозиции[[#This Row],[deliverySumm]]+ТабПозиции[[#This Row],[deliveryPost]],SUM(M1074:O1074))</f>
        <v>2231</v>
      </c>
      <c r="Q1074" s="57">
        <v>2231</v>
      </c>
      <c r="R1074" s="62">
        <f>ТабПозиции[[#This Row],[totalSumm]]-ТабПозиции[[#This Row],[payment]]</f>
        <v>0</v>
      </c>
      <c r="S1074" s="34" t="s">
        <v>1062</v>
      </c>
      <c r="T1074" s="56" t="s">
        <v>3061</v>
      </c>
      <c r="U1074" s="56" t="s">
        <v>3061</v>
      </c>
      <c r="V1074" s="56" t="s">
        <v>3061</v>
      </c>
      <c r="W1074" s="7"/>
      <c r="X1074"/>
    </row>
    <row r="1075" spans="1:24" x14ac:dyDescent="0.25">
      <c r="A1075" s="26">
        <v>283</v>
      </c>
      <c r="B1075" s="1">
        <f>IFERROR(VLOOKUP(ТабПозиции[[#This Row],[orderNum]],ТабЗаказы[#Data],MATCH(B$7,ТабЗаказы[#Headers],0),0),"")</f>
        <v>45575</v>
      </c>
      <c r="C1075" t="str">
        <f>MONTH(ТабПозиции[[#This Row],[date]])&amp;"/"&amp;YEAR(ТабПозиции[[#This Row],[date]])</f>
        <v>10/2024</v>
      </c>
      <c r="D1075" s="1" t="str">
        <f>IFERROR(VLOOKUP(ТабПозиции[[#This Row],[orderNum]],ТабЗаказы[#Data],MATCH(D$7,ТабЗаказы[#Headers],0),0),"")</f>
        <v>Максим телевизор</v>
      </c>
      <c r="E1075" s="26" t="s">
        <v>815</v>
      </c>
      <c r="F1075" s="56" t="s">
        <v>3061</v>
      </c>
      <c r="G1075" s="28" t="s">
        <v>1666</v>
      </c>
      <c r="H1075" s="34">
        <v>45586</v>
      </c>
      <c r="I1075" s="26">
        <v>1</v>
      </c>
      <c r="J1075" s="26">
        <v>5500</v>
      </c>
      <c r="K1075">
        <v>5500</v>
      </c>
      <c r="L1075" s="26">
        <v>5500</v>
      </c>
      <c r="M1075">
        <f t="shared" si="20"/>
        <v>5500</v>
      </c>
      <c r="O107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Row],[orderNum]],ТабПозиции[orderSumm])&gt;1500),ABS(M1075*VLOOKUP(ТабПозиции[[#This Row],[orderNum]],ТабЗаказы[#Data],MATCH("Percent",ТабЗаказы[#Headers],0),0))/100,200/COUNTIF(ТабПозиции[orderNum],ТабПозиции[[#This Row],[orderNum]])),0),"")</f>
        <v>550</v>
      </c>
      <c r="P1075">
        <f>IF(OR(ТабПозиции[[#This Row],[item]]="По штрихкоду",ТабПозиции[[#This Row],[item]]="Посылка"),ТабПозиции[[#This Row],[deliverySumm]]+ТабПозиции[[#This Row],[deliveryPost]],SUM(M1075:O1075))</f>
        <v>550</v>
      </c>
      <c r="Q1075" s="57">
        <v>550</v>
      </c>
      <c r="R1075" s="62">
        <f>ТабПозиции[[#This Row],[totalSumm]]-ТабПозиции[[#This Row],[payment]]</f>
        <v>0</v>
      </c>
      <c r="S1075" s="34" t="s">
        <v>1016</v>
      </c>
      <c r="T1075" s="56" t="s">
        <v>3061</v>
      </c>
      <c r="U1075" s="56" t="s">
        <v>3061</v>
      </c>
      <c r="V1075" s="56" t="s">
        <v>3061</v>
      </c>
      <c r="W1075" s="7"/>
      <c r="X1075"/>
    </row>
    <row r="1076" spans="1:24" x14ac:dyDescent="0.25">
      <c r="A1076" s="26">
        <v>267</v>
      </c>
      <c r="B1076" s="1">
        <f>IFERROR(VLOOKUP(ТабПозиции[[#This Row],[orderNum]],ТабЗаказы[#Data],MATCH(B$7,ТабЗаказы[#Headers],0),0),"")</f>
        <v>45580</v>
      </c>
      <c r="C1076" t="str">
        <f>MONTH(ТабПозиции[[#This Row],[date]])&amp;"/"&amp;YEAR(ТабПозиции[[#This Row],[date]])</f>
        <v>10/2024</v>
      </c>
      <c r="D1076" s="1" t="str">
        <f>IFERROR(VLOOKUP(ТабПозиции[[#This Row],[orderNum]],ТабЗаказы[#Data],MATCH(D$7,ТабЗаказы[#Headers],0),0),"")</f>
        <v>Руденко Юля</v>
      </c>
      <c r="E1076" s="32" t="s">
        <v>1667</v>
      </c>
      <c r="F1076" s="56" t="s">
        <v>3061</v>
      </c>
      <c r="H1076" s="34">
        <v>45583</v>
      </c>
      <c r="I1076" s="26">
        <v>1</v>
      </c>
      <c r="J1076" s="26">
        <v>885</v>
      </c>
      <c r="K1076">
        <v>885</v>
      </c>
      <c r="L1076" s="26">
        <v>932</v>
      </c>
      <c r="M1076">
        <f t="shared" si="20"/>
        <v>932</v>
      </c>
      <c r="O107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Row],[orderNum]],ТабПозиции[orderSumm])&gt;1500),ABS(M1076*VLOOKUP(ТабПозиции[[#This Row],[orderNum]],ТабЗаказы[#Data],MATCH("Percent",ТабЗаказы[#Headers],0),0))/100,200/COUNTIF(ТабПозиции[orderNum],ТабПозиции[[#This Row],[orderNum]])),0),"")</f>
        <v>93</v>
      </c>
      <c r="P1076">
        <f>IF(OR(ТабПозиции[[#This Row],[item]]="По штрихкоду",ТабПозиции[[#This Row],[item]]="Посылка"),ТабПозиции[[#This Row],[deliverySumm]]+ТабПозиции[[#This Row],[deliveryPost]],SUM(M1076:O1076))</f>
        <v>1025</v>
      </c>
      <c r="Q1076" s="57">
        <v>1025</v>
      </c>
      <c r="R1076" s="62">
        <f>ТабПозиции[[#This Row],[totalSumm]]-ТабПозиции[[#This Row],[payment]]</f>
        <v>0</v>
      </c>
      <c r="S1076" s="34" t="s">
        <v>965</v>
      </c>
      <c r="T1076" s="56" t="s">
        <v>3061</v>
      </c>
      <c r="U1076" s="56" t="s">
        <v>3061</v>
      </c>
      <c r="V1076" s="56" t="s">
        <v>3061</v>
      </c>
      <c r="W1076" s="7"/>
      <c r="X1076"/>
    </row>
    <row r="1077" spans="1:24" x14ac:dyDescent="0.25">
      <c r="A1077" s="26">
        <v>267</v>
      </c>
      <c r="B1077" s="1">
        <f>IFERROR(VLOOKUP(ТабПозиции[[#This Row],[orderNum]],ТабЗаказы[#Data],MATCH(B$7,ТабЗаказы[#Headers],0),0),"")</f>
        <v>45580</v>
      </c>
      <c r="C1077" t="str">
        <f>MONTH(ТабПозиции[[#This Row],[date]])&amp;"/"&amp;YEAR(ТабПозиции[[#This Row],[date]])</f>
        <v>10/2024</v>
      </c>
      <c r="D1077" s="1" t="str">
        <f>IFERROR(VLOOKUP(ТабПозиции[[#This Row],[orderNum]],ТабЗаказы[#Data],MATCH(D$7,ТабЗаказы[#Headers],0),0),"")</f>
        <v>Руденко Юля</v>
      </c>
      <c r="E1077" s="32" t="s">
        <v>663</v>
      </c>
      <c r="F1077" s="56" t="s">
        <v>3061</v>
      </c>
      <c r="H1077" s="34">
        <v>45583</v>
      </c>
      <c r="I1077" s="26">
        <v>1</v>
      </c>
      <c r="J1077" s="26">
        <v>359</v>
      </c>
      <c r="K1077">
        <v>359</v>
      </c>
      <c r="L1077" s="26">
        <v>378</v>
      </c>
      <c r="M1077">
        <f t="shared" si="20"/>
        <v>378</v>
      </c>
      <c r="O107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Row],[orderNum]],ТабПозиции[orderSumm])&gt;1500),ABS(M1077*VLOOKUP(ТабПозиции[[#This Row],[orderNum]],ТабЗаказы[#Data],MATCH("Percent",ТабЗаказы[#Headers],0),0))/100,200/COUNTIF(ТабПозиции[orderNum],ТабПозиции[[#This Row],[orderNum]])),0),"")</f>
        <v>38</v>
      </c>
      <c r="P1077">
        <f>IF(OR(ТабПозиции[[#This Row],[item]]="По штрихкоду",ТабПозиции[[#This Row],[item]]="Посылка"),ТабПозиции[[#This Row],[deliverySumm]]+ТабПозиции[[#This Row],[deliveryPost]],SUM(M1077:O1077))</f>
        <v>416</v>
      </c>
      <c r="Q1077" s="57">
        <v>416</v>
      </c>
      <c r="R1077" s="62">
        <f>ТабПозиции[[#This Row],[totalSumm]]-ТабПозиции[[#This Row],[payment]]</f>
        <v>0</v>
      </c>
      <c r="S1077" s="34" t="s">
        <v>965</v>
      </c>
      <c r="T1077" s="56" t="s">
        <v>3061</v>
      </c>
      <c r="U1077" s="56" t="s">
        <v>3061</v>
      </c>
      <c r="V1077" s="56" t="s">
        <v>3061</v>
      </c>
      <c r="W1077" s="7"/>
      <c r="X1077"/>
    </row>
    <row r="1078" spans="1:24" x14ac:dyDescent="0.25">
      <c r="A1078" s="26">
        <v>267</v>
      </c>
      <c r="B1078" s="1">
        <f>IFERROR(VLOOKUP(ТабПозиции[[#This Row],[orderNum]],ТабЗаказы[#Data],MATCH(B$7,ТабЗаказы[#Headers],0),0),"")</f>
        <v>45580</v>
      </c>
      <c r="C1078" t="str">
        <f>MONTH(ТабПозиции[[#This Row],[date]])&amp;"/"&amp;YEAR(ТабПозиции[[#This Row],[date]])</f>
        <v>10/2024</v>
      </c>
      <c r="D1078" s="1" t="str">
        <f>IFERROR(VLOOKUP(ТабПозиции[[#This Row],[orderNum]],ТабЗаказы[#Data],MATCH(D$7,ТабЗаказы[#Headers],0),0),"")</f>
        <v>Руденко Юля</v>
      </c>
      <c r="E1078" s="32" t="s">
        <v>1668</v>
      </c>
      <c r="F1078" s="56" t="s">
        <v>3061</v>
      </c>
      <c r="H1078" s="34">
        <v>45583</v>
      </c>
      <c r="I1078" s="26">
        <v>1</v>
      </c>
      <c r="J1078" s="26">
        <v>414</v>
      </c>
      <c r="K1078">
        <v>414</v>
      </c>
      <c r="L1078" s="26">
        <v>436</v>
      </c>
      <c r="M1078">
        <f t="shared" si="20"/>
        <v>436</v>
      </c>
      <c r="O107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Row],[orderNum]],ТабПозиции[orderSumm])&gt;1500),ABS(M1078*VLOOKUP(ТабПозиции[[#This Row],[orderNum]],ТабЗаказы[#Data],MATCH("Percent",ТабЗаказы[#Headers],0),0))/100,200/COUNTIF(ТабПозиции[orderNum],ТабПозиции[[#This Row],[orderNum]])),0),"")</f>
        <v>44</v>
      </c>
      <c r="P1078">
        <f>IF(OR(ТабПозиции[[#This Row],[item]]="По штрихкоду",ТабПозиции[[#This Row],[item]]="Посылка"),ТабПозиции[[#This Row],[deliverySumm]]+ТабПозиции[[#This Row],[deliveryPost]],SUM(M1078:O1078))</f>
        <v>480</v>
      </c>
      <c r="Q1078" s="57">
        <v>480</v>
      </c>
      <c r="R1078" s="62">
        <f>ТабПозиции[[#This Row],[totalSumm]]-ТабПозиции[[#This Row],[payment]]</f>
        <v>0</v>
      </c>
      <c r="S1078" s="34" t="s">
        <v>965</v>
      </c>
      <c r="T1078" s="56" t="s">
        <v>3061</v>
      </c>
      <c r="U1078" s="56" t="s">
        <v>3061</v>
      </c>
      <c r="V1078" s="56" t="s">
        <v>3061</v>
      </c>
      <c r="W1078" s="7"/>
      <c r="X1078"/>
    </row>
    <row r="1079" spans="1:24" x14ac:dyDescent="0.25">
      <c r="A1079" s="26">
        <v>267</v>
      </c>
      <c r="B1079" s="1">
        <f>IFERROR(VLOOKUP(ТабПозиции[[#This Row],[orderNum]],ТабЗаказы[#Data],MATCH(B$7,ТабЗаказы[#Headers],0),0),"")</f>
        <v>45580</v>
      </c>
      <c r="C1079" t="str">
        <f>MONTH(ТабПозиции[[#This Row],[date]])&amp;"/"&amp;YEAR(ТабПозиции[[#This Row],[date]])</f>
        <v>10/2024</v>
      </c>
      <c r="D1079" s="1" t="str">
        <f>IFERROR(VLOOKUP(ТабПозиции[[#This Row],[orderNum]],ТабЗаказы[#Data],MATCH(D$7,ТабЗаказы[#Headers],0),0),"")</f>
        <v>Руденко Юля</v>
      </c>
      <c r="E1079" s="32" t="s">
        <v>1669</v>
      </c>
      <c r="F1079" s="56" t="s">
        <v>3061</v>
      </c>
      <c r="H1079" s="34">
        <v>45587</v>
      </c>
      <c r="I1079" s="26">
        <v>1</v>
      </c>
      <c r="J1079" s="26">
        <v>628</v>
      </c>
      <c r="K1079">
        <v>628</v>
      </c>
      <c r="L1079" s="26">
        <v>662</v>
      </c>
      <c r="M1079">
        <f t="shared" si="20"/>
        <v>662</v>
      </c>
      <c r="O107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Row],[orderNum]],ТабПозиции[orderSumm])&gt;1500),ABS(M1079*VLOOKUP(ТабПозиции[[#This Row],[orderNum]],ТабЗаказы[#Data],MATCH("Percent",ТабЗаказы[#Headers],0),0))/100,200/COUNTIF(ТабПозиции[orderNum],ТабПозиции[[#This Row],[orderNum]])),0),"")</f>
        <v>66</v>
      </c>
      <c r="P1079">
        <f>IF(OR(ТабПозиции[[#This Row],[item]]="По штрихкоду",ТабПозиции[[#This Row],[item]]="Посылка"),ТабПозиции[[#This Row],[deliverySumm]]+ТабПозиции[[#This Row],[deliveryPost]],SUM(M1079:O1079))</f>
        <v>728</v>
      </c>
      <c r="Q1079" s="57">
        <v>728</v>
      </c>
      <c r="R1079" s="62">
        <f>ТабПозиции[[#This Row],[totalSumm]]-ТабПозиции[[#This Row],[payment]]</f>
        <v>0</v>
      </c>
      <c r="S1079" s="34" t="s">
        <v>965</v>
      </c>
      <c r="T1079" s="56" t="s">
        <v>3061</v>
      </c>
      <c r="U1079" s="56" t="s">
        <v>3061</v>
      </c>
      <c r="V1079" s="56" t="s">
        <v>3061</v>
      </c>
      <c r="W1079" s="7"/>
      <c r="X1079"/>
    </row>
    <row r="1080" spans="1:24" x14ac:dyDescent="0.25">
      <c r="A1080" s="26">
        <v>267</v>
      </c>
      <c r="B1080" s="1">
        <f>IFERROR(VLOOKUP(ТабПозиции[[#This Row],[orderNum]],ТабЗаказы[#Data],MATCH(B$7,ТабЗаказы[#Headers],0),0),"")</f>
        <v>45580</v>
      </c>
      <c r="C1080" t="str">
        <f>MONTH(ТабПозиции[[#This Row],[date]])&amp;"/"&amp;YEAR(ТабПозиции[[#This Row],[date]])</f>
        <v>10/2024</v>
      </c>
      <c r="D1080" s="1" t="str">
        <f>IFERROR(VLOOKUP(ТабПозиции[[#This Row],[orderNum]],ТабЗаказы[#Data],MATCH(D$7,ТабЗаказы[#Headers],0),0),"")</f>
        <v>Руденко Юля</v>
      </c>
      <c r="E1080" s="32" t="s">
        <v>1670</v>
      </c>
      <c r="F1080" s="56" t="s">
        <v>3061</v>
      </c>
      <c r="H1080" s="34">
        <v>45583</v>
      </c>
      <c r="I1080" s="26">
        <v>1</v>
      </c>
      <c r="J1080" s="26">
        <v>319</v>
      </c>
      <c r="K1080">
        <v>319</v>
      </c>
      <c r="L1080" s="26">
        <v>336</v>
      </c>
      <c r="M1080">
        <f t="shared" si="20"/>
        <v>336</v>
      </c>
      <c r="O108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Row],[orderNum]],ТабПозиции[orderSumm])&gt;1500),ABS(M1080*VLOOKUP(ТабПозиции[[#This Row],[orderNum]],ТабЗаказы[#Data],MATCH("Percent",ТабЗаказы[#Headers],0),0))/100,200/COUNTIF(ТабПозиции[orderNum],ТабПозиции[[#This Row],[orderNum]])),0),"")</f>
        <v>34</v>
      </c>
      <c r="P1080">
        <f>IF(OR(ТабПозиции[[#This Row],[item]]="По штрихкоду",ТабПозиции[[#This Row],[item]]="Посылка"),ТабПозиции[[#This Row],[deliverySumm]]+ТабПозиции[[#This Row],[deliveryPost]],SUM(M1080:O1080))</f>
        <v>370</v>
      </c>
      <c r="Q1080" s="57">
        <v>370</v>
      </c>
      <c r="R1080" s="62">
        <f>ТабПозиции[[#This Row],[totalSumm]]-ТабПозиции[[#This Row],[payment]]</f>
        <v>0</v>
      </c>
      <c r="S1080" s="34" t="s">
        <v>965</v>
      </c>
      <c r="T1080" s="56" t="s">
        <v>3061</v>
      </c>
      <c r="U1080" s="56" t="s">
        <v>3061</v>
      </c>
      <c r="V1080" s="56" t="s">
        <v>3061</v>
      </c>
      <c r="W1080" s="7"/>
      <c r="X1080"/>
    </row>
    <row r="1081" spans="1:24" x14ac:dyDescent="0.25">
      <c r="A1081" s="26">
        <v>267</v>
      </c>
      <c r="B1081" s="1">
        <f>IFERROR(VLOOKUP(ТабПозиции[[#This Row],[orderNum]],ТабЗаказы[#Data],MATCH(B$7,ТабЗаказы[#Headers],0),0),"")</f>
        <v>45580</v>
      </c>
      <c r="C1081" t="str">
        <f>MONTH(ТабПозиции[[#This Row],[date]])&amp;"/"&amp;YEAR(ТабПозиции[[#This Row],[date]])</f>
        <v>10/2024</v>
      </c>
      <c r="D1081" s="1" t="str">
        <f>IFERROR(VLOOKUP(ТабПозиции[[#This Row],[orderNum]],ТабЗаказы[#Data],MATCH(D$7,ТабЗаказы[#Headers],0),0),"")</f>
        <v>Руденко Юля</v>
      </c>
      <c r="E1081" s="32" t="s">
        <v>1671</v>
      </c>
      <c r="F1081" s="56" t="s">
        <v>3061</v>
      </c>
      <c r="H1081" s="34">
        <v>45583</v>
      </c>
      <c r="I1081" s="26">
        <v>1</v>
      </c>
      <c r="J1081" s="26">
        <v>316</v>
      </c>
      <c r="K1081">
        <v>316</v>
      </c>
      <c r="L1081" s="26">
        <v>333</v>
      </c>
      <c r="M1081">
        <f t="shared" si="20"/>
        <v>333</v>
      </c>
      <c r="O108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Row],[orderNum]],ТабПозиции[orderSumm])&gt;1500),ABS(M1081*VLOOKUP(ТабПозиции[[#This Row],[orderNum]],ТабЗаказы[#Data],MATCH("Percent",ТабЗаказы[#Headers],0),0))/100,200/COUNTIF(ТабПозиции[orderNum],ТабПозиции[[#This Row],[orderNum]])),0),"")</f>
        <v>33</v>
      </c>
      <c r="P1081">
        <f>IF(OR(ТабПозиции[[#This Row],[item]]="По штрихкоду",ТабПозиции[[#This Row],[item]]="Посылка"),ТабПозиции[[#This Row],[deliverySumm]]+ТабПозиции[[#This Row],[deliveryPost]],SUM(M1081:O1081))</f>
        <v>366</v>
      </c>
      <c r="Q1081" s="57">
        <v>366</v>
      </c>
      <c r="R1081" s="62">
        <f>ТабПозиции[[#This Row],[totalSumm]]-ТабПозиции[[#This Row],[payment]]</f>
        <v>0</v>
      </c>
      <c r="S1081" s="34" t="s">
        <v>965</v>
      </c>
      <c r="T1081" s="56" t="s">
        <v>3061</v>
      </c>
      <c r="U1081" s="56" t="s">
        <v>3061</v>
      </c>
      <c r="V1081" s="56" t="s">
        <v>3061</v>
      </c>
      <c r="W1081" s="7"/>
      <c r="X1081"/>
    </row>
    <row r="1082" spans="1:24" x14ac:dyDescent="0.25">
      <c r="A1082" s="26">
        <v>296</v>
      </c>
      <c r="B1082" s="1">
        <f>IFERROR(VLOOKUP(ТабПозиции[[#This Row],[orderNum]],ТабЗаказы[#Data],MATCH(B$7,ТабЗаказы[#Headers],0),0),"")</f>
        <v>45583</v>
      </c>
      <c r="C1082" t="str">
        <f>MONTH(ТабПозиции[[#This Row],[date]])&amp;"/"&amp;YEAR(ТабПозиции[[#This Row],[date]])</f>
        <v>10/2024</v>
      </c>
      <c r="D1082" s="1" t="str">
        <f>IFERROR(VLOOKUP(ТабПозиции[[#This Row],[orderNum]],ТабЗаказы[#Data],MATCH(D$7,ТабЗаказы[#Headers],0),0),"")</f>
        <v>Аннет</v>
      </c>
      <c r="E1082" s="26" t="s">
        <v>32</v>
      </c>
      <c r="F1082" s="56" t="s">
        <v>3061</v>
      </c>
      <c r="H1082" s="34">
        <v>45583</v>
      </c>
      <c r="I1082" s="26">
        <v>1</v>
      </c>
      <c r="J1082" s="26">
        <f>7542+741</f>
        <v>8283</v>
      </c>
      <c r="K1082">
        <v>8283</v>
      </c>
      <c r="L1082" s="26">
        <f>7542+741</f>
        <v>8283</v>
      </c>
      <c r="M1082">
        <f t="shared" si="20"/>
        <v>8283</v>
      </c>
      <c r="O108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Row],[orderNum]],ТабПозиции[orderSumm])&gt;1500),ABS(M1082*VLOOKUP(ТабПозиции[[#This Row],[orderNum]],ТабЗаказы[#Data],MATCH("Percent",ТабЗаказы[#Headers],0),0))/100,200/COUNTIF(ТабПозиции[orderNum],ТабПозиции[[#This Row],[orderNum]])),0),"")</f>
        <v>1242</v>
      </c>
      <c r="P1082">
        <f>IF(OR(ТабПозиции[[#This Row],[item]]="По штрихкоду",ТабПозиции[[#This Row],[item]]="Посылка"),ТабПозиции[[#This Row],[deliverySumm]]+ТабПозиции[[#This Row],[deliveryPost]],SUM(M1082:O1082))</f>
        <v>1242</v>
      </c>
      <c r="Q1082" s="57">
        <v>1242</v>
      </c>
      <c r="R1082" s="62">
        <f>ТабПозиции[[#This Row],[totalSumm]]-ТабПозиции[[#This Row],[payment]]</f>
        <v>0</v>
      </c>
      <c r="S1082" s="34" t="s">
        <v>965</v>
      </c>
      <c r="T1082" s="56" t="s">
        <v>3061</v>
      </c>
      <c r="U1082" s="56" t="s">
        <v>3061</v>
      </c>
      <c r="V1082" s="56" t="s">
        <v>3061</v>
      </c>
      <c r="W1082" s="7"/>
      <c r="X1082"/>
    </row>
    <row r="1083" spans="1:24" x14ac:dyDescent="0.25">
      <c r="A1083" s="26">
        <v>297</v>
      </c>
      <c r="B1083" s="1">
        <f>IFERROR(VLOOKUP(ТабПозиции[[#This Row],[orderNum]],ТабЗаказы[#Data],MATCH(B$7,ТабЗаказы[#Headers],0),0),"")</f>
        <v>45583</v>
      </c>
      <c r="C1083" t="str">
        <f>MONTH(ТабПозиции[[#This Row],[date]])&amp;"/"&amp;YEAR(ТабПозиции[[#This Row],[date]])</f>
        <v>10/2024</v>
      </c>
      <c r="D1083" s="1" t="str">
        <f>IFERROR(VLOOKUP(ТабПозиции[[#This Row],[orderNum]],ТабЗаказы[#Data],MATCH(D$7,ТабЗаказы[#Headers],0),0),"")</f>
        <v>Лана</v>
      </c>
      <c r="E1083" s="26" t="s">
        <v>32</v>
      </c>
      <c r="F1083" s="56" t="s">
        <v>3061</v>
      </c>
      <c r="H1083" s="34">
        <v>45583</v>
      </c>
      <c r="I1083" s="26">
        <v>1</v>
      </c>
      <c r="J1083" s="26">
        <v>1589</v>
      </c>
      <c r="K1083">
        <v>1589</v>
      </c>
      <c r="L1083" s="26">
        <v>1589</v>
      </c>
      <c r="M1083">
        <f t="shared" si="20"/>
        <v>1589</v>
      </c>
      <c r="O108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Row],[orderNum]],ТабПозиции[orderSumm])&gt;1500),ABS(M1083*VLOOKUP(ТабПозиции[[#This Row],[orderNum]],ТабЗаказы[#Data],MATCH("Percent",ТабЗаказы[#Headers],0),0))/100,200/COUNTIF(ТабПозиции[orderNum],ТабПозиции[[#This Row],[orderNum]])),0),"")</f>
        <v>238</v>
      </c>
      <c r="P1083">
        <f>IF(OR(ТабПозиции[[#This Row],[item]]="По штрихкоду",ТабПозиции[[#This Row],[item]]="Посылка"),ТабПозиции[[#This Row],[deliverySumm]]+ТабПозиции[[#This Row],[deliveryPost]],SUM(M1083:O1083))</f>
        <v>238</v>
      </c>
      <c r="Q1083" s="57">
        <v>238</v>
      </c>
      <c r="R1083" s="62">
        <f>ТабПозиции[[#This Row],[totalSumm]]-ТабПозиции[[#This Row],[payment]]</f>
        <v>0</v>
      </c>
      <c r="S1083" s="34" t="s">
        <v>965</v>
      </c>
      <c r="T1083" s="56" t="s">
        <v>3061</v>
      </c>
      <c r="U1083" s="56" t="s">
        <v>3061</v>
      </c>
      <c r="V1083" s="56" t="s">
        <v>3061</v>
      </c>
      <c r="W1083" s="7"/>
      <c r="X1083"/>
    </row>
    <row r="1084" spans="1:24" x14ac:dyDescent="0.25">
      <c r="A1084" s="26">
        <v>298</v>
      </c>
      <c r="B1084" s="1">
        <f>IFERROR(VLOOKUP(ТабПозиции[[#This Row],[orderNum]],ТабЗаказы[#Data],MATCH(B$7,ТабЗаказы[#Headers],0),0),"")</f>
        <v>45583</v>
      </c>
      <c r="C1084" t="str">
        <f>MONTH(ТабПозиции[[#This Row],[date]])&amp;"/"&amp;YEAR(ТабПозиции[[#This Row],[date]])</f>
        <v>10/2024</v>
      </c>
      <c r="D1084" s="1" t="str">
        <f>IFERROR(VLOOKUP(ТабПозиции[[#This Row],[orderNum]],ТабЗаказы[#Data],MATCH(D$7,ТабЗаказы[#Headers],0),0),"")</f>
        <v>Наталья Лунина 13</v>
      </c>
      <c r="E1084" s="26" t="s">
        <v>32</v>
      </c>
      <c r="F1084" s="56" t="s">
        <v>3061</v>
      </c>
      <c r="H1084" s="34">
        <v>45583</v>
      </c>
      <c r="I1084" s="26">
        <v>1</v>
      </c>
      <c r="J1084" s="26">
        <f>3055+134</f>
        <v>3189</v>
      </c>
      <c r="K1084">
        <v>3189</v>
      </c>
      <c r="L1084" s="26">
        <f>3055+134</f>
        <v>3189</v>
      </c>
      <c r="M1084">
        <f t="shared" si="20"/>
        <v>3189</v>
      </c>
      <c r="O108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Row],[orderNum]],ТабПозиции[orderSumm])&gt;1500),ABS(M1084*VLOOKUP(ТабПозиции[[#This Row],[orderNum]],ТабЗаказы[#Data],MATCH("Percent",ТабЗаказы[#Headers],0),0))/100,200/COUNTIF(ТабПозиции[orderNum],ТабПозиции[[#This Row],[orderNum]])),0),"")</f>
        <v>478</v>
      </c>
      <c r="P1084">
        <f>IF(OR(ТабПозиции[[#This Row],[item]]="По штрихкоду",ТабПозиции[[#This Row],[item]]="Посылка"),ТабПозиции[[#This Row],[deliverySumm]]+ТабПозиции[[#This Row],[deliveryPost]],SUM(M1084:O1084))</f>
        <v>478</v>
      </c>
      <c r="Q1084" s="57">
        <v>478</v>
      </c>
      <c r="R1084" s="62">
        <f>ТабПозиции[[#This Row],[totalSumm]]-ТабПозиции[[#This Row],[payment]]</f>
        <v>0</v>
      </c>
      <c r="S1084" s="34" t="s">
        <v>965</v>
      </c>
      <c r="T1084" s="56" t="s">
        <v>3061</v>
      </c>
      <c r="U1084" s="56" t="s">
        <v>3061</v>
      </c>
      <c r="V1084" s="56" t="s">
        <v>3061</v>
      </c>
      <c r="W1084" s="7"/>
      <c r="X1084"/>
    </row>
    <row r="1085" spans="1:24" x14ac:dyDescent="0.25">
      <c r="A1085" s="26">
        <v>299</v>
      </c>
      <c r="B1085" s="1">
        <f>IFERROR(VLOOKUP(ТабПозиции[[#This Row],[orderNum]],ТабЗаказы[#Data],MATCH(B$7,ТабЗаказы[#Headers],0),0),"")</f>
        <v>45584</v>
      </c>
      <c r="C1085" t="str">
        <f>MONTH(ТабПозиции[[#This Row],[date]])&amp;"/"&amp;YEAR(ТабПозиции[[#This Row],[date]])</f>
        <v>10/2024</v>
      </c>
      <c r="D1085" s="1" t="str">
        <f>IFERROR(VLOOKUP(ТабПозиции[[#This Row],[orderNum]],ТабЗаказы[#Data],MATCH(D$7,ТабЗаказы[#Headers],0),0),"")</f>
        <v>Михаил Куприна</v>
      </c>
      <c r="E1085" s="32" t="s">
        <v>1683</v>
      </c>
      <c r="F1085" s="56" t="s">
        <v>3061</v>
      </c>
      <c r="H1085" s="34">
        <v>45587</v>
      </c>
      <c r="I1085" s="26">
        <v>1</v>
      </c>
      <c r="J1085" s="26">
        <v>1881</v>
      </c>
      <c r="K1085">
        <v>1881</v>
      </c>
      <c r="L1085" s="26">
        <v>2024</v>
      </c>
      <c r="M1085">
        <f t="shared" si="20"/>
        <v>2024</v>
      </c>
      <c r="O108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Row],[orderNum]],ТабПозиции[orderSumm])&gt;1500),ABS(M1085*VLOOKUP(ТабПозиции[[#This Row],[orderNum]],ТабЗаказы[#Data],MATCH("Percent",ТабЗаказы[#Headers],0),0))/100,200/COUNTIF(ТабПозиции[orderNum],ТабПозиции[[#This Row],[orderNum]])),0),"")</f>
        <v>202</v>
      </c>
      <c r="P1085">
        <f>IF(OR(ТабПозиции[[#This Row],[item]]="По штрихкоду",ТабПозиции[[#This Row],[item]]="Посылка"),ТабПозиции[[#This Row],[deliverySumm]]+ТабПозиции[[#This Row],[deliveryPost]],SUM(M1085:O1085))</f>
        <v>2226</v>
      </c>
      <c r="Q1085" s="57">
        <v>2226</v>
      </c>
      <c r="R1085" s="62">
        <f>ТабПозиции[[#This Row],[totalSumm]]-ТабПозиции[[#This Row],[payment]]</f>
        <v>0</v>
      </c>
      <c r="S1085" s="34" t="s">
        <v>955</v>
      </c>
      <c r="T1085" s="56" t="s">
        <v>3061</v>
      </c>
      <c r="U1085" s="56" t="s">
        <v>3061</v>
      </c>
      <c r="V1085" s="56" t="s">
        <v>3061</v>
      </c>
      <c r="W1085" s="7"/>
      <c r="X1085"/>
    </row>
    <row r="1086" spans="1:24" x14ac:dyDescent="0.25">
      <c r="A1086" s="26">
        <v>299</v>
      </c>
      <c r="B1086" s="1">
        <f>IFERROR(VLOOKUP(ТабПозиции[[#This Row],[orderNum]],ТабЗаказы[#Data],MATCH(B$7,ТабЗаказы[#Headers],0),0),"")</f>
        <v>45584</v>
      </c>
      <c r="C1086" t="str">
        <f>MONTH(ТабПозиции[[#This Row],[date]])&amp;"/"&amp;YEAR(ТабПозиции[[#This Row],[date]])</f>
        <v>10/2024</v>
      </c>
      <c r="D1086" s="1" t="str">
        <f>IFERROR(VLOOKUP(ТабПозиции[[#This Row],[orderNum]],ТабЗаказы[#Data],MATCH(D$7,ТабЗаказы[#Headers],0),0),"")</f>
        <v>Михаил Куприна</v>
      </c>
      <c r="E1086" s="32" t="s">
        <v>1685</v>
      </c>
      <c r="F1086" s="56" t="s">
        <v>3061</v>
      </c>
      <c r="H1086" s="34">
        <v>45586</v>
      </c>
      <c r="I1086" s="26">
        <v>1</v>
      </c>
      <c r="J1086" s="26">
        <v>1211</v>
      </c>
      <c r="K1086">
        <v>1211</v>
      </c>
      <c r="L1086" s="26">
        <v>1298</v>
      </c>
      <c r="M1086">
        <f t="shared" si="20"/>
        <v>1298</v>
      </c>
      <c r="O108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Row],[orderNum]],ТабПозиции[orderSumm])&gt;1500),ABS(M1086*VLOOKUP(ТабПозиции[[#This Row],[orderNum]],ТабЗаказы[#Data],MATCH("Percent",ТабЗаказы[#Headers],0),0))/100,200/COUNTIF(ТабПозиции[orderNum],ТабПозиции[[#This Row],[orderNum]])),0),"")</f>
        <v>130</v>
      </c>
      <c r="P1086">
        <f>IF(OR(ТабПозиции[[#This Row],[item]]="По штрихкоду",ТабПозиции[[#This Row],[item]]="Посылка"),ТабПозиции[[#This Row],[deliverySumm]]+ТабПозиции[[#This Row],[deliveryPost]],SUM(M1086:O1086))</f>
        <v>1428</v>
      </c>
      <c r="Q1086" s="57">
        <v>1428</v>
      </c>
      <c r="R1086" s="62">
        <f>ТабПозиции[[#This Row],[totalSumm]]-ТабПозиции[[#This Row],[payment]]</f>
        <v>0</v>
      </c>
      <c r="S1086" s="34" t="s">
        <v>955</v>
      </c>
      <c r="T1086" s="56" t="s">
        <v>3061</v>
      </c>
      <c r="U1086" s="56" t="s">
        <v>3061</v>
      </c>
      <c r="V1086" s="56" t="s">
        <v>3061</v>
      </c>
      <c r="W1086" s="7"/>
      <c r="X1086"/>
    </row>
    <row r="1087" spans="1:24" x14ac:dyDescent="0.25">
      <c r="A1087" s="26">
        <v>299</v>
      </c>
      <c r="B1087" s="1">
        <f>IFERROR(VLOOKUP(ТабПозиции[[#This Row],[orderNum]],ТабЗаказы[#Data],MATCH(B$7,ТабЗаказы[#Headers],0),0),"")</f>
        <v>45584</v>
      </c>
      <c r="C1087" t="str">
        <f>MONTH(ТабПозиции[[#This Row],[date]])&amp;"/"&amp;YEAR(ТабПозиции[[#This Row],[date]])</f>
        <v>10/2024</v>
      </c>
      <c r="D1087" s="1" t="str">
        <f>IFERROR(VLOOKUP(ТабПозиции[[#This Row],[orderNum]],ТабЗаказы[#Data],MATCH(D$7,ТабЗаказы[#Headers],0),0),"")</f>
        <v>Михаил Куприна</v>
      </c>
      <c r="E1087" s="32" t="s">
        <v>1684</v>
      </c>
      <c r="F1087" s="56" t="s">
        <v>3061</v>
      </c>
      <c r="H1087" s="34">
        <v>45586</v>
      </c>
      <c r="I1087" s="26">
        <v>1</v>
      </c>
      <c r="J1087" s="26">
        <v>1508</v>
      </c>
      <c r="K1087">
        <v>1508</v>
      </c>
      <c r="L1087" s="26">
        <v>1615</v>
      </c>
      <c r="M1087">
        <f t="shared" si="20"/>
        <v>1615</v>
      </c>
      <c r="O108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Row],[orderNum]],ТабПозиции[orderSumm])&gt;1500),ABS(M1087*VLOOKUP(ТабПозиции[[#This Row],[orderNum]],ТабЗаказы[#Data],MATCH("Percent",ТабЗаказы[#Headers],0),0))/100,200/COUNTIF(ТабПозиции[orderNum],ТабПозиции[[#This Row],[orderNum]])),0),"")</f>
        <v>162</v>
      </c>
      <c r="P1087">
        <f>IF(OR(ТабПозиции[[#This Row],[item]]="По штрихкоду",ТабПозиции[[#This Row],[item]]="Посылка"),ТабПозиции[[#This Row],[deliverySumm]]+ТабПозиции[[#This Row],[deliveryPost]],SUM(M1087:O1087))</f>
        <v>1777</v>
      </c>
      <c r="Q1087" s="57">
        <v>1777</v>
      </c>
      <c r="R1087" s="62">
        <f>ТабПозиции[[#This Row],[totalSumm]]-ТабПозиции[[#This Row],[payment]]</f>
        <v>0</v>
      </c>
      <c r="S1087" s="34" t="s">
        <v>955</v>
      </c>
      <c r="T1087" s="56" t="s">
        <v>3061</v>
      </c>
      <c r="U1087" s="56" t="s">
        <v>3061</v>
      </c>
      <c r="V1087" s="56" t="s">
        <v>3061</v>
      </c>
      <c r="W1087" s="7"/>
      <c r="X1087"/>
    </row>
    <row r="1088" spans="1:24" x14ac:dyDescent="0.25">
      <c r="A1088" s="26">
        <v>299</v>
      </c>
      <c r="B1088" s="1">
        <f>IFERROR(VLOOKUP(ТабПозиции[[#This Row],[orderNum]],ТабЗаказы[#Data],MATCH(B$7,ТабЗаказы[#Headers],0),0),"")</f>
        <v>45584</v>
      </c>
      <c r="C1088" t="str">
        <f>MONTH(ТабПозиции[[#This Row],[date]])&amp;"/"&amp;YEAR(ТабПозиции[[#This Row],[date]])</f>
        <v>10/2024</v>
      </c>
      <c r="D1088" s="1" t="str">
        <f>IFERROR(VLOOKUP(ТабПозиции[[#This Row],[orderNum]],ТабЗаказы[#Data],MATCH(D$7,ТабЗаказы[#Headers],0),0),"")</f>
        <v>Михаил Куприна</v>
      </c>
      <c r="E1088" s="32" t="s">
        <v>1687</v>
      </c>
      <c r="F1088" s="56" t="s">
        <v>3061</v>
      </c>
      <c r="H1088" s="34">
        <v>45586</v>
      </c>
      <c r="I1088" s="26">
        <v>1</v>
      </c>
      <c r="J1088" s="26">
        <v>1344</v>
      </c>
      <c r="K1088">
        <v>1344</v>
      </c>
      <c r="L1088" s="26">
        <v>1446</v>
      </c>
      <c r="M1088">
        <f t="shared" si="20"/>
        <v>1446</v>
      </c>
      <c r="O108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Row],[orderNum]],ТабПозиции[orderSumm])&gt;1500),ABS(M1088*VLOOKUP(ТабПозиции[[#This Row],[orderNum]],ТабЗаказы[#Data],MATCH("Percent",ТабЗаказы[#Headers],0),0))/100,200/COUNTIF(ТабПозиции[orderNum],ТабПозиции[[#This Row],[orderNum]])),0),"")</f>
        <v>145</v>
      </c>
      <c r="P1088">
        <f>IF(OR(ТабПозиции[[#This Row],[item]]="По штрихкоду",ТабПозиции[[#This Row],[item]]="Посылка"),ТабПозиции[[#This Row],[deliverySumm]]+ТабПозиции[[#This Row],[deliveryPost]],SUM(M1088:O1088))</f>
        <v>1591</v>
      </c>
      <c r="Q1088" s="57">
        <v>1591</v>
      </c>
      <c r="R1088" s="62">
        <f>ТабПозиции[[#This Row],[totalSumm]]-ТабПозиции[[#This Row],[payment]]</f>
        <v>0</v>
      </c>
      <c r="S1088" s="34" t="s">
        <v>955</v>
      </c>
      <c r="T1088" s="56" t="s">
        <v>3061</v>
      </c>
      <c r="U1088" s="56" t="s">
        <v>3061</v>
      </c>
      <c r="V1088" s="56" t="s">
        <v>3061</v>
      </c>
      <c r="W1088" s="7"/>
      <c r="X1088"/>
    </row>
    <row r="1089" spans="1:24" x14ac:dyDescent="0.25">
      <c r="A1089" s="26">
        <v>299</v>
      </c>
      <c r="B1089" s="1">
        <f>IFERROR(VLOOKUP(ТабПозиции[[#This Row],[orderNum]],ТабЗаказы[#Data],MATCH(B$7,ТабЗаказы[#Headers],0),0),"")</f>
        <v>45584</v>
      </c>
      <c r="C1089" t="str">
        <f>MONTH(ТабПозиции[[#This Row],[date]])&amp;"/"&amp;YEAR(ТабПозиции[[#This Row],[date]])</f>
        <v>10/2024</v>
      </c>
      <c r="D1089" s="1" t="str">
        <f>IFERROR(VLOOKUP(ТабПозиции[[#This Row],[orderNum]],ТабЗаказы[#Data],MATCH(D$7,ТабЗаказы[#Headers],0),0),"")</f>
        <v>Михаил Куприна</v>
      </c>
      <c r="E1089" s="32" t="s">
        <v>1686</v>
      </c>
      <c r="F1089" s="56" t="s">
        <v>3061</v>
      </c>
      <c r="H1089" s="34">
        <v>45586</v>
      </c>
      <c r="I1089" s="26">
        <v>1</v>
      </c>
      <c r="J1089" s="26">
        <v>900</v>
      </c>
      <c r="K1089">
        <v>900</v>
      </c>
      <c r="L1089" s="26">
        <v>968</v>
      </c>
      <c r="M1089">
        <f t="shared" si="20"/>
        <v>968</v>
      </c>
      <c r="O108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Row],[orderNum]],ТабПозиции[orderSumm])&gt;1500),ABS(M1089*VLOOKUP(ТабПозиции[[#This Row],[orderNum]],ТабЗаказы[#Data],MATCH("Percent",ТабЗаказы[#Headers],0),0))/100,200/COUNTIF(ТабПозиции[orderNum],ТабПозиции[[#This Row],[orderNum]])),0),"")</f>
        <v>97</v>
      </c>
      <c r="P1089">
        <f>IF(OR(ТабПозиции[[#This Row],[item]]="По штрихкоду",ТабПозиции[[#This Row],[item]]="Посылка"),ТабПозиции[[#This Row],[deliverySumm]]+ТабПозиции[[#This Row],[deliveryPost]],SUM(M1089:O1089))</f>
        <v>1065</v>
      </c>
      <c r="Q1089" s="57">
        <v>1065</v>
      </c>
      <c r="R1089" s="62">
        <f>ТабПозиции[[#This Row],[totalSumm]]-ТабПозиции[[#This Row],[payment]]</f>
        <v>0</v>
      </c>
      <c r="S1089" s="34" t="s">
        <v>955</v>
      </c>
      <c r="T1089" s="56" t="s">
        <v>3061</v>
      </c>
      <c r="U1089" s="56" t="s">
        <v>3061</v>
      </c>
      <c r="V1089" s="56" t="s">
        <v>3061</v>
      </c>
      <c r="W1089" s="7"/>
      <c r="X1089"/>
    </row>
    <row r="1090" spans="1:24" x14ac:dyDescent="0.25">
      <c r="A1090" s="26">
        <v>300</v>
      </c>
      <c r="B1090" s="1">
        <f>IFERROR(VLOOKUP(ТабПозиции[[#This Row],[orderNum]],ТабЗаказы[#Data],MATCH(B$7,ТабЗаказы[#Headers],0),0),"")</f>
        <v>45584</v>
      </c>
      <c r="C1090" t="str">
        <f>MONTH(ТабПозиции[[#This Row],[date]])&amp;"/"&amp;YEAR(ТабПозиции[[#This Row],[date]])</f>
        <v>10/2024</v>
      </c>
      <c r="D1090" s="1" t="str">
        <f>IFERROR(VLOOKUP(ТабПозиции[[#This Row],[orderNum]],ТабЗаказы[#Data],MATCH(D$7,ТабЗаказы[#Headers],0),0),"")</f>
        <v>Максим рюкзак</v>
      </c>
      <c r="E1090" s="32" t="s">
        <v>766</v>
      </c>
      <c r="F1090" s="56" t="s">
        <v>3061</v>
      </c>
      <c r="H1090" s="34">
        <v>45585</v>
      </c>
      <c r="I1090" s="26">
        <v>1</v>
      </c>
      <c r="J1090" s="26">
        <v>301</v>
      </c>
      <c r="K1090">
        <v>301</v>
      </c>
      <c r="L1090" s="26">
        <v>341</v>
      </c>
      <c r="M1090">
        <f t="shared" si="20"/>
        <v>341</v>
      </c>
      <c r="O109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Row],[orderNum]],ТабПозиции[orderSumm])&gt;1500),ABS(M1090*VLOOKUP(ТабПозиции[[#This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090">
        <f>IF(OR(ТабПозиции[[#This Row],[item]]="По штрихкоду",ТабПозиции[[#This Row],[item]]="Посылка"),ТабПозиции[[#This Row],[deliverySumm]]+ТабПозиции[[#This Row],[deliveryPost]],SUM(M1090:O1090))</f>
        <v>541</v>
      </c>
      <c r="Q1090" s="57">
        <v>541</v>
      </c>
      <c r="R1090" s="62">
        <f>ТабПозиции[[#This Row],[totalSumm]]-ТабПозиции[[#This Row],[payment]]</f>
        <v>0</v>
      </c>
      <c r="S1090" s="34" t="s">
        <v>955</v>
      </c>
      <c r="T1090" s="56" t="s">
        <v>3061</v>
      </c>
      <c r="U1090" s="56" t="s">
        <v>3061</v>
      </c>
      <c r="V1090" s="56" t="s">
        <v>3061</v>
      </c>
      <c r="W1090" s="7"/>
      <c r="X1090"/>
    </row>
    <row r="1091" spans="1:24" x14ac:dyDescent="0.25">
      <c r="A1091" s="26">
        <v>302</v>
      </c>
      <c r="B1091" s="1">
        <f>IFERROR(VLOOKUP(ТабПозиции[[#This Row],[orderNum]],ТабЗаказы[#Data],MATCH(B$7,ТабЗаказы[#Headers],0),0),"")</f>
        <v>45584</v>
      </c>
      <c r="C1091" t="str">
        <f>MONTH(ТабПозиции[[#This Row],[date]])&amp;"/"&amp;YEAR(ТабПозиции[[#This Row],[date]])</f>
        <v>10/2024</v>
      </c>
      <c r="D1091" s="1" t="str">
        <f>IFERROR(VLOOKUP(ТабПозиции[[#This Row],[orderNum]],ТабЗаказы[#Data],MATCH(D$7,ТабЗаказы[#Headers],0),0),"")</f>
        <v>Лариса Кирова</v>
      </c>
      <c r="E1091" s="32" t="s">
        <v>1688</v>
      </c>
      <c r="F1091" s="56" t="s">
        <v>3061</v>
      </c>
      <c r="H1091" s="34">
        <v>45587</v>
      </c>
      <c r="I1091" s="26">
        <v>1</v>
      </c>
      <c r="J1091" s="26">
        <v>500</v>
      </c>
      <c r="K1091">
        <v>500</v>
      </c>
      <c r="L1091" s="26">
        <v>527</v>
      </c>
      <c r="M1091">
        <f t="shared" si="20"/>
        <v>527</v>
      </c>
      <c r="O109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Row],[orderNum]],ТабПозиции[orderSumm])&gt;1500),ABS(M1091*VLOOKUP(ТабПозиции[[#This Row],[orderNum]],ТабЗаказы[#Data],MATCH("Percent",ТабЗаказы[#Headers],0),0))/100,200/COUNTIF(ТабПозиции[orderNum],ТабПозиции[[#This Row],[orderNum]])),0),"")</f>
        <v>79</v>
      </c>
      <c r="P1091">
        <f>IF(OR(ТабПозиции[[#This Row],[item]]="По штрихкоду",ТабПозиции[[#This Row],[item]]="Посылка"),ТабПозиции[[#This Row],[deliverySumm]]+ТабПозиции[[#This Row],[deliveryPost]],SUM(M1091:O1091))</f>
        <v>606</v>
      </c>
      <c r="Q1091" s="57">
        <v>606</v>
      </c>
      <c r="R1091" s="62">
        <f>ТабПозиции[[#This Row],[totalSumm]]-ТабПозиции[[#This Row],[payment]]</f>
        <v>0</v>
      </c>
      <c r="S1091" s="34" t="s">
        <v>965</v>
      </c>
      <c r="T1091" s="56" t="s">
        <v>3061</v>
      </c>
      <c r="U1091" s="56" t="s">
        <v>3061</v>
      </c>
      <c r="V1091" s="56" t="s">
        <v>3061</v>
      </c>
      <c r="W1091" s="7"/>
      <c r="X1091"/>
    </row>
    <row r="1092" spans="1:24" x14ac:dyDescent="0.25">
      <c r="A1092" s="26">
        <v>302</v>
      </c>
      <c r="B1092" s="1">
        <f>IFERROR(VLOOKUP(ТабПозиции[[#This Row],[orderNum]],ТабЗаказы[#Data],MATCH(B$7,ТабЗаказы[#Headers],0),0),"")</f>
        <v>45584</v>
      </c>
      <c r="C1092" t="str">
        <f>MONTH(ТабПозиции[[#This Row],[date]])&amp;"/"&amp;YEAR(ТабПозиции[[#This Row],[date]])</f>
        <v>10/2024</v>
      </c>
      <c r="D1092" s="1" t="str">
        <f>IFERROR(VLOOKUP(ТабПозиции[[#This Row],[orderNum]],ТабЗаказы[#Data],MATCH(D$7,ТабЗаказы[#Headers],0),0),"")</f>
        <v>Лариса Кирова</v>
      </c>
      <c r="E1092" s="32" t="s">
        <v>1689</v>
      </c>
      <c r="F1092" s="56" t="s">
        <v>3061</v>
      </c>
      <c r="H1092" s="34">
        <v>45587</v>
      </c>
      <c r="I1092" s="26">
        <v>1</v>
      </c>
      <c r="J1092" s="26">
        <v>128</v>
      </c>
      <c r="K1092">
        <v>128</v>
      </c>
      <c r="L1092" s="26">
        <v>135</v>
      </c>
      <c r="M1092">
        <f t="shared" si="20"/>
        <v>135</v>
      </c>
      <c r="O109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Row],[orderNum]],ТабПозиции[orderSumm])&gt;1500),ABS(M1092*VLOOKUP(ТабПозиции[[#This Row],[orderNum]],ТабЗаказы[#Data],MATCH("Percent",ТабЗаказы[#Headers],0),0))/100,200/COUNTIF(ТабПозиции[orderNum],ТабПозиции[[#This Row],[orderNum]])),0),"")</f>
        <v>20</v>
      </c>
      <c r="P1092">
        <f>IF(OR(ТабПозиции[[#This Row],[item]]="По штрихкоду",ТабПозиции[[#This Row],[item]]="Посылка"),ТабПозиции[[#This Row],[deliverySumm]]+ТабПозиции[[#This Row],[deliveryPost]],SUM(M1092:O1092))</f>
        <v>155</v>
      </c>
      <c r="Q1092" s="57">
        <v>155</v>
      </c>
      <c r="R1092" s="62">
        <f>ТабПозиции[[#This Row],[totalSumm]]-ТабПозиции[[#This Row],[payment]]</f>
        <v>0</v>
      </c>
      <c r="S1092" s="34" t="s">
        <v>965</v>
      </c>
      <c r="T1092" s="56" t="s">
        <v>3061</v>
      </c>
      <c r="U1092" s="56" t="s">
        <v>3061</v>
      </c>
      <c r="V1092" s="56" t="s">
        <v>3061</v>
      </c>
      <c r="W1092" s="7"/>
      <c r="X1092"/>
    </row>
    <row r="1093" spans="1:24" x14ac:dyDescent="0.25">
      <c r="A1093" s="26">
        <v>302</v>
      </c>
      <c r="B1093" s="1">
        <f>IFERROR(VLOOKUP(ТабПозиции[[#This Row],[orderNum]],ТабЗаказы[#Data],MATCH(B$7,ТабЗаказы[#Headers],0),0),"")</f>
        <v>45584</v>
      </c>
      <c r="C1093" t="str">
        <f>MONTH(ТабПозиции[[#This Row],[date]])&amp;"/"&amp;YEAR(ТабПозиции[[#This Row],[date]])</f>
        <v>10/2024</v>
      </c>
      <c r="D1093" s="1" t="str">
        <f>IFERROR(VLOOKUP(ТабПозиции[[#This Row],[orderNum]],ТабЗаказы[#Data],MATCH(D$7,ТабЗаказы[#Headers],0),0),"")</f>
        <v>Лариса Кирова</v>
      </c>
      <c r="E1093" s="32" t="s">
        <v>1690</v>
      </c>
      <c r="F1093" s="56" t="s">
        <v>3061</v>
      </c>
      <c r="H1093" s="34">
        <v>45587</v>
      </c>
      <c r="I1093" s="26">
        <v>1</v>
      </c>
      <c r="J1093" s="26">
        <v>420</v>
      </c>
      <c r="K1093">
        <v>420</v>
      </c>
      <c r="L1093" s="26">
        <v>443</v>
      </c>
      <c r="M1093">
        <f t="shared" si="20"/>
        <v>443</v>
      </c>
      <c r="O109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Row],[orderNum]],ТабПозиции[orderSumm])&gt;1500),ABS(M1093*VLOOKUP(ТабПозиции[[#This Row],[orderNum]],ТабЗаказы[#Data],MATCH("Percent",ТабЗаказы[#Headers],0),0))/100,200/COUNTIF(ТабПозиции[orderNum],ТабПозиции[[#This Row],[orderNum]])),0),"")</f>
        <v>66</v>
      </c>
      <c r="P1093">
        <f>IF(OR(ТабПозиции[[#This Row],[item]]="По штрихкоду",ТабПозиции[[#This Row],[item]]="Посылка"),ТабПозиции[[#This Row],[deliverySumm]]+ТабПозиции[[#This Row],[deliveryPost]],SUM(M1093:O1093))</f>
        <v>509</v>
      </c>
      <c r="Q1093" s="57">
        <v>509</v>
      </c>
      <c r="R1093" s="62">
        <f>ТабПозиции[[#This Row],[totalSumm]]-ТабПозиции[[#This Row],[payment]]</f>
        <v>0</v>
      </c>
      <c r="S1093" s="34" t="s">
        <v>965</v>
      </c>
      <c r="T1093" s="56" t="s">
        <v>3061</v>
      </c>
      <c r="U1093" s="56" t="s">
        <v>3061</v>
      </c>
      <c r="V1093" s="56" t="s">
        <v>3061</v>
      </c>
      <c r="W1093" s="7"/>
      <c r="X1093"/>
    </row>
    <row r="1094" spans="1:24" x14ac:dyDescent="0.25">
      <c r="A1094" s="26">
        <v>302</v>
      </c>
      <c r="B1094" s="1">
        <f>IFERROR(VLOOKUP(ТабПозиции[[#This Row],[orderNum]],ТабЗаказы[#Data],MATCH(B$7,ТабЗаказы[#Headers],0),0),"")</f>
        <v>45584</v>
      </c>
      <c r="C1094" t="str">
        <f>MONTH(ТабПозиции[[#This Row],[date]])&amp;"/"&amp;YEAR(ТабПозиции[[#This Row],[date]])</f>
        <v>10/2024</v>
      </c>
      <c r="D1094" s="1" t="str">
        <f>IFERROR(VLOOKUP(ТабПозиции[[#This Row],[orderNum]],ТабЗаказы[#Data],MATCH(D$7,ТабЗаказы[#Headers],0),0),"")</f>
        <v>Лариса Кирова</v>
      </c>
      <c r="E1094" s="32" t="s">
        <v>1691</v>
      </c>
      <c r="F1094" s="56" t="s">
        <v>3061</v>
      </c>
      <c r="H1094" s="34">
        <v>45585</v>
      </c>
      <c r="I1094" s="26">
        <v>1</v>
      </c>
      <c r="J1094" s="26">
        <v>176</v>
      </c>
      <c r="K1094">
        <v>176</v>
      </c>
      <c r="L1094" s="26">
        <v>180</v>
      </c>
      <c r="M1094">
        <f t="shared" si="20"/>
        <v>180</v>
      </c>
      <c r="O109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Row],[orderNum]],ТабПозиции[orderSumm])&gt;1500),ABS(M1094*VLOOKUP(ТабПозиции[[#This Row],[orderNum]],ТабЗаказы[#Data],MATCH("Percent",ТабЗаказы[#Headers],0),0))/100,200/COUNTIF(ТабПозиции[orderNum],ТабПозиции[[#This Row],[orderNum]])),0),"")</f>
        <v>27</v>
      </c>
      <c r="P1094">
        <f>IF(OR(ТабПозиции[[#This Row],[item]]="По штрихкоду",ТабПозиции[[#This Row],[item]]="Посылка"),ТабПозиции[[#This Row],[deliverySumm]]+ТабПозиции[[#This Row],[deliveryPost]],SUM(M1094:O1094))</f>
        <v>207</v>
      </c>
      <c r="Q1094" s="57">
        <v>207</v>
      </c>
      <c r="R1094" s="62">
        <f>ТабПозиции[[#This Row],[totalSumm]]-ТабПозиции[[#This Row],[payment]]</f>
        <v>0</v>
      </c>
      <c r="S1094" s="34" t="s">
        <v>955</v>
      </c>
      <c r="T1094" s="56" t="s">
        <v>3061</v>
      </c>
      <c r="U1094" s="56" t="s">
        <v>3061</v>
      </c>
      <c r="V1094" s="56" t="s">
        <v>3061</v>
      </c>
      <c r="W1094" s="7"/>
      <c r="X1094"/>
    </row>
    <row r="1095" spans="1:24" x14ac:dyDescent="0.25">
      <c r="A1095" s="26">
        <v>302</v>
      </c>
      <c r="B1095" s="1">
        <f>IFERROR(VLOOKUP(ТабПозиции[[#This Row],[orderNum]],ТабЗаказы[#Data],MATCH(B$7,ТабЗаказы[#Headers],0),0),"")</f>
        <v>45584</v>
      </c>
      <c r="C1095" t="str">
        <f>MONTH(ТабПозиции[[#This Row],[date]])&amp;"/"&amp;YEAR(ТабПозиции[[#This Row],[date]])</f>
        <v>10/2024</v>
      </c>
      <c r="D1095" s="1" t="str">
        <f>IFERROR(VLOOKUP(ТабПозиции[[#This Row],[orderNum]],ТабЗаказы[#Data],MATCH(D$7,ТабЗаказы[#Headers],0),0),"")</f>
        <v>Лариса Кирова</v>
      </c>
      <c r="E1095" s="32" t="s">
        <v>1692</v>
      </c>
      <c r="F1095" s="56" t="s">
        <v>3061</v>
      </c>
      <c r="H1095" s="34">
        <v>45587</v>
      </c>
      <c r="I1095" s="26">
        <v>1</v>
      </c>
      <c r="J1095" s="26">
        <v>286</v>
      </c>
      <c r="K1095">
        <v>286</v>
      </c>
      <c r="L1095" s="26">
        <v>292</v>
      </c>
      <c r="M1095">
        <f t="shared" si="20"/>
        <v>292</v>
      </c>
      <c r="O109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Row],[orderNum]],ТабПозиции[orderSumm])&gt;1500),ABS(M1095*VLOOKUP(ТабПозиции[[#This Row],[orderNum]],ТабЗаказы[#Data],MATCH("Percent",ТабЗаказы[#Headers],0),0))/100,200/COUNTIF(ТабПозиции[orderNum],ТабПозиции[[#This Row],[orderNum]])),0),"")</f>
        <v>44</v>
      </c>
      <c r="P1095">
        <f>IF(OR(ТабПозиции[[#This Row],[item]]="По штрихкоду",ТабПозиции[[#This Row],[item]]="Посылка"),ТабПозиции[[#This Row],[deliverySumm]]+ТабПозиции[[#This Row],[deliveryPost]],SUM(M1095:O1095))</f>
        <v>336</v>
      </c>
      <c r="Q1095" s="57">
        <v>336</v>
      </c>
      <c r="R1095" s="62">
        <f>ТабПозиции[[#This Row],[totalSumm]]-ТабПозиции[[#This Row],[payment]]</f>
        <v>0</v>
      </c>
      <c r="S1095" s="34" t="s">
        <v>955</v>
      </c>
      <c r="T1095" s="56" t="s">
        <v>3061</v>
      </c>
      <c r="U1095" s="56" t="s">
        <v>3061</v>
      </c>
      <c r="V1095" s="56" t="s">
        <v>3061</v>
      </c>
      <c r="W1095" s="7"/>
      <c r="X1095"/>
    </row>
    <row r="1096" spans="1:24" x14ac:dyDescent="0.25">
      <c r="A1096" s="26">
        <v>302</v>
      </c>
      <c r="B1096" s="1">
        <f>IFERROR(VLOOKUP(ТабПозиции[[#This Row],[orderNum]],ТабЗаказы[#Data],MATCH(B$7,ТабЗаказы[#Headers],0),0),"")</f>
        <v>45584</v>
      </c>
      <c r="C1096" t="str">
        <f>MONTH(ТабПозиции[[#This Row],[date]])&amp;"/"&amp;YEAR(ТабПозиции[[#This Row],[date]])</f>
        <v>10/2024</v>
      </c>
      <c r="D1096" s="1" t="str">
        <f>IFERROR(VLOOKUP(ТабПозиции[[#This Row],[orderNum]],ТабЗаказы[#Data],MATCH(D$7,ТабЗаказы[#Headers],0),0),"")</f>
        <v>Лариса Кирова</v>
      </c>
      <c r="E1096" s="32" t="s">
        <v>1693</v>
      </c>
      <c r="F1096" s="56" t="s">
        <v>3061</v>
      </c>
      <c r="H1096" s="34">
        <v>45585</v>
      </c>
      <c r="I1096" s="26">
        <v>1</v>
      </c>
      <c r="J1096" s="26">
        <v>411</v>
      </c>
      <c r="K1096">
        <v>411</v>
      </c>
      <c r="L1096" s="26">
        <v>421</v>
      </c>
      <c r="M1096">
        <f t="shared" si="20"/>
        <v>421</v>
      </c>
      <c r="O109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Row],[orderNum]],ТабПозиции[orderSumm])&gt;1500),ABS(M1096*VLOOKUP(ТабПозиции[[#This Row],[orderNum]],ТабЗаказы[#Data],MATCH("Percent",ТабЗаказы[#Headers],0),0))/100,200/COUNTIF(ТабПозиции[orderNum],ТабПозиции[[#This Row],[orderNum]])),0),"")</f>
        <v>63</v>
      </c>
      <c r="P1096">
        <f>IF(OR(ТабПозиции[[#This Row],[item]]="По штрихкоду",ТабПозиции[[#This Row],[item]]="Посылка"),ТабПозиции[[#This Row],[deliverySumm]]+ТабПозиции[[#This Row],[deliveryPost]],SUM(M1096:O1096))</f>
        <v>484</v>
      </c>
      <c r="Q1096" s="57">
        <v>484</v>
      </c>
      <c r="R1096" s="62">
        <f>ТабПозиции[[#This Row],[totalSumm]]-ТабПозиции[[#This Row],[payment]]</f>
        <v>0</v>
      </c>
      <c r="S1096" s="34" t="s">
        <v>955</v>
      </c>
      <c r="T1096" s="56" t="s">
        <v>3061</v>
      </c>
      <c r="U1096" s="56" t="s">
        <v>3061</v>
      </c>
      <c r="V1096" s="56" t="s">
        <v>3061</v>
      </c>
      <c r="W1096" s="7"/>
      <c r="X1096"/>
    </row>
    <row r="1097" spans="1:24" x14ac:dyDescent="0.25">
      <c r="A1097" s="26">
        <v>302</v>
      </c>
      <c r="B1097" s="1">
        <f>IFERROR(VLOOKUP(ТабПозиции[[#This Row],[orderNum]],ТабЗаказы[#Data],MATCH(B$7,ТабЗаказы[#Headers],0),0),"")</f>
        <v>45584</v>
      </c>
      <c r="C1097" t="str">
        <f>MONTH(ТабПозиции[[#This Row],[date]])&amp;"/"&amp;YEAR(ТабПозиции[[#This Row],[date]])</f>
        <v>10/2024</v>
      </c>
      <c r="D1097" s="1" t="str">
        <f>IFERROR(VLOOKUP(ТабПозиции[[#This Row],[orderNum]],ТабЗаказы[#Data],MATCH(D$7,ТабЗаказы[#Headers],0),0),"")</f>
        <v>Лариса Кирова</v>
      </c>
      <c r="E1097" s="32" t="s">
        <v>1694</v>
      </c>
      <c r="F1097" s="56" t="s">
        <v>3061</v>
      </c>
      <c r="H1097" s="34">
        <v>45594</v>
      </c>
      <c r="I1097" s="26">
        <v>1</v>
      </c>
      <c r="J1097" s="26">
        <v>617</v>
      </c>
      <c r="K1097">
        <v>617</v>
      </c>
      <c r="L1097" s="26">
        <v>664</v>
      </c>
      <c r="M1097">
        <f t="shared" si="20"/>
        <v>664</v>
      </c>
      <c r="O109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Row],[orderNum]],ТабПозиции[orderSumm])&gt;1500),ABS(M1097*VLOOKUP(ТабПозиции[[#This Row],[orderNum]],ТабЗаказы[#Data],MATCH("Percent",ТабЗаказы[#Headers],0),0))/100,200/COUNTIF(ТабПозиции[orderNum],ТабПозиции[[#This Row],[orderNum]])),0),"")</f>
        <v>100</v>
      </c>
      <c r="P1097">
        <f>IF(OR(ТабПозиции[[#This Row],[item]]="По штрихкоду",ТабПозиции[[#This Row],[item]]="Посылка"),ТабПозиции[[#This Row],[deliverySumm]]+ТабПозиции[[#This Row],[deliveryPost]],SUM(M1097:O1097))</f>
        <v>764</v>
      </c>
      <c r="Q1097" s="57">
        <v>764</v>
      </c>
      <c r="R1097" s="62">
        <f>ТабПозиции[[#This Row],[totalSumm]]-ТабПозиции[[#This Row],[payment]]</f>
        <v>0</v>
      </c>
      <c r="S1097" s="34" t="s">
        <v>955</v>
      </c>
      <c r="T1097" s="56" t="s">
        <v>3061</v>
      </c>
      <c r="U1097" s="56" t="s">
        <v>3061</v>
      </c>
      <c r="V1097" s="56" t="s">
        <v>3061</v>
      </c>
      <c r="W1097" s="7"/>
      <c r="X1097"/>
    </row>
    <row r="1098" spans="1:24" x14ac:dyDescent="0.25">
      <c r="A1098" s="26">
        <v>302</v>
      </c>
      <c r="B1098" s="1">
        <f>IFERROR(VLOOKUP(ТабПозиции[[#This Row],[orderNum]],ТабЗаказы[#Data],MATCH(B$7,ТабЗаказы[#Headers],0),0),"")</f>
        <v>45584</v>
      </c>
      <c r="C1098" t="str">
        <f>MONTH(ТабПозиции[[#This Row],[date]])&amp;"/"&amp;YEAR(ТабПозиции[[#This Row],[date]])</f>
        <v>10/2024</v>
      </c>
      <c r="D1098" s="1" t="str">
        <f>IFERROR(VLOOKUP(ТабПозиции[[#This Row],[orderNum]],ТабЗаказы[#Data],MATCH(D$7,ТабЗаказы[#Headers],0),0),"")</f>
        <v>Лариса Кирова</v>
      </c>
      <c r="E1098" s="32" t="s">
        <v>1695</v>
      </c>
      <c r="F1098" s="56" t="s">
        <v>3061</v>
      </c>
      <c r="H1098" s="34">
        <v>45585</v>
      </c>
      <c r="I1098" s="26">
        <v>1</v>
      </c>
      <c r="J1098" s="26">
        <v>227</v>
      </c>
      <c r="K1098">
        <v>227</v>
      </c>
      <c r="L1098" s="26">
        <v>232</v>
      </c>
      <c r="M1098">
        <f t="shared" si="20"/>
        <v>232</v>
      </c>
      <c r="O109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Row],[orderNum]],ТабПозиции[orderSumm])&gt;1500),ABS(M1098*VLOOKUP(ТабПозиции[[#This Row],[orderNum]],ТабЗаказы[#Data],MATCH("Percent",ТабЗаказы[#Headers],0),0))/100,200/COUNTIF(ТабПозиции[orderNum],ТабПозиции[[#This Row],[orderNum]])),0),"")</f>
        <v>35</v>
      </c>
      <c r="P1098">
        <f>IF(OR(ТабПозиции[[#This Row],[item]]="По штрихкоду",ТабПозиции[[#This Row],[item]]="Посылка"),ТабПозиции[[#This Row],[deliverySumm]]+ТабПозиции[[#This Row],[deliveryPost]],SUM(M1098:O1098))</f>
        <v>267</v>
      </c>
      <c r="Q1098" s="57">
        <v>267</v>
      </c>
      <c r="R1098" s="62">
        <f>ТабПозиции[[#This Row],[totalSumm]]-ТабПозиции[[#This Row],[payment]]</f>
        <v>0</v>
      </c>
      <c r="S1098" s="34" t="s">
        <v>955</v>
      </c>
      <c r="T1098" s="56" t="s">
        <v>3061</v>
      </c>
      <c r="U1098" s="56" t="s">
        <v>3061</v>
      </c>
      <c r="V1098" s="56" t="s">
        <v>3061</v>
      </c>
      <c r="W1098" s="7"/>
      <c r="X1098"/>
    </row>
    <row r="1099" spans="1:24" x14ac:dyDescent="0.25">
      <c r="A1099" s="26">
        <v>302</v>
      </c>
      <c r="B1099" s="1">
        <f>IFERROR(VLOOKUP(ТабПозиции[[#This Row],[orderNum]],ТабЗаказы[#Data],MATCH(B$7,ТабЗаказы[#Headers],0),0),"")</f>
        <v>45584</v>
      </c>
      <c r="C1099" t="str">
        <f>MONTH(ТабПозиции[[#This Row],[date]])&amp;"/"&amp;YEAR(ТабПозиции[[#This Row],[date]])</f>
        <v>10/2024</v>
      </c>
      <c r="D1099" s="1" t="str">
        <f>IFERROR(VLOOKUP(ТабПозиции[[#This Row],[orderNum]],ТабЗаказы[#Data],MATCH(D$7,ТабЗаказы[#Headers],0),0),"")</f>
        <v>Лариса Кирова</v>
      </c>
      <c r="E1099" s="32" t="s">
        <v>1696</v>
      </c>
      <c r="F1099" s="56" t="s">
        <v>3061</v>
      </c>
      <c r="H1099" s="34">
        <v>45585</v>
      </c>
      <c r="I1099" s="26">
        <v>1</v>
      </c>
      <c r="J1099" s="26">
        <v>1131</v>
      </c>
      <c r="K1099">
        <v>1131</v>
      </c>
      <c r="L1099" s="26">
        <v>1215</v>
      </c>
      <c r="M1099">
        <f t="shared" si="20"/>
        <v>1215</v>
      </c>
      <c r="O109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Row],[orderNum]],ТабПозиции[orderSumm])&gt;1500),ABS(M1099*VLOOKUP(ТабПозиции[[#This Row],[orderNum]],ТабЗаказы[#Data],MATCH("Percent",ТабЗаказы[#Headers],0),0))/100,200/COUNTIF(ТабПозиции[orderNum],ТабПозиции[[#This Row],[orderNum]])),0),"")</f>
        <v>182</v>
      </c>
      <c r="P1099">
        <f>IF(OR(ТабПозиции[[#This Row],[item]]="По штрихкоду",ТабПозиции[[#This Row],[item]]="Посылка"),ТабПозиции[[#This Row],[deliverySumm]]+ТабПозиции[[#This Row],[deliveryPost]],SUM(M1099:O1099))</f>
        <v>1397</v>
      </c>
      <c r="Q1099" s="57">
        <v>1397</v>
      </c>
      <c r="R1099" s="62">
        <f>ТабПозиции[[#This Row],[totalSumm]]-ТабПозиции[[#This Row],[payment]]</f>
        <v>0</v>
      </c>
      <c r="S1099" s="34" t="s">
        <v>955</v>
      </c>
      <c r="T1099" s="56" t="s">
        <v>3061</v>
      </c>
      <c r="U1099" s="56" t="s">
        <v>3061</v>
      </c>
      <c r="V1099" s="56" t="s">
        <v>3061</v>
      </c>
      <c r="W1099" s="7"/>
      <c r="X1099"/>
    </row>
    <row r="1100" spans="1:24" x14ac:dyDescent="0.25">
      <c r="A1100" s="26">
        <v>302</v>
      </c>
      <c r="B1100" s="1">
        <f>IFERROR(VLOOKUP(ТабПозиции[[#This Row],[orderNum]],ТабЗаказы[#Data],MATCH(B$7,ТабЗаказы[#Headers],0),0),"")</f>
        <v>45584</v>
      </c>
      <c r="C1100" t="str">
        <f>MONTH(ТабПозиции[[#This Row],[date]])&amp;"/"&amp;YEAR(ТабПозиции[[#This Row],[date]])</f>
        <v>10/2024</v>
      </c>
      <c r="D1100" s="1" t="str">
        <f>IFERROR(VLOOKUP(ТабПозиции[[#This Row],[orderNum]],ТабЗаказы[#Data],MATCH(D$7,ТабЗаказы[#Headers],0),0),"")</f>
        <v>Лариса Кирова</v>
      </c>
      <c r="E1100" s="32" t="s">
        <v>677</v>
      </c>
      <c r="F1100" s="56" t="s">
        <v>3061</v>
      </c>
      <c r="H1100" s="34">
        <v>45594</v>
      </c>
      <c r="I1100" s="26">
        <v>1</v>
      </c>
      <c r="J1100" s="26">
        <v>267</v>
      </c>
      <c r="K1100">
        <v>267</v>
      </c>
      <c r="L1100" s="26">
        <v>272</v>
      </c>
      <c r="M1100">
        <f t="shared" si="20"/>
        <v>272</v>
      </c>
      <c r="O110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Row],[orderNum]],ТабПозиции[orderSumm])&gt;1500),ABS(M1100*VLOOKUP(ТабПозиции[[#This Row],[orderNum]],ТабЗаказы[#Data],MATCH("Percent",ТабЗаказы[#Headers],0),0))/100,200/COUNTIF(ТабПозиции[orderNum],ТабПозиции[[#This Row],[orderNum]])),0),"")</f>
        <v>41</v>
      </c>
      <c r="P1100">
        <f>IF(OR(ТабПозиции[[#This Row],[item]]="По штрихкоду",ТабПозиции[[#This Row],[item]]="Посылка"),ТабПозиции[[#This Row],[deliverySumm]]+ТабПозиции[[#This Row],[deliveryPost]],SUM(M1100:O1100))</f>
        <v>313</v>
      </c>
      <c r="Q1100" s="57">
        <v>313</v>
      </c>
      <c r="R1100" s="62">
        <f>ТабПозиции[[#This Row],[totalSumm]]-ТабПозиции[[#This Row],[payment]]</f>
        <v>0</v>
      </c>
      <c r="S1100" s="34" t="s">
        <v>955</v>
      </c>
      <c r="T1100" s="56" t="s">
        <v>3061</v>
      </c>
      <c r="U1100" s="56" t="s">
        <v>3061</v>
      </c>
      <c r="V1100" s="56" t="s">
        <v>3061</v>
      </c>
      <c r="W1100" s="7"/>
      <c r="X1100"/>
    </row>
    <row r="1101" spans="1:24" x14ac:dyDescent="0.25">
      <c r="A1101" s="26">
        <v>304</v>
      </c>
      <c r="B1101" s="1">
        <f>IFERROR(VLOOKUP(ТабПозиции[[#This Row],[orderNum]],ТабЗаказы[#Data],MATCH(B$7,ТабЗаказы[#Headers],0),0),"")</f>
        <v>45585</v>
      </c>
      <c r="C1101" t="str">
        <f>MONTH(ТабПозиции[[#This Row],[date]])&amp;"/"&amp;YEAR(ТабПозиции[[#This Row],[date]])</f>
        <v>10/2024</v>
      </c>
      <c r="D1101" s="1" t="str">
        <f>IFERROR(VLOOKUP(ТабПозиции[[#This Row],[orderNum]],ТабЗаказы[#Data],MATCH(D$7,ТабЗаказы[#Headers],0),0),"")</f>
        <v>Елена Гайдар</v>
      </c>
      <c r="E1101" s="67" t="s">
        <v>1697</v>
      </c>
      <c r="F1101" s="56" t="s">
        <v>3061</v>
      </c>
      <c r="H1101" s="34">
        <v>45590</v>
      </c>
      <c r="I1101" s="26">
        <v>1</v>
      </c>
      <c r="J1101" s="26">
        <v>1127</v>
      </c>
      <c r="K1101">
        <v>1127</v>
      </c>
      <c r="L1101" s="26">
        <v>1187</v>
      </c>
      <c r="M1101">
        <f t="shared" si="20"/>
        <v>1187</v>
      </c>
      <c r="O110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Row],[orderNum]],ТабПозиции[orderSumm])&gt;1500),ABS(M1101*VLOOKUP(ТабПозиции[[#This Row],[orderNum]],ТабЗаказы[#Data],MATCH("Percent",ТабЗаказы[#Headers],0),0))/100,200/COUNTIF(ТабПозиции[orderNum],ТабПозиции[[#This Row],[orderNum]])),0),"")</f>
        <v>178</v>
      </c>
      <c r="P1101">
        <f>IF(OR(ТабПозиции[[#This Row],[item]]="По штрихкоду",ТабПозиции[[#This Row],[item]]="Посылка"),ТабПозиции[[#This Row],[deliverySumm]]+ТабПозиции[[#This Row],[deliveryPost]],SUM(M1101:O1101))</f>
        <v>1365</v>
      </c>
      <c r="Q1101" s="57">
        <v>1365</v>
      </c>
      <c r="R1101" s="62">
        <f>ТабПозиции[[#This Row],[totalSumm]]-ТабПозиции[[#This Row],[payment]]</f>
        <v>0</v>
      </c>
      <c r="S1101" s="34" t="s">
        <v>965</v>
      </c>
      <c r="T1101" s="56" t="s">
        <v>3061</v>
      </c>
      <c r="U1101" s="56" t="s">
        <v>3061</v>
      </c>
      <c r="V1101" s="56" t="s">
        <v>3061</v>
      </c>
      <c r="W1101" s="7"/>
      <c r="X1101"/>
    </row>
    <row r="1102" spans="1:24" x14ac:dyDescent="0.25">
      <c r="A1102" s="26">
        <v>304</v>
      </c>
      <c r="B1102" s="1">
        <f>IFERROR(VLOOKUP(ТабПозиции[[#This Row],[orderNum]],ТабЗаказы[#Data],MATCH(B$7,ТабЗаказы[#Headers],0),0),"")</f>
        <v>45585</v>
      </c>
      <c r="C1102" t="str">
        <f>MONTH(ТабПозиции[[#This Row],[date]])&amp;"/"&amp;YEAR(ТабПозиции[[#This Row],[date]])</f>
        <v>10/2024</v>
      </c>
      <c r="D1102" s="1" t="str">
        <f>IFERROR(VLOOKUP(ТабПозиции[[#This Row],[orderNum]],ТабЗаказы[#Data],MATCH(D$7,ТабЗаказы[#Headers],0),0),"")</f>
        <v>Елена Гайдар</v>
      </c>
      <c r="E1102" s="32" t="s">
        <v>1698</v>
      </c>
      <c r="F1102" s="56" t="s">
        <v>3061</v>
      </c>
      <c r="H1102" s="34">
        <v>45587</v>
      </c>
      <c r="I1102" s="26">
        <v>1</v>
      </c>
      <c r="J1102" s="26">
        <v>270</v>
      </c>
      <c r="K1102">
        <v>270</v>
      </c>
      <c r="L1102" s="26">
        <v>285</v>
      </c>
      <c r="M1102">
        <f t="shared" si="20"/>
        <v>285</v>
      </c>
      <c r="O110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Row],[orderNum]],ТабПозиции[orderSumm])&gt;1500),ABS(M1102*VLOOKUP(ТабПозиции[[#This Row],[orderNum]],ТабЗаказы[#Data],MATCH("Percent",ТабЗаказы[#Headers],0),0))/100,200/COUNTIF(ТабПозиции[orderNum],ТабПозиции[[#This Row],[orderNum]])),0),"")</f>
        <v>43</v>
      </c>
      <c r="P1102">
        <f>IF(OR(ТабПозиции[[#This Row],[item]]="По штрихкоду",ТабПозиции[[#This Row],[item]]="Посылка"),ТабПозиции[[#This Row],[deliverySumm]]+ТабПозиции[[#This Row],[deliveryPost]],SUM(M1102:O1102))</f>
        <v>328</v>
      </c>
      <c r="Q1102" s="57">
        <v>328</v>
      </c>
      <c r="R1102" s="62">
        <f>ТабПозиции[[#This Row],[totalSumm]]-ТабПозиции[[#This Row],[payment]]</f>
        <v>0</v>
      </c>
      <c r="S1102" s="34" t="s">
        <v>965</v>
      </c>
      <c r="T1102" s="56" t="s">
        <v>3061</v>
      </c>
      <c r="U1102" s="56" t="s">
        <v>3061</v>
      </c>
      <c r="V1102" s="56" t="s">
        <v>3061</v>
      </c>
      <c r="W1102" s="7"/>
      <c r="X1102"/>
    </row>
    <row r="1103" spans="1:24" x14ac:dyDescent="0.25">
      <c r="A1103" s="26">
        <v>304</v>
      </c>
      <c r="B1103" s="1">
        <f>IFERROR(VLOOKUP(ТабПозиции[[#This Row],[orderNum]],ТабЗаказы[#Data],MATCH(B$7,ТабЗаказы[#Headers],0),0),"")</f>
        <v>45585</v>
      </c>
      <c r="C1103" t="str">
        <f>MONTH(ТабПозиции[[#This Row],[date]])&amp;"/"&amp;YEAR(ТабПозиции[[#This Row],[date]])</f>
        <v>10/2024</v>
      </c>
      <c r="D1103" s="1" t="str">
        <f>IFERROR(VLOOKUP(ТабПозиции[[#This Row],[orderNum]],ТабЗаказы[#Data],MATCH(D$7,ТабЗаказы[#Headers],0),0),"")</f>
        <v>Елена Гайдар</v>
      </c>
      <c r="E1103" s="32" t="s">
        <v>1699</v>
      </c>
      <c r="F1103" s="56" t="s">
        <v>3061</v>
      </c>
      <c r="H1103" s="34">
        <v>45588</v>
      </c>
      <c r="I1103" s="26">
        <v>1</v>
      </c>
      <c r="J1103" s="26">
        <v>284</v>
      </c>
      <c r="K1103">
        <v>284</v>
      </c>
      <c r="L1103" s="26">
        <v>299</v>
      </c>
      <c r="M1103">
        <f t="shared" si="20"/>
        <v>299</v>
      </c>
      <c r="O110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Row],[orderNum]],ТабПозиции[orderSumm])&gt;1500),ABS(M1103*VLOOKUP(ТабПозиции[[#This Row],[orderNum]],ТабЗаказы[#Data],MATCH("Percent",ТабЗаказы[#Headers],0),0))/100,200/COUNTIF(ТабПозиции[orderNum],ТабПозиции[[#This Row],[orderNum]])),0),"")</f>
        <v>45</v>
      </c>
      <c r="P1103">
        <f>IF(OR(ТабПозиции[[#This Row],[item]]="По штрихкоду",ТабПозиции[[#This Row],[item]]="Посылка"),ТабПозиции[[#This Row],[deliverySumm]]+ТабПозиции[[#This Row],[deliveryPost]],SUM(M1103:O1103))</f>
        <v>344</v>
      </c>
      <c r="Q1103" s="57">
        <v>344</v>
      </c>
      <c r="R1103" s="62">
        <f>ТабПозиции[[#This Row],[totalSumm]]-ТабПозиции[[#This Row],[payment]]</f>
        <v>0</v>
      </c>
      <c r="S1103" s="34" t="s">
        <v>965</v>
      </c>
      <c r="T1103" s="56" t="s">
        <v>3061</v>
      </c>
      <c r="U1103" s="56" t="s">
        <v>3061</v>
      </c>
      <c r="V1103" s="56" t="s">
        <v>3061</v>
      </c>
      <c r="W1103" s="7"/>
      <c r="X1103"/>
    </row>
    <row r="1104" spans="1:24" x14ac:dyDescent="0.25">
      <c r="A1104" s="26">
        <v>304</v>
      </c>
      <c r="B1104" s="1">
        <f>IFERROR(VLOOKUP(ТабПозиции[[#This Row],[orderNum]],ТабЗаказы[#Data],MATCH(B$7,ТабЗаказы[#Headers],0),0),"")</f>
        <v>45585</v>
      </c>
      <c r="C1104" t="str">
        <f>MONTH(ТабПозиции[[#This Row],[date]])&amp;"/"&amp;YEAR(ТабПозиции[[#This Row],[date]])</f>
        <v>10/2024</v>
      </c>
      <c r="D1104" s="1" t="str">
        <f>IFERROR(VLOOKUP(ТабПозиции[[#This Row],[orderNum]],ТабЗаказы[#Data],MATCH(D$7,ТабЗаказы[#Headers],0),0),"")</f>
        <v>Елена Гайдар</v>
      </c>
      <c r="E1104" s="32" t="s">
        <v>634</v>
      </c>
      <c r="F1104" s="56" t="s">
        <v>3061</v>
      </c>
      <c r="H1104" s="34">
        <v>45587</v>
      </c>
      <c r="I1104" s="26">
        <v>1</v>
      </c>
      <c r="J1104" s="26">
        <v>494</v>
      </c>
      <c r="K1104">
        <v>494</v>
      </c>
      <c r="L1104" s="26">
        <v>520</v>
      </c>
      <c r="M1104">
        <f t="shared" si="20"/>
        <v>520</v>
      </c>
      <c r="O110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Row],[orderNum]],ТабПозиции[orderSumm])&gt;1500),ABS(M1104*VLOOKUP(ТабПозиции[[#This Row],[orderNum]],ТабЗаказы[#Data],MATCH("Percent",ТабЗаказы[#Headers],0),0))/100,200/COUNTIF(ТабПозиции[orderNum],ТабПозиции[[#This Row],[orderNum]])),0),"")</f>
        <v>78</v>
      </c>
      <c r="P1104">
        <f>IF(OR(ТабПозиции[[#This Row],[item]]="По штрихкоду",ТабПозиции[[#This Row],[item]]="Посылка"),ТабПозиции[[#This Row],[deliverySumm]]+ТабПозиции[[#This Row],[deliveryPost]],SUM(M1104:O1104))</f>
        <v>598</v>
      </c>
      <c r="Q1104" s="57">
        <v>598</v>
      </c>
      <c r="R1104" s="62">
        <f>ТабПозиции[[#This Row],[totalSumm]]-ТабПозиции[[#This Row],[payment]]</f>
        <v>0</v>
      </c>
      <c r="S1104" s="34" t="s">
        <v>965</v>
      </c>
      <c r="T1104" s="56" t="s">
        <v>3061</v>
      </c>
      <c r="U1104" s="56" t="s">
        <v>3061</v>
      </c>
      <c r="V1104" s="56" t="s">
        <v>3061</v>
      </c>
      <c r="W1104" s="7"/>
      <c r="X1104"/>
    </row>
    <row r="1105" spans="1:24" x14ac:dyDescent="0.25">
      <c r="A1105" s="26">
        <v>304</v>
      </c>
      <c r="B1105" s="1">
        <f>IFERROR(VLOOKUP(ТабПозиции[[#This Row],[orderNum]],ТабЗаказы[#Data],MATCH(B$7,ТабЗаказы[#Headers],0),0),"")</f>
        <v>45585</v>
      </c>
      <c r="C1105" t="str">
        <f>MONTH(ТабПозиции[[#This Row],[date]])&amp;"/"&amp;YEAR(ТабПозиции[[#This Row],[date]])</f>
        <v>10/2024</v>
      </c>
      <c r="D1105" s="1" t="str">
        <f>IFERROR(VLOOKUP(ТабПозиции[[#This Row],[orderNum]],ТабЗаказы[#Data],MATCH(D$7,ТабЗаказы[#Headers],0),0),"")</f>
        <v>Елена Гайдар</v>
      </c>
      <c r="E1105" s="32" t="s">
        <v>1645</v>
      </c>
      <c r="F1105" s="56" t="s">
        <v>3061</v>
      </c>
      <c r="H1105" s="34">
        <v>45587</v>
      </c>
      <c r="I1105" s="26">
        <v>1</v>
      </c>
      <c r="J1105" s="26">
        <v>578</v>
      </c>
      <c r="K1105">
        <v>578</v>
      </c>
      <c r="L1105" s="26">
        <v>609</v>
      </c>
      <c r="M1105">
        <f t="shared" si="20"/>
        <v>609</v>
      </c>
      <c r="O110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Row],[orderNum]],ТабПозиции[orderSumm])&gt;1500),ABS(M1105*VLOOKUP(ТабПозиции[[#This Row],[orderNum]],ТабЗаказы[#Data],MATCH("Percent",ТабЗаказы[#Headers],0),0))/100,200/COUNTIF(ТабПозиции[orderNum],ТабПозиции[[#This Row],[orderNum]])),0),"")</f>
        <v>91</v>
      </c>
      <c r="P1105">
        <f>IF(OR(ТабПозиции[[#This Row],[item]]="По штрихкоду",ТабПозиции[[#This Row],[item]]="Посылка"),ТабПозиции[[#This Row],[deliverySumm]]+ТабПозиции[[#This Row],[deliveryPost]],SUM(M1105:O1105))</f>
        <v>700</v>
      </c>
      <c r="Q1105" s="57">
        <v>700</v>
      </c>
      <c r="R1105" s="62">
        <f>ТабПозиции[[#This Row],[totalSumm]]-ТабПозиции[[#This Row],[payment]]</f>
        <v>0</v>
      </c>
      <c r="S1105" s="34" t="s">
        <v>965</v>
      </c>
      <c r="T1105" s="56" t="s">
        <v>3061</v>
      </c>
      <c r="U1105" s="56" t="s">
        <v>3061</v>
      </c>
      <c r="V1105" s="56" t="s">
        <v>3061</v>
      </c>
      <c r="W1105" s="7"/>
      <c r="X1105"/>
    </row>
    <row r="1106" spans="1:24" x14ac:dyDescent="0.25">
      <c r="A1106" s="26">
        <v>304</v>
      </c>
      <c r="B1106" s="1">
        <f>IFERROR(VLOOKUP(ТабПозиции[[#This Row],[orderNum]],ТабЗаказы[#Data],MATCH(B$7,ТабЗаказы[#Headers],0),0),"")</f>
        <v>45585</v>
      </c>
      <c r="C1106" t="str">
        <f>MONTH(ТабПозиции[[#This Row],[date]])&amp;"/"&amp;YEAR(ТабПозиции[[#This Row],[date]])</f>
        <v>10/2024</v>
      </c>
      <c r="D1106" s="1" t="str">
        <f>IFERROR(VLOOKUP(ТабПозиции[[#This Row],[orderNum]],ТабЗаказы[#Data],MATCH(D$7,ТабЗаказы[#Headers],0),0),"")</f>
        <v>Елена Гайдар</v>
      </c>
      <c r="E1106" s="32" t="s">
        <v>1700</v>
      </c>
      <c r="F1106" s="56" t="s">
        <v>3061</v>
      </c>
      <c r="H1106" s="34">
        <v>45588</v>
      </c>
      <c r="I1106" s="26">
        <v>1</v>
      </c>
      <c r="J1106" s="26">
        <v>392</v>
      </c>
      <c r="K1106">
        <v>392</v>
      </c>
      <c r="L1106" s="26">
        <v>413</v>
      </c>
      <c r="M1106">
        <f t="shared" si="20"/>
        <v>413</v>
      </c>
      <c r="O110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Row],[orderNum]],ТабПозиции[orderSumm])&gt;1500),ABS(M1106*VLOOKUP(ТабПозиции[[#This Row],[orderNum]],ТабЗаказы[#Data],MATCH("Percent",ТабЗаказы[#Headers],0),0))/100,200/COUNTIF(ТабПозиции[orderNum],ТабПозиции[[#This Row],[orderNum]])),0),"")</f>
        <v>62</v>
      </c>
      <c r="P1106">
        <f>IF(OR(ТабПозиции[[#This Row],[item]]="По штрихкоду",ТабПозиции[[#This Row],[item]]="Посылка"),ТабПозиции[[#This Row],[deliverySumm]]+ТабПозиции[[#This Row],[deliveryPost]],SUM(M1106:O1106))</f>
        <v>475</v>
      </c>
      <c r="Q1106" s="57">
        <v>475</v>
      </c>
      <c r="R1106" s="62">
        <f>ТабПозиции[[#This Row],[totalSumm]]-ТабПозиции[[#This Row],[payment]]</f>
        <v>0</v>
      </c>
      <c r="S1106" s="34" t="s">
        <v>965</v>
      </c>
      <c r="T1106" s="56" t="s">
        <v>3061</v>
      </c>
      <c r="U1106" s="56" t="s">
        <v>3061</v>
      </c>
      <c r="V1106" s="56" t="s">
        <v>3061</v>
      </c>
      <c r="W1106" s="7"/>
      <c r="X1106"/>
    </row>
    <row r="1107" spans="1:24" x14ac:dyDescent="0.25">
      <c r="A1107" s="26">
        <v>299</v>
      </c>
      <c r="B1107" s="1">
        <f>IFERROR(VLOOKUP(ТабПозиции[[#This Row],[orderNum]],ТабЗаказы[#Data],MATCH(B$7,ТабЗаказы[#Headers],0),0),"")</f>
        <v>45584</v>
      </c>
      <c r="C1107" t="str">
        <f>MONTH(ТабПозиции[[#This Row],[date]])&amp;"/"&amp;YEAR(ТабПозиции[[#This Row],[date]])</f>
        <v>10/2024</v>
      </c>
      <c r="D1107" s="1" t="str">
        <f>IFERROR(VLOOKUP(ТабПозиции[[#This Row],[orderNum]],ТабЗаказы[#Data],MATCH(D$7,ТабЗаказы[#Headers],0),0),"")</f>
        <v>Михаил Куприна</v>
      </c>
      <c r="E1107" s="32" t="s">
        <v>1701</v>
      </c>
      <c r="F1107" s="56" t="s">
        <v>3061</v>
      </c>
      <c r="H1107" s="34">
        <v>45592</v>
      </c>
      <c r="I1107" s="26">
        <v>1</v>
      </c>
      <c r="J1107" s="26">
        <v>1083</v>
      </c>
      <c r="K1107">
        <v>1083</v>
      </c>
      <c r="L1107" s="26">
        <v>1158</v>
      </c>
      <c r="M1107">
        <f t="shared" si="20"/>
        <v>1158</v>
      </c>
      <c r="O110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Row],[orderNum]],ТабПозиции[orderSumm])&gt;1500),ABS(M1107*VLOOKUP(ТабПозиции[[#This Row],[orderNum]],ТабЗаказы[#Data],MATCH("Percent",ТабЗаказы[#Headers],0),0))/100,200/COUNTIF(ТабПозиции[orderNum],ТабПозиции[[#This Row],[orderNum]])),0),"")</f>
        <v>116</v>
      </c>
      <c r="P1107">
        <f>IF(OR(ТабПозиции[[#This Row],[item]]="По штрихкоду",ТабПозиции[[#This Row],[item]]="Посылка"),ТабПозиции[[#This Row],[deliverySumm]]+ТабПозиции[[#This Row],[deliveryPost]],SUM(M1107:O1107))</f>
        <v>1274</v>
      </c>
      <c r="Q1107" s="57">
        <v>1274</v>
      </c>
      <c r="R1107" s="62">
        <f>ТабПозиции[[#This Row],[totalSumm]]-ТабПозиции[[#This Row],[payment]]</f>
        <v>0</v>
      </c>
      <c r="S1107" s="34" t="s">
        <v>955</v>
      </c>
      <c r="T1107" s="56" t="s">
        <v>3061</v>
      </c>
      <c r="U1107" s="56" t="s">
        <v>3061</v>
      </c>
      <c r="V1107" s="56" t="s">
        <v>3061</v>
      </c>
      <c r="W1107" s="7"/>
      <c r="X1107"/>
    </row>
    <row r="1108" spans="1:24" x14ac:dyDescent="0.25">
      <c r="A1108" s="26">
        <v>299</v>
      </c>
      <c r="B1108" s="1">
        <f>IFERROR(VLOOKUP(ТабПозиции[[#This Row],[orderNum]],ТабЗаказы[#Data],MATCH(B$7,ТабЗаказы[#Headers],0),0),"")</f>
        <v>45584</v>
      </c>
      <c r="C1108" t="str">
        <f>MONTH(ТабПозиции[[#This Row],[date]])&amp;"/"&amp;YEAR(ТабПозиции[[#This Row],[date]])</f>
        <v>10/2024</v>
      </c>
      <c r="D1108" s="1" t="str">
        <f>IFERROR(VLOOKUP(ТабПозиции[[#This Row],[orderNum]],ТабЗаказы[#Data],MATCH(D$7,ТабЗаказы[#Headers],0),0),"")</f>
        <v>Михаил Куприна</v>
      </c>
      <c r="E1108" s="32" t="s">
        <v>1702</v>
      </c>
      <c r="F1108" s="56" t="s">
        <v>3061</v>
      </c>
      <c r="H1108" s="34">
        <v>45589</v>
      </c>
      <c r="I1108" s="26">
        <v>1</v>
      </c>
      <c r="J1108" s="26">
        <v>1650</v>
      </c>
      <c r="K1108">
        <v>1650</v>
      </c>
      <c r="L1108" s="26">
        <v>1759</v>
      </c>
      <c r="M1108">
        <f t="shared" si="20"/>
        <v>1759</v>
      </c>
      <c r="O110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Row],[orderNum]],ТабПозиции[orderSumm])&gt;1500),ABS(M1108*VLOOKUP(ТабПозиции[[#This Row],[orderNum]],ТабЗаказы[#Data],MATCH("Percent",ТабЗаказы[#Headers],0),0))/100,200/COUNTIF(ТабПозиции[orderNum],ТабПозиции[[#This Row],[orderNum]])),0),"")</f>
        <v>176</v>
      </c>
      <c r="P1108">
        <f>IF(OR(ТабПозиции[[#This Row],[item]]="По штрихкоду",ТабПозиции[[#This Row],[item]]="Посылка"),ТабПозиции[[#This Row],[deliverySumm]]+ТабПозиции[[#This Row],[deliveryPost]],SUM(M1108:O1108))</f>
        <v>1935</v>
      </c>
      <c r="Q1108" s="57">
        <v>1935</v>
      </c>
      <c r="R1108" s="62">
        <f>ТабПозиции[[#This Row],[totalSumm]]-ТабПозиции[[#This Row],[payment]]</f>
        <v>0</v>
      </c>
      <c r="S1108" s="34" t="s">
        <v>955</v>
      </c>
      <c r="T1108" s="56" t="s">
        <v>3061</v>
      </c>
      <c r="U1108" s="56" t="s">
        <v>3061</v>
      </c>
      <c r="V1108" s="56" t="s">
        <v>3061</v>
      </c>
      <c r="W1108" s="7"/>
      <c r="X1108"/>
    </row>
    <row r="1109" spans="1:24" x14ac:dyDescent="0.25">
      <c r="A1109" s="26">
        <v>303</v>
      </c>
      <c r="B1109" s="1">
        <f>IFERROR(VLOOKUP(ТабПозиции[[#This Row],[orderNum]],ТабЗаказы[#Data],MATCH(B$7,ТабЗаказы[#Headers],0),0),"")</f>
        <v>45585</v>
      </c>
      <c r="C1109" t="str">
        <f>MONTH(ТабПозиции[[#This Row],[date]])&amp;"/"&amp;YEAR(ТабПозиции[[#This Row],[date]])</f>
        <v>10/2024</v>
      </c>
      <c r="D1109" s="1" t="str">
        <f>IFERROR(VLOOKUP(ТабПозиции[[#This Row],[orderNum]],ТабЗаказы[#Data],MATCH(D$7,ТабЗаказы[#Headers],0),0),"")</f>
        <v>Максим рюкзак</v>
      </c>
      <c r="E1109" s="67" t="s">
        <v>1703</v>
      </c>
      <c r="F1109" s="56" t="s">
        <v>3061</v>
      </c>
      <c r="H1109" s="34">
        <v>45590</v>
      </c>
      <c r="I1109" s="26">
        <v>1</v>
      </c>
      <c r="J1109" s="26">
        <v>3754</v>
      </c>
      <c r="K1109">
        <v>3754</v>
      </c>
      <c r="L1109" s="26">
        <v>3952</v>
      </c>
      <c r="M1109">
        <f t="shared" si="20"/>
        <v>3952</v>
      </c>
      <c r="O110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Row],[orderNum]],ТабПозиции[orderSumm])&gt;1500),ABS(M1109*VLOOKUP(ТабПозиции[[#This Row],[orderNum]],ТабЗаказы[#Data],MATCH("Percent",ТабЗаказы[#Headers],0),0))/100,200/COUNTIF(ТабПозиции[orderNum],ТабПозиции[[#This Row],[orderNum]])),0),"")</f>
        <v>395</v>
      </c>
      <c r="P1109">
        <f>IF(OR(ТабПозиции[[#This Row],[item]]="По штрихкоду",ТабПозиции[[#This Row],[item]]="Посылка"),ТабПозиции[[#This Row],[deliverySumm]]+ТабПозиции[[#This Row],[deliveryPost]],SUM(M1109:O1109))</f>
        <v>4347</v>
      </c>
      <c r="Q1109" s="57">
        <v>4347</v>
      </c>
      <c r="R1109" s="62">
        <f>ТабПозиции[[#This Row],[totalSumm]]-ТабПозиции[[#This Row],[payment]]</f>
        <v>0</v>
      </c>
      <c r="S1109" s="34" t="s">
        <v>965</v>
      </c>
      <c r="T1109" s="56" t="s">
        <v>3061</v>
      </c>
      <c r="U1109" s="56" t="s">
        <v>3061</v>
      </c>
      <c r="V1109" s="56" t="s">
        <v>3061</v>
      </c>
      <c r="W1109" s="7"/>
      <c r="X1109"/>
    </row>
    <row r="1110" spans="1:24" x14ac:dyDescent="0.25">
      <c r="A1110" s="26">
        <v>303</v>
      </c>
      <c r="B1110" s="1">
        <f>IFERROR(VLOOKUP(ТабПозиции[[#This Row],[orderNum]],ТабЗаказы[#Data],MATCH(B$7,ТабЗаказы[#Headers],0),0),"")</f>
        <v>45585</v>
      </c>
      <c r="C1110" t="str">
        <f>MONTH(ТабПозиции[[#This Row],[date]])&amp;"/"&amp;YEAR(ТабПозиции[[#This Row],[date]])</f>
        <v>10/2024</v>
      </c>
      <c r="D1110" s="1" t="str">
        <f>IFERROR(VLOOKUP(ТабПозиции[[#This Row],[orderNum]],ТабЗаказы[#Data],MATCH(D$7,ТабЗаказы[#Headers],0),0),"")</f>
        <v>Максим рюкзак</v>
      </c>
      <c r="E1110" s="67" t="s">
        <v>1704</v>
      </c>
      <c r="F1110" s="56" t="s">
        <v>3061</v>
      </c>
      <c r="H1110" s="34">
        <v>45593</v>
      </c>
      <c r="I1110" s="26">
        <v>1</v>
      </c>
      <c r="J1110" s="26">
        <v>2453</v>
      </c>
      <c r="K1110">
        <v>2453</v>
      </c>
      <c r="L1110" s="26">
        <v>2583</v>
      </c>
      <c r="M1110">
        <f t="shared" ref="M1110:M1173" si="21">L1110*I1110</f>
        <v>2583</v>
      </c>
      <c r="O111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Row],[orderNum]],ТабПозиции[orderSumm])&gt;1500),ABS(M1110*VLOOKUP(ТабПозиции[[#This Row],[orderNum]],ТабЗаказы[#Data],MATCH("Percent",ТабЗаказы[#Headers],0),0))/100,200/COUNTIF(ТабПозиции[orderNum],ТабПозиции[[#This Row],[orderNum]])),0),"")</f>
        <v>258</v>
      </c>
      <c r="P1110">
        <f>IF(OR(ТабПозиции[[#This Row],[item]]="По штрихкоду",ТабПозиции[[#This Row],[item]]="Посылка"),ТабПозиции[[#This Row],[deliverySumm]]+ТабПозиции[[#This Row],[deliveryPost]],SUM(M1110:O1110))</f>
        <v>2841</v>
      </c>
      <c r="Q1110" s="57">
        <v>2841</v>
      </c>
      <c r="R1110" s="62">
        <f>ТабПозиции[[#This Row],[totalSumm]]-ТабПозиции[[#This Row],[payment]]</f>
        <v>0</v>
      </c>
      <c r="S1110" s="34" t="s">
        <v>965</v>
      </c>
      <c r="T1110" s="56" t="s">
        <v>3061</v>
      </c>
      <c r="U1110" s="56" t="s">
        <v>3061</v>
      </c>
      <c r="V1110" s="56" t="s">
        <v>3061</v>
      </c>
      <c r="W1110" s="7"/>
      <c r="X1110"/>
    </row>
    <row r="1111" spans="1:24" x14ac:dyDescent="0.25">
      <c r="A1111" s="26">
        <v>303</v>
      </c>
      <c r="B1111" s="1">
        <f>IFERROR(VLOOKUP(ТабПозиции[[#This Row],[orderNum]],ТабЗаказы[#Data],MATCH(B$7,ТабЗаказы[#Headers],0),0),"")</f>
        <v>45585</v>
      </c>
      <c r="C1111" t="str">
        <f>MONTH(ТабПозиции[[#This Row],[date]])&amp;"/"&amp;YEAR(ТабПозиции[[#This Row],[date]])</f>
        <v>10/2024</v>
      </c>
      <c r="D1111" s="1" t="str">
        <f>IFERROR(VLOOKUP(ТабПозиции[[#This Row],[orderNum]],ТабЗаказы[#Data],MATCH(D$7,ТабЗаказы[#Headers],0),0),"")</f>
        <v>Максим рюкзак</v>
      </c>
      <c r="E1111" s="32" t="s">
        <v>1705</v>
      </c>
      <c r="F1111" s="56" t="s">
        <v>3061</v>
      </c>
      <c r="H1111" s="34">
        <v>45593</v>
      </c>
      <c r="I1111" s="26">
        <v>1</v>
      </c>
      <c r="J1111" s="26">
        <v>573</v>
      </c>
      <c r="K1111">
        <v>573</v>
      </c>
      <c r="L1111" s="26">
        <v>604</v>
      </c>
      <c r="M1111">
        <f t="shared" si="21"/>
        <v>604</v>
      </c>
      <c r="O111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Row],[orderNum]],ТабПозиции[orderSumm])&gt;1500),ABS(M1111*VLOOKUP(ТабПозиции[[#This Row],[orderNum]],ТабЗаказы[#Data],MATCH("Percent",ТабЗаказы[#Headers],0),0))/100,200/COUNTIF(ТабПозиции[orderNum],ТабПозиции[[#This Row],[orderNum]])),0),"")</f>
        <v>60</v>
      </c>
      <c r="P1111">
        <f>IF(OR(ТабПозиции[[#This Row],[item]]="По штрихкоду",ТабПозиции[[#This Row],[item]]="Посылка"),ТабПозиции[[#This Row],[deliverySumm]]+ТабПозиции[[#This Row],[deliveryPost]],SUM(M1111:O1111))</f>
        <v>664</v>
      </c>
      <c r="Q1111" s="57">
        <v>664</v>
      </c>
      <c r="R1111" s="62">
        <f>ТабПозиции[[#This Row],[totalSumm]]-ТабПозиции[[#This Row],[payment]]</f>
        <v>0</v>
      </c>
      <c r="S1111" s="34" t="s">
        <v>965</v>
      </c>
      <c r="T1111" s="56" t="s">
        <v>3061</v>
      </c>
      <c r="U1111" s="56" t="s">
        <v>3061</v>
      </c>
      <c r="V1111" s="56" t="s">
        <v>3061</v>
      </c>
      <c r="W1111" s="7"/>
      <c r="X1111"/>
    </row>
    <row r="1112" spans="1:24" x14ac:dyDescent="0.25">
      <c r="A1112" s="26">
        <v>303</v>
      </c>
      <c r="B1112" s="1">
        <f>IFERROR(VLOOKUP(ТабПозиции[[#This Row],[orderNum]],ТабЗаказы[#Data],MATCH(B$7,ТабЗаказы[#Headers],0),0),"")</f>
        <v>45585</v>
      </c>
      <c r="C1112" t="str">
        <f>MONTH(ТабПозиции[[#This Row],[date]])&amp;"/"&amp;YEAR(ТабПозиции[[#This Row],[date]])</f>
        <v>10/2024</v>
      </c>
      <c r="D1112" s="1" t="str">
        <f>IFERROR(VLOOKUP(ТабПозиции[[#This Row],[orderNum]],ТабЗаказы[#Data],MATCH(D$7,ТабЗаказы[#Headers],0),0),"")</f>
        <v>Максим рюкзак</v>
      </c>
      <c r="E1112" s="67" t="s">
        <v>1706</v>
      </c>
      <c r="F1112" s="56" t="s">
        <v>3061</v>
      </c>
      <c r="H1112" s="34">
        <v>45591</v>
      </c>
      <c r="I1112" s="26">
        <v>1</v>
      </c>
      <c r="J1112" s="26">
        <v>1702</v>
      </c>
      <c r="K1112">
        <v>1702</v>
      </c>
      <c r="L1112" s="26">
        <v>1792</v>
      </c>
      <c r="M1112">
        <f t="shared" si="21"/>
        <v>1792</v>
      </c>
      <c r="O111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Row],[orderNum]],ТабПозиции[orderSumm])&gt;1500),ABS(M1112*VLOOKUP(ТабПозиции[[#This Row],[orderNum]],ТабЗаказы[#Data],MATCH("Percent",ТабЗаказы[#Headers],0),0))/100,200/COUNTIF(ТабПозиции[orderNum],ТабПозиции[[#This Row],[orderNum]])),0),"")</f>
        <v>179</v>
      </c>
      <c r="P1112">
        <f>IF(OR(ТабПозиции[[#This Row],[item]]="По штрихкоду",ТабПозиции[[#This Row],[item]]="Посылка"),ТабПозиции[[#This Row],[deliverySumm]]+ТабПозиции[[#This Row],[deliveryPost]],SUM(M1112:O1112))</f>
        <v>1971</v>
      </c>
      <c r="Q1112" s="57">
        <v>1971</v>
      </c>
      <c r="R1112" s="62">
        <f>ТабПозиции[[#This Row],[totalSumm]]-ТабПозиции[[#This Row],[payment]]</f>
        <v>0</v>
      </c>
      <c r="S1112" s="34" t="s">
        <v>965</v>
      </c>
      <c r="T1112" s="56" t="s">
        <v>3061</v>
      </c>
      <c r="U1112" s="56" t="s">
        <v>3061</v>
      </c>
      <c r="V1112" s="56" t="s">
        <v>3061</v>
      </c>
      <c r="W1112" s="7"/>
      <c r="X1112"/>
    </row>
    <row r="1113" spans="1:24" x14ac:dyDescent="0.25">
      <c r="A1113" s="26">
        <v>303</v>
      </c>
      <c r="B1113" s="1">
        <f>IFERROR(VLOOKUP(ТабПозиции[[#This Row],[orderNum]],ТабЗаказы[#Data],MATCH(B$7,ТабЗаказы[#Headers],0),0),"")</f>
        <v>45585</v>
      </c>
      <c r="C1113" t="str">
        <f>MONTH(ТабПозиции[[#This Row],[date]])&amp;"/"&amp;YEAR(ТабПозиции[[#This Row],[date]])</f>
        <v>10/2024</v>
      </c>
      <c r="D1113" s="1" t="str">
        <f>IFERROR(VLOOKUP(ТабПозиции[[#This Row],[orderNum]],ТабЗаказы[#Data],MATCH(D$7,ТабЗаказы[#Headers],0),0),"")</f>
        <v>Максим рюкзак</v>
      </c>
      <c r="E1113" s="32" t="s">
        <v>1707</v>
      </c>
      <c r="F1113" s="56" t="s">
        <v>3061</v>
      </c>
      <c r="H1113" s="34">
        <v>45591</v>
      </c>
      <c r="I1113" s="26">
        <v>1</v>
      </c>
      <c r="J1113" s="26">
        <v>760</v>
      </c>
      <c r="K1113">
        <v>760</v>
      </c>
      <c r="L1113" s="26">
        <v>800</v>
      </c>
      <c r="M1113">
        <f t="shared" si="21"/>
        <v>800</v>
      </c>
      <c r="O111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Row],[orderNum]],ТабПозиции[orderSumm])&gt;1500),ABS(M1113*VLOOKUP(ТабПозиции[[#This Row],[orderNum]],ТабЗаказы[#Data],MATCH("Percent",ТабЗаказы[#Headers],0),0))/100,200/COUNTIF(ТабПозиции[orderNum],ТабПозиции[[#This Row],[orderNum]])),0),"")</f>
        <v>80</v>
      </c>
      <c r="P1113">
        <f>IF(OR(ТабПозиции[[#This Row],[item]]="По штрихкоду",ТабПозиции[[#This Row],[item]]="Посылка"),ТабПозиции[[#This Row],[deliverySumm]]+ТабПозиции[[#This Row],[deliveryPost]],SUM(M1113:O1113))</f>
        <v>880</v>
      </c>
      <c r="Q1113" s="57">
        <v>880</v>
      </c>
      <c r="R1113" s="62">
        <f>ТабПозиции[[#This Row],[totalSumm]]-ТабПозиции[[#This Row],[payment]]</f>
        <v>0</v>
      </c>
      <c r="S1113" s="34" t="s">
        <v>965</v>
      </c>
      <c r="T1113" s="56" t="s">
        <v>3061</v>
      </c>
      <c r="U1113" s="56" t="s">
        <v>3061</v>
      </c>
      <c r="V1113" s="56" t="s">
        <v>3061</v>
      </c>
      <c r="W1113" s="7"/>
      <c r="X1113"/>
    </row>
    <row r="1114" spans="1:24" x14ac:dyDescent="0.25">
      <c r="A1114" s="26">
        <v>303</v>
      </c>
      <c r="B1114" s="1">
        <f>IFERROR(VLOOKUP(ТабПозиции[[#This Row],[orderNum]],ТабЗаказы[#Data],MATCH(B$7,ТабЗаказы[#Headers],0),0),"")</f>
        <v>45585</v>
      </c>
      <c r="C1114" t="str">
        <f>MONTH(ТабПозиции[[#This Row],[date]])&amp;"/"&amp;YEAR(ТабПозиции[[#This Row],[date]])</f>
        <v>10/2024</v>
      </c>
      <c r="D1114" s="1" t="str">
        <f>IFERROR(VLOOKUP(ТабПозиции[[#This Row],[orderNum]],ТабЗаказы[#Data],MATCH(D$7,ТабЗаказы[#Headers],0),0),"")</f>
        <v>Максим рюкзак</v>
      </c>
      <c r="E1114" s="32" t="s">
        <v>1708</v>
      </c>
      <c r="F1114" s="56" t="s">
        <v>3061</v>
      </c>
      <c r="H1114" s="34">
        <v>45590</v>
      </c>
      <c r="I1114" s="26">
        <v>1</v>
      </c>
      <c r="J1114" s="26">
        <v>390</v>
      </c>
      <c r="K1114">
        <v>390</v>
      </c>
      <c r="L1114" s="26">
        <v>411</v>
      </c>
      <c r="M1114">
        <f t="shared" si="21"/>
        <v>411</v>
      </c>
      <c r="O111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Row],[orderNum]],ТабПозиции[orderSumm])&gt;1500),ABS(M1114*VLOOKUP(ТабПозиции[[#This Row],[orderNum]],ТабЗаказы[#Data],MATCH("Percent",ТабЗаказы[#Headers],0),0))/100,200/COUNTIF(ТабПозиции[orderNum],ТабПозиции[[#This Row],[orderNum]])),0),"")</f>
        <v>41</v>
      </c>
      <c r="P1114">
        <f>IF(OR(ТабПозиции[[#This Row],[item]]="По штрихкоду",ТабПозиции[[#This Row],[item]]="Посылка"),ТабПозиции[[#This Row],[deliverySumm]]+ТабПозиции[[#This Row],[deliveryPost]],SUM(M1114:O1114))</f>
        <v>452</v>
      </c>
      <c r="Q1114" s="57">
        <v>452</v>
      </c>
      <c r="R1114" s="62">
        <f>ТабПозиции[[#This Row],[totalSumm]]-ТабПозиции[[#This Row],[payment]]</f>
        <v>0</v>
      </c>
      <c r="S1114" s="34" t="s">
        <v>965</v>
      </c>
      <c r="T1114" s="56" t="s">
        <v>3061</v>
      </c>
      <c r="U1114" s="56" t="s">
        <v>3061</v>
      </c>
      <c r="V1114" s="56" t="s">
        <v>3061</v>
      </c>
      <c r="W1114" s="7"/>
      <c r="X1114"/>
    </row>
    <row r="1115" spans="1:24" x14ac:dyDescent="0.25">
      <c r="A1115" s="26">
        <v>305</v>
      </c>
      <c r="B1115" s="1">
        <f>IFERROR(VLOOKUP(ТабПозиции[[#This Row],[orderNum]],ТабЗаказы[#Data],MATCH(B$7,ТабЗаказы[#Headers],0),0),"")</f>
        <v>45586</v>
      </c>
      <c r="C1115" t="str">
        <f>MONTH(ТабПозиции[[#This Row],[date]])&amp;"/"&amp;YEAR(ТабПозиции[[#This Row],[date]])</f>
        <v>10/2024</v>
      </c>
      <c r="D1115" s="1" t="str">
        <f>IFERROR(VLOOKUP(ТабПозиции[[#This Row],[orderNum]],ТабЗаказы[#Data],MATCH(D$7,ТабЗаказы[#Headers],0),0),"")</f>
        <v>Руденко Юля</v>
      </c>
      <c r="E1115" s="32" t="s">
        <v>723</v>
      </c>
      <c r="F1115" s="56" t="s">
        <v>3061</v>
      </c>
      <c r="H1115" s="34">
        <v>45588</v>
      </c>
      <c r="I1115" s="26">
        <v>1</v>
      </c>
      <c r="J1115" s="26">
        <v>681</v>
      </c>
      <c r="K1115">
        <v>681</v>
      </c>
      <c r="L1115" s="26">
        <v>717</v>
      </c>
      <c r="M1115">
        <f t="shared" si="21"/>
        <v>717</v>
      </c>
      <c r="O111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Row],[orderNum]],ТабПозиции[orderSumm])&gt;1500),ABS(M1115*VLOOKUP(ТабПозиции[[#This Row],[orderNum]],ТабЗаказы[#Data],MATCH("Percent",ТабЗаказы[#Headers],0),0))/100,200/COUNTIF(ТабПозиции[orderNum],ТабПозиции[[#This Row],[orderNum]])),0),"")</f>
        <v>72</v>
      </c>
      <c r="P1115">
        <f>IF(OR(ТабПозиции[[#This Row],[item]]="По штрихкоду",ТабПозиции[[#This Row],[item]]="Посылка"),ТабПозиции[[#This Row],[deliverySumm]]+ТабПозиции[[#This Row],[deliveryPost]],SUM(M1115:O1115))</f>
        <v>789</v>
      </c>
      <c r="Q1115" s="57">
        <v>789</v>
      </c>
      <c r="R1115" s="62">
        <f>ТабПозиции[[#This Row],[totalSumm]]-ТабПозиции[[#This Row],[payment]]</f>
        <v>0</v>
      </c>
      <c r="S1115" s="34" t="s">
        <v>965</v>
      </c>
      <c r="T1115" s="56" t="s">
        <v>3061</v>
      </c>
      <c r="U1115" s="56" t="s">
        <v>3061</v>
      </c>
      <c r="V1115" s="56" t="s">
        <v>3061</v>
      </c>
      <c r="W1115" s="7"/>
      <c r="X1115"/>
    </row>
    <row r="1116" spans="1:24" x14ac:dyDescent="0.25">
      <c r="A1116" s="26">
        <v>305</v>
      </c>
      <c r="B1116" s="1">
        <f>IFERROR(VLOOKUP(ТабПозиции[[#This Row],[orderNum]],ТабЗаказы[#Data],MATCH(B$7,ТабЗаказы[#Headers],0),0),"")</f>
        <v>45586</v>
      </c>
      <c r="C1116" t="str">
        <f>MONTH(ТабПозиции[[#This Row],[date]])&amp;"/"&amp;YEAR(ТабПозиции[[#This Row],[date]])</f>
        <v>10/2024</v>
      </c>
      <c r="D1116" s="1" t="str">
        <f>IFERROR(VLOOKUP(ТабПозиции[[#This Row],[orderNum]],ТабЗаказы[#Data],MATCH(D$7,ТабЗаказы[#Headers],0),0),"")</f>
        <v>Руденко Юля</v>
      </c>
      <c r="E1116" s="32" t="s">
        <v>1709</v>
      </c>
      <c r="F1116" s="56" t="s">
        <v>3061</v>
      </c>
      <c r="H1116" s="34">
        <v>45588</v>
      </c>
      <c r="I1116" s="26">
        <v>1</v>
      </c>
      <c r="J1116" s="26">
        <v>311</v>
      </c>
      <c r="K1116">
        <v>311</v>
      </c>
      <c r="L1116" s="26">
        <v>328</v>
      </c>
      <c r="M1116">
        <f t="shared" si="21"/>
        <v>328</v>
      </c>
      <c r="O111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Row],[orderNum]],ТабПозиции[orderSumm])&gt;1500),ABS(M1116*VLOOKUP(ТабПозиции[[#This Row],[orderNum]],ТабЗаказы[#Data],MATCH("Percent",ТабЗаказы[#Headers],0),0))/100,200/COUNTIF(ТабПозиции[orderNum],ТабПозиции[[#This Row],[orderNum]])),0),"")</f>
        <v>33</v>
      </c>
      <c r="P1116">
        <f>IF(OR(ТабПозиции[[#This Row],[item]]="По штрихкоду",ТабПозиции[[#This Row],[item]]="Посылка"),ТабПозиции[[#This Row],[deliverySumm]]+ТабПозиции[[#This Row],[deliveryPost]],SUM(M1116:O1116))</f>
        <v>361</v>
      </c>
      <c r="Q1116" s="57">
        <v>361</v>
      </c>
      <c r="R1116" s="62">
        <f>ТабПозиции[[#This Row],[totalSumm]]-ТабПозиции[[#This Row],[payment]]</f>
        <v>0</v>
      </c>
      <c r="S1116" s="34" t="s">
        <v>965</v>
      </c>
      <c r="T1116" s="56" t="s">
        <v>3061</v>
      </c>
      <c r="U1116" s="56" t="s">
        <v>3061</v>
      </c>
      <c r="V1116" s="56" t="s">
        <v>3061</v>
      </c>
      <c r="W1116" s="7"/>
      <c r="X1116"/>
    </row>
    <row r="1117" spans="1:24" x14ac:dyDescent="0.25">
      <c r="A1117" s="26">
        <v>305</v>
      </c>
      <c r="B1117" s="1">
        <f>IFERROR(VLOOKUP(ТабПозиции[[#This Row],[orderNum]],ТабЗаказы[#Data],MATCH(B$7,ТабЗаказы[#Headers],0),0),"")</f>
        <v>45586</v>
      </c>
      <c r="C1117" t="str">
        <f>MONTH(ТабПозиции[[#This Row],[date]])&amp;"/"&amp;YEAR(ТабПозиции[[#This Row],[date]])</f>
        <v>10/2024</v>
      </c>
      <c r="D1117" s="1" t="str">
        <f>IFERROR(VLOOKUP(ТабПозиции[[#This Row],[orderNum]],ТабЗаказы[#Data],MATCH(D$7,ТабЗаказы[#Headers],0),0),"")</f>
        <v>Руденко Юля</v>
      </c>
      <c r="E1117" s="32" t="s">
        <v>1710</v>
      </c>
      <c r="F1117" s="56" t="s">
        <v>3061</v>
      </c>
      <c r="H1117" s="34">
        <v>45588</v>
      </c>
      <c r="I1117" s="26">
        <v>1</v>
      </c>
      <c r="J1117" s="26">
        <v>311</v>
      </c>
      <c r="K1117">
        <v>311</v>
      </c>
      <c r="L1117" s="26">
        <v>328</v>
      </c>
      <c r="M1117">
        <f t="shared" si="21"/>
        <v>328</v>
      </c>
      <c r="O111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Row],[orderNum]],ТабПозиции[orderSumm])&gt;1500),ABS(M1117*VLOOKUP(ТабПозиции[[#This Row],[orderNum]],ТабЗаказы[#Data],MATCH("Percent",ТабЗаказы[#Headers],0),0))/100,200/COUNTIF(ТабПозиции[orderNum],ТабПозиции[[#This Row],[orderNum]])),0),"")</f>
        <v>33</v>
      </c>
      <c r="P1117">
        <f>IF(OR(ТабПозиции[[#This Row],[item]]="По штрихкоду",ТабПозиции[[#This Row],[item]]="Посылка"),ТабПозиции[[#This Row],[deliverySumm]]+ТабПозиции[[#This Row],[deliveryPost]],SUM(M1117:O1117))</f>
        <v>361</v>
      </c>
      <c r="Q1117" s="57">
        <v>361</v>
      </c>
      <c r="R1117" s="62">
        <f>ТабПозиции[[#This Row],[totalSumm]]-ТабПозиции[[#This Row],[payment]]</f>
        <v>0</v>
      </c>
      <c r="S1117" s="34" t="s">
        <v>965</v>
      </c>
      <c r="T1117" s="56" t="s">
        <v>3061</v>
      </c>
      <c r="U1117" s="56" t="s">
        <v>3061</v>
      </c>
      <c r="V1117" s="56" t="s">
        <v>3061</v>
      </c>
      <c r="W1117" s="7"/>
      <c r="X1117"/>
    </row>
    <row r="1118" spans="1:24" x14ac:dyDescent="0.25">
      <c r="A1118" s="26">
        <v>305</v>
      </c>
      <c r="B1118" s="1">
        <f>IFERROR(VLOOKUP(ТабПозиции[[#This Row],[orderNum]],ТабЗаказы[#Data],MATCH(B$7,ТабЗаказы[#Headers],0),0),"")</f>
        <v>45586</v>
      </c>
      <c r="C1118" t="str">
        <f>MONTH(ТабПозиции[[#This Row],[date]])&amp;"/"&amp;YEAR(ТабПозиции[[#This Row],[date]])</f>
        <v>10/2024</v>
      </c>
      <c r="D1118" s="1" t="str">
        <f>IFERROR(VLOOKUP(ТабПозиции[[#This Row],[orderNum]],ТабЗаказы[#Data],MATCH(D$7,ТабЗаказы[#Headers],0),0),"")</f>
        <v>Руденко Юля</v>
      </c>
      <c r="E1118" s="32" t="s">
        <v>1711</v>
      </c>
      <c r="F1118" s="56" t="s">
        <v>3061</v>
      </c>
      <c r="H1118" s="34">
        <v>45588</v>
      </c>
      <c r="I1118" s="26">
        <v>1</v>
      </c>
      <c r="J1118" s="26">
        <v>311</v>
      </c>
      <c r="K1118">
        <v>311</v>
      </c>
      <c r="L1118" s="26">
        <v>328</v>
      </c>
      <c r="M1118">
        <f t="shared" si="21"/>
        <v>328</v>
      </c>
      <c r="O111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Row],[orderNum]],ТабПозиции[orderSumm])&gt;1500),ABS(M1118*VLOOKUP(ТабПозиции[[#This Row],[orderNum]],ТабЗаказы[#Data],MATCH("Percent",ТабЗаказы[#Headers],0),0))/100,200/COUNTIF(ТабПозиции[orderNum],ТабПозиции[[#This Row],[orderNum]])),0),"")</f>
        <v>33</v>
      </c>
      <c r="P1118">
        <f>IF(OR(ТабПозиции[[#This Row],[item]]="По штрихкоду",ТабПозиции[[#This Row],[item]]="Посылка"),ТабПозиции[[#This Row],[deliverySumm]]+ТабПозиции[[#This Row],[deliveryPost]],SUM(M1118:O1118))</f>
        <v>361</v>
      </c>
      <c r="Q1118" s="57">
        <v>361</v>
      </c>
      <c r="R1118" s="62">
        <f>ТабПозиции[[#This Row],[totalSumm]]-ТабПозиции[[#This Row],[payment]]</f>
        <v>0</v>
      </c>
      <c r="S1118" s="34" t="s">
        <v>965</v>
      </c>
      <c r="T1118" s="56" t="s">
        <v>3061</v>
      </c>
      <c r="U1118" s="56" t="s">
        <v>3061</v>
      </c>
      <c r="V1118" s="56" t="s">
        <v>3061</v>
      </c>
      <c r="W1118" s="7"/>
      <c r="X1118"/>
    </row>
    <row r="1119" spans="1:24" x14ac:dyDescent="0.25">
      <c r="A1119" s="26">
        <v>306</v>
      </c>
      <c r="B1119" s="1">
        <f>IFERROR(VLOOKUP(ТабПозиции[[#This Row],[orderNum]],ТабЗаказы[#Data],MATCH(B$7,ТабЗаказы[#Headers],0),0),"")</f>
        <v>45588</v>
      </c>
      <c r="C1119" t="str">
        <f>MONTH(ТабПозиции[[#This Row],[date]])&amp;"/"&amp;YEAR(ТабПозиции[[#This Row],[date]])</f>
        <v>10/2024</v>
      </c>
      <c r="D1119" s="1" t="str">
        <f>IFERROR(VLOOKUP(ТабПозиции[[#This Row],[orderNum]],ТабЗаказы[#Data],MATCH(D$7,ТабЗаказы[#Headers],0),0),"")</f>
        <v>Светлана от Александра</v>
      </c>
      <c r="E1119" s="32" t="s">
        <v>1712</v>
      </c>
      <c r="F1119" s="56" t="s">
        <v>3061</v>
      </c>
      <c r="H1119" s="34">
        <v>45590</v>
      </c>
      <c r="I1119" s="26">
        <v>1</v>
      </c>
      <c r="J1119" s="26">
        <v>249</v>
      </c>
      <c r="K1119">
        <v>249</v>
      </c>
      <c r="L1119" s="26">
        <v>263</v>
      </c>
      <c r="M1119">
        <f t="shared" si="21"/>
        <v>263</v>
      </c>
      <c r="O111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Row],[orderNum]],ТабПозиции[orderSumm])&gt;1500),ABS(M1119*VLOOKUP(ТабПозиции[[#This Row],[orderNum]],ТабЗаказы[#Data],MATCH("Percent",ТабЗаказы[#Headers],0),0))/100,200/COUNTIF(ТабПозиции[orderNum],ТабПозиции[[#This Row],[orderNum]])),0),"")</f>
        <v>39</v>
      </c>
      <c r="P1119">
        <f>IF(OR(ТабПозиции[[#This Row],[item]]="По штрихкоду",ТабПозиции[[#This Row],[item]]="Посылка"),ТабПозиции[[#This Row],[deliverySumm]]+ТабПозиции[[#This Row],[deliveryPost]],SUM(M1119:O1119))</f>
        <v>302</v>
      </c>
      <c r="Q1119" s="57">
        <v>302</v>
      </c>
      <c r="R1119" s="62">
        <f>ТабПозиции[[#This Row],[totalSumm]]-ТабПозиции[[#This Row],[payment]]</f>
        <v>0</v>
      </c>
      <c r="S1119" s="34" t="s">
        <v>965</v>
      </c>
      <c r="T1119" s="56" t="s">
        <v>3061</v>
      </c>
      <c r="U1119" s="56" t="s">
        <v>3061</v>
      </c>
      <c r="V1119" s="56" t="s">
        <v>3061</v>
      </c>
      <c r="W1119" s="7"/>
      <c r="X1119"/>
    </row>
    <row r="1120" spans="1:24" x14ac:dyDescent="0.25">
      <c r="A1120" s="26">
        <v>306</v>
      </c>
      <c r="B1120" s="1">
        <f>IFERROR(VLOOKUP(ТабПозиции[[#This Row],[orderNum]],ТабЗаказы[#Data],MATCH(B$7,ТабЗаказы[#Headers],0),0),"")</f>
        <v>45588</v>
      </c>
      <c r="C1120" t="str">
        <f>MONTH(ТабПозиции[[#This Row],[date]])&amp;"/"&amp;YEAR(ТабПозиции[[#This Row],[date]])</f>
        <v>10/2024</v>
      </c>
      <c r="D1120" s="1" t="str">
        <f>IFERROR(VLOOKUP(ТабПозиции[[#This Row],[orderNum]],ТабЗаказы[#Data],MATCH(D$7,ТабЗаказы[#Headers],0),0),"")</f>
        <v>Светлана от Александра</v>
      </c>
      <c r="E1120" s="32" t="s">
        <v>1211</v>
      </c>
      <c r="F1120" s="56" t="s">
        <v>3061</v>
      </c>
      <c r="H1120" s="34">
        <v>45599</v>
      </c>
      <c r="I1120" s="26">
        <v>1</v>
      </c>
      <c r="J1120" s="26">
        <v>584</v>
      </c>
      <c r="K1120">
        <v>584</v>
      </c>
      <c r="L1120" s="26">
        <v>615</v>
      </c>
      <c r="M1120">
        <f t="shared" si="21"/>
        <v>615</v>
      </c>
      <c r="O112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Row],[orderNum]],ТабПозиции[orderSumm])&gt;1500),ABS(M1120*VLOOKUP(ТабПозиции[[#This Row],[orderNum]],ТабЗаказы[#Data],MATCH("Percent",ТабЗаказы[#Headers],0),0))/100,200/COUNTIF(ТабПозиции[orderNum],ТабПозиции[[#This Row],[orderNum]])),0),"")</f>
        <v>92</v>
      </c>
      <c r="P1120">
        <f>IF(OR(ТабПозиции[[#This Row],[item]]="По штрихкоду",ТабПозиции[[#This Row],[item]]="Посылка"),ТабПозиции[[#This Row],[deliverySumm]]+ТабПозиции[[#This Row],[deliveryPost]],SUM(M1120:O1120))</f>
        <v>707</v>
      </c>
      <c r="Q1120" s="57">
        <v>707</v>
      </c>
      <c r="R1120" s="62">
        <f>ТабПозиции[[#This Row],[totalSumm]]-ТабПозиции[[#This Row],[payment]]</f>
        <v>0</v>
      </c>
      <c r="S1120" s="34" t="s">
        <v>965</v>
      </c>
      <c r="T1120" s="56" t="s">
        <v>3061</v>
      </c>
      <c r="U1120" s="56" t="s">
        <v>3061</v>
      </c>
      <c r="V1120" s="56" t="s">
        <v>3061</v>
      </c>
      <c r="W1120" s="7"/>
      <c r="X1120"/>
    </row>
    <row r="1121" spans="1:24" x14ac:dyDescent="0.25">
      <c r="A1121" s="26">
        <v>306</v>
      </c>
      <c r="B1121" s="1">
        <f>IFERROR(VLOOKUP(ТабПозиции[[#This Row],[orderNum]],ТабЗаказы[#Data],MATCH(B$7,ТабЗаказы[#Headers],0),0),"")</f>
        <v>45588</v>
      </c>
      <c r="C1121" t="str">
        <f>MONTH(ТабПозиции[[#This Row],[date]])&amp;"/"&amp;YEAR(ТабПозиции[[#This Row],[date]])</f>
        <v>10/2024</v>
      </c>
      <c r="D1121" s="1" t="str">
        <f>IFERROR(VLOOKUP(ТабПозиции[[#This Row],[orderNum]],ТабЗаказы[#Data],MATCH(D$7,ТабЗаказы[#Headers],0),0),"")</f>
        <v>Светлана от Александра</v>
      </c>
      <c r="E1121" s="32" t="s">
        <v>1211</v>
      </c>
      <c r="F1121" s="56" t="s">
        <v>3061</v>
      </c>
      <c r="H1121" s="34">
        <v>45591</v>
      </c>
      <c r="I1121" s="26">
        <v>1</v>
      </c>
      <c r="J1121" s="26">
        <v>538</v>
      </c>
      <c r="K1121">
        <v>538</v>
      </c>
      <c r="L1121" s="26">
        <v>567</v>
      </c>
      <c r="M1121">
        <f t="shared" si="21"/>
        <v>567</v>
      </c>
      <c r="O112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Row],[orderNum]],ТабПозиции[orderSumm])&gt;1500),ABS(M1121*VLOOKUP(ТабПозиции[[#This Row],[orderNum]],ТабЗаказы[#Data],MATCH("Percent",ТабЗаказы[#Headers],0),0))/100,200/COUNTIF(ТабПозиции[orderNum],ТабПозиции[[#This Row],[orderNum]])),0),"")</f>
        <v>85</v>
      </c>
      <c r="P1121">
        <f>IF(OR(ТабПозиции[[#This Row],[item]]="По штрихкоду",ТабПозиции[[#This Row],[item]]="Посылка"),ТабПозиции[[#This Row],[deliverySumm]]+ТабПозиции[[#This Row],[deliveryPost]],SUM(M1121:O1121))</f>
        <v>652</v>
      </c>
      <c r="Q1121" s="57">
        <v>652</v>
      </c>
      <c r="R1121" s="62">
        <f>ТабПозиции[[#This Row],[totalSumm]]-ТабПозиции[[#This Row],[payment]]</f>
        <v>0</v>
      </c>
      <c r="S1121" s="34" t="s">
        <v>965</v>
      </c>
      <c r="T1121" s="56" t="s">
        <v>3061</v>
      </c>
      <c r="U1121" s="56" t="s">
        <v>3061</v>
      </c>
      <c r="V1121" s="56" t="s">
        <v>3061</v>
      </c>
      <c r="W1121" s="7"/>
      <c r="X1121"/>
    </row>
    <row r="1122" spans="1:24" x14ac:dyDescent="0.25">
      <c r="A1122" s="26">
        <v>306</v>
      </c>
      <c r="B1122" s="1">
        <f>IFERROR(VLOOKUP(ТабПозиции[[#This Row],[orderNum]],ТабЗаказы[#Data],MATCH(B$7,ТабЗаказы[#Headers],0),0),"")</f>
        <v>45588</v>
      </c>
      <c r="C1122" t="str">
        <f>MONTH(ТабПозиции[[#This Row],[date]])&amp;"/"&amp;YEAR(ТабПозиции[[#This Row],[date]])</f>
        <v>10/2024</v>
      </c>
      <c r="D1122" s="1" t="str">
        <f>IFERROR(VLOOKUP(ТабПозиции[[#This Row],[orderNum]],ТабЗаказы[#Data],MATCH(D$7,ТабЗаказы[#Headers],0),0),"")</f>
        <v>Светлана от Александра</v>
      </c>
      <c r="E1122" s="32" t="s">
        <v>1713</v>
      </c>
      <c r="F1122" s="56" t="s">
        <v>3061</v>
      </c>
      <c r="H1122" s="34">
        <v>45592</v>
      </c>
      <c r="I1122" s="26">
        <v>1</v>
      </c>
      <c r="J1122" s="26">
        <v>542</v>
      </c>
      <c r="K1122">
        <v>542</v>
      </c>
      <c r="L1122" s="26">
        <v>571</v>
      </c>
      <c r="M1122">
        <f t="shared" si="21"/>
        <v>571</v>
      </c>
      <c r="O112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Row],[orderNum]],ТабПозиции[orderSumm])&gt;1500),ABS(M1122*VLOOKUP(ТабПозиции[[#This Row],[orderNum]],ТабЗаказы[#Data],MATCH("Percent",ТабЗаказы[#Headers],0),0))/100,200/COUNTIF(ТабПозиции[orderNum],ТабПозиции[[#This Row],[orderNum]])),0),"")</f>
        <v>86</v>
      </c>
      <c r="P1122">
        <f>IF(OR(ТабПозиции[[#This Row],[item]]="По штрихкоду",ТабПозиции[[#This Row],[item]]="Посылка"),ТабПозиции[[#This Row],[deliverySumm]]+ТабПозиции[[#This Row],[deliveryPost]],SUM(M1122:O1122))</f>
        <v>657</v>
      </c>
      <c r="Q1122" s="57">
        <v>657</v>
      </c>
      <c r="R1122" s="62">
        <f>ТабПозиции[[#This Row],[totalSumm]]-ТабПозиции[[#This Row],[payment]]</f>
        <v>0</v>
      </c>
      <c r="S1122" s="34" t="s">
        <v>965</v>
      </c>
      <c r="T1122" s="56" t="s">
        <v>3061</v>
      </c>
      <c r="U1122" s="56" t="s">
        <v>3061</v>
      </c>
      <c r="V1122" s="56" t="s">
        <v>3061</v>
      </c>
      <c r="W1122" s="7"/>
      <c r="X1122"/>
    </row>
    <row r="1123" spans="1:24" x14ac:dyDescent="0.25">
      <c r="A1123" s="26">
        <v>306</v>
      </c>
      <c r="B1123" s="1">
        <f>IFERROR(VLOOKUP(ТабПозиции[[#This Row],[orderNum]],ТабЗаказы[#Data],MATCH(B$7,ТабЗаказы[#Headers],0),0),"")</f>
        <v>45588</v>
      </c>
      <c r="C1123" t="str">
        <f>MONTH(ТабПозиции[[#This Row],[date]])&amp;"/"&amp;YEAR(ТабПозиции[[#This Row],[date]])</f>
        <v>10/2024</v>
      </c>
      <c r="D1123" s="1" t="str">
        <f>IFERROR(VLOOKUP(ТабПозиции[[#This Row],[orderNum]],ТабЗаказы[#Data],MATCH(D$7,ТабЗаказы[#Headers],0),0),"")</f>
        <v>Светлана от Александра</v>
      </c>
      <c r="E1123" s="32" t="s">
        <v>1714</v>
      </c>
      <c r="F1123" s="56" t="s">
        <v>3061</v>
      </c>
      <c r="H1123" s="34">
        <v>45590</v>
      </c>
      <c r="I1123" s="26">
        <v>1</v>
      </c>
      <c r="J1123" s="26">
        <v>442</v>
      </c>
      <c r="K1123">
        <v>442</v>
      </c>
      <c r="L1123" s="26">
        <v>466</v>
      </c>
      <c r="M1123">
        <f t="shared" si="21"/>
        <v>466</v>
      </c>
      <c r="O112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Row],[orderNum]],ТабПозиции[orderSumm])&gt;1500),ABS(M1123*VLOOKUP(ТабПозиции[[#This Row],[orderNum]],ТабЗаказы[#Data],MATCH("Percent",ТабЗаказы[#Headers],0),0))/100,200/COUNTIF(ТабПозиции[orderNum],ТабПозиции[[#This Row],[orderNum]])),0),"")</f>
        <v>70</v>
      </c>
      <c r="P1123">
        <f>IF(OR(ТабПозиции[[#This Row],[item]]="По штрихкоду",ТабПозиции[[#This Row],[item]]="Посылка"),ТабПозиции[[#This Row],[deliverySumm]]+ТабПозиции[[#This Row],[deliveryPost]],SUM(M1123:O1123))</f>
        <v>536</v>
      </c>
      <c r="Q1123" s="57">
        <v>536</v>
      </c>
      <c r="R1123" s="62">
        <f>ТабПозиции[[#This Row],[totalSumm]]-ТабПозиции[[#This Row],[payment]]</f>
        <v>0</v>
      </c>
      <c r="S1123" s="34" t="s">
        <v>965</v>
      </c>
      <c r="T1123" s="56" t="s">
        <v>3061</v>
      </c>
      <c r="U1123" s="56" t="s">
        <v>3061</v>
      </c>
      <c r="V1123" s="56" t="s">
        <v>3061</v>
      </c>
      <c r="W1123" s="7"/>
      <c r="X1123"/>
    </row>
    <row r="1124" spans="1:24" x14ac:dyDescent="0.25">
      <c r="A1124" s="26">
        <v>307</v>
      </c>
      <c r="B1124" s="1">
        <f>IFERROR(VLOOKUP(ТабПозиции[[#This Row],[orderNum]],ТабЗаказы[#Data],MATCH(B$7,ТабЗаказы[#Headers],0),0),"")</f>
        <v>45588</v>
      </c>
      <c r="C1124" t="str">
        <f>MONTH(ТабПозиции[[#This Row],[date]])&amp;"/"&amp;YEAR(ТабПозиции[[#This Row],[date]])</f>
        <v>10/2024</v>
      </c>
      <c r="D1124" s="1" t="str">
        <f>IFERROR(VLOOKUP(ТабПозиции[[#This Row],[orderNum]],ТабЗаказы[#Data],MATCH(D$7,ТабЗаказы[#Headers],0),0),"")</f>
        <v>Юля Ларисына</v>
      </c>
      <c r="E1124" s="32" t="s">
        <v>1715</v>
      </c>
      <c r="F1124" s="56" t="s">
        <v>3061</v>
      </c>
      <c r="H1124" s="34">
        <v>45598</v>
      </c>
      <c r="I1124" s="26">
        <v>1</v>
      </c>
      <c r="J1124" s="26">
        <v>149</v>
      </c>
      <c r="K1124">
        <v>149</v>
      </c>
      <c r="L1124" s="26">
        <v>157</v>
      </c>
      <c r="M1124">
        <f t="shared" si="21"/>
        <v>157</v>
      </c>
      <c r="O112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Row],[orderNum]],ТабПозиции[orderSumm])&gt;1500),ABS(M1124*VLOOKUP(ТабПозиции[[#This Row],[orderNum]],ТабЗаказы[#Data],MATCH("Percent",ТабЗаказы[#Headers],0),0))/100,200/COUNTIF(ТабПозиции[orderNum],ТабПозиции[[#This Row],[orderNum]])),0),"")</f>
        <v>24</v>
      </c>
      <c r="P1124">
        <f>IF(OR(ТабПозиции[[#This Row],[item]]="По штрихкоду",ТабПозиции[[#This Row],[item]]="Посылка"),ТабПозиции[[#This Row],[deliverySumm]]+ТабПозиции[[#This Row],[deliveryPost]],SUM(M1124:O1124))</f>
        <v>181</v>
      </c>
      <c r="Q1124" s="57">
        <v>181</v>
      </c>
      <c r="R1124" s="62">
        <f>ТабПозиции[[#This Row],[totalSumm]]-ТабПозиции[[#This Row],[payment]]</f>
        <v>0</v>
      </c>
      <c r="S1124" s="34" t="s">
        <v>965</v>
      </c>
      <c r="T1124" s="56" t="s">
        <v>3061</v>
      </c>
      <c r="U1124" s="56" t="s">
        <v>3061</v>
      </c>
      <c r="V1124" s="56" t="s">
        <v>3061</v>
      </c>
      <c r="W1124" s="7"/>
      <c r="X1124"/>
    </row>
    <row r="1125" spans="1:24" x14ac:dyDescent="0.25">
      <c r="A1125" s="26">
        <v>307</v>
      </c>
      <c r="B1125" s="1">
        <f>IFERROR(VLOOKUP(ТабПозиции[[#This Row],[orderNum]],ТабЗаказы[#Data],MATCH(B$7,ТабЗаказы[#Headers],0),0),"")</f>
        <v>45588</v>
      </c>
      <c r="C1125" t="str">
        <f>MONTH(ТабПозиции[[#This Row],[date]])&amp;"/"&amp;YEAR(ТабПозиции[[#This Row],[date]])</f>
        <v>10/2024</v>
      </c>
      <c r="D1125" s="1" t="str">
        <f>IFERROR(VLOOKUP(ТабПозиции[[#This Row],[orderNum]],ТабЗаказы[#Data],MATCH(D$7,ТабЗаказы[#Headers],0),0),"")</f>
        <v>Юля Ларисына</v>
      </c>
      <c r="E1125" s="32" t="s">
        <v>1716</v>
      </c>
      <c r="F1125" s="56" t="s">
        <v>3061</v>
      </c>
      <c r="H1125" s="34">
        <v>45591</v>
      </c>
      <c r="I1125" s="26">
        <v>1</v>
      </c>
      <c r="J1125" s="26">
        <v>167</v>
      </c>
      <c r="K1125">
        <v>167</v>
      </c>
      <c r="L1125" s="26">
        <v>176</v>
      </c>
      <c r="M1125">
        <f t="shared" si="21"/>
        <v>176</v>
      </c>
      <c r="O112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Row],[orderNum]],ТабПозиции[orderSumm])&gt;1500),ABS(M1125*VLOOKUP(ТабПозиции[[#This Row],[orderNum]],ТабЗаказы[#Data],MATCH("Percent",ТабЗаказы[#Headers],0),0))/100,200/COUNTIF(ТабПозиции[orderNum],ТабПозиции[[#This Row],[orderNum]])),0),"")</f>
        <v>26</v>
      </c>
      <c r="P1125">
        <f>IF(OR(ТабПозиции[[#This Row],[item]]="По штрихкоду",ТабПозиции[[#This Row],[item]]="Посылка"),ТабПозиции[[#This Row],[deliverySumm]]+ТабПозиции[[#This Row],[deliveryPost]],SUM(M1125:O1125))</f>
        <v>202</v>
      </c>
      <c r="Q1125" s="57">
        <v>202</v>
      </c>
      <c r="R1125" s="62">
        <f>ТабПозиции[[#This Row],[totalSumm]]-ТабПозиции[[#This Row],[payment]]</f>
        <v>0</v>
      </c>
      <c r="S1125" s="34" t="s">
        <v>965</v>
      </c>
      <c r="T1125" s="56" t="s">
        <v>3061</v>
      </c>
      <c r="U1125" s="56" t="s">
        <v>3061</v>
      </c>
      <c r="V1125" s="56" t="s">
        <v>3061</v>
      </c>
      <c r="W1125" s="7"/>
      <c r="X1125"/>
    </row>
    <row r="1126" spans="1:24" x14ac:dyDescent="0.25">
      <c r="A1126" s="26">
        <v>307</v>
      </c>
      <c r="B1126" s="1">
        <f>IFERROR(VLOOKUP(ТабПозиции[[#This Row],[orderNum]],ТабЗаказы[#Data],MATCH(B$7,ТабЗаказы[#Headers],0),0),"")</f>
        <v>45588</v>
      </c>
      <c r="C1126" t="str">
        <f>MONTH(ТабПозиции[[#This Row],[date]])&amp;"/"&amp;YEAR(ТабПозиции[[#This Row],[date]])</f>
        <v>10/2024</v>
      </c>
      <c r="D1126" s="1" t="str">
        <f>IFERROR(VLOOKUP(ТабПозиции[[#This Row],[orderNum]],ТабЗаказы[#Data],MATCH(D$7,ТабЗаказы[#Headers],0),0),"")</f>
        <v>Юля Ларисына</v>
      </c>
      <c r="E1126" s="32" t="s">
        <v>1717</v>
      </c>
      <c r="F1126" s="56" t="s">
        <v>3061</v>
      </c>
      <c r="H1126" s="34">
        <v>45592</v>
      </c>
      <c r="I1126" s="26">
        <v>1</v>
      </c>
      <c r="J1126" s="26">
        <v>350</v>
      </c>
      <c r="K1126">
        <v>350</v>
      </c>
      <c r="L1126" s="26">
        <v>369</v>
      </c>
      <c r="M1126">
        <f t="shared" si="21"/>
        <v>369</v>
      </c>
      <c r="O112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Row],[orderNum]],ТабПозиции[orderSumm])&gt;1500),ABS(M1126*VLOOKUP(ТабПозиции[[#This Row],[orderNum]],ТабЗаказы[#Data],MATCH("Percent",ТабЗаказы[#Headers],0),0))/100,200/COUNTIF(ТабПозиции[orderNum],ТабПозиции[[#This Row],[orderNum]])),0),"")</f>
        <v>55</v>
      </c>
      <c r="P1126">
        <f>IF(OR(ТабПозиции[[#This Row],[item]]="По штрихкоду",ТабПозиции[[#This Row],[item]]="Посылка"),ТабПозиции[[#This Row],[deliverySumm]]+ТабПозиции[[#This Row],[deliveryPost]],SUM(M1126:O1126))</f>
        <v>424</v>
      </c>
      <c r="Q1126" s="57">
        <v>424</v>
      </c>
      <c r="R1126" s="62">
        <f>ТабПозиции[[#This Row],[totalSumm]]-ТабПозиции[[#This Row],[payment]]</f>
        <v>0</v>
      </c>
      <c r="S1126" s="34" t="s">
        <v>965</v>
      </c>
      <c r="T1126" s="56" t="s">
        <v>3061</v>
      </c>
      <c r="U1126" s="56" t="s">
        <v>3061</v>
      </c>
      <c r="V1126" s="56" t="s">
        <v>3061</v>
      </c>
      <c r="W1126" s="7"/>
      <c r="X1126"/>
    </row>
    <row r="1127" spans="1:24" x14ac:dyDescent="0.25">
      <c r="A1127" s="26">
        <v>307</v>
      </c>
      <c r="B1127" s="1">
        <f>IFERROR(VLOOKUP(ТабПозиции[[#This Row],[orderNum]],ТабЗаказы[#Data],MATCH(B$7,ТабЗаказы[#Headers],0),0),"")</f>
        <v>45588</v>
      </c>
      <c r="C1127" t="str">
        <f>MONTH(ТабПозиции[[#This Row],[date]])&amp;"/"&amp;YEAR(ТабПозиции[[#This Row],[date]])</f>
        <v>10/2024</v>
      </c>
      <c r="D1127" s="1" t="str">
        <f>IFERROR(VLOOKUP(ТабПозиции[[#This Row],[orderNum]],ТабЗаказы[#Data],MATCH(D$7,ТабЗаказы[#Headers],0),0),"")</f>
        <v>Юля Ларисына</v>
      </c>
      <c r="E1127" s="32" t="s">
        <v>1718</v>
      </c>
      <c r="F1127" s="56" t="s">
        <v>3061</v>
      </c>
      <c r="H1127" s="34">
        <v>45594</v>
      </c>
      <c r="I1127" s="26">
        <v>1</v>
      </c>
      <c r="J1127" s="26">
        <v>133</v>
      </c>
      <c r="K1127">
        <v>133</v>
      </c>
      <c r="L1127" s="26">
        <v>140</v>
      </c>
      <c r="M1127">
        <f t="shared" si="21"/>
        <v>140</v>
      </c>
      <c r="O112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Row],[orderNum]],ТабПозиции[orderSumm])&gt;1500),ABS(M1127*VLOOKUP(ТабПозиции[[#This Row],[orderNum]],ТабЗаказы[#Data],MATCH("Percent",ТабЗаказы[#Headers],0),0))/100,200/COUNTIF(ТабПозиции[orderNum],ТабПозиции[[#This Row],[orderNum]])),0),"")</f>
        <v>21</v>
      </c>
      <c r="P1127">
        <f>IF(OR(ТабПозиции[[#This Row],[item]]="По штрихкоду",ТабПозиции[[#This Row],[item]]="Посылка"),ТабПозиции[[#This Row],[deliverySumm]]+ТабПозиции[[#This Row],[deliveryPost]],SUM(M1127:O1127))</f>
        <v>161</v>
      </c>
      <c r="Q1127" s="57">
        <v>161</v>
      </c>
      <c r="R1127" s="62">
        <f>ТабПозиции[[#This Row],[totalSumm]]-ТабПозиции[[#This Row],[payment]]</f>
        <v>0</v>
      </c>
      <c r="S1127" s="34" t="s">
        <v>965</v>
      </c>
      <c r="T1127" s="56" t="s">
        <v>3061</v>
      </c>
      <c r="U1127" s="56" t="s">
        <v>3061</v>
      </c>
      <c r="V1127" s="56" t="s">
        <v>3061</v>
      </c>
      <c r="W1127" s="7"/>
      <c r="X1127"/>
    </row>
    <row r="1128" spans="1:24" x14ac:dyDescent="0.25">
      <c r="A1128" s="26">
        <v>307</v>
      </c>
      <c r="B1128" s="1">
        <f>IFERROR(VLOOKUP(ТабПозиции[[#This Row],[orderNum]],ТабЗаказы[#Data],MATCH(B$7,ТабЗаказы[#Headers],0),0),"")</f>
        <v>45588</v>
      </c>
      <c r="C1128" t="str">
        <f>MONTH(ТабПозиции[[#This Row],[date]])&amp;"/"&amp;YEAR(ТабПозиции[[#This Row],[date]])</f>
        <v>10/2024</v>
      </c>
      <c r="D1128" s="1" t="str">
        <f>IFERROR(VLOOKUP(ТабПозиции[[#This Row],[orderNum]],ТабЗаказы[#Data],MATCH(D$7,ТабЗаказы[#Headers],0),0),"")</f>
        <v>Юля Ларисына</v>
      </c>
      <c r="E1128" s="32" t="s">
        <v>1719</v>
      </c>
      <c r="F1128" s="56" t="s">
        <v>3061</v>
      </c>
      <c r="H1128" s="34">
        <v>45591</v>
      </c>
      <c r="I1128" s="26">
        <v>1</v>
      </c>
      <c r="J1128" s="26">
        <v>174</v>
      </c>
      <c r="K1128">
        <v>174</v>
      </c>
      <c r="L1128" s="26">
        <v>184</v>
      </c>
      <c r="M1128">
        <f t="shared" si="21"/>
        <v>184</v>
      </c>
      <c r="O112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Row],[orderNum]],ТабПозиции[orderSumm])&gt;1500),ABS(M1128*VLOOKUP(ТабПозиции[[#This Row],[orderNum]],ТабЗаказы[#Data],MATCH("Percent",ТабЗаказы[#Headers],0),0))/100,200/COUNTIF(ТабПозиции[orderNum],ТабПозиции[[#This Row],[orderNum]])),0),"")</f>
        <v>28</v>
      </c>
      <c r="P1128">
        <f>IF(OR(ТабПозиции[[#This Row],[item]]="По штрихкоду",ТабПозиции[[#This Row],[item]]="Посылка"),ТабПозиции[[#This Row],[deliverySumm]]+ТабПозиции[[#This Row],[deliveryPost]],SUM(M1128:O1128))</f>
        <v>212</v>
      </c>
      <c r="Q1128" s="57">
        <v>212</v>
      </c>
      <c r="R1128" s="62">
        <f>ТабПозиции[[#This Row],[totalSumm]]-ТабПозиции[[#This Row],[payment]]</f>
        <v>0</v>
      </c>
      <c r="S1128" s="34" t="s">
        <v>965</v>
      </c>
      <c r="T1128" s="56" t="s">
        <v>3061</v>
      </c>
      <c r="U1128" s="56" t="s">
        <v>3061</v>
      </c>
      <c r="V1128" s="56" t="s">
        <v>3061</v>
      </c>
      <c r="W1128" s="7"/>
      <c r="X1128"/>
    </row>
    <row r="1129" spans="1:24" x14ac:dyDescent="0.25">
      <c r="A1129" s="26">
        <v>307</v>
      </c>
      <c r="B1129" s="1">
        <f>IFERROR(VLOOKUP(ТабПозиции[[#This Row],[orderNum]],ТабЗаказы[#Data],MATCH(B$7,ТабЗаказы[#Headers],0),0),"")</f>
        <v>45588</v>
      </c>
      <c r="C1129" t="str">
        <f>MONTH(ТабПозиции[[#This Row],[date]])&amp;"/"&amp;YEAR(ТабПозиции[[#This Row],[date]])</f>
        <v>10/2024</v>
      </c>
      <c r="D1129" s="1" t="str">
        <f>IFERROR(VLOOKUP(ТабПозиции[[#This Row],[orderNum]],ТабЗаказы[#Data],MATCH(D$7,ТабЗаказы[#Headers],0),0),"")</f>
        <v>Юля Ларисына</v>
      </c>
      <c r="E1129" s="32" t="s">
        <v>772</v>
      </c>
      <c r="F1129" s="56" t="s">
        <v>3061</v>
      </c>
      <c r="H1129" s="34">
        <v>45593</v>
      </c>
      <c r="I1129" s="26">
        <v>0</v>
      </c>
      <c r="J1129" s="26">
        <v>153</v>
      </c>
      <c r="K1129">
        <f>ТабПозиции[[#This Row],[discountPrice]]*ТабПозиции[[#This Row],[quantity]]</f>
        <v>0</v>
      </c>
      <c r="L1129" s="26">
        <v>162</v>
      </c>
      <c r="M1129">
        <f t="shared" si="21"/>
        <v>0</v>
      </c>
      <c r="O112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Row],[orderNum]],ТабПозиции[orderSumm])&gt;1500),ABS(M1129*VLOOKUP(ТабПозиции[[#This Row],[orderNum]],ТабЗаказы[#Data],MATCH("Percent",ТабЗаказы[#Headers],0),0))/100,200/COUNTIF(ТабПозиции[orderNum],ТабПозиции[[#This Row],[orderNum]])),0),"")</f>
        <v>0</v>
      </c>
      <c r="P1129">
        <f>IF(OR(ТабПозиции[[#This Row],[item]]="По штрихкоду",ТабПозиции[[#This Row],[item]]="Посылка"),ТабПозиции[[#This Row],[deliverySumm]]+ТабПозиции[[#This Row],[deliveryPost]],SUM(M1129:O1129))</f>
        <v>0</v>
      </c>
      <c r="Q1129" s="57">
        <v>0</v>
      </c>
      <c r="R1129" s="62">
        <f>ТабПозиции[[#This Row],[totalSumm]]-ТабПозиции[[#This Row],[payment]]</f>
        <v>0</v>
      </c>
      <c r="S1129" s="34" t="s">
        <v>965</v>
      </c>
      <c r="T1129" s="56" t="s">
        <v>3061</v>
      </c>
      <c r="U1129" s="56" t="s">
        <v>3061</v>
      </c>
      <c r="V1129" s="56" t="s">
        <v>3061</v>
      </c>
      <c r="W1129" s="7"/>
      <c r="X1129"/>
    </row>
    <row r="1130" spans="1:24" x14ac:dyDescent="0.25">
      <c r="A1130" s="26">
        <v>307</v>
      </c>
      <c r="B1130" s="1">
        <f>IFERROR(VLOOKUP(ТабПозиции[[#This Row],[orderNum]],ТабЗаказы[#Data],MATCH(B$7,ТабЗаказы[#Headers],0),0),"")</f>
        <v>45588</v>
      </c>
      <c r="C1130" t="str">
        <f>MONTH(ТабПозиции[[#This Row],[date]])&amp;"/"&amp;YEAR(ТабПозиции[[#This Row],[date]])</f>
        <v>10/2024</v>
      </c>
      <c r="D1130" s="1" t="str">
        <f>IFERROR(VLOOKUP(ТабПозиции[[#This Row],[orderNum]],ТабЗаказы[#Data],MATCH(D$7,ТабЗаказы[#Headers],0),0),"")</f>
        <v>Юля Ларисына</v>
      </c>
      <c r="E1130" s="32" t="s">
        <v>1720</v>
      </c>
      <c r="F1130" s="56" t="s">
        <v>3061</v>
      </c>
      <c r="H1130" s="34">
        <v>45590</v>
      </c>
      <c r="I1130" s="26">
        <v>1</v>
      </c>
      <c r="J1130" s="26">
        <v>242</v>
      </c>
      <c r="K1130">
        <v>242</v>
      </c>
      <c r="L1130" s="26">
        <v>255</v>
      </c>
      <c r="M1130">
        <f t="shared" si="21"/>
        <v>255</v>
      </c>
      <c r="O113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Row],[orderNum]],ТабПозиции[orderSumm])&gt;1500),ABS(M1130*VLOOKUP(ТабПозиции[[#This Row],[orderNum]],ТабЗаказы[#Data],MATCH("Percent",ТабЗаказы[#Headers],0),0))/100,200/COUNTIF(ТабПозиции[orderNum],ТабПозиции[[#This Row],[orderNum]])),0),"")</f>
        <v>38</v>
      </c>
      <c r="P1130">
        <f>IF(OR(ТабПозиции[[#This Row],[item]]="По штрихкоду",ТабПозиции[[#This Row],[item]]="Посылка"),ТабПозиции[[#This Row],[deliverySumm]]+ТабПозиции[[#This Row],[deliveryPost]],SUM(M1130:O1130))</f>
        <v>293</v>
      </c>
      <c r="Q1130" s="57">
        <v>293</v>
      </c>
      <c r="R1130" s="62">
        <f>ТабПозиции[[#This Row],[totalSumm]]-ТабПозиции[[#This Row],[payment]]</f>
        <v>0</v>
      </c>
      <c r="S1130" s="34" t="s">
        <v>965</v>
      </c>
      <c r="T1130" s="56" t="s">
        <v>3061</v>
      </c>
      <c r="U1130" s="56" t="s">
        <v>3061</v>
      </c>
      <c r="V1130" s="56" t="s">
        <v>3061</v>
      </c>
      <c r="W1130" s="7"/>
      <c r="X1130"/>
    </row>
    <row r="1131" spans="1:24" x14ac:dyDescent="0.25">
      <c r="A1131" s="26">
        <v>307</v>
      </c>
      <c r="B1131" s="1">
        <f>IFERROR(VLOOKUP(ТабПозиции[[#This Row],[orderNum]],ТабЗаказы[#Data],MATCH(B$7,ТабЗаказы[#Headers],0),0),"")</f>
        <v>45588</v>
      </c>
      <c r="C1131" t="str">
        <f>MONTH(ТабПозиции[[#This Row],[date]])&amp;"/"&amp;YEAR(ТабПозиции[[#This Row],[date]])</f>
        <v>10/2024</v>
      </c>
      <c r="D1131" s="1" t="str">
        <f>IFERROR(VLOOKUP(ТабПозиции[[#This Row],[orderNum]],ТабЗаказы[#Data],MATCH(D$7,ТабЗаказы[#Headers],0),0),"")</f>
        <v>Юля Ларисына</v>
      </c>
      <c r="E1131" s="32" t="s">
        <v>1721</v>
      </c>
      <c r="F1131" s="56" t="s">
        <v>3061</v>
      </c>
      <c r="H1131" s="34">
        <v>45591</v>
      </c>
      <c r="I1131" s="26">
        <v>1</v>
      </c>
      <c r="J1131" s="26">
        <v>703</v>
      </c>
      <c r="K1131">
        <v>703</v>
      </c>
      <c r="L1131" s="26">
        <v>740</v>
      </c>
      <c r="M1131">
        <f t="shared" si="21"/>
        <v>740</v>
      </c>
      <c r="O113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Row],[orderNum]],ТабПозиции[orderSumm])&gt;1500),ABS(M1131*VLOOKUP(ТабПозиции[[#This Row],[orderNum]],ТабЗаказы[#Data],MATCH("Percent",ТабЗаказы[#Headers],0),0))/100,200/COUNTIF(ТабПозиции[orderNum],ТабПозиции[[#This Row],[orderNum]])),0),"")</f>
        <v>111</v>
      </c>
      <c r="P1131">
        <f>IF(OR(ТабПозиции[[#This Row],[item]]="По штрихкоду",ТабПозиции[[#This Row],[item]]="Посылка"),ТабПозиции[[#This Row],[deliverySumm]]+ТабПозиции[[#This Row],[deliveryPost]],SUM(M1131:O1131))</f>
        <v>851</v>
      </c>
      <c r="Q1131" s="57">
        <v>851</v>
      </c>
      <c r="R1131" s="62">
        <f>ТабПозиции[[#This Row],[totalSumm]]-ТабПозиции[[#This Row],[payment]]</f>
        <v>0</v>
      </c>
      <c r="S1131" s="34" t="s">
        <v>965</v>
      </c>
      <c r="T1131" s="56" t="s">
        <v>3061</v>
      </c>
      <c r="U1131" s="56" t="s">
        <v>3061</v>
      </c>
      <c r="V1131" s="56" t="s">
        <v>3061</v>
      </c>
      <c r="W1131" s="7"/>
      <c r="X1131"/>
    </row>
    <row r="1132" spans="1:24" x14ac:dyDescent="0.25">
      <c r="A1132" s="26">
        <v>307</v>
      </c>
      <c r="B1132" s="1">
        <f>IFERROR(VLOOKUP(ТабПозиции[[#This Row],[orderNum]],ТабЗаказы[#Data],MATCH(B$7,ТабЗаказы[#Headers],0),0),"")</f>
        <v>45588</v>
      </c>
      <c r="C1132" t="str">
        <f>MONTH(ТабПозиции[[#This Row],[date]])&amp;"/"&amp;YEAR(ТабПозиции[[#This Row],[date]])</f>
        <v>10/2024</v>
      </c>
      <c r="D1132" s="1" t="str">
        <f>IFERROR(VLOOKUP(ТабПозиции[[#This Row],[orderNum]],ТабЗаказы[#Data],MATCH(D$7,ТабЗаказы[#Headers],0),0),"")</f>
        <v>Юля Ларисына</v>
      </c>
      <c r="E1132" s="32" t="s">
        <v>1722</v>
      </c>
      <c r="F1132" s="56" t="s">
        <v>3061</v>
      </c>
      <c r="H1132" s="34">
        <v>45593</v>
      </c>
      <c r="I1132" s="26">
        <v>1</v>
      </c>
      <c r="J1132" s="26">
        <v>257</v>
      </c>
      <c r="K1132">
        <v>257</v>
      </c>
      <c r="L1132" s="26">
        <v>271</v>
      </c>
      <c r="M1132">
        <f t="shared" si="21"/>
        <v>271</v>
      </c>
      <c r="O113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Row],[orderNum]],ТабПозиции[orderSumm])&gt;1500),ABS(M1132*VLOOKUP(ТабПозиции[[#This Row],[orderNum]],ТабЗаказы[#Data],MATCH("Percent",ТабЗаказы[#Headers],0),0))/100,200/COUNTIF(ТабПозиции[orderNum],ТабПозиции[[#This Row],[orderNum]])),0),"")</f>
        <v>41</v>
      </c>
      <c r="P1132">
        <f>IF(OR(ТабПозиции[[#This Row],[item]]="По штрихкоду",ТабПозиции[[#This Row],[item]]="Посылка"),ТабПозиции[[#This Row],[deliverySumm]]+ТабПозиции[[#This Row],[deliveryPost]],SUM(M1132:O1132))</f>
        <v>312</v>
      </c>
      <c r="Q1132" s="57">
        <v>312</v>
      </c>
      <c r="R1132" s="62">
        <f>ТабПозиции[[#This Row],[totalSumm]]-ТабПозиции[[#This Row],[payment]]</f>
        <v>0</v>
      </c>
      <c r="S1132" s="34" t="s">
        <v>965</v>
      </c>
      <c r="T1132" s="56" t="s">
        <v>3061</v>
      </c>
      <c r="U1132" s="56" t="s">
        <v>3061</v>
      </c>
      <c r="V1132" s="56" t="s">
        <v>3061</v>
      </c>
      <c r="W1132" s="7"/>
      <c r="X1132"/>
    </row>
    <row r="1133" spans="1:24" x14ac:dyDescent="0.25">
      <c r="A1133" s="26">
        <v>307</v>
      </c>
      <c r="B1133" s="1">
        <f>IFERROR(VLOOKUP(ТабПозиции[[#This Row],[orderNum]],ТабЗаказы[#Data],MATCH(B$7,ТабЗаказы[#Headers],0),0),"")</f>
        <v>45588</v>
      </c>
      <c r="C1133" t="str">
        <f>MONTH(ТабПозиции[[#This Row],[date]])&amp;"/"&amp;YEAR(ТабПозиции[[#This Row],[date]])</f>
        <v>10/2024</v>
      </c>
      <c r="D1133" s="1" t="str">
        <f>IFERROR(VLOOKUP(ТабПозиции[[#This Row],[orderNum]],ТабЗаказы[#Data],MATCH(D$7,ТабЗаказы[#Headers],0),0),"")</f>
        <v>Юля Ларисына</v>
      </c>
      <c r="E1133" s="32" t="s">
        <v>1723</v>
      </c>
      <c r="F1133" s="56" t="s">
        <v>3061</v>
      </c>
      <c r="H1133" s="34">
        <v>45593</v>
      </c>
      <c r="I1133" s="26">
        <v>1</v>
      </c>
      <c r="J1133" s="26">
        <v>258</v>
      </c>
      <c r="K1133">
        <v>258</v>
      </c>
      <c r="L1133" s="26">
        <v>272</v>
      </c>
      <c r="M1133">
        <f t="shared" si="21"/>
        <v>272</v>
      </c>
      <c r="O113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Row],[orderNum]],ТабПозиции[orderSumm])&gt;1500),ABS(M1133*VLOOKUP(ТабПозиции[[#This Row],[orderNum]],ТабЗаказы[#Data],MATCH("Percent",ТабЗаказы[#Headers],0),0))/100,200/COUNTIF(ТабПозиции[orderNum],ТабПозиции[[#This Row],[orderNum]])),0),"")</f>
        <v>41</v>
      </c>
      <c r="P1133">
        <f>IF(OR(ТабПозиции[[#This Row],[item]]="По штрихкоду",ТабПозиции[[#This Row],[item]]="Посылка"),ТабПозиции[[#This Row],[deliverySumm]]+ТабПозиции[[#This Row],[deliveryPost]],SUM(M1133:O1133))</f>
        <v>313</v>
      </c>
      <c r="Q1133" s="57">
        <v>313</v>
      </c>
      <c r="R1133" s="62">
        <f>ТабПозиции[[#This Row],[totalSumm]]-ТабПозиции[[#This Row],[payment]]</f>
        <v>0</v>
      </c>
      <c r="S1133" s="34" t="s">
        <v>965</v>
      </c>
      <c r="T1133" s="56" t="s">
        <v>3061</v>
      </c>
      <c r="U1133" s="56" t="s">
        <v>3061</v>
      </c>
      <c r="V1133" s="56" t="s">
        <v>3061</v>
      </c>
      <c r="W1133" s="7"/>
      <c r="X1133"/>
    </row>
    <row r="1134" spans="1:24" x14ac:dyDescent="0.25">
      <c r="A1134" s="26">
        <v>307</v>
      </c>
      <c r="B1134" s="1">
        <f>IFERROR(VLOOKUP(ТабПозиции[[#This Row],[orderNum]],ТабЗаказы[#Data],MATCH(B$7,ТабЗаказы[#Headers],0),0),"")</f>
        <v>45588</v>
      </c>
      <c r="C1134" t="str">
        <f>MONTH(ТабПозиции[[#This Row],[date]])&amp;"/"&amp;YEAR(ТабПозиции[[#This Row],[date]])</f>
        <v>10/2024</v>
      </c>
      <c r="D1134" s="1" t="str">
        <f>IFERROR(VLOOKUP(ТабПозиции[[#This Row],[orderNum]],ТабЗаказы[#Data],MATCH(D$7,ТабЗаказы[#Headers],0),0),"")</f>
        <v>Юля Ларисына</v>
      </c>
      <c r="E1134" s="32" t="s">
        <v>1724</v>
      </c>
      <c r="F1134" s="56" t="s">
        <v>3061</v>
      </c>
      <c r="H1134" s="34">
        <v>45590</v>
      </c>
      <c r="I1134" s="26">
        <v>1</v>
      </c>
      <c r="J1134" s="26">
        <v>525</v>
      </c>
      <c r="K1134">
        <v>525</v>
      </c>
      <c r="L1134" s="26">
        <v>553</v>
      </c>
      <c r="M1134">
        <f t="shared" si="21"/>
        <v>553</v>
      </c>
      <c r="O113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Row],[orderNum]],ТабПозиции[orderSumm])&gt;1500),ABS(M1134*VLOOKUP(ТабПозиции[[#This Row],[orderNum]],ТабЗаказы[#Data],MATCH("Percent",ТабЗаказы[#Headers],0),0))/100,200/COUNTIF(ТабПозиции[orderNum],ТабПозиции[[#This Row],[orderNum]])),0),"")</f>
        <v>83</v>
      </c>
      <c r="P1134">
        <f>IF(OR(ТабПозиции[[#This Row],[item]]="По штрихкоду",ТабПозиции[[#This Row],[item]]="Посылка"),ТабПозиции[[#This Row],[deliverySumm]]+ТабПозиции[[#This Row],[deliveryPost]],SUM(M1134:O1134))</f>
        <v>636</v>
      </c>
      <c r="Q1134" s="57">
        <v>636</v>
      </c>
      <c r="R1134" s="62">
        <f>ТабПозиции[[#This Row],[totalSumm]]-ТабПозиции[[#This Row],[payment]]</f>
        <v>0</v>
      </c>
      <c r="S1134" s="34" t="s">
        <v>965</v>
      </c>
      <c r="T1134" s="56" t="s">
        <v>3061</v>
      </c>
      <c r="U1134" s="56" t="s">
        <v>3061</v>
      </c>
      <c r="V1134" s="56" t="s">
        <v>3061</v>
      </c>
      <c r="W1134" s="7"/>
      <c r="X1134"/>
    </row>
    <row r="1135" spans="1:24" x14ac:dyDescent="0.25">
      <c r="A1135" s="26">
        <v>307</v>
      </c>
      <c r="B1135" s="1">
        <f>IFERROR(VLOOKUP(ТабПозиции[[#This Row],[orderNum]],ТабЗаказы[#Data],MATCH(B$7,ТабЗаказы[#Headers],0),0),"")</f>
        <v>45588</v>
      </c>
      <c r="C1135" t="str">
        <f>MONTH(ТабПозиции[[#This Row],[date]])&amp;"/"&amp;YEAR(ТабПозиции[[#This Row],[date]])</f>
        <v>10/2024</v>
      </c>
      <c r="D1135" s="1" t="str">
        <f>IFERROR(VLOOKUP(ТабПозиции[[#This Row],[orderNum]],ТабЗаказы[#Data],MATCH(D$7,ТабЗаказы[#Headers],0),0),"")</f>
        <v>Юля Ларисына</v>
      </c>
      <c r="E1135" s="32" t="s">
        <v>1136</v>
      </c>
      <c r="F1135" s="56" t="s">
        <v>3061</v>
      </c>
      <c r="H1135" s="34">
        <v>45590</v>
      </c>
      <c r="I1135" s="26">
        <v>1</v>
      </c>
      <c r="J1135" s="26">
        <v>386</v>
      </c>
      <c r="K1135">
        <v>386</v>
      </c>
      <c r="L1135" s="26">
        <v>407</v>
      </c>
      <c r="M1135">
        <f t="shared" si="21"/>
        <v>407</v>
      </c>
      <c r="O113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Row],[orderNum]],ТабПозиции[orderSumm])&gt;1500),ABS(M1135*VLOOKUP(ТабПозиции[[#This Row],[orderNum]],ТабЗаказы[#Data],MATCH("Percent",ТабЗаказы[#Headers],0),0))/100,200/COUNTIF(ТабПозиции[orderNum],ТабПозиции[[#This Row],[orderNum]])),0),"")</f>
        <v>61</v>
      </c>
      <c r="P1135">
        <f>IF(OR(ТабПозиции[[#This Row],[item]]="По штрихкоду",ТабПозиции[[#This Row],[item]]="Посылка"),ТабПозиции[[#This Row],[deliverySumm]]+ТабПозиции[[#This Row],[deliveryPost]],SUM(M1135:O1135))</f>
        <v>468</v>
      </c>
      <c r="Q1135" s="57">
        <v>468</v>
      </c>
      <c r="R1135" s="62">
        <f>ТабПозиции[[#This Row],[totalSumm]]-ТабПозиции[[#This Row],[payment]]</f>
        <v>0</v>
      </c>
      <c r="S1135" s="34" t="s">
        <v>965</v>
      </c>
      <c r="T1135" s="56" t="s">
        <v>3061</v>
      </c>
      <c r="U1135" s="56" t="s">
        <v>3061</v>
      </c>
      <c r="V1135" s="56" t="s">
        <v>3061</v>
      </c>
      <c r="W1135" s="7"/>
      <c r="X1135"/>
    </row>
    <row r="1136" spans="1:24" x14ac:dyDescent="0.25">
      <c r="A1136" s="26">
        <v>303</v>
      </c>
      <c r="B1136" s="1">
        <f>IFERROR(VLOOKUP(ТабПозиции[[#This Row],[orderNum]],ТабЗаказы[#Data],MATCH(B$7,ТабЗаказы[#Headers],0),0),"")</f>
        <v>45585</v>
      </c>
      <c r="C1136" t="str">
        <f>MONTH(ТабПозиции[[#This Row],[date]])&amp;"/"&amp;YEAR(ТабПозиции[[#This Row],[date]])</f>
        <v>10/2024</v>
      </c>
      <c r="D1136" s="1" t="str">
        <f>IFERROR(VLOOKUP(ТабПозиции[[#This Row],[orderNum]],ТабЗаказы[#Data],MATCH(D$7,ТабЗаказы[#Headers],0),0),"")</f>
        <v>Максим рюкзак</v>
      </c>
      <c r="E1136" s="32" t="s">
        <v>1725</v>
      </c>
      <c r="F1136" s="56" t="s">
        <v>3061</v>
      </c>
      <c r="H1136" s="34">
        <v>45590</v>
      </c>
      <c r="I1136" s="26">
        <v>1</v>
      </c>
      <c r="J1136" s="26">
        <v>1005</v>
      </c>
      <c r="K1136">
        <v>1005</v>
      </c>
      <c r="L1136" s="26">
        <v>1058</v>
      </c>
      <c r="M1136">
        <f t="shared" si="21"/>
        <v>1058</v>
      </c>
      <c r="O113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Row],[orderNum]],ТабПозиции[orderSumm])&gt;1500),ABS(M1136*VLOOKUP(ТабПозиции[[#This Row],[orderNum]],ТабЗаказы[#Data],MATCH("Percent",ТабЗаказы[#Headers],0),0))/100,200/COUNTIF(ТабПозиции[orderNum],ТабПозиции[[#This Row],[orderNum]])),0),"")</f>
        <v>106</v>
      </c>
      <c r="P1136">
        <f>IF(OR(ТабПозиции[[#This Row],[item]]="По штрихкоду",ТабПозиции[[#This Row],[item]]="Посылка"),ТабПозиции[[#This Row],[deliverySumm]]+ТабПозиции[[#This Row],[deliveryPost]],SUM(M1136:O1136))</f>
        <v>1164</v>
      </c>
      <c r="Q1136" s="57">
        <v>1164</v>
      </c>
      <c r="R1136" s="62">
        <f>ТабПозиции[[#This Row],[totalSumm]]-ТабПозиции[[#This Row],[payment]]</f>
        <v>0</v>
      </c>
      <c r="S1136" s="34" t="s">
        <v>965</v>
      </c>
      <c r="T1136" s="56" t="s">
        <v>3061</v>
      </c>
      <c r="U1136" s="56" t="s">
        <v>3061</v>
      </c>
      <c r="V1136" s="56" t="s">
        <v>3061</v>
      </c>
      <c r="W1136" s="7"/>
      <c r="X1136"/>
    </row>
    <row r="1137" spans="1:24" x14ac:dyDescent="0.25">
      <c r="A1137" s="26">
        <v>301</v>
      </c>
      <c r="B1137" s="1">
        <f>IFERROR(VLOOKUP(ТабПозиции[[#This Row],[orderNum]],ТабЗаказы[#Data],MATCH(B$7,ТабЗаказы[#Headers],0),0),"")</f>
        <v>45584</v>
      </c>
      <c r="C1137" t="str">
        <f>MONTH(ТабПозиции[[#This Row],[date]])&amp;"/"&amp;YEAR(ТабПозиции[[#This Row],[date]])</f>
        <v>10/2024</v>
      </c>
      <c r="D1137" s="1" t="str">
        <f>IFERROR(VLOOKUP(ТабПозиции[[#This Row],[orderNum]],ТабЗаказы[#Data],MATCH(D$7,ТабЗаказы[#Headers],0),0),"")</f>
        <v>Кирил Креатин</v>
      </c>
      <c r="E1137" s="32" t="s">
        <v>1519</v>
      </c>
      <c r="F1137" s="56" t="s">
        <v>3061</v>
      </c>
      <c r="H1137" s="34">
        <v>45592</v>
      </c>
      <c r="I1137" s="26">
        <v>2</v>
      </c>
      <c r="J1137" s="26">
        <v>482</v>
      </c>
      <c r="K1137">
        <v>964</v>
      </c>
      <c r="L1137" s="26">
        <v>508</v>
      </c>
      <c r="M1137">
        <f t="shared" si="21"/>
        <v>1016</v>
      </c>
      <c r="O113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Row],[orderNum]],ТабПозиции[orderSumm])&gt;1500),ABS(M1137*VLOOKUP(ТабПозиции[[#This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137">
        <f>IF(OR(ТабПозиции[[#This Row],[item]]="По штрихкоду",ТабПозиции[[#This Row],[item]]="Посылка"),ТабПозиции[[#This Row],[deliverySumm]]+ТабПозиции[[#This Row],[deliveryPost]],SUM(M1137:O1137))</f>
        <v>1216</v>
      </c>
      <c r="Q1137" s="57">
        <v>1216</v>
      </c>
      <c r="R1137" s="62">
        <f>ТабПозиции[[#This Row],[totalSumm]]-ТабПозиции[[#This Row],[payment]]</f>
        <v>0</v>
      </c>
      <c r="S1137" s="34" t="s">
        <v>965</v>
      </c>
      <c r="T1137" s="56" t="s">
        <v>3061</v>
      </c>
      <c r="U1137" s="56" t="s">
        <v>3061</v>
      </c>
      <c r="V1137" s="56" t="s">
        <v>3061</v>
      </c>
      <c r="W1137" s="7"/>
      <c r="X1137"/>
    </row>
    <row r="1138" spans="1:24" x14ac:dyDescent="0.25">
      <c r="A1138" s="26">
        <v>308</v>
      </c>
      <c r="B1138" s="1">
        <f>IFERROR(VLOOKUP(ТабПозиции[[#This Row],[orderNum]],ТабЗаказы[#Data],MATCH(B$7,ТабЗаказы[#Headers],0),0),"")</f>
        <v>45590</v>
      </c>
      <c r="C1138" t="str">
        <f>MONTH(ТабПозиции[[#This Row],[date]])&amp;"/"&amp;YEAR(ТабПозиции[[#This Row],[date]])</f>
        <v>10/2024</v>
      </c>
      <c r="D1138" s="1" t="str">
        <f>IFERROR(VLOOKUP(ТабПозиции[[#This Row],[orderNum]],ТабЗаказы[#Data],MATCH(D$7,ТабЗаказы[#Headers],0),0),"")</f>
        <v>Митрофанов Евгений</v>
      </c>
      <c r="E1138" s="26" t="s">
        <v>32</v>
      </c>
      <c r="F1138" s="56" t="s">
        <v>3061</v>
      </c>
      <c r="H1138" s="34">
        <v>45590</v>
      </c>
      <c r="I1138" s="26">
        <v>1</v>
      </c>
      <c r="J1138" s="26">
        <v>1</v>
      </c>
      <c r="K1138">
        <v>1</v>
      </c>
      <c r="L1138" s="26">
        <v>1</v>
      </c>
      <c r="M1138">
        <f t="shared" si="21"/>
        <v>1</v>
      </c>
      <c r="O113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Row],[orderNum]],ТабПозиции[orderSumm])&gt;1500),ABS(M1138*VLOOKUP(ТабПозиции[[#This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138">
        <f>IF(OR(ТабПозиции[[#This Row],[item]]="По штрихкоду",ТабПозиции[[#This Row],[item]]="Посылка"),ТабПозиции[[#This Row],[deliverySumm]]+ТабПозиции[[#This Row],[deliveryPost]],SUM(M1138:O1138))</f>
        <v>200</v>
      </c>
      <c r="Q1138" s="57">
        <v>200</v>
      </c>
      <c r="R1138" s="62">
        <f>ТабПозиции[[#This Row],[totalSumm]]-ТабПозиции[[#This Row],[payment]]</f>
        <v>0</v>
      </c>
      <c r="S1138" s="34" t="s">
        <v>955</v>
      </c>
      <c r="T1138" s="56" t="s">
        <v>3061</v>
      </c>
      <c r="U1138" s="56" t="s">
        <v>3061</v>
      </c>
      <c r="V1138" s="56" t="s">
        <v>3061</v>
      </c>
      <c r="W1138" s="7"/>
      <c r="X1138"/>
    </row>
    <row r="1139" spans="1:24" x14ac:dyDescent="0.25">
      <c r="A1139" s="26">
        <v>309</v>
      </c>
      <c r="B1139" s="1">
        <f>IFERROR(VLOOKUP(ТабПозиции[[#This Row],[orderNum]],ТабЗаказы[#Data],MATCH(B$7,ТабЗаказы[#Headers],0),0),"")</f>
        <v>45590</v>
      </c>
      <c r="C1139" t="str">
        <f>MONTH(ТабПозиции[[#This Row],[date]])&amp;"/"&amp;YEAR(ТабПозиции[[#This Row],[date]])</f>
        <v>10/2024</v>
      </c>
      <c r="D1139" s="1" t="str">
        <f>IFERROR(VLOOKUP(ТабПозиции[[#This Row],[orderNum]],ТабЗаказы[#Data],MATCH(D$7,ТабЗаказы[#Headers],0),0),"")</f>
        <v>Наталья Лунина 13</v>
      </c>
      <c r="E1139" s="26" t="s">
        <v>32</v>
      </c>
      <c r="F1139" s="56" t="s">
        <v>3061</v>
      </c>
      <c r="H1139" s="34">
        <v>45590</v>
      </c>
      <c r="I1139" s="26">
        <v>1</v>
      </c>
      <c r="J1139" s="26">
        <v>3712</v>
      </c>
      <c r="K1139">
        <v>3712</v>
      </c>
      <c r="L1139" s="26">
        <v>3712</v>
      </c>
      <c r="M1139">
        <f t="shared" si="21"/>
        <v>3712</v>
      </c>
      <c r="O113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Row],[orderNum]],ТабПозиции[orderSumm])&gt;1500),ABS(M1139*VLOOKUP(ТабПозиции[[#This Row],[orderNum]],ТабЗаказы[#Data],MATCH("Percent",ТабЗаказы[#Headers],0),0))/100,200/COUNTIF(ТабПозиции[orderNum],ТабПозиции[[#This Row],[orderNum]])),0),"")</f>
        <v>557</v>
      </c>
      <c r="P1139">
        <f>IF(OR(ТабПозиции[[#This Row],[item]]="По штрихкоду",ТабПозиции[[#This Row],[item]]="Посылка"),ТабПозиции[[#This Row],[deliverySumm]]+ТабПозиции[[#This Row],[deliveryPost]],SUM(M1139:O1139))</f>
        <v>557</v>
      </c>
      <c r="Q1139" s="57">
        <v>557</v>
      </c>
      <c r="R1139" s="62">
        <f>ТабПозиции[[#This Row],[totalSumm]]-ТабПозиции[[#This Row],[payment]]</f>
        <v>0</v>
      </c>
      <c r="S1139" s="34" t="s">
        <v>965</v>
      </c>
      <c r="T1139" s="56" t="s">
        <v>3061</v>
      </c>
      <c r="U1139" s="56" t="s">
        <v>3061</v>
      </c>
      <c r="V1139" s="56" t="s">
        <v>3061</v>
      </c>
      <c r="W1139" s="7"/>
      <c r="X1139"/>
    </row>
    <row r="1140" spans="1:24" x14ac:dyDescent="0.25">
      <c r="A1140" s="26">
        <v>310</v>
      </c>
      <c r="B1140" s="1">
        <f>IFERROR(VLOOKUP(ТабПозиции[[#This Row],[orderNum]],ТабЗаказы[#Data],MATCH(B$7,ТабЗаказы[#Headers],0),0),"")</f>
        <v>45592</v>
      </c>
      <c r="C1140" t="str">
        <f>MONTH(ТабПозиции[[#This Row],[date]])&amp;"/"&amp;YEAR(ТабПозиции[[#This Row],[date]])</f>
        <v>10/2024</v>
      </c>
      <c r="D1140" s="1" t="str">
        <f>IFERROR(VLOOKUP(ТабПозиции[[#This Row],[orderNum]],ТабЗаказы[#Data],MATCH(D$7,ТабЗаказы[#Headers],0),0),"")</f>
        <v>Руденко Юля</v>
      </c>
      <c r="E1140" s="32" t="s">
        <v>1739</v>
      </c>
      <c r="F1140" s="56" t="s">
        <v>3061</v>
      </c>
      <c r="H1140" s="34">
        <v>45594</v>
      </c>
      <c r="I1140" s="26">
        <v>1</v>
      </c>
      <c r="J1140" s="26">
        <v>778</v>
      </c>
      <c r="K1140">
        <v>778</v>
      </c>
      <c r="L1140" s="26">
        <v>819</v>
      </c>
      <c r="M1140">
        <f t="shared" si="21"/>
        <v>819</v>
      </c>
      <c r="O114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Row],[orderNum]],ТабПозиции[orderSumm])&gt;1500),ABS(M1140*VLOOKUP(ТабПозиции[[#This Row],[orderNum]],ТабЗаказы[#Data],MATCH("Percent",ТабЗаказы[#Headers],0),0))/100,200/COUNTIF(ТабПозиции[orderNum],ТабПозиции[[#This Row],[orderNum]])),0),"")</f>
        <v>82</v>
      </c>
      <c r="P1140">
        <f>IF(OR(ТабПозиции[[#This Row],[item]]="По штрихкоду",ТабПозиции[[#This Row],[item]]="Посылка"),ТабПозиции[[#This Row],[deliverySumm]]+ТабПозиции[[#This Row],[deliveryPost]],SUM(M1140:O1140))</f>
        <v>901</v>
      </c>
      <c r="Q1140" s="57">
        <v>901</v>
      </c>
      <c r="R1140" s="62">
        <f>ТабПозиции[[#This Row],[totalSumm]]-ТабПозиции[[#This Row],[payment]]</f>
        <v>0</v>
      </c>
      <c r="S1140" s="34" t="s">
        <v>965</v>
      </c>
      <c r="T1140" s="56" t="s">
        <v>3061</v>
      </c>
      <c r="U1140" s="56" t="s">
        <v>3061</v>
      </c>
      <c r="V1140" s="56" t="s">
        <v>3061</v>
      </c>
      <c r="W1140" s="7"/>
      <c r="X1140"/>
    </row>
    <row r="1141" spans="1:24" x14ac:dyDescent="0.25">
      <c r="A1141" s="26">
        <v>310</v>
      </c>
      <c r="B1141" s="1">
        <f>IFERROR(VLOOKUP(ТабПозиции[[#This Row],[orderNum]],ТабЗаказы[#Data],MATCH(B$7,ТабЗаказы[#Headers],0),0),"")</f>
        <v>45592</v>
      </c>
      <c r="C1141" t="str">
        <f>MONTH(ТабПозиции[[#This Row],[date]])&amp;"/"&amp;YEAR(ТабПозиции[[#This Row],[date]])</f>
        <v>10/2024</v>
      </c>
      <c r="D1141" s="1" t="str">
        <f>IFERROR(VLOOKUP(ТабПозиции[[#This Row],[orderNum]],ТабЗаказы[#Data],MATCH(D$7,ТабЗаказы[#Headers],0),0),"")</f>
        <v>Руденко Юля</v>
      </c>
      <c r="E1141" s="67" t="s">
        <v>1507</v>
      </c>
      <c r="F1141" s="56" t="s">
        <v>3061</v>
      </c>
      <c r="H1141" s="34">
        <v>45600</v>
      </c>
      <c r="I1141" s="26">
        <v>1</v>
      </c>
      <c r="J1141" s="26">
        <v>614</v>
      </c>
      <c r="K1141">
        <v>614</v>
      </c>
      <c r="L1141" s="26">
        <v>647</v>
      </c>
      <c r="M1141">
        <f t="shared" si="21"/>
        <v>647</v>
      </c>
      <c r="O114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Row],[orderNum]],ТабПозиции[orderSumm])&gt;1500),ABS(M1141*VLOOKUP(ТабПозиции[[#This Row],[orderNum]],ТабЗаказы[#Data],MATCH("Percent",ТабЗаказы[#Headers],0),0))/100,200/COUNTIF(ТабПозиции[orderNum],ТабПозиции[[#This Row],[orderNum]])),0),"")</f>
        <v>65</v>
      </c>
      <c r="P1141">
        <f>IF(OR(ТабПозиции[[#This Row],[item]]="По штрихкоду",ТабПозиции[[#This Row],[item]]="Посылка"),ТабПозиции[[#This Row],[deliverySumm]]+ТабПозиции[[#This Row],[deliveryPost]],SUM(M1141:O1141))</f>
        <v>712</v>
      </c>
      <c r="Q1141" s="57">
        <v>712</v>
      </c>
      <c r="R1141" s="62">
        <f>ТабПозиции[[#This Row],[totalSumm]]-ТабПозиции[[#This Row],[payment]]</f>
        <v>0</v>
      </c>
      <c r="S1141" s="34" t="s">
        <v>965</v>
      </c>
      <c r="T1141" s="56" t="s">
        <v>3061</v>
      </c>
      <c r="U1141" s="56" t="s">
        <v>3061</v>
      </c>
      <c r="V1141" s="56" t="s">
        <v>3061</v>
      </c>
      <c r="W1141" s="7"/>
      <c r="X1141"/>
    </row>
    <row r="1142" spans="1:24" x14ac:dyDescent="0.25">
      <c r="A1142" s="26">
        <v>310</v>
      </c>
      <c r="B1142" s="1">
        <f>IFERROR(VLOOKUP(ТабПозиции[[#This Row],[orderNum]],ТабЗаказы[#Data],MATCH(B$7,ТабЗаказы[#Headers],0),0),"")</f>
        <v>45592</v>
      </c>
      <c r="C1142" t="str">
        <f>MONTH(ТабПозиции[[#This Row],[date]])&amp;"/"&amp;YEAR(ТабПозиции[[#This Row],[date]])</f>
        <v>10/2024</v>
      </c>
      <c r="D1142" s="1" t="str">
        <f>IFERROR(VLOOKUP(ТабПозиции[[#This Row],[orderNum]],ТабЗаказы[#Data],MATCH(D$7,ТабЗаказы[#Headers],0),0),"")</f>
        <v>Руденко Юля</v>
      </c>
      <c r="E1142" s="32" t="s">
        <v>1740</v>
      </c>
      <c r="F1142" s="56" t="s">
        <v>3061</v>
      </c>
      <c r="H1142" s="34">
        <v>45597</v>
      </c>
      <c r="I1142" s="26">
        <v>1</v>
      </c>
      <c r="J1142" s="26">
        <v>171</v>
      </c>
      <c r="K1142">
        <v>171</v>
      </c>
      <c r="L1142" s="26">
        <v>180</v>
      </c>
      <c r="M1142">
        <f t="shared" si="21"/>
        <v>180</v>
      </c>
      <c r="O114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Row],[orderNum]],ТабПозиции[orderSumm])&gt;1500),ABS(M1142*VLOOKUP(ТабПозиции[[#This Row],[orderNum]],ТабЗаказы[#Data],MATCH("Percent",ТабЗаказы[#Headers],0),0))/100,200/COUNTIF(ТабПозиции[orderNum],ТабПозиции[[#This Row],[orderNum]])),0),"")</f>
        <v>18</v>
      </c>
      <c r="P1142">
        <f>IF(OR(ТабПозиции[[#This Row],[item]]="По штрихкоду",ТабПозиции[[#This Row],[item]]="Посылка"),ТабПозиции[[#This Row],[deliverySumm]]+ТабПозиции[[#This Row],[deliveryPost]],SUM(M1142:O1142))</f>
        <v>198</v>
      </c>
      <c r="Q1142" s="57">
        <v>198</v>
      </c>
      <c r="R1142" s="62">
        <f>ТабПозиции[[#This Row],[totalSumm]]-ТабПозиции[[#This Row],[payment]]</f>
        <v>0</v>
      </c>
      <c r="S1142" s="34" t="s">
        <v>965</v>
      </c>
      <c r="T1142" s="56" t="s">
        <v>3061</v>
      </c>
      <c r="U1142" s="56" t="s">
        <v>3061</v>
      </c>
      <c r="V1142" s="56" t="s">
        <v>3061</v>
      </c>
      <c r="W1142" s="7"/>
      <c r="X1142"/>
    </row>
    <row r="1143" spans="1:24" x14ac:dyDescent="0.25">
      <c r="A1143" s="26">
        <v>310</v>
      </c>
      <c r="B1143" s="1">
        <f>IFERROR(VLOOKUP(ТабПозиции[[#This Row],[orderNum]],ТабЗаказы[#Data],MATCH(B$7,ТабЗаказы[#Headers],0),0),"")</f>
        <v>45592</v>
      </c>
      <c r="C1143" t="str">
        <f>MONTH(ТабПозиции[[#This Row],[date]])&amp;"/"&amp;YEAR(ТабПозиции[[#This Row],[date]])</f>
        <v>10/2024</v>
      </c>
      <c r="D1143" s="1" t="str">
        <f>IFERROR(VLOOKUP(ТабПозиции[[#This Row],[orderNum]],ТабЗаказы[#Data],MATCH(D$7,ТабЗаказы[#Headers],0),0),"")</f>
        <v>Руденко Юля</v>
      </c>
      <c r="E1143" s="32" t="s">
        <v>663</v>
      </c>
      <c r="F1143" s="56" t="s">
        <v>3061</v>
      </c>
      <c r="H1143" s="34">
        <v>45596</v>
      </c>
      <c r="I1143" s="26">
        <v>1</v>
      </c>
      <c r="J1143" s="26">
        <v>455</v>
      </c>
      <c r="K1143">
        <v>455</v>
      </c>
      <c r="L1143" s="26">
        <v>479</v>
      </c>
      <c r="M1143">
        <f t="shared" si="21"/>
        <v>479</v>
      </c>
      <c r="O114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Row],[orderNum]],ТабПозиции[orderSumm])&gt;1500),ABS(M1143*VLOOKUP(ТабПозиции[[#This Row],[orderNum]],ТабЗаказы[#Data],MATCH("Percent",ТабЗаказы[#Headers],0),0))/100,200/COUNTIF(ТабПозиции[orderNum],ТабПозиции[[#This Row],[orderNum]])),0),"")</f>
        <v>48</v>
      </c>
      <c r="P1143">
        <f>IF(OR(ТабПозиции[[#This Row],[item]]="По штрихкоду",ТабПозиции[[#This Row],[item]]="Посылка"),ТабПозиции[[#This Row],[deliverySumm]]+ТабПозиции[[#This Row],[deliveryPost]],SUM(M1143:O1143))</f>
        <v>527</v>
      </c>
      <c r="Q1143" s="57">
        <v>527</v>
      </c>
      <c r="R1143" s="62">
        <f>ТабПозиции[[#This Row],[totalSumm]]-ТабПозиции[[#This Row],[payment]]</f>
        <v>0</v>
      </c>
      <c r="S1143" s="34" t="s">
        <v>965</v>
      </c>
      <c r="T1143" s="56" t="s">
        <v>3061</v>
      </c>
      <c r="U1143" s="56" t="s">
        <v>3061</v>
      </c>
      <c r="V1143" s="56" t="s">
        <v>3061</v>
      </c>
      <c r="W1143" s="7"/>
      <c r="X1143"/>
    </row>
    <row r="1144" spans="1:24" x14ac:dyDescent="0.25">
      <c r="A1144" s="26">
        <v>310</v>
      </c>
      <c r="B1144" s="1">
        <f>IFERROR(VLOOKUP(ТабПозиции[[#This Row],[orderNum]],ТабЗаказы[#Data],MATCH(B$7,ТабЗаказы[#Headers],0),0),"")</f>
        <v>45592</v>
      </c>
      <c r="C1144" t="str">
        <f>MONTH(ТабПозиции[[#This Row],[date]])&amp;"/"&amp;YEAR(ТабПозиции[[#This Row],[date]])</f>
        <v>10/2024</v>
      </c>
      <c r="D1144" s="1" t="str">
        <f>IFERROR(VLOOKUP(ТабПозиции[[#This Row],[orderNum]],ТабЗаказы[#Data],MATCH(D$7,ТабЗаказы[#Headers],0),0),"")</f>
        <v>Руденко Юля</v>
      </c>
      <c r="E1144" s="32" t="s">
        <v>1741</v>
      </c>
      <c r="F1144" s="56" t="s">
        <v>3061</v>
      </c>
      <c r="H1144" s="34">
        <v>45596</v>
      </c>
      <c r="I1144" s="26">
        <v>1</v>
      </c>
      <c r="J1144" s="26">
        <v>552</v>
      </c>
      <c r="K1144">
        <v>552</v>
      </c>
      <c r="L1144" s="26">
        <v>582</v>
      </c>
      <c r="M1144">
        <f t="shared" si="21"/>
        <v>582</v>
      </c>
      <c r="O114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Row],[orderNum]],ТабПозиции[orderSumm])&gt;1500),ABS(M1144*VLOOKUP(ТабПозиции[[#This Row],[orderNum]],ТабЗаказы[#Data],MATCH("Percent",ТабЗаказы[#Headers],0),0))/100,200/COUNTIF(ТабПозиции[orderNum],ТабПозиции[[#This Row],[orderNum]])),0),"")</f>
        <v>58</v>
      </c>
      <c r="P1144">
        <f>IF(OR(ТабПозиции[[#This Row],[item]]="По штрихкоду",ТабПозиции[[#This Row],[item]]="Посылка"),ТабПозиции[[#This Row],[deliverySumm]]+ТабПозиции[[#This Row],[deliveryPost]],SUM(M1144:O1144))</f>
        <v>640</v>
      </c>
      <c r="Q1144" s="57">
        <v>640</v>
      </c>
      <c r="R1144" s="62">
        <f>ТабПозиции[[#This Row],[totalSumm]]-ТабПозиции[[#This Row],[payment]]</f>
        <v>0</v>
      </c>
      <c r="S1144" s="34" t="s">
        <v>965</v>
      </c>
      <c r="T1144" s="56" t="s">
        <v>3061</v>
      </c>
      <c r="U1144" s="56" t="s">
        <v>3061</v>
      </c>
      <c r="V1144" s="56" t="s">
        <v>3061</v>
      </c>
      <c r="W1144" s="7"/>
      <c r="X1144"/>
    </row>
    <row r="1145" spans="1:24" x14ac:dyDescent="0.25">
      <c r="A1145" s="26">
        <v>310</v>
      </c>
      <c r="B1145" s="1">
        <f>IFERROR(VLOOKUP(ТабПозиции[[#This Row],[orderNum]],ТабЗаказы[#Data],MATCH(B$7,ТабЗаказы[#Headers],0),0),"")</f>
        <v>45592</v>
      </c>
      <c r="C1145" t="str">
        <f>MONTH(ТабПозиции[[#This Row],[date]])&amp;"/"&amp;YEAR(ТабПозиции[[#This Row],[date]])</f>
        <v>10/2024</v>
      </c>
      <c r="D1145" s="1" t="str">
        <f>IFERROR(VLOOKUP(ТабПозиции[[#This Row],[orderNum]],ТабЗаказы[#Data],MATCH(D$7,ТабЗаказы[#Headers],0),0),"")</f>
        <v>Руденко Юля</v>
      </c>
      <c r="E1145" s="32" t="s">
        <v>663</v>
      </c>
      <c r="F1145" s="56" t="s">
        <v>3061</v>
      </c>
      <c r="H1145" s="34">
        <v>45596</v>
      </c>
      <c r="I1145" s="26">
        <v>1</v>
      </c>
      <c r="J1145" s="26">
        <v>342</v>
      </c>
      <c r="K1145">
        <v>342</v>
      </c>
      <c r="L1145" s="26">
        <v>360</v>
      </c>
      <c r="M1145">
        <f t="shared" si="21"/>
        <v>360</v>
      </c>
      <c r="O114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Row],[orderNum]],ТабПозиции[orderSumm])&gt;1500),ABS(M1145*VLOOKUP(ТабПозиции[[#This Row],[orderNum]],ТабЗаказы[#Data],MATCH("Percent",ТабЗаказы[#Headers],0),0))/100,200/COUNTIF(ТабПозиции[orderNum],ТабПозиции[[#This Row],[orderNum]])),0),"")</f>
        <v>36</v>
      </c>
      <c r="P1145">
        <f>IF(OR(ТабПозиции[[#This Row],[item]]="По штрихкоду",ТабПозиции[[#This Row],[item]]="Посылка"),ТабПозиции[[#This Row],[deliverySumm]]+ТабПозиции[[#This Row],[deliveryPost]],SUM(M1145:O1145))</f>
        <v>396</v>
      </c>
      <c r="Q1145" s="57">
        <v>396</v>
      </c>
      <c r="R1145" s="62">
        <f>ТабПозиции[[#This Row],[totalSumm]]-ТабПозиции[[#This Row],[payment]]</f>
        <v>0</v>
      </c>
      <c r="S1145" s="34" t="s">
        <v>965</v>
      </c>
      <c r="T1145" s="56" t="s">
        <v>3061</v>
      </c>
      <c r="U1145" s="56" t="s">
        <v>3061</v>
      </c>
      <c r="V1145" s="56" t="s">
        <v>3061</v>
      </c>
      <c r="W1145" s="7"/>
      <c r="X1145"/>
    </row>
    <row r="1146" spans="1:24" x14ac:dyDescent="0.25">
      <c r="A1146" s="26">
        <v>311</v>
      </c>
      <c r="B1146" s="1">
        <f>IFERROR(VLOOKUP(ТабПозиции[[#This Row],[orderNum]],ТабЗаказы[#Data],MATCH(B$7,ТабЗаказы[#Headers],0),0),"")</f>
        <v>45593</v>
      </c>
      <c r="C1146" t="str">
        <f>MONTH(ТабПозиции[[#This Row],[date]])&amp;"/"&amp;YEAR(ТабПозиции[[#This Row],[date]])</f>
        <v>10/2024</v>
      </c>
      <c r="D1146" s="1" t="str">
        <f>IFERROR(VLOOKUP(ТабПозиции[[#This Row],[orderNum]],ТабЗаказы[#Data],MATCH(D$7,ТабЗаказы[#Headers],0),0),"")</f>
        <v>Вадим</v>
      </c>
      <c r="E1146" s="32" t="s">
        <v>1742</v>
      </c>
      <c r="F1146" s="56" t="s">
        <v>3061</v>
      </c>
      <c r="G1146" s="28" t="s">
        <v>1743</v>
      </c>
      <c r="H1146" s="34">
        <v>45597</v>
      </c>
      <c r="I1146" s="26">
        <v>1</v>
      </c>
      <c r="J1146" s="26">
        <v>3000</v>
      </c>
      <c r="K1146">
        <f>ТабПозиции[[#This Row],[discountPrice]]*ТабПозиции[[#This Row],[quantity]]</f>
        <v>3000</v>
      </c>
      <c r="L1146" s="26">
        <v>3000</v>
      </c>
      <c r="M1146">
        <f t="shared" si="21"/>
        <v>3000</v>
      </c>
      <c r="N1146" s="26">
        <v>400</v>
      </c>
      <c r="O114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Row],[orderNum]],ТабПозиции[orderSumm])&gt;1500),ABS(M1146*VLOOKUP(ТабПозиции[[#This Row],[orderNum]],ТабЗаказы[#Data],MATCH("Percent",ТабЗаказы[#Headers],0),0))/100,200/COUNTIF(ТабПозиции[orderNum],ТабПозиции[[#This Row],[orderNum]])),0),"")</f>
        <v>450</v>
      </c>
      <c r="P1146">
        <f>IF(OR(ТабПозиции[[#This Row],[item]]="По штрихкоду",ТабПозиции[[#This Row],[item]]="Посылка"),ТабПозиции[[#This Row],[deliverySumm]]+ТабПозиции[[#This Row],[deliveryPost]],SUM(M1146:O1146))</f>
        <v>3850</v>
      </c>
      <c r="Q1146" s="57">
        <v>3850</v>
      </c>
      <c r="R1146" s="62">
        <f>ТабПозиции[[#This Row],[totalSumm]]-ТабПозиции[[#This Row],[payment]]</f>
        <v>0</v>
      </c>
      <c r="S1146" s="34" t="s">
        <v>1016</v>
      </c>
      <c r="T1146" s="56" t="s">
        <v>3061</v>
      </c>
      <c r="U1146" s="56" t="s">
        <v>3061</v>
      </c>
      <c r="V1146" s="56" t="s">
        <v>3061</v>
      </c>
      <c r="W1146" s="7"/>
      <c r="X1146"/>
    </row>
    <row r="1147" spans="1:24" x14ac:dyDescent="0.25">
      <c r="A1147" s="26">
        <v>312</v>
      </c>
      <c r="B1147" s="1">
        <f>IFERROR(VLOOKUP(ТабПозиции[[#This Row],[orderNum]],ТабЗаказы[#Data],MATCH(B$7,ТабЗаказы[#Headers],0),0),"")</f>
        <v>45593</v>
      </c>
      <c r="C1147" t="str">
        <f>MONTH(ТабПозиции[[#This Row],[date]])&amp;"/"&amp;YEAR(ТабПозиции[[#This Row],[date]])</f>
        <v>10/2024</v>
      </c>
      <c r="D1147" s="1" t="str">
        <f>IFERROR(VLOOKUP(ТабПозиции[[#This Row],[orderNum]],ТабЗаказы[#Data],MATCH(D$7,ТабЗаказы[#Headers],0),0),"")</f>
        <v>Елена Ларисына</v>
      </c>
      <c r="E1147" s="32" t="s">
        <v>1744</v>
      </c>
      <c r="F1147" s="56" t="s">
        <v>3061</v>
      </c>
      <c r="H1147" s="34">
        <v>45599</v>
      </c>
      <c r="I1147" s="26">
        <v>1</v>
      </c>
      <c r="J1147" s="26">
        <v>816</v>
      </c>
      <c r="K1147">
        <f>ТабПозиции[[#This Row],[discountPrice]]*ТабПозиции[[#This Row],[quantity]]</f>
        <v>816</v>
      </c>
      <c r="L1147" s="26">
        <v>886</v>
      </c>
      <c r="M1147">
        <f t="shared" si="21"/>
        <v>886</v>
      </c>
      <c r="O114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Row],[orderNum]],ТабПозиции[orderSumm])&gt;1500),ABS(M1147*VLOOKUP(ТабПозиции[[#This Row],[orderNum]],ТабЗаказы[#Data],MATCH("Percent",ТабЗаказы[#Headers],0),0))/100,200/COUNTIF(ТабПозиции[orderNum],ТабПозиции[[#This Row],[orderNum]])),0),"")</f>
        <v>133</v>
      </c>
      <c r="P1147">
        <f>IF(OR(ТабПозиции[[#This Row],[item]]="По штрихкоду",ТабПозиции[[#This Row],[item]]="Посылка"),ТабПозиции[[#This Row],[deliverySumm]]+ТабПозиции[[#This Row],[deliveryPost]],SUM(M1147:O1147))</f>
        <v>1019</v>
      </c>
      <c r="Q1147" s="57">
        <v>1019</v>
      </c>
      <c r="R1147" s="62">
        <f>ТабПозиции[[#This Row],[totalSumm]]-ТабПозиции[[#This Row],[payment]]</f>
        <v>0</v>
      </c>
      <c r="S1147" s="34" t="s">
        <v>955</v>
      </c>
      <c r="T1147" s="56" t="s">
        <v>3061</v>
      </c>
      <c r="U1147" s="56" t="s">
        <v>3061</v>
      </c>
      <c r="V1147" s="56" t="s">
        <v>3061</v>
      </c>
      <c r="W1147" s="7"/>
      <c r="X1147"/>
    </row>
    <row r="1148" spans="1:24" x14ac:dyDescent="0.25">
      <c r="A1148" s="26">
        <v>312</v>
      </c>
      <c r="B1148" s="1">
        <f>IFERROR(VLOOKUP(ТабПозиции[[#This Row],[orderNum]],ТабЗаказы[#Data],MATCH(B$7,ТабЗаказы[#Headers],0),0),"")</f>
        <v>45593</v>
      </c>
      <c r="C1148" t="str">
        <f>MONTH(ТабПозиции[[#This Row],[date]])&amp;"/"&amp;YEAR(ТабПозиции[[#This Row],[date]])</f>
        <v>10/2024</v>
      </c>
      <c r="D1148" s="1" t="str">
        <f>IFERROR(VLOOKUP(ТабПозиции[[#This Row],[orderNum]],ТабЗаказы[#Data],MATCH(D$7,ТабЗаказы[#Headers],0),0),"")</f>
        <v>Елена Ларисына</v>
      </c>
      <c r="E1148" s="32" t="s">
        <v>1745</v>
      </c>
      <c r="F1148" s="56" t="s">
        <v>3061</v>
      </c>
      <c r="H1148" s="34">
        <v>45601</v>
      </c>
      <c r="I1148" s="26">
        <v>1</v>
      </c>
      <c r="J1148" s="26">
        <v>423</v>
      </c>
      <c r="K1148">
        <f>ТабПозиции[[#This Row],[discountPrice]]*ТабПозиции[[#This Row],[quantity]]</f>
        <v>423</v>
      </c>
      <c r="L1148" s="26">
        <v>436</v>
      </c>
      <c r="M1148">
        <f t="shared" si="21"/>
        <v>436</v>
      </c>
      <c r="O114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Row],[orderNum]],ТабПозиции[orderSumm])&gt;1500),ABS(M1148*VLOOKUP(ТабПозиции[[#This Row],[orderNum]],ТабЗаказы[#Data],MATCH("Percent",ТабЗаказы[#Headers],0),0))/100,200/COUNTIF(ТабПозиции[orderNum],ТабПозиции[[#This Row],[orderNum]])),0),"")</f>
        <v>65</v>
      </c>
      <c r="P1148">
        <f>IF(OR(ТабПозиции[[#This Row],[item]]="По штрихкоду",ТабПозиции[[#This Row],[item]]="Посылка"),ТабПозиции[[#This Row],[deliverySumm]]+ТабПозиции[[#This Row],[deliveryPost]],SUM(M1148:O1148))</f>
        <v>501</v>
      </c>
      <c r="Q1148" s="57">
        <v>501</v>
      </c>
      <c r="R1148" s="62">
        <f>ТабПозиции[[#This Row],[totalSumm]]-ТабПозиции[[#This Row],[payment]]</f>
        <v>0</v>
      </c>
      <c r="S1148" s="34" t="s">
        <v>955</v>
      </c>
      <c r="T1148" s="56" t="s">
        <v>3061</v>
      </c>
      <c r="U1148" s="56" t="s">
        <v>3061</v>
      </c>
      <c r="V1148" s="56" t="s">
        <v>3061</v>
      </c>
      <c r="W1148" s="7"/>
      <c r="X1148"/>
    </row>
    <row r="1149" spans="1:24" x14ac:dyDescent="0.25">
      <c r="A1149" s="26">
        <v>312</v>
      </c>
      <c r="B1149" s="1">
        <f>IFERROR(VLOOKUP(ТабПозиции[[#This Row],[orderNum]],ТабЗаказы[#Data],MATCH(B$7,ТабЗаказы[#Headers],0),0),"")</f>
        <v>45593</v>
      </c>
      <c r="C1149" t="str">
        <f>MONTH(ТабПозиции[[#This Row],[date]])&amp;"/"&amp;YEAR(ТабПозиции[[#This Row],[date]])</f>
        <v>10/2024</v>
      </c>
      <c r="D1149" s="1" t="str">
        <f>IFERROR(VLOOKUP(ТабПозиции[[#This Row],[orderNum]],ТабЗаказы[#Data],MATCH(D$7,ТабЗаказы[#Headers],0),0),"")</f>
        <v>Елена Ларисына</v>
      </c>
      <c r="E1149" s="32" t="s">
        <v>1746</v>
      </c>
      <c r="F1149" s="56" t="s">
        <v>3061</v>
      </c>
      <c r="H1149" s="34">
        <v>45594</v>
      </c>
      <c r="I1149" s="26">
        <v>1</v>
      </c>
      <c r="J1149" s="26">
        <v>351</v>
      </c>
      <c r="K1149">
        <v>351</v>
      </c>
      <c r="L1149" s="26">
        <v>362</v>
      </c>
      <c r="M1149">
        <f t="shared" si="21"/>
        <v>362</v>
      </c>
      <c r="O114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Row],[orderNum]],ТабПозиции[orderSumm])&gt;1500),ABS(M1149*VLOOKUP(ТабПозиции[[#This Row],[orderNum]],ТабЗаказы[#Data],MATCH("Percent",ТабЗаказы[#Headers],0),0))/100,200/COUNTIF(ТабПозиции[orderNum],ТабПозиции[[#This Row],[orderNum]])),0),"")</f>
        <v>54</v>
      </c>
      <c r="P1149">
        <f>IF(OR(ТабПозиции[[#This Row],[item]]="По штрихкоду",ТабПозиции[[#This Row],[item]]="Посылка"),ТабПозиции[[#This Row],[deliverySumm]]+ТабПозиции[[#This Row],[deliveryPost]],SUM(M1149:O1149))</f>
        <v>416</v>
      </c>
      <c r="Q1149" s="57">
        <v>416</v>
      </c>
      <c r="R1149" s="62">
        <f>ТабПозиции[[#This Row],[totalSumm]]-ТабПозиции[[#This Row],[payment]]</f>
        <v>0</v>
      </c>
      <c r="S1149" s="34" t="s">
        <v>955</v>
      </c>
      <c r="T1149" s="56" t="s">
        <v>3061</v>
      </c>
      <c r="U1149" s="56" t="s">
        <v>3061</v>
      </c>
      <c r="V1149" s="56" t="s">
        <v>3061</v>
      </c>
      <c r="W1149" s="7"/>
      <c r="X1149"/>
    </row>
    <row r="1150" spans="1:24" x14ac:dyDescent="0.25">
      <c r="A1150" s="26">
        <v>312</v>
      </c>
      <c r="B1150" s="1">
        <f>IFERROR(VLOOKUP(ТабПозиции[[#This Row],[orderNum]],ТабЗаказы[#Data],MATCH(B$7,ТабЗаказы[#Headers],0),0),"")</f>
        <v>45593</v>
      </c>
      <c r="C1150" t="str">
        <f>MONTH(ТабПозиции[[#This Row],[date]])&amp;"/"&amp;YEAR(ТабПозиции[[#This Row],[date]])</f>
        <v>10/2024</v>
      </c>
      <c r="D1150" s="1" t="str">
        <f>IFERROR(VLOOKUP(ТабПозиции[[#This Row],[orderNum]],ТабЗаказы[#Data],MATCH(D$7,ТабЗаказы[#Headers],0),0),"")</f>
        <v>Елена Ларисына</v>
      </c>
      <c r="E1150" s="32" t="s">
        <v>1747</v>
      </c>
      <c r="F1150" s="56" t="s">
        <v>3061</v>
      </c>
      <c r="H1150" s="34">
        <v>45598</v>
      </c>
      <c r="I1150" s="26">
        <v>1</v>
      </c>
      <c r="J1150" s="26">
        <v>327</v>
      </c>
      <c r="K1150">
        <f>ТабПозиции[[#This Row],[discountPrice]]*ТабПозиции[[#This Row],[quantity]]</f>
        <v>327</v>
      </c>
      <c r="L1150" s="26">
        <v>337</v>
      </c>
      <c r="M1150">
        <f t="shared" si="21"/>
        <v>337</v>
      </c>
      <c r="O115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Row],[orderNum]],ТабПозиции[orderSumm])&gt;1500),ABS(M1150*VLOOKUP(ТабПозиции[[#This Row],[orderNum]],ТабЗаказы[#Data],MATCH("Percent",ТабЗаказы[#Headers],0),0))/100,200/COUNTIF(ТабПозиции[orderNum],ТабПозиции[[#This Row],[orderNum]])),0),"")</f>
        <v>51</v>
      </c>
      <c r="P1150">
        <f>IF(OR(ТабПозиции[[#This Row],[item]]="По штрихкоду",ТабПозиции[[#This Row],[item]]="Посылка"),ТабПозиции[[#This Row],[deliverySumm]]+ТабПозиции[[#This Row],[deliveryPost]],SUM(M1150:O1150))</f>
        <v>388</v>
      </c>
      <c r="Q1150" s="57">
        <v>388</v>
      </c>
      <c r="R1150" s="62">
        <f>ТабПозиции[[#This Row],[totalSumm]]-ТабПозиции[[#This Row],[payment]]</f>
        <v>0</v>
      </c>
      <c r="S1150" s="34" t="s">
        <v>955</v>
      </c>
      <c r="T1150" s="56" t="s">
        <v>3061</v>
      </c>
      <c r="U1150" s="56" t="s">
        <v>3061</v>
      </c>
      <c r="V1150" s="56" t="s">
        <v>3061</v>
      </c>
      <c r="W1150" s="7"/>
      <c r="X1150"/>
    </row>
    <row r="1151" spans="1:24" x14ac:dyDescent="0.25">
      <c r="A1151" s="26">
        <v>312</v>
      </c>
      <c r="B1151" s="1">
        <f>IFERROR(VLOOKUP(ТабПозиции[[#This Row],[orderNum]],ТабЗаказы[#Data],MATCH(B$7,ТабЗаказы[#Headers],0),0),"")</f>
        <v>45593</v>
      </c>
      <c r="C1151" t="str">
        <f>MONTH(ТабПозиции[[#This Row],[date]])&amp;"/"&amp;YEAR(ТабПозиции[[#This Row],[date]])</f>
        <v>10/2024</v>
      </c>
      <c r="D1151" s="1" t="str">
        <f>IFERROR(VLOOKUP(ТабПозиции[[#This Row],[orderNum]],ТабЗаказы[#Data],MATCH(D$7,ТабЗаказы[#Headers],0),0),"")</f>
        <v>Елена Ларисына</v>
      </c>
      <c r="E1151" s="32" t="s">
        <v>1748</v>
      </c>
      <c r="F1151" s="56" t="s">
        <v>3061</v>
      </c>
      <c r="H1151" s="34">
        <v>45594</v>
      </c>
      <c r="I1151" s="26">
        <v>1</v>
      </c>
      <c r="J1151" s="26">
        <v>1726</v>
      </c>
      <c r="K1151">
        <v>1726</v>
      </c>
      <c r="L1151" s="26">
        <v>1871</v>
      </c>
      <c r="M1151">
        <f t="shared" si="21"/>
        <v>1871</v>
      </c>
      <c r="O115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Row],[orderNum]],ТабПозиции[orderSumm])&gt;1500),ABS(M1151*VLOOKUP(ТабПозиции[[#This Row],[orderNum]],ТабЗаказы[#Data],MATCH("Percent",ТабЗаказы[#Headers],0),0))/100,200/COUNTIF(ТабПозиции[orderNum],ТабПозиции[[#This Row],[orderNum]])),0),"")</f>
        <v>281</v>
      </c>
      <c r="P1151">
        <f>IF(OR(ТабПозиции[[#This Row],[item]]="По штрихкоду",ТабПозиции[[#This Row],[item]]="Посылка"),ТабПозиции[[#This Row],[deliverySumm]]+ТабПозиции[[#This Row],[deliveryPost]],SUM(M1151:O1151))</f>
        <v>2152</v>
      </c>
      <c r="Q1151" s="57">
        <v>2152</v>
      </c>
      <c r="R1151" s="62">
        <f>ТабПозиции[[#This Row],[totalSumm]]-ТабПозиции[[#This Row],[payment]]</f>
        <v>0</v>
      </c>
      <c r="S1151" s="34" t="s">
        <v>955</v>
      </c>
      <c r="T1151" s="56" t="s">
        <v>3061</v>
      </c>
      <c r="U1151" s="56" t="s">
        <v>3061</v>
      </c>
      <c r="V1151" s="56" t="s">
        <v>3061</v>
      </c>
      <c r="W1151" s="7"/>
      <c r="X1151"/>
    </row>
    <row r="1152" spans="1:24" x14ac:dyDescent="0.25">
      <c r="A1152" s="26">
        <v>312</v>
      </c>
      <c r="B1152" s="1">
        <f>IFERROR(VLOOKUP(ТабПозиции[[#This Row],[orderNum]],ТабЗаказы[#Data],MATCH(B$7,ТабЗаказы[#Headers],0),0),"")</f>
        <v>45593</v>
      </c>
      <c r="C1152" t="str">
        <f>MONTH(ТабПозиции[[#This Row],[date]])&amp;"/"&amp;YEAR(ТабПозиции[[#This Row],[date]])</f>
        <v>10/2024</v>
      </c>
      <c r="D1152" s="1" t="str">
        <f>IFERROR(VLOOKUP(ТабПозиции[[#This Row],[orderNum]],ТабЗаказы[#Data],MATCH(D$7,ТабЗаказы[#Headers],0),0),"")</f>
        <v>Елена Ларисына</v>
      </c>
      <c r="E1152" s="32" t="s">
        <v>1749</v>
      </c>
      <c r="F1152" s="56" t="s">
        <v>3061</v>
      </c>
      <c r="H1152" s="34">
        <v>45596</v>
      </c>
      <c r="I1152" s="26">
        <v>1</v>
      </c>
      <c r="J1152" s="26">
        <v>540</v>
      </c>
      <c r="K1152">
        <v>540</v>
      </c>
      <c r="L1152" s="26">
        <v>578</v>
      </c>
      <c r="M1152">
        <f t="shared" si="21"/>
        <v>578</v>
      </c>
      <c r="O115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Row],[orderNum]],ТабПозиции[orderSumm])&gt;1500),ABS(M1152*VLOOKUP(ТабПозиции[[#This Row],[orderNum]],ТабЗаказы[#Data],MATCH("Percent",ТабЗаказы[#Headers],0),0))/100,200/COUNTIF(ТабПозиции[orderNum],ТабПозиции[[#This Row],[orderNum]])),0),"")</f>
        <v>87</v>
      </c>
      <c r="P1152">
        <f>IF(OR(ТабПозиции[[#This Row],[item]]="По штрихкоду",ТабПозиции[[#This Row],[item]]="Посылка"),ТабПозиции[[#This Row],[deliverySumm]]+ТабПозиции[[#This Row],[deliveryPost]],SUM(M1152:O1152))</f>
        <v>665</v>
      </c>
      <c r="Q1152" s="57">
        <v>665</v>
      </c>
      <c r="R1152" s="62">
        <f>ТабПозиции[[#This Row],[totalSumm]]-ТабПозиции[[#This Row],[payment]]</f>
        <v>0</v>
      </c>
      <c r="S1152" s="34" t="s">
        <v>955</v>
      </c>
      <c r="T1152" s="56" t="s">
        <v>3061</v>
      </c>
      <c r="U1152" s="56" t="s">
        <v>3061</v>
      </c>
      <c r="V1152" s="56" t="s">
        <v>3061</v>
      </c>
      <c r="W1152" s="7"/>
      <c r="X1152"/>
    </row>
    <row r="1153" spans="1:24" x14ac:dyDescent="0.25">
      <c r="A1153" s="26">
        <v>312</v>
      </c>
      <c r="B1153" s="1">
        <f>IFERROR(VLOOKUP(ТабПозиции[[#This Row],[orderNum]],ТабЗаказы[#Data],MATCH(B$7,ТабЗаказы[#Headers],0),0),"")</f>
        <v>45593</v>
      </c>
      <c r="C1153" t="str">
        <f>MONTH(ТабПозиции[[#This Row],[date]])&amp;"/"&amp;YEAR(ТабПозиции[[#This Row],[date]])</f>
        <v>10/2024</v>
      </c>
      <c r="D1153" s="1" t="str">
        <f>IFERROR(VLOOKUP(ТабПозиции[[#This Row],[orderNum]],ТабЗаказы[#Data],MATCH(D$7,ТабЗаказы[#Headers],0),0),"")</f>
        <v>Елена Ларисына</v>
      </c>
      <c r="E1153" s="32" t="s">
        <v>1750</v>
      </c>
      <c r="F1153" s="56" t="s">
        <v>3061</v>
      </c>
      <c r="H1153" s="34">
        <v>45601</v>
      </c>
      <c r="I1153" s="26">
        <v>1</v>
      </c>
      <c r="J1153" s="26">
        <v>247</v>
      </c>
      <c r="K1153">
        <f>ТабПозиции[[#This Row],[discountPrice]]*ТабПозиции[[#This Row],[quantity]]</f>
        <v>247</v>
      </c>
      <c r="L1153" s="26">
        <v>258</v>
      </c>
      <c r="M1153">
        <f t="shared" si="21"/>
        <v>258</v>
      </c>
      <c r="O115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Row],[orderNum]],ТабПозиции[orderSumm])&gt;1500),ABS(M1153*VLOOKUP(ТабПозиции[[#This Row],[orderNum]],ТабЗаказы[#Data],MATCH("Percent",ТабЗаказы[#Headers],0),0))/100,200/COUNTIF(ТабПозиции[orderNum],ТабПозиции[[#This Row],[orderNum]])),0),"")</f>
        <v>39</v>
      </c>
      <c r="P1153">
        <f>IF(OR(ТабПозиции[[#This Row],[item]]="По штрихкоду",ТабПозиции[[#This Row],[item]]="Посылка"),ТабПозиции[[#This Row],[deliverySumm]]+ТабПозиции[[#This Row],[deliveryPost]],SUM(M1153:O1153))</f>
        <v>297</v>
      </c>
      <c r="Q1153" s="57">
        <v>297</v>
      </c>
      <c r="R1153" s="62">
        <f>ТабПозиции[[#This Row],[totalSumm]]-ТабПозиции[[#This Row],[payment]]</f>
        <v>0</v>
      </c>
      <c r="S1153" s="34" t="s">
        <v>955</v>
      </c>
      <c r="T1153" s="56" t="s">
        <v>3061</v>
      </c>
      <c r="U1153" s="56" t="s">
        <v>3061</v>
      </c>
      <c r="V1153" s="56" t="s">
        <v>3061</v>
      </c>
      <c r="W1153" s="7"/>
      <c r="X1153"/>
    </row>
    <row r="1154" spans="1:24" x14ac:dyDescent="0.25">
      <c r="A1154" s="26">
        <v>313</v>
      </c>
      <c r="B1154" s="1">
        <f>IFERROR(VLOOKUP(ТабПозиции[[#This Row],[orderNum]],ТабЗаказы[#Data],MATCH(B$7,ТабЗаказы[#Headers],0),0),"")</f>
        <v>45593</v>
      </c>
      <c r="C1154" t="str">
        <f>MONTH(ТабПозиции[[#This Row],[date]])&amp;"/"&amp;YEAR(ТабПозиции[[#This Row],[date]])</f>
        <v>10/2024</v>
      </c>
      <c r="D1154" s="1" t="str">
        <f>IFERROR(VLOOKUP(ТабПозиции[[#This Row],[orderNum]],ТабЗаказы[#Data],MATCH(D$7,ТабЗаказы[#Headers],0),0),"")</f>
        <v>Александр 3 Металлургов</v>
      </c>
      <c r="E1154" s="32" t="s">
        <v>1751</v>
      </c>
      <c r="F1154" s="56" t="s">
        <v>3061</v>
      </c>
      <c r="H1154" s="34">
        <v>45596</v>
      </c>
      <c r="I1154" s="26">
        <v>1</v>
      </c>
      <c r="J1154" s="26">
        <v>503</v>
      </c>
      <c r="K1154">
        <f>ТабПозиции[[#This Row],[discountPrice]]*ТабПозиции[[#This Row],[quantity]]</f>
        <v>503</v>
      </c>
      <c r="L1154" s="26">
        <v>535</v>
      </c>
      <c r="M1154">
        <f t="shared" si="21"/>
        <v>535</v>
      </c>
      <c r="O115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Row],[orderNum]],ТабПозиции[orderSumm])&gt;1500),ABS(M1154*VLOOKUP(ТабПозиции[[#This Row],[orderNum]],ТабЗаказы[#Data],MATCH("Percent",ТабЗаказы[#Headers],0),0))/100,200/COUNTIF(ТабПозиции[orderNum],ТабПозиции[[#This Row],[orderNum]])),0),"")</f>
        <v>80</v>
      </c>
      <c r="P1154">
        <f>IF(OR(ТабПозиции[[#This Row],[item]]="По штрихкоду",ТабПозиции[[#This Row],[item]]="Посылка"),ТабПозиции[[#This Row],[deliverySumm]]+ТабПозиции[[#This Row],[deliveryPost]],SUM(M1154:O1154))</f>
        <v>615</v>
      </c>
      <c r="Q1154" s="57">
        <v>615</v>
      </c>
      <c r="R1154" s="62">
        <f>ТабПозиции[[#This Row],[totalSumm]]-ТабПозиции[[#This Row],[payment]]</f>
        <v>0</v>
      </c>
      <c r="S1154" s="34" t="s">
        <v>955</v>
      </c>
      <c r="T1154" s="56" t="s">
        <v>3061</v>
      </c>
      <c r="U1154" s="56" t="s">
        <v>3061</v>
      </c>
      <c r="V1154" s="56" t="s">
        <v>3061</v>
      </c>
      <c r="W1154" s="7"/>
      <c r="X1154"/>
    </row>
    <row r="1155" spans="1:24" x14ac:dyDescent="0.25">
      <c r="A1155" s="26">
        <v>313</v>
      </c>
      <c r="B1155" s="1">
        <f>IFERROR(VLOOKUP(ТабПозиции[[#This Row],[orderNum]],ТабЗаказы[#Data],MATCH(B$7,ТабЗаказы[#Headers],0),0),"")</f>
        <v>45593</v>
      </c>
      <c r="C1155" t="str">
        <f>MONTH(ТабПозиции[[#This Row],[date]])&amp;"/"&amp;YEAR(ТабПозиции[[#This Row],[date]])</f>
        <v>10/2024</v>
      </c>
      <c r="D1155" s="1" t="str">
        <f>IFERROR(VLOOKUP(ТабПозиции[[#This Row],[orderNum]],ТабЗаказы[#Data],MATCH(D$7,ТабЗаказы[#Headers],0),0),"")</f>
        <v>Александр 3 Металлургов</v>
      </c>
      <c r="E1155" s="32" t="s">
        <v>1752</v>
      </c>
      <c r="F1155" s="56" t="s">
        <v>3061</v>
      </c>
      <c r="H1155" s="34">
        <v>45599</v>
      </c>
      <c r="I1155" s="26">
        <v>1</v>
      </c>
      <c r="J1155" s="26">
        <v>1674</v>
      </c>
      <c r="K1155">
        <f>ТабПозиции[[#This Row],[discountPrice]]*ТабПозиции[[#This Row],[quantity]]</f>
        <v>1674</v>
      </c>
      <c r="L1155" s="26">
        <v>1794</v>
      </c>
      <c r="M1155">
        <f t="shared" si="21"/>
        <v>1794</v>
      </c>
      <c r="O115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Row],[orderNum]],ТабПозиции[orderSumm])&gt;1500),ABS(M1155*VLOOKUP(ТабПозиции[[#This Row],[orderNum]],ТабЗаказы[#Data],MATCH("Percent",ТабЗаказы[#Headers],0),0))/100,200/COUNTIF(ТабПозиции[orderNum],ТабПозиции[[#This Row],[orderNum]])),0),"")</f>
        <v>269</v>
      </c>
      <c r="P1155">
        <f>IF(OR(ТабПозиции[[#This Row],[item]]="По штрихкоду",ТабПозиции[[#This Row],[item]]="Посылка"),ТабПозиции[[#This Row],[deliverySumm]]+ТабПозиции[[#This Row],[deliveryPost]],SUM(M1155:O1155))</f>
        <v>2063</v>
      </c>
      <c r="Q1155" s="57">
        <v>2063</v>
      </c>
      <c r="R1155" s="62">
        <f>ТабПозиции[[#This Row],[totalSumm]]-ТабПозиции[[#This Row],[payment]]</f>
        <v>0</v>
      </c>
      <c r="S1155" s="34" t="s">
        <v>955</v>
      </c>
      <c r="T1155" s="56" t="s">
        <v>3061</v>
      </c>
      <c r="U1155" s="56" t="s">
        <v>3061</v>
      </c>
      <c r="V1155" s="56" t="s">
        <v>3061</v>
      </c>
      <c r="W1155" s="7"/>
      <c r="X1155"/>
    </row>
    <row r="1156" spans="1:24" x14ac:dyDescent="0.25">
      <c r="A1156" s="26">
        <v>313</v>
      </c>
      <c r="B1156" s="1">
        <f>IFERROR(VLOOKUP(ТабПозиции[[#This Row],[orderNum]],ТабЗаказы[#Data],MATCH(B$7,ТабЗаказы[#Headers],0),0),"")</f>
        <v>45593</v>
      </c>
      <c r="C1156" t="str">
        <f>MONTH(ТабПозиции[[#This Row],[date]])&amp;"/"&amp;YEAR(ТабПозиции[[#This Row],[date]])</f>
        <v>10/2024</v>
      </c>
      <c r="D1156" s="1" t="str">
        <f>IFERROR(VLOOKUP(ТабПозиции[[#This Row],[orderNum]],ТабЗаказы[#Data],MATCH(D$7,ТабЗаказы[#Headers],0),0),"")</f>
        <v>Александр 3 Металлургов</v>
      </c>
      <c r="E1156" s="32" t="s">
        <v>1753</v>
      </c>
      <c r="F1156" s="56" t="s">
        <v>3061</v>
      </c>
      <c r="H1156" s="34">
        <v>45600</v>
      </c>
      <c r="I1156" s="26">
        <v>1</v>
      </c>
      <c r="J1156" s="26">
        <v>2255</v>
      </c>
      <c r="K1156">
        <f>ТабПозиции[[#This Row],[discountPrice]]*ТабПозиции[[#This Row],[quantity]]</f>
        <v>2255</v>
      </c>
      <c r="L1156" s="26">
        <v>2421</v>
      </c>
      <c r="M1156">
        <f t="shared" si="21"/>
        <v>2421</v>
      </c>
      <c r="O115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Row],[orderNum]],ТабПозиции[orderSumm])&gt;1500),ABS(M1156*VLOOKUP(ТабПозиции[[#This Row],[orderNum]],ТабЗаказы[#Data],MATCH("Percent",ТабЗаказы[#Headers],0),0))/100,200/COUNTIF(ТабПозиции[orderNum],ТабПозиции[[#This Row],[orderNum]])),0),"")</f>
        <v>363</v>
      </c>
      <c r="P1156">
        <f>IF(OR(ТабПозиции[[#This Row],[item]]="По штрихкоду",ТабПозиции[[#This Row],[item]]="Посылка"),ТабПозиции[[#This Row],[deliverySumm]]+ТабПозиции[[#This Row],[deliveryPost]],SUM(M1156:O1156))</f>
        <v>2784</v>
      </c>
      <c r="Q1156" s="57">
        <v>2784</v>
      </c>
      <c r="R1156" s="62">
        <f>ТабПозиции[[#This Row],[totalSumm]]-ТабПозиции[[#This Row],[payment]]</f>
        <v>0</v>
      </c>
      <c r="S1156" s="34" t="s">
        <v>955</v>
      </c>
      <c r="T1156" s="56" t="s">
        <v>3061</v>
      </c>
      <c r="U1156" s="56" t="s">
        <v>3061</v>
      </c>
      <c r="V1156" s="56" t="s">
        <v>3061</v>
      </c>
      <c r="W1156" s="7"/>
      <c r="X1156"/>
    </row>
    <row r="1157" spans="1:24" x14ac:dyDescent="0.25">
      <c r="A1157" s="26">
        <v>314</v>
      </c>
      <c r="B1157" s="1">
        <f>IFERROR(VLOOKUP(ТабПозиции[[#This Row],[orderNum]],ТабЗаказы[#Data],MATCH(B$7,ТабЗаказы[#Headers],0),0),"")</f>
        <v>45594</v>
      </c>
      <c r="C1157" t="str">
        <f>MONTH(ТабПозиции[[#This Row],[date]])&amp;"/"&amp;YEAR(ТабПозиции[[#This Row],[date]])</f>
        <v>10/2024</v>
      </c>
      <c r="D1157" s="1" t="str">
        <f>IFERROR(VLOOKUP(ТабПозиции[[#This Row],[orderNum]],ТабЗаказы[#Data],MATCH(D$7,ТабЗаказы[#Headers],0),0),"")</f>
        <v>Светлана от Александра</v>
      </c>
      <c r="E1157" s="67" t="s">
        <v>1754</v>
      </c>
      <c r="F1157" s="56" t="s">
        <v>3061</v>
      </c>
      <c r="H1157" s="34">
        <v>45600</v>
      </c>
      <c r="I1157" s="26">
        <v>1</v>
      </c>
      <c r="J1157" s="26">
        <v>135</v>
      </c>
      <c r="K1157">
        <v>135</v>
      </c>
      <c r="L1157" s="26">
        <v>143</v>
      </c>
      <c r="M1157">
        <f t="shared" ref="M1157" si="22">L1157*I1157</f>
        <v>143</v>
      </c>
      <c r="O115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Row],[orderNum]],ТабПозиции[orderSumm])&gt;1500),ABS(M1157*VLOOKUP(ТабПозиции[[#This Row],[orderNum]],ТабЗаказы[#Data],MATCH("Percent",ТабЗаказы[#Headers],0),0))/100,200/COUNTIF(ТабПозиции[orderNum],ТабПозиции[[#This Row],[orderNum]])),0),"")</f>
        <v>21</v>
      </c>
      <c r="P1157">
        <f>IF(OR(ТабПозиции[[#This Row],[item]]="По штрихкоду",ТабПозиции[[#This Row],[item]]="Посылка"),ТабПозиции[[#This Row],[deliverySumm]]+ТабПозиции[[#This Row],[deliveryPost]],SUM(M1157:O1157))</f>
        <v>164</v>
      </c>
      <c r="Q1157" s="57">
        <v>164</v>
      </c>
      <c r="R1157" s="62">
        <f>ТабПозиции[[#This Row],[totalSumm]]-ТабПозиции[[#This Row],[payment]]</f>
        <v>0</v>
      </c>
      <c r="S1157" s="34" t="s">
        <v>965</v>
      </c>
      <c r="T1157" s="56" t="s">
        <v>3061</v>
      </c>
      <c r="U1157" s="56" t="s">
        <v>3061</v>
      </c>
      <c r="V1157" s="56" t="s">
        <v>3061</v>
      </c>
      <c r="W1157" s="7"/>
      <c r="X1157"/>
    </row>
    <row r="1158" spans="1:24" x14ac:dyDescent="0.25">
      <c r="A1158" s="26">
        <v>314</v>
      </c>
      <c r="B1158" s="1">
        <f>IFERROR(VLOOKUP(ТабПозиции[[#This Row],[orderNum]],ТабЗаказы[#Data],MATCH(B$7,ТабЗаказы[#Headers],0),0),"")</f>
        <v>45594</v>
      </c>
      <c r="C1158" t="str">
        <f>MONTH(ТабПозиции[[#This Row],[date]])&amp;"/"&amp;YEAR(ТабПозиции[[#This Row],[date]])</f>
        <v>10/2024</v>
      </c>
      <c r="D1158" s="1" t="str">
        <f>IFERROR(VLOOKUP(ТабПозиции[[#This Row],[orderNum]],ТабЗаказы[#Data],MATCH(D$7,ТабЗаказы[#Headers],0),0),"")</f>
        <v>Светлана от Александра</v>
      </c>
      <c r="E1158" s="67" t="s">
        <v>1754</v>
      </c>
      <c r="F1158" s="56" t="s">
        <v>3061</v>
      </c>
      <c r="H1158" s="34">
        <v>45600</v>
      </c>
      <c r="I1158" s="26">
        <v>1</v>
      </c>
      <c r="J1158" s="26">
        <v>135</v>
      </c>
      <c r="K1158">
        <f>ТабПозиции[[#This Row],[discountPrice]]*ТабПозиции[[#This Row],[quantity]]</f>
        <v>135</v>
      </c>
      <c r="L1158" s="26">
        <v>143</v>
      </c>
      <c r="M1158">
        <f t="shared" si="21"/>
        <v>143</v>
      </c>
      <c r="O115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Row],[orderNum]],ТабПозиции[orderSumm])&gt;1500),ABS(M1158*VLOOKUP(ТабПозиции[[#This Row],[orderNum]],ТабЗаказы[#Data],MATCH("Percent",ТабЗаказы[#Headers],0),0))/100,200/COUNTIF(ТабПозиции[orderNum],ТабПозиции[[#This Row],[orderNum]])),0),"")</f>
        <v>21</v>
      </c>
      <c r="P1158">
        <f>IF(OR(ТабПозиции[[#This Row],[item]]="По штрихкоду",ТабПозиции[[#This Row],[item]]="Посылка"),ТабПозиции[[#This Row],[deliverySumm]]+ТабПозиции[[#This Row],[deliveryPost]],SUM(M1158:O1158))</f>
        <v>164</v>
      </c>
      <c r="Q1158" s="57">
        <v>164</v>
      </c>
      <c r="R1158" s="62">
        <f>ТабПозиции[[#This Row],[totalSumm]]-ТабПозиции[[#This Row],[payment]]</f>
        <v>0</v>
      </c>
      <c r="S1158" s="34" t="s">
        <v>965</v>
      </c>
      <c r="T1158" s="56" t="s">
        <v>3061</v>
      </c>
      <c r="U1158" s="56" t="s">
        <v>3061</v>
      </c>
      <c r="V1158" s="56" t="s">
        <v>3061</v>
      </c>
      <c r="W1158" s="7"/>
      <c r="X1158"/>
    </row>
    <row r="1159" spans="1:24" x14ac:dyDescent="0.25">
      <c r="A1159" s="26">
        <v>314</v>
      </c>
      <c r="B1159" s="1">
        <f>IFERROR(VLOOKUP(ТабПозиции[[#This Row],[orderNum]],ТабЗаказы[#Data],MATCH(B$7,ТабЗаказы[#Headers],0),0),"")</f>
        <v>45594</v>
      </c>
      <c r="C1159" t="str">
        <f>MONTH(ТабПозиции[[#This Row],[date]])&amp;"/"&amp;YEAR(ТабПозиции[[#This Row],[date]])</f>
        <v>10/2024</v>
      </c>
      <c r="D1159" s="1" t="str">
        <f>IFERROR(VLOOKUP(ТабПозиции[[#This Row],[orderNum]],ТабЗаказы[#Data],MATCH(D$7,ТабЗаказы[#Headers],0),0),"")</f>
        <v>Светлана от Александра</v>
      </c>
      <c r="E1159" s="32" t="s">
        <v>1755</v>
      </c>
      <c r="F1159" s="56" t="s">
        <v>3061</v>
      </c>
      <c r="H1159" s="34">
        <v>45598</v>
      </c>
      <c r="I1159" s="26">
        <v>1</v>
      </c>
      <c r="J1159" s="26">
        <v>262</v>
      </c>
      <c r="K1159">
        <v>262</v>
      </c>
      <c r="L1159" s="26">
        <v>276</v>
      </c>
      <c r="M1159">
        <f t="shared" si="21"/>
        <v>276</v>
      </c>
      <c r="O115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Row],[orderNum]],ТабПозиции[orderSumm])&gt;1500),ABS(M1159*VLOOKUP(ТабПозиции[[#This Row],[orderNum]],ТабЗаказы[#Data],MATCH("Percent",ТабЗаказы[#Headers],0),0))/100,200/COUNTIF(ТабПозиции[orderNum],ТабПозиции[[#This Row],[orderNum]])),0),"")</f>
        <v>41</v>
      </c>
      <c r="P1159">
        <f>IF(OR(ТабПозиции[[#This Row],[item]]="По штрихкоду",ТабПозиции[[#This Row],[item]]="Посылка"),ТабПозиции[[#This Row],[deliverySumm]]+ТабПозиции[[#This Row],[deliveryPost]],SUM(M1159:O1159))</f>
        <v>317</v>
      </c>
      <c r="Q1159" s="57">
        <v>317</v>
      </c>
      <c r="R1159" s="62">
        <f>ТабПозиции[[#This Row],[totalSumm]]-ТабПозиции[[#This Row],[payment]]</f>
        <v>0</v>
      </c>
      <c r="S1159" s="34" t="s">
        <v>965</v>
      </c>
      <c r="T1159" s="56" t="s">
        <v>3061</v>
      </c>
      <c r="U1159" s="56" t="s">
        <v>3061</v>
      </c>
      <c r="V1159" s="56" t="s">
        <v>3061</v>
      </c>
      <c r="W1159" s="7"/>
      <c r="X1159"/>
    </row>
    <row r="1160" spans="1:24" x14ac:dyDescent="0.25">
      <c r="A1160" s="26">
        <v>314</v>
      </c>
      <c r="B1160" s="1">
        <f>IFERROR(VLOOKUP(ТабПозиции[[#This Row],[orderNum]],ТабЗаказы[#Data],MATCH(B$7,ТабЗаказы[#Headers],0),0),"")</f>
        <v>45594</v>
      </c>
      <c r="C1160" t="str">
        <f>MONTH(ТабПозиции[[#This Row],[date]])&amp;"/"&amp;YEAR(ТабПозиции[[#This Row],[date]])</f>
        <v>10/2024</v>
      </c>
      <c r="D1160" s="1" t="str">
        <f>IFERROR(VLOOKUP(ТабПозиции[[#This Row],[orderNum]],ТабЗаказы[#Data],MATCH(D$7,ТабЗаказы[#Headers],0),0),"")</f>
        <v>Светлана от Александра</v>
      </c>
      <c r="E1160" s="32" t="s">
        <v>1452</v>
      </c>
      <c r="F1160" s="56" t="s">
        <v>3061</v>
      </c>
      <c r="H1160" s="34">
        <v>45596</v>
      </c>
      <c r="I1160" s="26">
        <v>1</v>
      </c>
      <c r="J1160" s="26">
        <v>1167</v>
      </c>
      <c r="K1160">
        <v>1167</v>
      </c>
      <c r="L1160" s="26">
        <v>1229</v>
      </c>
      <c r="M1160">
        <f t="shared" si="21"/>
        <v>1229</v>
      </c>
      <c r="O116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Row],[orderNum]],ТабПозиции[orderSumm])&gt;1500),ABS(M1160*VLOOKUP(ТабПозиции[[#This Row],[orderNum]],ТабЗаказы[#Data],MATCH("Percent",ТабЗаказы[#Headers],0),0))/100,200/COUNTIF(ТабПозиции[orderNum],ТабПозиции[[#This Row],[orderNum]])),0),"")</f>
        <v>184</v>
      </c>
      <c r="P1160">
        <f>IF(OR(ТабПозиции[[#This Row],[item]]="По штрихкоду",ТабПозиции[[#This Row],[item]]="Посылка"),ТабПозиции[[#This Row],[deliverySumm]]+ТабПозиции[[#This Row],[deliveryPost]],SUM(M1160:O1160))</f>
        <v>1413</v>
      </c>
      <c r="Q1160" s="57">
        <v>1413</v>
      </c>
      <c r="R1160" s="62">
        <f>ТабПозиции[[#This Row],[totalSumm]]-ТабПозиции[[#This Row],[payment]]</f>
        <v>0</v>
      </c>
      <c r="S1160" s="34" t="s">
        <v>965</v>
      </c>
      <c r="T1160" s="56" t="s">
        <v>3061</v>
      </c>
      <c r="U1160" s="56" t="s">
        <v>3061</v>
      </c>
      <c r="V1160" s="56" t="s">
        <v>3061</v>
      </c>
      <c r="W1160" s="7"/>
      <c r="X1160"/>
    </row>
    <row r="1161" spans="1:24" x14ac:dyDescent="0.25">
      <c r="A1161" s="26">
        <v>315</v>
      </c>
      <c r="B1161" s="1">
        <f>IFERROR(VLOOKUP(ТабПозиции[[#This Row],[orderNum]],ТабЗаказы[#Data],MATCH(B$7,ТабЗаказы[#Headers],0),0),"")</f>
        <v>45594</v>
      </c>
      <c r="C1161" t="str">
        <f>MONTH(ТабПозиции[[#This Row],[date]])&amp;"/"&amp;YEAR(ТабПозиции[[#This Row],[date]])</f>
        <v>10/2024</v>
      </c>
      <c r="D1161" s="1" t="str">
        <f>IFERROR(VLOOKUP(ТабПозиции[[#This Row],[orderNum]],ТабЗаказы[#Data],MATCH(D$7,ТабЗаказы[#Headers],0),0),"")</f>
        <v>Кирилл Куприна</v>
      </c>
      <c r="E1161" s="32" t="s">
        <v>1756</v>
      </c>
      <c r="F1161" s="56" t="s">
        <v>3061</v>
      </c>
      <c r="H1161" s="34">
        <v>45596</v>
      </c>
      <c r="I1161" s="26">
        <v>1</v>
      </c>
      <c r="J1161" s="26">
        <v>1125</v>
      </c>
      <c r="K1161">
        <v>1125</v>
      </c>
      <c r="L1161" s="26">
        <v>1185</v>
      </c>
      <c r="M1161">
        <f t="shared" si="21"/>
        <v>1185</v>
      </c>
      <c r="O116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Row],[orderNum]],ТабПозиции[orderSumm])&gt;1500),ABS(M1161*VLOOKUP(ТабПозиции[[#This Row],[orderNum]],ТабЗаказы[#Data],MATCH("Percent",ТабЗаказы[#Headers],0),0))/100,200/COUNTIF(ТабПозиции[orderNum],ТабПозиции[[#This Row],[orderNum]])),0),"")</f>
        <v>178</v>
      </c>
      <c r="P1161">
        <f>IF(OR(ТабПозиции[[#This Row],[item]]="По штрихкоду",ТабПозиции[[#This Row],[item]]="Посылка"),ТабПозиции[[#This Row],[deliverySumm]]+ТабПозиции[[#This Row],[deliveryPost]],SUM(M1161:O1161))</f>
        <v>1363</v>
      </c>
      <c r="Q1161" s="57">
        <v>1363</v>
      </c>
      <c r="R1161" s="62">
        <f>ТабПозиции[[#This Row],[totalSumm]]-ТабПозиции[[#This Row],[payment]]</f>
        <v>0</v>
      </c>
      <c r="S1161" s="34" t="s">
        <v>965</v>
      </c>
      <c r="T1161" s="56" t="s">
        <v>3061</v>
      </c>
      <c r="U1161" s="56" t="s">
        <v>3061</v>
      </c>
      <c r="V1161" s="56" t="s">
        <v>3061</v>
      </c>
      <c r="W1161" s="7"/>
      <c r="X1161"/>
    </row>
    <row r="1162" spans="1:24" x14ac:dyDescent="0.25">
      <c r="A1162" s="26">
        <v>315</v>
      </c>
      <c r="B1162" s="1">
        <f>IFERROR(VLOOKUP(ТабПозиции[[#This Row],[orderNum]],ТабЗаказы[#Data],MATCH(B$7,ТабЗаказы[#Headers],0),0),"")</f>
        <v>45594</v>
      </c>
      <c r="C1162" t="str">
        <f>MONTH(ТабПозиции[[#This Row],[date]])&amp;"/"&amp;YEAR(ТабПозиции[[#This Row],[date]])</f>
        <v>10/2024</v>
      </c>
      <c r="D1162" s="1" t="str">
        <f>IFERROR(VLOOKUP(ТабПозиции[[#This Row],[orderNum]],ТабЗаказы[#Data],MATCH(D$7,ТабЗаказы[#Headers],0),0),"")</f>
        <v>Кирилл Куприна</v>
      </c>
      <c r="E1162" s="32" t="s">
        <v>1519</v>
      </c>
      <c r="F1162" s="56" t="s">
        <v>3061</v>
      </c>
      <c r="H1162" s="34">
        <v>45596</v>
      </c>
      <c r="I1162" s="26">
        <v>1</v>
      </c>
      <c r="J1162" s="26">
        <v>1044</v>
      </c>
      <c r="K1162">
        <v>1044</v>
      </c>
      <c r="L1162" s="26">
        <v>1099</v>
      </c>
      <c r="M1162">
        <f t="shared" si="21"/>
        <v>1099</v>
      </c>
      <c r="O116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Row],[orderNum]],ТабПозиции[orderSumm])&gt;1500),ABS(M1162*VLOOKUP(ТабПозиции[[#This Row],[orderNum]],ТабЗаказы[#Data],MATCH("Percent",ТабЗаказы[#Headers],0),0))/100,200/COUNTIF(ТабПозиции[orderNum],ТабПозиции[[#This Row],[orderNum]])),0),"")</f>
        <v>165</v>
      </c>
      <c r="P1162">
        <f>IF(OR(ТабПозиции[[#This Row],[item]]="По штрихкоду",ТабПозиции[[#This Row],[item]]="Посылка"),ТабПозиции[[#This Row],[deliverySumm]]+ТабПозиции[[#This Row],[deliveryPost]],SUM(M1162:O1162))</f>
        <v>1264</v>
      </c>
      <c r="Q1162" s="57">
        <v>1264</v>
      </c>
      <c r="R1162" s="62">
        <f>ТабПозиции[[#This Row],[totalSumm]]-ТабПозиции[[#This Row],[payment]]</f>
        <v>0</v>
      </c>
      <c r="S1162" s="34" t="s">
        <v>965</v>
      </c>
      <c r="T1162" s="56" t="s">
        <v>3061</v>
      </c>
      <c r="U1162" s="56" t="s">
        <v>3061</v>
      </c>
      <c r="V1162" s="56" t="s">
        <v>3061</v>
      </c>
      <c r="W1162" s="7"/>
      <c r="X1162"/>
    </row>
    <row r="1163" spans="1:24" x14ac:dyDescent="0.25">
      <c r="A1163" s="26">
        <v>315</v>
      </c>
      <c r="B1163" s="1">
        <f>IFERROR(VLOOKUP(ТабПозиции[[#This Row],[orderNum]],ТабЗаказы[#Data],MATCH(B$7,ТабЗаказы[#Headers],0),0),"")</f>
        <v>45594</v>
      </c>
      <c r="C1163" t="str">
        <f>MONTH(ТабПозиции[[#This Row],[date]])&amp;"/"&amp;YEAR(ТабПозиции[[#This Row],[date]])</f>
        <v>10/2024</v>
      </c>
      <c r="D1163" s="1" t="str">
        <f>IFERROR(VLOOKUP(ТабПозиции[[#This Row],[orderNum]],ТабЗаказы[#Data],MATCH(D$7,ТабЗаказы[#Headers],0),0),"")</f>
        <v>Кирилл Куприна</v>
      </c>
      <c r="E1163" s="32" t="s">
        <v>1757</v>
      </c>
      <c r="F1163" s="56" t="s">
        <v>3061</v>
      </c>
      <c r="H1163" s="34">
        <v>45596</v>
      </c>
      <c r="I1163" s="26">
        <v>1</v>
      </c>
      <c r="J1163" s="26">
        <v>766</v>
      </c>
      <c r="K1163">
        <v>766</v>
      </c>
      <c r="L1163" s="26">
        <v>807</v>
      </c>
      <c r="M1163">
        <f t="shared" si="21"/>
        <v>807</v>
      </c>
      <c r="O116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Row],[orderNum]],ТабПозиции[orderSumm])&gt;1500),ABS(M1163*VLOOKUP(ТабПозиции[[#This Row],[orderNum]],ТабЗаказы[#Data],MATCH("Percent",ТабЗаказы[#Headers],0),0))/100,200/COUNTIF(ТабПозиции[orderNum],ТабПозиции[[#This Row],[orderNum]])),0),"")</f>
        <v>121</v>
      </c>
      <c r="P1163">
        <f>IF(OR(ТабПозиции[[#This Row],[item]]="По штрихкоду",ТабПозиции[[#This Row],[item]]="Посылка"),ТабПозиции[[#This Row],[deliverySumm]]+ТабПозиции[[#This Row],[deliveryPost]],SUM(M1163:O1163))</f>
        <v>928</v>
      </c>
      <c r="Q1163" s="57">
        <v>928</v>
      </c>
      <c r="R1163" s="62">
        <f>ТабПозиции[[#This Row],[totalSumm]]-ТабПозиции[[#This Row],[payment]]</f>
        <v>0</v>
      </c>
      <c r="S1163" s="34" t="s">
        <v>965</v>
      </c>
      <c r="T1163" s="56" t="s">
        <v>3061</v>
      </c>
      <c r="U1163" s="56" t="s">
        <v>3061</v>
      </c>
      <c r="V1163" s="56" t="s">
        <v>3061</v>
      </c>
      <c r="W1163" s="7"/>
      <c r="X1163"/>
    </row>
    <row r="1164" spans="1:24" x14ac:dyDescent="0.25">
      <c r="A1164" s="26">
        <v>316</v>
      </c>
      <c r="B1164" s="1">
        <f>IFERROR(VLOOKUP(ТабПозиции[[#This Row],[orderNum]],ТабЗаказы[#Data],MATCH(B$7,ТабЗаказы[#Headers],0),0),"")</f>
        <v>45595</v>
      </c>
      <c r="C1164" t="str">
        <f>MONTH(ТабПозиции[[#This Row],[date]])&amp;"/"&amp;YEAR(ТабПозиции[[#This Row],[date]])</f>
        <v>10/2024</v>
      </c>
      <c r="D1164" s="1" t="str">
        <f>IFERROR(VLOOKUP(ТабПозиции[[#This Row],[orderNum]],ТабЗаказы[#Data],MATCH(D$7,ТабЗаказы[#Headers],0),0),"")</f>
        <v>Александр Каскад</v>
      </c>
      <c r="E1164" s="32" t="s">
        <v>1758</v>
      </c>
      <c r="F1164" s="56" t="s">
        <v>3061</v>
      </c>
      <c r="H1164" s="34">
        <v>45599</v>
      </c>
      <c r="I1164" s="26">
        <v>4</v>
      </c>
      <c r="J1164" s="26">
        <v>532</v>
      </c>
      <c r="K1164">
        <f>ТабПозиции[[#This Row],[discountPrice]]*ТабПозиции[[#This Row],[quantity]]</f>
        <v>2128</v>
      </c>
      <c r="L1164" s="26">
        <v>579</v>
      </c>
      <c r="M1164">
        <f t="shared" si="21"/>
        <v>2316</v>
      </c>
      <c r="O116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Row],[orderNum]],ТабПозиции[orderSumm])&gt;1500),ABS(M1164*VLOOKUP(ТабПозиции[[#This Row],[orderNum]],ТабЗаказы[#Data],MATCH("Percent",ТабЗаказы[#Headers],0),0))/100,200/COUNTIF(ТабПозиции[orderNum],ТабПозиции[[#This Row],[orderNum]])),0),"")</f>
        <v>347</v>
      </c>
      <c r="P1164">
        <f>IF(OR(ТабПозиции[[#This Row],[item]]="По штрихкоду",ТабПозиции[[#This Row],[item]]="Посылка"),ТабПозиции[[#This Row],[deliverySumm]]+ТабПозиции[[#This Row],[deliveryPost]],SUM(M1164:O1164))</f>
        <v>2663</v>
      </c>
      <c r="Q1164" s="57">
        <v>2663</v>
      </c>
      <c r="R1164" s="62">
        <f>ТабПозиции[[#This Row],[totalSumm]]-ТабПозиции[[#This Row],[payment]]</f>
        <v>0</v>
      </c>
      <c r="S1164" s="34" t="s">
        <v>955</v>
      </c>
      <c r="T1164" s="56" t="s">
        <v>3061</v>
      </c>
      <c r="U1164" s="56" t="s">
        <v>3061</v>
      </c>
      <c r="V1164" s="56" t="s">
        <v>3061</v>
      </c>
      <c r="W1164" s="7"/>
      <c r="X1164"/>
    </row>
    <row r="1165" spans="1:24" x14ac:dyDescent="0.25">
      <c r="A1165" s="26">
        <v>317</v>
      </c>
      <c r="B1165" s="1">
        <f>IFERROR(VLOOKUP(ТабПозиции[[#This Row],[orderNum]],ТабЗаказы[#Data],MATCH(B$7,ТабЗаказы[#Headers],0),0),"")</f>
        <v>45596</v>
      </c>
      <c r="C1165" t="str">
        <f>MONTH(ТабПозиции[[#This Row],[date]])&amp;"/"&amp;YEAR(ТабПозиции[[#This Row],[date]])</f>
        <v>10/2024</v>
      </c>
      <c r="D1165" s="1" t="str">
        <f>IFERROR(VLOOKUP(ТабПозиции[[#This Row],[orderNum]],ТабЗаказы[#Data],MATCH(D$7,ТабЗаказы[#Headers],0),0),"")</f>
        <v>Светлана от Александра</v>
      </c>
      <c r="E1165" s="32" t="s">
        <v>1759</v>
      </c>
      <c r="F1165" s="56" t="s">
        <v>3061</v>
      </c>
      <c r="H1165" s="34">
        <v>45601</v>
      </c>
      <c r="I1165" s="26">
        <v>1</v>
      </c>
      <c r="J1165" s="26">
        <v>332</v>
      </c>
      <c r="K1165">
        <f>ТабПозиции[[#This Row],[discountPrice]]*ТабПозиции[[#This Row],[quantity]]</f>
        <v>332</v>
      </c>
      <c r="L1165" s="26">
        <v>350</v>
      </c>
      <c r="M1165">
        <f t="shared" si="21"/>
        <v>350</v>
      </c>
      <c r="O116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Row],[orderNum]],ТабПозиции[orderSumm])&gt;1500),ABS(M1165*VLOOKUP(ТабПозиции[[#This Row],[orderNum]],ТабЗаказы[#Data],MATCH("Percent",ТабЗаказы[#Headers],0),0))/100,200/COUNTIF(ТабПозиции[orderNum],ТабПозиции[[#This Row],[orderNum]])),0),"")</f>
        <v>53</v>
      </c>
      <c r="P1165">
        <f>IF(OR(ТабПозиции[[#This Row],[item]]="По штрихкоду",ТабПозиции[[#This Row],[item]]="Посылка"),ТабПозиции[[#This Row],[deliverySumm]]+ТабПозиции[[#This Row],[deliveryPost]],SUM(M1165:O1165))</f>
        <v>403</v>
      </c>
      <c r="Q1165" s="57">
        <v>403</v>
      </c>
      <c r="R1165" s="62">
        <f>ТабПозиции[[#This Row],[totalSumm]]-ТабПозиции[[#This Row],[payment]]</f>
        <v>0</v>
      </c>
      <c r="S1165" s="34" t="s">
        <v>965</v>
      </c>
      <c r="T1165" s="56" t="s">
        <v>3061</v>
      </c>
      <c r="U1165" s="56" t="s">
        <v>3061</v>
      </c>
      <c r="V1165" s="56" t="s">
        <v>3061</v>
      </c>
      <c r="W1165" s="7"/>
      <c r="X1165"/>
    </row>
    <row r="1166" spans="1:24" x14ac:dyDescent="0.25">
      <c r="A1166" s="26">
        <v>317</v>
      </c>
      <c r="B1166" s="1">
        <f>IFERROR(VLOOKUP(ТабПозиции[[#This Row],[orderNum]],ТабЗаказы[#Data],MATCH(B$7,ТабЗаказы[#Headers],0),0),"")</f>
        <v>45596</v>
      </c>
      <c r="C1166" t="str">
        <f>MONTH(ТабПозиции[[#This Row],[date]])&amp;"/"&amp;YEAR(ТабПозиции[[#This Row],[date]])</f>
        <v>10/2024</v>
      </c>
      <c r="D1166" s="1" t="str">
        <f>IFERROR(VLOOKUP(ТабПозиции[[#This Row],[orderNum]],ТабЗаказы[#Data],MATCH(D$7,ТабЗаказы[#Headers],0),0),"")</f>
        <v>Светлана от Александра</v>
      </c>
      <c r="E1166" s="32" t="s">
        <v>1760</v>
      </c>
      <c r="F1166" s="56" t="s">
        <v>3061</v>
      </c>
      <c r="H1166" s="34">
        <v>45598</v>
      </c>
      <c r="I1166" s="26">
        <v>1</v>
      </c>
      <c r="J1166" s="26">
        <v>759</v>
      </c>
      <c r="K1166">
        <v>759</v>
      </c>
      <c r="L1166" s="26">
        <v>799</v>
      </c>
      <c r="M1166">
        <f t="shared" si="21"/>
        <v>799</v>
      </c>
      <c r="O116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Row],[orderNum]],ТабПозиции[orderSumm])&gt;1500),ABS(M1166*VLOOKUP(ТабПозиции[[#This Row],[orderNum]],ТабЗаказы[#Data],MATCH("Percent",ТабЗаказы[#Headers],0),0))/100,200/COUNTIF(ТабПозиции[orderNum],ТабПозиции[[#This Row],[orderNum]])),0),"")</f>
        <v>120</v>
      </c>
      <c r="P1166">
        <f>IF(OR(ТабПозиции[[#This Row],[item]]="По штрихкоду",ТабПозиции[[#This Row],[item]]="Посылка"),ТабПозиции[[#This Row],[deliverySumm]]+ТабПозиции[[#This Row],[deliveryPost]],SUM(M1166:O1166))</f>
        <v>919</v>
      </c>
      <c r="Q1166" s="57">
        <v>919</v>
      </c>
      <c r="R1166" s="62">
        <f>ТабПозиции[[#This Row],[totalSumm]]-ТабПозиции[[#This Row],[payment]]</f>
        <v>0</v>
      </c>
      <c r="S1166" s="34" t="s">
        <v>965</v>
      </c>
      <c r="T1166" s="56" t="s">
        <v>3061</v>
      </c>
      <c r="U1166" s="56" t="s">
        <v>3061</v>
      </c>
      <c r="V1166" s="56" t="s">
        <v>3061</v>
      </c>
      <c r="W1166" s="7"/>
      <c r="X1166"/>
    </row>
    <row r="1167" spans="1:24" x14ac:dyDescent="0.25">
      <c r="A1167" s="26">
        <v>317</v>
      </c>
      <c r="B1167" s="1">
        <f>IFERROR(VLOOKUP(ТабПозиции[[#This Row],[orderNum]],ТабЗаказы[#Data],MATCH(B$7,ТабЗаказы[#Headers],0),0),"")</f>
        <v>45596</v>
      </c>
      <c r="C1167" t="str">
        <f>MONTH(ТабПозиции[[#This Row],[date]])&amp;"/"&amp;YEAR(ТабПозиции[[#This Row],[date]])</f>
        <v>10/2024</v>
      </c>
      <c r="D1167" s="1" t="str">
        <f>IFERROR(VLOOKUP(ТабПозиции[[#This Row],[orderNum]],ТабЗаказы[#Data],MATCH(D$7,ТабЗаказы[#Headers],0),0),"")</f>
        <v>Светлана от Александра</v>
      </c>
      <c r="E1167" s="32" t="s">
        <v>1761</v>
      </c>
      <c r="F1167" s="56" t="s">
        <v>3061</v>
      </c>
      <c r="H1167" s="34">
        <v>45603</v>
      </c>
      <c r="I1167" s="26">
        <v>1</v>
      </c>
      <c r="J1167" s="26">
        <v>367</v>
      </c>
      <c r="K1167">
        <f>ТабПозиции[[#This Row],[discountPrice]]*ТабПозиции[[#This Row],[quantity]]</f>
        <v>367</v>
      </c>
      <c r="L1167" s="26">
        <v>387</v>
      </c>
      <c r="M1167">
        <f t="shared" si="21"/>
        <v>387</v>
      </c>
      <c r="O116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Row],[orderNum]],ТабПозиции[orderSumm])&gt;1500),ABS(M1167*VLOOKUP(ТабПозиции[[#This Row],[orderNum]],ТабЗаказы[#Data],MATCH("Percent",ТабЗаказы[#Headers],0),0))/100,200/COUNTIF(ТабПозиции[orderNum],ТабПозиции[[#This Row],[orderNum]])),0),"")</f>
        <v>58</v>
      </c>
      <c r="P1167">
        <f>IF(OR(ТабПозиции[[#This Row],[item]]="По штрихкоду",ТабПозиции[[#This Row],[item]]="Посылка"),ТабПозиции[[#This Row],[deliverySumm]]+ТабПозиции[[#This Row],[deliveryPost]],SUM(M1167:O1167))</f>
        <v>445</v>
      </c>
      <c r="Q1167" s="57">
        <v>445</v>
      </c>
      <c r="R1167" s="62">
        <f>ТабПозиции[[#This Row],[totalSumm]]-ТабПозиции[[#This Row],[payment]]</f>
        <v>0</v>
      </c>
      <c r="S1167" s="34" t="s">
        <v>965</v>
      </c>
      <c r="T1167" s="56" t="s">
        <v>3061</v>
      </c>
      <c r="U1167" s="56" t="str">
        <f>IF(AND(ТабПозиции[[#This Row],[Остаток]]=0,ТабПозиции[[#This Row],[ord]]="true"),"true","false")</f>
        <v>true</v>
      </c>
      <c r="V1167" s="56" t="s">
        <v>3061</v>
      </c>
      <c r="W1167" s="7"/>
      <c r="X1167"/>
    </row>
    <row r="1168" spans="1:24" x14ac:dyDescent="0.25">
      <c r="A1168" s="26">
        <v>317</v>
      </c>
      <c r="B1168" s="1">
        <f>IFERROR(VLOOKUP(ТабПозиции[[#This Row],[orderNum]],ТабЗаказы[#Data],MATCH(B$7,ТабЗаказы[#Headers],0),0),"")</f>
        <v>45596</v>
      </c>
      <c r="C1168" t="str">
        <f>MONTH(ТабПозиции[[#This Row],[date]])&amp;"/"&amp;YEAR(ТабПозиции[[#This Row],[date]])</f>
        <v>10/2024</v>
      </c>
      <c r="D1168" s="1" t="str">
        <f>IFERROR(VLOOKUP(ТабПозиции[[#This Row],[orderNum]],ТабЗаказы[#Data],MATCH(D$7,ТабЗаказы[#Headers],0),0),"")</f>
        <v>Светлана от Александра</v>
      </c>
      <c r="E1168" s="32" t="s">
        <v>1762</v>
      </c>
      <c r="F1168" s="56" t="s">
        <v>3061</v>
      </c>
      <c r="H1168" s="34">
        <v>45598</v>
      </c>
      <c r="I1168" s="26">
        <v>1</v>
      </c>
      <c r="J1168" s="26">
        <v>356</v>
      </c>
      <c r="K1168">
        <f>ТабПозиции[[#This Row],[discountPrice]]*ТабПозиции[[#This Row],[quantity]]</f>
        <v>356</v>
      </c>
      <c r="L1168" s="26">
        <v>375</v>
      </c>
      <c r="M1168">
        <f t="shared" si="21"/>
        <v>375</v>
      </c>
      <c r="O116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Row],[orderNum]],ТабПозиции[orderSumm])&gt;1500),ABS(M1168*VLOOKUP(ТабПозиции[[#This Row],[orderNum]],ТабЗаказы[#Data],MATCH("Percent",ТабЗаказы[#Headers],0),0))/100,200/COUNTIF(ТабПозиции[orderNum],ТабПозиции[[#This Row],[orderNum]])),0),"")</f>
        <v>56</v>
      </c>
      <c r="P1168">
        <f>IF(OR(ТабПозиции[[#This Row],[item]]="По штрихкоду",ТабПозиции[[#This Row],[item]]="Посылка"),ТабПозиции[[#This Row],[deliverySumm]]+ТабПозиции[[#This Row],[deliveryPost]],SUM(M1168:O1168))</f>
        <v>431</v>
      </c>
      <c r="Q1168" s="57">
        <v>431</v>
      </c>
      <c r="R1168" s="62">
        <f>ТабПозиции[[#This Row],[totalSumm]]-ТабПозиции[[#This Row],[payment]]</f>
        <v>0</v>
      </c>
      <c r="S1168" s="34" t="s">
        <v>965</v>
      </c>
      <c r="T1168" s="56" t="s">
        <v>3061</v>
      </c>
      <c r="U1168" s="56" t="s">
        <v>3061</v>
      </c>
      <c r="V1168" s="56" t="s">
        <v>3061</v>
      </c>
      <c r="W1168" s="7"/>
      <c r="X1168"/>
    </row>
    <row r="1169" spans="1:24" x14ac:dyDescent="0.25">
      <c r="A1169" s="26">
        <v>317</v>
      </c>
      <c r="B1169" s="1">
        <f>IFERROR(VLOOKUP(ТабПозиции[[#This Row],[orderNum]],ТабЗаказы[#Data],MATCH(B$7,ТабЗаказы[#Headers],0),0),"")</f>
        <v>45596</v>
      </c>
      <c r="C1169" t="str">
        <f>MONTH(ТабПозиции[[#This Row],[date]])&amp;"/"&amp;YEAR(ТабПозиции[[#This Row],[date]])</f>
        <v>10/2024</v>
      </c>
      <c r="D1169" s="1" t="str">
        <f>IFERROR(VLOOKUP(ТабПозиции[[#This Row],[orderNum]],ТабЗаказы[#Data],MATCH(D$7,ТабЗаказы[#Headers],0),0),"")</f>
        <v>Светлана от Александра</v>
      </c>
      <c r="E1169" s="32" t="s">
        <v>844</v>
      </c>
      <c r="F1169" s="56" t="s">
        <v>3061</v>
      </c>
      <c r="H1169" s="34">
        <v>45598</v>
      </c>
      <c r="I1169" s="26">
        <v>2</v>
      </c>
      <c r="J1169" s="26">
        <v>414</v>
      </c>
      <c r="K1169">
        <f>ТабПозиции[[#This Row],[discountPrice]]*ТабПозиции[[#This Row],[quantity]]</f>
        <v>828</v>
      </c>
      <c r="L1169" s="26">
        <v>436</v>
      </c>
      <c r="M1169">
        <f t="shared" si="21"/>
        <v>872</v>
      </c>
      <c r="O116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Row],[orderNum]],ТабПозиции[orderSumm])&gt;1500),ABS(M1169*VLOOKUP(ТабПозиции[[#This Row],[orderNum]],ТабЗаказы[#Data],MATCH("Percent",ТабЗаказы[#Headers],0),0))/100,200/COUNTIF(ТабПозиции[orderNum],ТабПозиции[[#This Row],[orderNum]])),0),"")</f>
        <v>131</v>
      </c>
      <c r="P1169">
        <f>IF(OR(ТабПозиции[[#This Row],[item]]="По штрихкоду",ТабПозиции[[#This Row],[item]]="Посылка"),ТабПозиции[[#This Row],[deliverySumm]]+ТабПозиции[[#This Row],[deliveryPost]],SUM(M1169:O1169))</f>
        <v>1003</v>
      </c>
      <c r="Q1169" s="57">
        <v>1003</v>
      </c>
      <c r="R1169" s="62">
        <f>ТабПозиции[[#This Row],[totalSumm]]-ТабПозиции[[#This Row],[payment]]</f>
        <v>0</v>
      </c>
      <c r="S1169" s="34" t="s">
        <v>965</v>
      </c>
      <c r="T1169" s="56" t="s">
        <v>3061</v>
      </c>
      <c r="U1169" s="56" t="s">
        <v>3061</v>
      </c>
      <c r="V1169" s="56" t="s">
        <v>3061</v>
      </c>
      <c r="W1169" s="7"/>
      <c r="X1169"/>
    </row>
    <row r="1170" spans="1:24" x14ac:dyDescent="0.25">
      <c r="A1170" s="26">
        <v>316</v>
      </c>
      <c r="B1170" s="1">
        <f>IFERROR(VLOOKUP(ТабПозиции[[#This Row],[orderNum]],ТабЗаказы[#Data],MATCH(B$7,ТабЗаказы[#Headers],0),0),"")</f>
        <v>45595</v>
      </c>
      <c r="C1170" t="str">
        <f>MONTH(ТабПозиции[[#This Row],[date]])&amp;"/"&amp;YEAR(ТабПозиции[[#This Row],[date]])</f>
        <v>10/2024</v>
      </c>
      <c r="D1170" s="1" t="str">
        <f>IFERROR(VLOOKUP(ТабПозиции[[#This Row],[orderNum]],ТабЗаказы[#Data],MATCH(D$7,ТабЗаказы[#Headers],0),0),"")</f>
        <v>Александр Каскад</v>
      </c>
      <c r="E1170" s="32" t="s">
        <v>1763</v>
      </c>
      <c r="F1170" s="56" t="s">
        <v>3061</v>
      </c>
      <c r="G1170" s="28" t="s">
        <v>1796</v>
      </c>
      <c r="H1170" s="34">
        <v>45604</v>
      </c>
      <c r="I1170" s="26">
        <v>1</v>
      </c>
      <c r="J1170" s="26">
        <v>500</v>
      </c>
      <c r="K1170">
        <f>ТабПозиции[[#This Row],[discountPrice]]*ТабПозиции[[#This Row],[quantity]]</f>
        <v>500</v>
      </c>
      <c r="L1170" s="26">
        <v>500</v>
      </c>
      <c r="M1170">
        <f t="shared" si="21"/>
        <v>500</v>
      </c>
      <c r="N1170" s="72"/>
      <c r="O117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Row],[orderNum]],ТабПозиции[orderSumm])&gt;1500),ABS(M1170*VLOOKUP(ТабПозиции[[#This Row],[orderNum]],ТабЗаказы[#Data],MATCH("Percent",ТабЗаказы[#Headers],0),0))/100,200/COUNTIF(ТабПозиции[orderNum],ТабПозиции[[#This Row],[orderNum]])),0),"")</f>
        <v>75</v>
      </c>
      <c r="P1170">
        <f>IF(OR(ТабПозиции[[#This Row],[item]]="По штрихкоду",ТабПозиции[[#This Row],[item]]="Посылка"),ТабПозиции[[#This Row],[deliverySumm]]+ТабПозиции[[#This Row],[deliveryPost]],SUM(M1170:O1170))</f>
        <v>575</v>
      </c>
      <c r="Q1170" s="57">
        <v>575</v>
      </c>
      <c r="R1170" s="62">
        <f>ТабПозиции[[#This Row],[totalSumm]]-ТабПозиции[[#This Row],[payment]]</f>
        <v>0</v>
      </c>
      <c r="S1170" s="34" t="s">
        <v>1062</v>
      </c>
      <c r="T1170" s="56" t="s">
        <v>3061</v>
      </c>
      <c r="U1170" s="56" t="s">
        <v>3061</v>
      </c>
      <c r="V1170" s="56" t="s">
        <v>3061</v>
      </c>
      <c r="W1170" s="7"/>
      <c r="X1170"/>
    </row>
    <row r="1171" spans="1:24" x14ac:dyDescent="0.25">
      <c r="A1171" s="26">
        <v>316</v>
      </c>
      <c r="B1171" s="1">
        <f>IFERROR(VLOOKUP(ТабПозиции[[#This Row],[orderNum]],ТабЗаказы[#Data],MATCH(B$7,ТабЗаказы[#Headers],0),0),"")</f>
        <v>45595</v>
      </c>
      <c r="C1171" t="str">
        <f>MONTH(ТабПозиции[[#This Row],[date]])&amp;"/"&amp;YEAR(ТабПозиции[[#This Row],[date]])</f>
        <v>10/2024</v>
      </c>
      <c r="D1171" s="1" t="str">
        <f>IFERROR(VLOOKUP(ТабПозиции[[#This Row],[orderNum]],ТабЗаказы[#Data],MATCH(D$7,ТабЗаказы[#Headers],0),0),"")</f>
        <v>Александр Каскад</v>
      </c>
      <c r="E1171" s="26" t="s">
        <v>1764</v>
      </c>
      <c r="F1171" s="56" t="s">
        <v>3061</v>
      </c>
      <c r="G1171" s="28" t="s">
        <v>1781</v>
      </c>
      <c r="H1171" s="34">
        <v>45599</v>
      </c>
      <c r="I1171" s="26">
        <v>1</v>
      </c>
      <c r="J1171" s="26">
        <v>800</v>
      </c>
      <c r="K1171">
        <f>ТабПозиции[[#This Row],[discountPrice]]*ТабПозиции[[#This Row],[quantity]]</f>
        <v>800</v>
      </c>
      <c r="L1171" s="26">
        <v>800</v>
      </c>
      <c r="M1171">
        <f t="shared" si="21"/>
        <v>800</v>
      </c>
      <c r="N1171" s="26">
        <v>650</v>
      </c>
      <c r="O117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Row],[orderNum]],ТабПозиции[orderSumm])&gt;1500),ABS(M1171*VLOOKUP(ТабПозиции[[#This Row],[orderNum]],ТабЗаказы[#Data],MATCH("Percent",ТабЗаказы[#Headers],0),0))/100,200/COUNTIF(ТабПозиции[orderNum],ТабПозиции[[#This Row],[orderNum]])),0),"")</f>
        <v>120</v>
      </c>
      <c r="P1171">
        <f>IF(OR(ТабПозиции[[#This Row],[item]]="По штрихкоду",ТабПозиции[[#This Row],[item]]="Посылка"),ТабПозиции[[#This Row],[deliverySumm]]+ТабПозиции[[#This Row],[deliveryPost]],SUM(M1171:O1171))</f>
        <v>1570</v>
      </c>
      <c r="Q1171" s="57">
        <v>1570</v>
      </c>
      <c r="R1171" s="62">
        <f>ТабПозиции[[#This Row],[totalSumm]]-ТабПозиции[[#This Row],[payment]]</f>
        <v>0</v>
      </c>
      <c r="S1171" s="34" t="s">
        <v>1016</v>
      </c>
      <c r="T1171" s="56" t="s">
        <v>3061</v>
      </c>
      <c r="U1171" s="56" t="s">
        <v>3061</v>
      </c>
      <c r="V1171" s="56" t="s">
        <v>3061</v>
      </c>
      <c r="W1171" s="7"/>
      <c r="X1171"/>
    </row>
    <row r="1172" spans="1:24" x14ac:dyDescent="0.25">
      <c r="A1172" s="26">
        <v>318</v>
      </c>
      <c r="B1172" s="1">
        <f>IFERROR(VLOOKUP(ТабПозиции[[#This Row],[orderNum]],ТабЗаказы[#Data],MATCH(B$7,ТабЗаказы[#Headers],0),0),"")</f>
        <v>45596</v>
      </c>
      <c r="C1172" t="str">
        <f>MONTH(ТабПозиции[[#This Row],[date]])&amp;"/"&amp;YEAR(ТабПозиции[[#This Row],[date]])</f>
        <v>10/2024</v>
      </c>
      <c r="D1172" s="1" t="str">
        <f>IFERROR(VLOOKUP(ТабПозиции[[#This Row],[orderNum]],ТабЗаказы[#Data],MATCH(D$7,ТабЗаказы[#Headers],0),0),"")</f>
        <v>Лариса Кирова</v>
      </c>
      <c r="E1172" s="32" t="s">
        <v>1767</v>
      </c>
      <c r="F1172" s="56" t="s">
        <v>3061</v>
      </c>
      <c r="H1172" s="34">
        <v>45597</v>
      </c>
      <c r="I1172" s="26">
        <v>1</v>
      </c>
      <c r="J1172" s="26">
        <v>91</v>
      </c>
      <c r="K1172">
        <f>ТабПозиции[[#This Row],[discountPrice]]*ТабПозиции[[#This Row],[quantity]]</f>
        <v>91</v>
      </c>
      <c r="L1172" s="26">
        <v>95</v>
      </c>
      <c r="M1172">
        <f t="shared" si="21"/>
        <v>95</v>
      </c>
      <c r="O117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Row],[orderNum]],ТабПозиции[orderSumm])&gt;1500),ABS(M1172*VLOOKUP(ТабПозиции[[#This Row],[orderNum]],ТабЗаказы[#Data],MATCH("Percent",ТабЗаказы[#Headers],0),0))/100,200/COUNTIF(ТабПозиции[orderNum],ТабПозиции[[#This Row],[orderNum]])),0),"")</f>
        <v>14</v>
      </c>
      <c r="P1172">
        <f>IF(OR(ТабПозиции[[#This Row],[item]]="По штрихкоду",ТабПозиции[[#This Row],[item]]="Посылка"),ТабПозиции[[#This Row],[deliverySumm]]+ТабПозиции[[#This Row],[deliveryPost]],SUM(M1172:O1172))</f>
        <v>109</v>
      </c>
      <c r="Q1172" s="57">
        <v>109</v>
      </c>
      <c r="R1172" s="62">
        <f>ТабПозиции[[#This Row],[totalSumm]]-ТабПозиции[[#This Row],[payment]]</f>
        <v>0</v>
      </c>
      <c r="S1172" s="34" t="s">
        <v>955</v>
      </c>
      <c r="T1172" s="56" t="s">
        <v>3061</v>
      </c>
      <c r="U1172" s="56" t="s">
        <v>3061</v>
      </c>
      <c r="V1172" s="56" t="s">
        <v>3061</v>
      </c>
      <c r="W1172" s="7"/>
      <c r="X1172"/>
    </row>
    <row r="1173" spans="1:24" x14ac:dyDescent="0.25">
      <c r="A1173" s="26">
        <v>318</v>
      </c>
      <c r="B1173" s="1">
        <f>IFERROR(VLOOKUP(ТабПозиции[[#This Row],[orderNum]],ТабЗаказы[#Data],MATCH(B$7,ТабЗаказы[#Headers],0),0),"")</f>
        <v>45596</v>
      </c>
      <c r="C1173" t="str">
        <f>MONTH(ТабПозиции[[#This Row],[date]])&amp;"/"&amp;YEAR(ТабПозиции[[#This Row],[date]])</f>
        <v>10/2024</v>
      </c>
      <c r="D1173" s="1" t="str">
        <f>IFERROR(VLOOKUP(ТабПозиции[[#This Row],[orderNum]],ТабЗаказы[#Data],MATCH(D$7,ТабЗаказы[#Headers],0),0),"")</f>
        <v>Лариса Кирова</v>
      </c>
      <c r="E1173" s="32" t="s">
        <v>555</v>
      </c>
      <c r="F1173" s="56" t="s">
        <v>3061</v>
      </c>
      <c r="H1173" s="34">
        <v>45599</v>
      </c>
      <c r="I1173" s="26">
        <v>1</v>
      </c>
      <c r="J1173" s="26">
        <v>124</v>
      </c>
      <c r="K1173">
        <f>ТабПозиции[[#This Row],[discountPrice]]*ТабПозиции[[#This Row],[quantity]]</f>
        <v>124</v>
      </c>
      <c r="L1173" s="26">
        <v>129</v>
      </c>
      <c r="M1173">
        <f t="shared" si="21"/>
        <v>129</v>
      </c>
      <c r="O117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Row],[orderNum]],ТабПозиции[orderSumm])&gt;1500),ABS(M1173*VLOOKUP(ТабПозиции[[#This Row],[orderNum]],ТабЗаказы[#Data],MATCH("Percent",ТабЗаказы[#Headers],0),0))/100,200/COUNTIF(ТабПозиции[orderNum],ТабПозиции[[#This Row],[orderNum]])),0),"")</f>
        <v>19</v>
      </c>
      <c r="P1173">
        <f>IF(OR(ТабПозиции[[#This Row],[item]]="По штрихкоду",ТабПозиции[[#This Row],[item]]="Посылка"),ТабПозиции[[#This Row],[deliverySumm]]+ТабПозиции[[#This Row],[deliveryPost]],SUM(M1173:O1173))</f>
        <v>148</v>
      </c>
      <c r="Q1173" s="57">
        <v>148</v>
      </c>
      <c r="R1173" s="62">
        <f>ТабПозиции[[#This Row],[totalSumm]]-ТабПозиции[[#This Row],[payment]]</f>
        <v>0</v>
      </c>
      <c r="S1173" s="34" t="s">
        <v>955</v>
      </c>
      <c r="T1173" s="56" t="s">
        <v>3061</v>
      </c>
      <c r="U1173" s="56" t="s">
        <v>3061</v>
      </c>
      <c r="V1173" s="56" t="s">
        <v>3061</v>
      </c>
      <c r="W1173" s="7"/>
      <c r="X1173"/>
    </row>
    <row r="1174" spans="1:24" x14ac:dyDescent="0.25">
      <c r="A1174" s="26">
        <v>318</v>
      </c>
      <c r="B1174" s="1">
        <f>IFERROR(VLOOKUP(ТабПозиции[[#This Row],[orderNum]],ТабЗаказы[#Data],MATCH(B$7,ТабЗаказы[#Headers],0),0),"")</f>
        <v>45596</v>
      </c>
      <c r="C1174" t="str">
        <f>MONTH(ТабПозиции[[#This Row],[date]])&amp;"/"&amp;YEAR(ТабПозиции[[#This Row],[date]])</f>
        <v>10/2024</v>
      </c>
      <c r="D1174" s="1" t="str">
        <f>IFERROR(VLOOKUP(ТабПозиции[[#This Row],[orderNum]],ТабЗаказы[#Data],MATCH(D$7,ТабЗаказы[#Headers],0),0),"")</f>
        <v>Лариса Кирова</v>
      </c>
      <c r="E1174" s="32" t="s">
        <v>986</v>
      </c>
      <c r="F1174" s="56" t="s">
        <v>3061</v>
      </c>
      <c r="H1174" s="34">
        <v>45598</v>
      </c>
      <c r="I1174" s="26">
        <v>1</v>
      </c>
      <c r="J1174" s="26">
        <v>128</v>
      </c>
      <c r="K1174">
        <f>ТабПозиции[[#This Row],[discountPrice]]*ТабПозиции[[#This Row],[quantity]]</f>
        <v>128</v>
      </c>
      <c r="L1174" s="26">
        <v>135</v>
      </c>
      <c r="M1174">
        <f t="shared" ref="M1174:M1237" si="23">L1174*I1174</f>
        <v>135</v>
      </c>
      <c r="O117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Row],[orderNum]],ТабПозиции[orderSumm])&gt;1500),ABS(M1174*VLOOKUP(ТабПозиции[[#This Row],[orderNum]],ТабЗаказы[#Data],MATCH("Percent",ТабЗаказы[#Headers],0),0))/100,200/COUNTIF(ТабПозиции[orderNum],ТабПозиции[[#This Row],[orderNum]])),0),"")</f>
        <v>20</v>
      </c>
      <c r="P1174">
        <f>IF(OR(ТабПозиции[[#This Row],[item]]="По штрихкоду",ТабПозиции[[#This Row],[item]]="Посылка"),ТабПозиции[[#This Row],[deliverySumm]]+ТабПозиции[[#This Row],[deliveryPost]],SUM(M1174:O1174))</f>
        <v>155</v>
      </c>
      <c r="Q1174" s="57">
        <v>155</v>
      </c>
      <c r="R1174" s="62">
        <f>ТабПозиции[[#This Row],[totalSumm]]-ТабПозиции[[#This Row],[payment]]</f>
        <v>0</v>
      </c>
      <c r="S1174" s="34" t="s">
        <v>965</v>
      </c>
      <c r="T1174" s="56" t="s">
        <v>3061</v>
      </c>
      <c r="U1174" s="56" t="s">
        <v>3061</v>
      </c>
      <c r="V1174" s="56" t="s">
        <v>3061</v>
      </c>
      <c r="W1174" s="7"/>
      <c r="X1174"/>
    </row>
    <row r="1175" spans="1:24" x14ac:dyDescent="0.25">
      <c r="A1175" s="26">
        <v>318</v>
      </c>
      <c r="B1175" s="1">
        <f>IFERROR(VLOOKUP(ТабПозиции[[#This Row],[orderNum]],ТабЗаказы[#Data],MATCH(B$7,ТабЗаказы[#Headers],0),0),"")</f>
        <v>45596</v>
      </c>
      <c r="C1175" t="str">
        <f>MONTH(ТабПозиции[[#This Row],[date]])&amp;"/"&amp;YEAR(ТабПозиции[[#This Row],[date]])</f>
        <v>10/2024</v>
      </c>
      <c r="D1175" s="1" t="str">
        <f>IFERROR(VLOOKUP(ТабПозиции[[#This Row],[orderNum]],ТабЗаказы[#Data],MATCH(D$7,ТабЗаказы[#Headers],0),0),"")</f>
        <v>Лариса Кирова</v>
      </c>
      <c r="E1175" s="32" t="s">
        <v>1768</v>
      </c>
      <c r="F1175" s="56" t="s">
        <v>3061</v>
      </c>
      <c r="H1175" s="34">
        <v>45600</v>
      </c>
      <c r="I1175" s="26">
        <v>1</v>
      </c>
      <c r="J1175" s="26">
        <v>130</v>
      </c>
      <c r="K1175">
        <f>ТабПозиции[[#This Row],[discountPrice]]*ТабПозиции[[#This Row],[quantity]]</f>
        <v>130</v>
      </c>
      <c r="L1175" s="26">
        <v>137</v>
      </c>
      <c r="M1175">
        <f t="shared" si="23"/>
        <v>137</v>
      </c>
      <c r="O117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Row],[orderNum]],ТабПозиции[orderSumm])&gt;1500),ABS(M1175*VLOOKUP(ТабПозиции[[#This Row],[orderNum]],ТабЗаказы[#Data],MATCH("Percent",ТабЗаказы[#Headers],0),0))/100,200/COUNTIF(ТабПозиции[orderNum],ТабПозиции[[#This Row],[orderNum]])),0),"")</f>
        <v>21</v>
      </c>
      <c r="P1175">
        <f>IF(OR(ТабПозиции[[#This Row],[item]]="По штрихкоду",ТабПозиции[[#This Row],[item]]="Посылка"),ТабПозиции[[#This Row],[deliverySumm]]+ТабПозиции[[#This Row],[deliveryPost]],SUM(M1175:O1175))</f>
        <v>158</v>
      </c>
      <c r="Q1175" s="57">
        <v>158</v>
      </c>
      <c r="R1175" s="62">
        <f>ТабПозиции[[#This Row],[totalSumm]]-ТабПозиции[[#This Row],[payment]]</f>
        <v>0</v>
      </c>
      <c r="S1175" s="34" t="s">
        <v>965</v>
      </c>
      <c r="T1175" s="56" t="s">
        <v>3061</v>
      </c>
      <c r="U1175" s="56" t="s">
        <v>3061</v>
      </c>
      <c r="V1175" s="56" t="s">
        <v>3061</v>
      </c>
      <c r="W1175" s="7"/>
      <c r="X1175"/>
    </row>
    <row r="1176" spans="1:24" x14ac:dyDescent="0.25">
      <c r="A1176" s="26">
        <v>318</v>
      </c>
      <c r="B1176" s="1">
        <f>IFERROR(VLOOKUP(ТабПозиции[[#This Row],[orderNum]],ТабЗаказы[#Data],MATCH(B$7,ТабЗаказы[#Headers],0),0),"")</f>
        <v>45596</v>
      </c>
      <c r="C1176" t="str">
        <f>MONTH(ТабПозиции[[#This Row],[date]])&amp;"/"&amp;YEAR(ТабПозиции[[#This Row],[date]])</f>
        <v>10/2024</v>
      </c>
      <c r="D1176" s="1" t="str">
        <f>IFERROR(VLOOKUP(ТабПозиции[[#This Row],[orderNum]],ТабЗаказы[#Data],MATCH(D$7,ТабЗаказы[#Headers],0),0),"")</f>
        <v>Лариса Кирова</v>
      </c>
      <c r="E1176" s="32" t="s">
        <v>1769</v>
      </c>
      <c r="F1176" s="56" t="s">
        <v>3061</v>
      </c>
      <c r="H1176" s="34">
        <v>45598</v>
      </c>
      <c r="I1176" s="26">
        <v>1</v>
      </c>
      <c r="J1176" s="26">
        <v>489</v>
      </c>
      <c r="K1176">
        <f>ТабПозиции[[#This Row],[discountPrice]]*ТабПозиции[[#This Row],[quantity]]</f>
        <v>489</v>
      </c>
      <c r="L1176" s="26">
        <v>515</v>
      </c>
      <c r="M1176">
        <f t="shared" si="23"/>
        <v>515</v>
      </c>
      <c r="O117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Row],[orderNum]],ТабПозиции[orderSumm])&gt;1500),ABS(M1176*VLOOKUP(ТабПозиции[[#This Row],[orderNum]],ТабЗаказы[#Data],MATCH("Percent",ТабЗаказы[#Headers],0),0))/100,200/COUNTIF(ТабПозиции[orderNum],ТабПозиции[[#This Row],[orderNum]])),0),"")</f>
        <v>77</v>
      </c>
      <c r="P1176">
        <f>IF(OR(ТабПозиции[[#This Row],[item]]="По штрихкоду",ТабПозиции[[#This Row],[item]]="Посылка"),ТабПозиции[[#This Row],[deliverySumm]]+ТабПозиции[[#This Row],[deliveryPost]],SUM(M1176:O1176))</f>
        <v>592</v>
      </c>
      <c r="Q1176" s="57">
        <v>592</v>
      </c>
      <c r="R1176" s="62">
        <f>ТабПозиции[[#This Row],[totalSumm]]-ТабПозиции[[#This Row],[payment]]</f>
        <v>0</v>
      </c>
      <c r="S1176" s="34" t="s">
        <v>965</v>
      </c>
      <c r="T1176" s="56" t="s">
        <v>3061</v>
      </c>
      <c r="U1176" s="56" t="s">
        <v>3061</v>
      </c>
      <c r="V1176" s="56" t="s">
        <v>3061</v>
      </c>
      <c r="W1176" s="7"/>
      <c r="X1176"/>
    </row>
    <row r="1177" spans="1:24" x14ac:dyDescent="0.25">
      <c r="A1177" s="26">
        <v>318</v>
      </c>
      <c r="B1177" s="1">
        <f>IFERROR(VLOOKUP(ТабПозиции[[#This Row],[orderNum]],ТабЗаказы[#Data],MATCH(B$7,ТабЗаказы[#Headers],0),0),"")</f>
        <v>45596</v>
      </c>
      <c r="C1177" t="str">
        <f>MONTH(ТабПозиции[[#This Row],[date]])&amp;"/"&amp;YEAR(ТабПозиции[[#This Row],[date]])</f>
        <v>10/2024</v>
      </c>
      <c r="D1177" s="1" t="str">
        <f>IFERROR(VLOOKUP(ТабПозиции[[#This Row],[orderNum]],ТабЗаказы[#Data],MATCH(D$7,ТабЗаказы[#Headers],0),0),"")</f>
        <v>Лариса Кирова</v>
      </c>
      <c r="E1177" s="32" t="s">
        <v>1769</v>
      </c>
      <c r="F1177" s="56" t="s">
        <v>3061</v>
      </c>
      <c r="H1177" s="34">
        <v>45598</v>
      </c>
      <c r="I1177" s="26">
        <v>1</v>
      </c>
      <c r="J1177" s="26">
        <v>459</v>
      </c>
      <c r="K1177">
        <f>ТабПозиции[[#This Row],[discountPrice]]*ТабПозиции[[#This Row],[quantity]]</f>
        <v>459</v>
      </c>
      <c r="L1177" s="26">
        <v>484</v>
      </c>
      <c r="M1177">
        <f t="shared" si="23"/>
        <v>484</v>
      </c>
      <c r="O117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Row],[orderNum]],ТабПозиции[orderSumm])&gt;1500),ABS(M1177*VLOOKUP(ТабПозиции[[#This Row],[orderNum]],ТабЗаказы[#Data],MATCH("Percent",ТабЗаказы[#Headers],0),0))/100,200/COUNTIF(ТабПозиции[orderNum],ТабПозиции[[#This Row],[orderNum]])),0),"")</f>
        <v>73</v>
      </c>
      <c r="P1177">
        <f>IF(OR(ТабПозиции[[#This Row],[item]]="По штрихкоду",ТабПозиции[[#This Row],[item]]="Посылка"),ТабПозиции[[#This Row],[deliverySumm]]+ТабПозиции[[#This Row],[deliveryPost]],SUM(M1177:O1177))</f>
        <v>557</v>
      </c>
      <c r="Q1177" s="57">
        <v>557</v>
      </c>
      <c r="R1177" s="62">
        <f>ТабПозиции[[#This Row],[totalSumm]]-ТабПозиции[[#This Row],[payment]]</f>
        <v>0</v>
      </c>
      <c r="S1177" s="34" t="s">
        <v>965</v>
      </c>
      <c r="T1177" s="56" t="s">
        <v>3061</v>
      </c>
      <c r="U1177" s="56" t="s">
        <v>3061</v>
      </c>
      <c r="V1177" s="56" t="s">
        <v>3061</v>
      </c>
      <c r="W1177" s="7"/>
      <c r="X1177"/>
    </row>
    <row r="1178" spans="1:24" x14ac:dyDescent="0.25">
      <c r="A1178" s="26">
        <v>318</v>
      </c>
      <c r="B1178" s="1">
        <f>IFERROR(VLOOKUP(ТабПозиции[[#This Row],[orderNum]],ТабЗаказы[#Data],MATCH(B$7,ТабЗаказы[#Headers],0),0),"")</f>
        <v>45596</v>
      </c>
      <c r="C1178" t="str">
        <f>MONTH(ТабПозиции[[#This Row],[date]])&amp;"/"&amp;YEAR(ТабПозиции[[#This Row],[date]])</f>
        <v>10/2024</v>
      </c>
      <c r="D1178" s="1" t="str">
        <f>IFERROR(VLOOKUP(ТабПозиции[[#This Row],[orderNum]],ТабЗаказы[#Data],MATCH(D$7,ТабЗаказы[#Headers],0),0),"")</f>
        <v>Лариса Кирова</v>
      </c>
      <c r="E1178" s="32" t="s">
        <v>1770</v>
      </c>
      <c r="F1178" s="56" t="s">
        <v>3061</v>
      </c>
      <c r="H1178" s="34">
        <v>45599</v>
      </c>
      <c r="I1178" s="26">
        <v>1</v>
      </c>
      <c r="J1178" s="26">
        <v>144</v>
      </c>
      <c r="K1178">
        <f>ТабПозиции[[#This Row],[discountPrice]]*ТабПозиции[[#This Row],[quantity]]</f>
        <v>144</v>
      </c>
      <c r="L1178" s="26">
        <v>152</v>
      </c>
      <c r="M1178">
        <f t="shared" si="23"/>
        <v>152</v>
      </c>
      <c r="O117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Row],[orderNum]],ТабПозиции[orderSumm])&gt;1500),ABS(M1178*VLOOKUP(ТабПозиции[[#This Row],[orderNum]],ТабЗаказы[#Data],MATCH("Percent",ТабЗаказы[#Headers],0),0))/100,200/COUNTIF(ТабПозиции[orderNum],ТабПозиции[[#This Row],[orderNum]])),0),"")</f>
        <v>23</v>
      </c>
      <c r="P1178">
        <f>IF(OR(ТабПозиции[[#This Row],[item]]="По штрихкоду",ТабПозиции[[#This Row],[item]]="Посылка"),ТабПозиции[[#This Row],[deliverySumm]]+ТабПозиции[[#This Row],[deliveryPost]],SUM(M1178:O1178))</f>
        <v>175</v>
      </c>
      <c r="Q1178" s="57">
        <v>175</v>
      </c>
      <c r="R1178" s="62">
        <f>ТабПозиции[[#This Row],[totalSumm]]-ТабПозиции[[#This Row],[payment]]</f>
        <v>0</v>
      </c>
      <c r="S1178" s="34" t="s">
        <v>965</v>
      </c>
      <c r="T1178" s="56" t="s">
        <v>3061</v>
      </c>
      <c r="U1178" s="56" t="s">
        <v>3061</v>
      </c>
      <c r="V1178" s="56" t="s">
        <v>3061</v>
      </c>
      <c r="W1178" s="7"/>
      <c r="X1178"/>
    </row>
    <row r="1179" spans="1:24" x14ac:dyDescent="0.25">
      <c r="A1179" s="26">
        <v>319</v>
      </c>
      <c r="B1179" s="1">
        <f>IFERROR(VLOOKUP(ТабПозиции[[#This Row],[orderNum]],ТабЗаказы[#Data],MATCH(B$7,ТабЗаказы[#Headers],0),0),"")</f>
        <v>45596</v>
      </c>
      <c r="C1179" t="str">
        <f>MONTH(ТабПозиции[[#This Row],[date]])&amp;"/"&amp;YEAR(ТабПозиции[[#This Row],[date]])</f>
        <v>10/2024</v>
      </c>
      <c r="D1179" s="1" t="str">
        <f>IFERROR(VLOOKUP(ТабПозиции[[#This Row],[orderNum]],ТабЗаказы[#Data],MATCH(D$7,ТабЗаказы[#Headers],0),0),"")</f>
        <v>Елена от Светланы</v>
      </c>
      <c r="E1179" s="32" t="s">
        <v>1772</v>
      </c>
      <c r="F1179" s="56" t="s">
        <v>3061</v>
      </c>
      <c r="H1179" s="34">
        <v>45598</v>
      </c>
      <c r="I1179" s="26">
        <v>3</v>
      </c>
      <c r="J1179" s="26">
        <v>182</v>
      </c>
      <c r="K1179">
        <f>ТабПозиции[[#This Row],[discountPrice]]*ТабПозиции[[#This Row],[quantity]]</f>
        <v>546</v>
      </c>
      <c r="L1179" s="26">
        <v>192</v>
      </c>
      <c r="M1179">
        <f t="shared" si="23"/>
        <v>576</v>
      </c>
      <c r="O117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Row],[orderNum]],ТабПозиции[orderSumm])&gt;1500),ABS(M1179*VLOOKUP(ТабПозиции[[#This Row],[orderNum]],ТабЗаказы[#Data],MATCH("Percent",ТабЗаказы[#Headers],0),0))/100,200/COUNTIF(ТабПозиции[orderNum],ТабПозиции[[#This Row],[orderNum]])),0),"")</f>
        <v>86</v>
      </c>
      <c r="P1179">
        <f>IF(OR(ТабПозиции[[#This Row],[item]]="По штрихкоду",ТабПозиции[[#This Row],[item]]="Посылка"),ТабПозиции[[#This Row],[deliverySumm]]+ТабПозиции[[#This Row],[deliveryPost]],SUM(M1179:O1179))</f>
        <v>662</v>
      </c>
      <c r="Q1179" s="57">
        <v>662</v>
      </c>
      <c r="R1179" s="62">
        <f>ТабПозиции[[#This Row],[totalSumm]]-ТабПозиции[[#This Row],[payment]]</f>
        <v>0</v>
      </c>
      <c r="S1179" s="34" t="s">
        <v>965</v>
      </c>
      <c r="T1179" s="56" t="s">
        <v>3061</v>
      </c>
      <c r="U1179" s="56" t="s">
        <v>3061</v>
      </c>
      <c r="V1179" s="56" t="s">
        <v>3061</v>
      </c>
      <c r="W1179" s="7"/>
      <c r="X1179"/>
    </row>
    <row r="1180" spans="1:24" x14ac:dyDescent="0.25">
      <c r="A1180" s="26">
        <v>319</v>
      </c>
      <c r="B1180" s="1">
        <f>IFERROR(VLOOKUP(ТабПозиции[[#This Row],[orderNum]],ТабЗаказы[#Data],MATCH(B$7,ТабЗаказы[#Headers],0),0),"")</f>
        <v>45596</v>
      </c>
      <c r="C1180" t="str">
        <f>MONTH(ТабПозиции[[#This Row],[date]])&amp;"/"&amp;YEAR(ТабПозиции[[#This Row],[date]])</f>
        <v>10/2024</v>
      </c>
      <c r="D1180" s="1" t="str">
        <f>IFERROR(VLOOKUP(ТабПозиции[[#This Row],[orderNum]],ТабЗаказы[#Data],MATCH(D$7,ТабЗаказы[#Headers],0),0),"")</f>
        <v>Елена от Светланы</v>
      </c>
      <c r="E1180" s="32" t="s">
        <v>1773</v>
      </c>
      <c r="F1180" s="56" t="s">
        <v>3061</v>
      </c>
      <c r="H1180" s="34">
        <v>45598</v>
      </c>
      <c r="I1180" s="26">
        <v>1</v>
      </c>
      <c r="J1180" s="26">
        <v>497</v>
      </c>
      <c r="K1180">
        <f>ТабПозиции[[#This Row],[discountPrice]]*ТабПозиции[[#This Row],[quantity]]</f>
        <v>497</v>
      </c>
      <c r="L1180" s="26">
        <v>524</v>
      </c>
      <c r="M1180">
        <f t="shared" si="23"/>
        <v>524</v>
      </c>
      <c r="O118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Row],[orderNum]],ТабПозиции[orderSumm])&gt;1500),ABS(M1180*VLOOKUP(ТабПозиции[[#This Row],[orderNum]],ТабЗаказы[#Data],MATCH("Percent",ТабЗаказы[#Headers],0),0))/100,200/COUNTIF(ТабПозиции[orderNum],ТабПозиции[[#This Row],[orderNum]])),0),"")</f>
        <v>79</v>
      </c>
      <c r="P1180">
        <f>IF(OR(ТабПозиции[[#This Row],[item]]="По штрихкоду",ТабПозиции[[#This Row],[item]]="Посылка"),ТабПозиции[[#This Row],[deliverySumm]]+ТабПозиции[[#This Row],[deliveryPost]],SUM(M1180:O1180))</f>
        <v>603</v>
      </c>
      <c r="Q1180" s="57">
        <v>603</v>
      </c>
      <c r="R1180" s="62">
        <f>ТабПозиции[[#This Row],[totalSumm]]-ТабПозиции[[#This Row],[payment]]</f>
        <v>0</v>
      </c>
      <c r="S1180" s="34" t="s">
        <v>965</v>
      </c>
      <c r="T1180" s="56" t="s">
        <v>3061</v>
      </c>
      <c r="U1180" s="56" t="s">
        <v>3061</v>
      </c>
      <c r="V1180" s="56" t="s">
        <v>3061</v>
      </c>
      <c r="W1180" s="7"/>
      <c r="X1180"/>
    </row>
    <row r="1181" spans="1:24" x14ac:dyDescent="0.25">
      <c r="A1181" s="26">
        <v>319</v>
      </c>
      <c r="B1181" s="1">
        <f>IFERROR(VLOOKUP(ТабПозиции[[#This Row],[orderNum]],ТабЗаказы[#Data],MATCH(B$7,ТабЗаказы[#Headers],0),0),"")</f>
        <v>45596</v>
      </c>
      <c r="C1181" t="str">
        <f>MONTH(ТабПозиции[[#This Row],[date]])&amp;"/"&amp;YEAR(ТабПозиции[[#This Row],[date]])</f>
        <v>10/2024</v>
      </c>
      <c r="D1181" s="1" t="str">
        <f>IFERROR(VLOOKUP(ТабПозиции[[#This Row],[orderNum]],ТабЗаказы[#Data],MATCH(D$7,ТабЗаказы[#Headers],0),0),"")</f>
        <v>Елена от Светланы</v>
      </c>
      <c r="E1181" s="32" t="s">
        <v>1070</v>
      </c>
      <c r="F1181" s="56" t="s">
        <v>3061</v>
      </c>
      <c r="H1181" s="34">
        <v>45598</v>
      </c>
      <c r="I1181" s="26">
        <v>1</v>
      </c>
      <c r="J1181" s="26">
        <v>411</v>
      </c>
      <c r="K1181">
        <f>ТабПозиции[[#This Row],[discountPrice]]*ТабПозиции[[#This Row],[quantity]]</f>
        <v>411</v>
      </c>
      <c r="L1181" s="26">
        <v>433</v>
      </c>
      <c r="M1181">
        <f t="shared" si="23"/>
        <v>433</v>
      </c>
      <c r="O118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Row],[orderNum]],ТабПозиции[orderSumm])&gt;1500),ABS(M1181*VLOOKUP(ТабПозиции[[#This Row],[orderNum]],ТабЗаказы[#Data],MATCH("Percent",ТабЗаказы[#Headers],0),0))/100,200/COUNTIF(ТабПозиции[orderNum],ТабПозиции[[#This Row],[orderNum]])),0),"")</f>
        <v>65</v>
      </c>
      <c r="P1181">
        <f>IF(OR(ТабПозиции[[#This Row],[item]]="По штрихкоду",ТабПозиции[[#This Row],[item]]="Посылка"),ТабПозиции[[#This Row],[deliverySumm]]+ТабПозиции[[#This Row],[deliveryPost]],SUM(M1181:O1181))</f>
        <v>498</v>
      </c>
      <c r="Q1181" s="57">
        <v>498</v>
      </c>
      <c r="R1181" s="62">
        <f>ТабПозиции[[#This Row],[totalSumm]]-ТабПозиции[[#This Row],[payment]]</f>
        <v>0</v>
      </c>
      <c r="S1181" s="34" t="s">
        <v>965</v>
      </c>
      <c r="T1181" s="56" t="s">
        <v>3061</v>
      </c>
      <c r="U1181" s="56" t="s">
        <v>3061</v>
      </c>
      <c r="V1181" s="56" t="s">
        <v>3061</v>
      </c>
      <c r="W1181" s="7"/>
      <c r="X1181"/>
    </row>
    <row r="1182" spans="1:24" x14ac:dyDescent="0.25">
      <c r="A1182" s="26">
        <v>319</v>
      </c>
      <c r="B1182" s="1">
        <f>IFERROR(VLOOKUP(ТабПозиции[[#This Row],[orderNum]],ТабЗаказы[#Data],MATCH(B$7,ТабЗаказы[#Headers],0),0),"")</f>
        <v>45596</v>
      </c>
      <c r="C1182" t="str">
        <f>MONTH(ТабПозиции[[#This Row],[date]])&amp;"/"&amp;YEAR(ТабПозиции[[#This Row],[date]])</f>
        <v>10/2024</v>
      </c>
      <c r="D1182" s="1" t="str">
        <f>IFERROR(VLOOKUP(ТабПозиции[[#This Row],[orderNum]],ТабЗаказы[#Data],MATCH(D$7,ТабЗаказы[#Headers],0),0),"")</f>
        <v>Елена от Светланы</v>
      </c>
      <c r="E1182" s="32" t="s">
        <v>1774</v>
      </c>
      <c r="F1182" s="56" t="s">
        <v>3061</v>
      </c>
      <c r="H1182" s="34">
        <v>45598</v>
      </c>
      <c r="I1182" s="26">
        <v>1</v>
      </c>
      <c r="J1182" s="26">
        <v>294</v>
      </c>
      <c r="K1182">
        <f>ТабПозиции[[#This Row],[discountPrice]]*ТабПозиции[[#This Row],[quantity]]</f>
        <v>294</v>
      </c>
      <c r="L1182" s="26">
        <v>310</v>
      </c>
      <c r="M1182">
        <f t="shared" si="23"/>
        <v>310</v>
      </c>
      <c r="O118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Row],[orderNum]],ТабПозиции[orderSumm])&gt;1500),ABS(M1182*VLOOKUP(ТабПозиции[[#This Row],[orderNum]],ТабЗаказы[#Data],MATCH("Percent",ТабЗаказы[#Headers],0),0))/100,200/COUNTIF(ТабПозиции[orderNum],ТабПозиции[[#This Row],[orderNum]])),0),"")</f>
        <v>47</v>
      </c>
      <c r="P1182">
        <f>IF(OR(ТабПозиции[[#This Row],[item]]="По штрихкоду",ТабПозиции[[#This Row],[item]]="Посылка"),ТабПозиции[[#This Row],[deliverySumm]]+ТабПозиции[[#This Row],[deliveryPost]],SUM(M1182:O1182))</f>
        <v>357</v>
      </c>
      <c r="Q1182" s="57">
        <v>357</v>
      </c>
      <c r="R1182" s="62">
        <f>ТабПозиции[[#This Row],[totalSumm]]-ТабПозиции[[#This Row],[payment]]</f>
        <v>0</v>
      </c>
      <c r="S1182" s="34" t="s">
        <v>965</v>
      </c>
      <c r="T1182" s="56" t="s">
        <v>3061</v>
      </c>
      <c r="U1182" s="56" t="s">
        <v>3061</v>
      </c>
      <c r="V1182" s="56" t="s">
        <v>3061</v>
      </c>
      <c r="W1182" s="7"/>
      <c r="X1182"/>
    </row>
    <row r="1183" spans="1:24" x14ac:dyDescent="0.25">
      <c r="A1183" s="26">
        <v>317</v>
      </c>
      <c r="B1183" s="1">
        <f>IFERROR(VLOOKUP(ТабПозиции[[#This Row],[orderNum]],ТабЗаказы[#Data],MATCH(B$7,ТабЗаказы[#Headers],0),0),"")</f>
        <v>45596</v>
      </c>
      <c r="C1183" t="str">
        <f>MONTH(ТабПозиции[[#This Row],[date]])&amp;"/"&amp;YEAR(ТабПозиции[[#This Row],[date]])</f>
        <v>10/2024</v>
      </c>
      <c r="D1183" s="1" t="str">
        <f>IFERROR(VLOOKUP(ТабПозиции[[#This Row],[orderNum]],ТабЗаказы[#Data],MATCH(D$7,ТабЗаказы[#Headers],0),0),"")</f>
        <v>Светлана от Александра</v>
      </c>
      <c r="E1183" s="32" t="s">
        <v>1778</v>
      </c>
      <c r="F1183" s="56" t="s">
        <v>3061</v>
      </c>
      <c r="H1183" s="34">
        <v>45597</v>
      </c>
      <c r="I1183" s="26">
        <v>1</v>
      </c>
      <c r="J1183" s="26">
        <v>802</v>
      </c>
      <c r="K1183">
        <v>802</v>
      </c>
      <c r="L1183" s="26">
        <v>872</v>
      </c>
      <c r="M1183">
        <f t="shared" si="23"/>
        <v>872</v>
      </c>
      <c r="O118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Row],[orderNum]],ТабПозиции[orderSumm])&gt;1500),ABS(M1183*VLOOKUP(ТабПозиции[[#This Row],[orderNum]],ТабЗаказы[#Data],MATCH("Percent",ТабЗаказы[#Headers],0),0))/100,200/COUNTIF(ТабПозиции[orderNum],ТабПозиции[[#This Row],[orderNum]])),0),"")</f>
        <v>131</v>
      </c>
      <c r="P1183">
        <f>IF(OR(ТабПозиции[[#This Row],[item]]="По штрихкоду",ТабПозиции[[#This Row],[item]]="Посылка"),ТабПозиции[[#This Row],[deliverySumm]]+ТабПозиции[[#This Row],[deliveryPost]],SUM(M1183:O1183))</f>
        <v>1003</v>
      </c>
      <c r="Q1183" s="57">
        <v>1003</v>
      </c>
      <c r="R1183" s="62">
        <f>ТабПозиции[[#This Row],[totalSumm]]-ТабПозиции[[#This Row],[payment]]</f>
        <v>0</v>
      </c>
      <c r="S1183" s="34" t="s">
        <v>965</v>
      </c>
      <c r="T1183" s="56" t="s">
        <v>3061</v>
      </c>
      <c r="U1183" s="56" t="s">
        <v>3061</v>
      </c>
      <c r="V1183" s="56" t="s">
        <v>3061</v>
      </c>
      <c r="W1183" s="7"/>
      <c r="X1183"/>
    </row>
    <row r="1184" spans="1:24" x14ac:dyDescent="0.25">
      <c r="A1184" s="26">
        <v>320</v>
      </c>
      <c r="B1184" s="1">
        <f>IFERROR(VLOOKUP(ТабПозиции[[#This Row],[orderNum]],ТабЗаказы[#Data],MATCH(B$7,ТабЗаказы[#Headers],0),0),"")</f>
        <v>45597</v>
      </c>
      <c r="C1184" t="str">
        <f>MONTH(ТабПозиции[[#This Row],[date]])&amp;"/"&amp;YEAR(ТабПозиции[[#This Row],[date]])</f>
        <v>11/2024</v>
      </c>
      <c r="D1184" s="1" t="str">
        <f>IFERROR(VLOOKUP(ТабПозиции[[#This Row],[orderNum]],ТабЗаказы[#Data],MATCH(D$7,ТабЗаказы[#Headers],0),0),"")</f>
        <v>Максим телевизор</v>
      </c>
      <c r="E1184" s="26" t="s">
        <v>815</v>
      </c>
      <c r="F1184" s="56" t="s">
        <v>3061</v>
      </c>
      <c r="G1184" s="28" t="s">
        <v>1779</v>
      </c>
      <c r="H1184" s="34">
        <v>45597</v>
      </c>
      <c r="I1184" s="26">
        <v>1</v>
      </c>
      <c r="J1184" s="26">
        <v>1400</v>
      </c>
      <c r="K1184">
        <v>1400</v>
      </c>
      <c r="L1184" s="26">
        <v>14000</v>
      </c>
      <c r="M1184">
        <f t="shared" si="23"/>
        <v>14000</v>
      </c>
      <c r="O118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Row],[orderNum]],ТабПозиции[orderSumm])&gt;1500),ABS(M1184*VLOOKUP(ТабПозиции[[#This Row],[orderNum]],ТабЗаказы[#Data],MATCH("Percent",ТабЗаказы[#Headers],0),0))/100,200/COUNTIF(ТабПозиции[orderNum],ТабПозиции[[#This Row],[orderNum]])),0),"")</f>
        <v>1400</v>
      </c>
      <c r="P1184">
        <f>IF(OR(ТабПозиции[[#This Row],[item]]="По штрихкоду",ТабПозиции[[#This Row],[item]]="Посылка"),ТабПозиции[[#This Row],[deliverySumm]]+ТабПозиции[[#This Row],[deliveryPost]],SUM(M1184:O1184))</f>
        <v>1400</v>
      </c>
      <c r="Q1184" s="57">
        <v>1400</v>
      </c>
      <c r="R1184" s="62">
        <f>ТабПозиции[[#This Row],[totalSumm]]-ТабПозиции[[#This Row],[payment]]</f>
        <v>0</v>
      </c>
      <c r="S1184" s="34" t="s">
        <v>1016</v>
      </c>
      <c r="T1184" s="56" t="s">
        <v>3061</v>
      </c>
      <c r="U1184" s="56" t="s">
        <v>3061</v>
      </c>
      <c r="V1184" s="56" t="s">
        <v>3061</v>
      </c>
      <c r="W1184" s="7"/>
      <c r="X1184"/>
    </row>
    <row r="1185" spans="1:24" x14ac:dyDescent="0.25">
      <c r="A1185" s="26">
        <v>320</v>
      </c>
      <c r="B1185" s="1">
        <f>IFERROR(VLOOKUP(ТабПозиции[[#This Row],[orderNum]],ТабЗаказы[#Data],MATCH(B$7,ТабЗаказы[#Headers],0),0),"")</f>
        <v>45597</v>
      </c>
      <c r="C1185" t="str">
        <f>MONTH(ТабПозиции[[#This Row],[date]])&amp;"/"&amp;YEAR(ТабПозиции[[#This Row],[date]])</f>
        <v>11/2024</v>
      </c>
      <c r="D1185" s="1" t="str">
        <f>IFERROR(VLOOKUP(ТабПозиции[[#This Row],[orderNum]],ТабЗаказы[#Data],MATCH(D$7,ТабЗаказы[#Headers],0),0),"")</f>
        <v>Максим телевизор</v>
      </c>
      <c r="E1185" s="26" t="s">
        <v>815</v>
      </c>
      <c r="F1185" s="56" t="s">
        <v>3061</v>
      </c>
      <c r="G1185" s="28" t="s">
        <v>1780</v>
      </c>
      <c r="H1185" s="34">
        <v>45597</v>
      </c>
      <c r="I1185" s="26">
        <v>1</v>
      </c>
      <c r="J1185" s="26">
        <v>2315</v>
      </c>
      <c r="K1185">
        <v>2315</v>
      </c>
      <c r="L1185" s="26">
        <v>2315</v>
      </c>
      <c r="M1185">
        <f t="shared" si="23"/>
        <v>2315</v>
      </c>
      <c r="O118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Row],[orderNum]],ТабПозиции[orderSumm])&gt;1500),ABS(M1185*VLOOKUP(ТабПозиции[[#This Row],[orderNum]],ТабЗаказы[#Data],MATCH("Percent",ТабЗаказы[#Headers],0),0))/100,200/COUNTIF(ТабПозиции[orderNum],ТабПозиции[[#This Row],[orderNum]])),0),"")</f>
        <v>232</v>
      </c>
      <c r="P1185">
        <f>IF(OR(ТабПозиции[[#This Row],[item]]="По штрихкоду",ТабПозиции[[#This Row],[item]]="Посылка"),ТабПозиции[[#This Row],[deliverySumm]]+ТабПозиции[[#This Row],[deliveryPost]],SUM(M1185:O1185))</f>
        <v>232</v>
      </c>
      <c r="Q1185" s="57">
        <v>232</v>
      </c>
      <c r="R1185" s="62">
        <f>ТабПозиции[[#This Row],[totalSumm]]-ТабПозиции[[#This Row],[payment]]</f>
        <v>0</v>
      </c>
      <c r="S1185" s="34" t="s">
        <v>1016</v>
      </c>
      <c r="T1185" s="56" t="s">
        <v>3061</v>
      </c>
      <c r="U1185" s="56" t="s">
        <v>3061</v>
      </c>
      <c r="V1185" s="56" t="s">
        <v>3061</v>
      </c>
      <c r="W1185" s="7"/>
      <c r="X1185"/>
    </row>
    <row r="1186" spans="1:24" x14ac:dyDescent="0.25">
      <c r="A1186" s="26">
        <v>316</v>
      </c>
      <c r="B1186" s="1">
        <f>IFERROR(VLOOKUP(ТабПозиции[[#This Row],[orderNum]],ТабЗаказы[#Data],MATCH(B$7,ТабЗаказы[#Headers],0),0),"")</f>
        <v>45595</v>
      </c>
      <c r="C1186" t="str">
        <f>MONTH(ТабПозиции[[#This Row],[date]])&amp;"/"&amp;YEAR(ТабПозиции[[#This Row],[date]])</f>
        <v>10/2024</v>
      </c>
      <c r="D1186" s="1" t="str">
        <f>IFERROR(VLOOKUP(ТабПозиции[[#This Row],[orderNum]],ТабЗаказы[#Data],MATCH(D$7,ТабЗаказы[#Headers],0),0),"")</f>
        <v>Александр Каскад</v>
      </c>
      <c r="E1186" s="32" t="s">
        <v>1794</v>
      </c>
      <c r="F1186" s="56" t="s">
        <v>3061</v>
      </c>
      <c r="H1186" s="34">
        <v>45602</v>
      </c>
      <c r="I1186" s="26">
        <v>1</v>
      </c>
      <c r="J1186" s="26">
        <v>420</v>
      </c>
      <c r="K1186">
        <f>ТабПозиции[[#This Row],[discountPrice]]*ТабПозиции[[#This Row],[quantity]]</f>
        <v>420</v>
      </c>
      <c r="L1186" s="26">
        <v>433</v>
      </c>
      <c r="M1186">
        <f t="shared" si="23"/>
        <v>433</v>
      </c>
      <c r="O118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Row],[orderNum]],ТабПозиции[orderSumm])&gt;1500),ABS(M1186*VLOOKUP(ТабПозиции[[#This Row],[orderNum]],ТабЗаказы[#Data],MATCH("Percent",ТабЗаказы[#Headers],0),0))/100,200/COUNTIF(ТабПозиции[orderNum],ТабПозиции[[#This Row],[orderNum]])),0),"")</f>
        <v>65</v>
      </c>
      <c r="P1186">
        <f>IF(OR(ТабПозиции[[#This Row],[item]]="По штрихкоду",ТабПозиции[[#This Row],[item]]="Посылка"),ТабПозиции[[#This Row],[deliverySumm]]+ТабПозиции[[#This Row],[deliveryPost]],SUM(M1186:O1186))</f>
        <v>498</v>
      </c>
      <c r="Q1186" s="57">
        <v>498</v>
      </c>
      <c r="R1186" s="62">
        <f>ТабПозиции[[#This Row],[totalSumm]]-ТабПозиции[[#This Row],[payment]]</f>
        <v>0</v>
      </c>
      <c r="S1186" s="34" t="s">
        <v>955</v>
      </c>
      <c r="T1186" s="56" t="s">
        <v>3061</v>
      </c>
      <c r="U1186" s="56" t="s">
        <v>3061</v>
      </c>
      <c r="V1186" s="56" t="s">
        <v>3061</v>
      </c>
      <c r="W1186" s="7"/>
      <c r="X1186"/>
    </row>
    <row r="1187" spans="1:24" x14ac:dyDescent="0.25">
      <c r="A1187" s="26">
        <v>321</v>
      </c>
      <c r="B1187" s="1">
        <f>IFERROR(VLOOKUP(ТабПозиции[[#This Row],[orderNum]],ТабЗаказы[#Data],MATCH(B$7,ТабЗаказы[#Headers],0),0),"")</f>
        <v>45597</v>
      </c>
      <c r="C1187" t="str">
        <f>MONTH(ТабПозиции[[#This Row],[date]])&amp;"/"&amp;YEAR(ТабПозиции[[#This Row],[date]])</f>
        <v>11/2024</v>
      </c>
      <c r="D1187" s="1" t="str">
        <f>IFERROR(VLOOKUP(ТабПозиции[[#This Row],[orderNum]],ТабЗаказы[#Data],MATCH(D$7,ТабЗаказы[#Headers],0),0),"")</f>
        <v>Аннет</v>
      </c>
      <c r="E1187" s="26" t="s">
        <v>32</v>
      </c>
      <c r="F1187" s="56" t="s">
        <v>3061</v>
      </c>
      <c r="H1187" s="34">
        <v>45597</v>
      </c>
      <c r="I1187" s="26">
        <v>1</v>
      </c>
      <c r="J1187" s="26">
        <v>3366</v>
      </c>
      <c r="K1187">
        <v>3366</v>
      </c>
      <c r="L1187" s="26">
        <v>3366</v>
      </c>
      <c r="M1187">
        <f t="shared" si="23"/>
        <v>3366</v>
      </c>
      <c r="O118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Row],[orderNum]],ТабПозиции[orderSumm])&gt;1500),ABS(M1187*VLOOKUP(ТабПозиции[[#This Row],[orderNum]],ТабЗаказы[#Data],MATCH("Percent",ТабЗаказы[#Headers],0),0))/100,200/COUNTIF(ТабПозиции[orderNum],ТабПозиции[[#This Row],[orderNum]])),0),"")</f>
        <v>505</v>
      </c>
      <c r="P1187">
        <f>IF(OR(ТабПозиции[[#This Row],[item]]="По штрихкоду",ТабПозиции[[#This Row],[item]]="Посылка"),ТабПозиции[[#This Row],[deliverySumm]]+ТабПозиции[[#This Row],[deliveryPost]],SUM(M1187:O1187))</f>
        <v>505</v>
      </c>
      <c r="Q1187" s="57">
        <v>505</v>
      </c>
      <c r="R1187" s="62">
        <f>ТабПозиции[[#This Row],[totalSumm]]-ТабПозиции[[#This Row],[payment]]</f>
        <v>0</v>
      </c>
      <c r="S1187" s="34" t="s">
        <v>965</v>
      </c>
      <c r="T1187" s="56" t="s">
        <v>3061</v>
      </c>
      <c r="U1187" s="56" t="s">
        <v>3061</v>
      </c>
      <c r="V1187" s="56" t="s">
        <v>3061</v>
      </c>
      <c r="W1187" s="7"/>
      <c r="X1187"/>
    </row>
    <row r="1188" spans="1:24" x14ac:dyDescent="0.25">
      <c r="A1188" s="26">
        <v>322</v>
      </c>
      <c r="B1188" s="1">
        <f>IFERROR(VLOOKUP(ТабПозиции[[#This Row],[orderNum]],ТабЗаказы[#Data],MATCH(B$7,ТабЗаказы[#Headers],0),0),"")</f>
        <v>45597</v>
      </c>
      <c r="C1188" t="str">
        <f>MONTH(ТабПозиции[[#This Row],[date]])&amp;"/"&amp;YEAR(ТабПозиции[[#This Row],[date]])</f>
        <v>11/2024</v>
      </c>
      <c r="D1188" s="1" t="str">
        <f>IFERROR(VLOOKUP(ТабПозиции[[#This Row],[orderNum]],ТабЗаказы[#Data],MATCH(D$7,ТабЗаказы[#Headers],0),0),"")</f>
        <v>Наталья Лунина 13</v>
      </c>
      <c r="E1188" s="26" t="s">
        <v>32</v>
      </c>
      <c r="F1188" s="56" t="s">
        <v>3061</v>
      </c>
      <c r="H1188" s="34">
        <v>45597</v>
      </c>
      <c r="I1188" s="26">
        <v>1</v>
      </c>
      <c r="J1188" s="26">
        <v>4219</v>
      </c>
      <c r="K1188">
        <v>4219</v>
      </c>
      <c r="L1188" s="26">
        <v>4219</v>
      </c>
      <c r="M1188">
        <f t="shared" si="23"/>
        <v>4219</v>
      </c>
      <c r="O118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Row],[orderNum]],ТабПозиции[orderSumm])&gt;1500),ABS(M1188*VLOOKUP(ТабПозиции[[#This Row],[orderNum]],ТабЗаказы[#Data],MATCH("Percent",ТабЗаказы[#Headers],0),0))/100,200/COUNTIF(ТабПозиции[orderNum],ТабПозиции[[#This Row],[orderNum]])),0),"")</f>
        <v>633</v>
      </c>
      <c r="P1188">
        <f>IF(OR(ТабПозиции[[#This Row],[item]]="По штрихкоду",ТабПозиции[[#This Row],[item]]="Посылка"),ТабПозиции[[#This Row],[deliverySumm]]+ТабПозиции[[#This Row],[deliveryPost]],SUM(M1188:O1188))</f>
        <v>633</v>
      </c>
      <c r="Q1188" s="57">
        <v>633</v>
      </c>
      <c r="R1188" s="62">
        <f>ТабПозиции[[#This Row],[totalSumm]]-ТабПозиции[[#This Row],[payment]]</f>
        <v>0</v>
      </c>
      <c r="S1188" s="34" t="s">
        <v>965</v>
      </c>
      <c r="T1188" s="56" t="s">
        <v>3061</v>
      </c>
      <c r="U1188" s="56" t="s">
        <v>3061</v>
      </c>
      <c r="V1188" s="56" t="s">
        <v>3061</v>
      </c>
      <c r="W1188" s="7"/>
      <c r="X1188"/>
    </row>
    <row r="1189" spans="1:24" x14ac:dyDescent="0.25">
      <c r="A1189" s="26">
        <v>323</v>
      </c>
      <c r="B1189" s="1">
        <f>IFERROR(VLOOKUP(ТабПозиции[[#This Row],[orderNum]],ТабЗаказы[#Data],MATCH(B$7,ТабЗаказы[#Headers],0),0),"")</f>
        <v>45598</v>
      </c>
      <c r="C1189" t="str">
        <f>MONTH(ТабПозиции[[#This Row],[date]])&amp;"/"&amp;YEAR(ТабПозиции[[#This Row],[date]])</f>
        <v>11/2024</v>
      </c>
      <c r="D1189" s="1" t="str">
        <f>IFERROR(VLOOKUP(ТабПозиции[[#This Row],[orderNum]],ТабЗаказы[#Data],MATCH(D$7,ТабЗаказы[#Headers],0),0),"")</f>
        <v>Михаил Куприна</v>
      </c>
      <c r="E1189" s="32" t="s">
        <v>1786</v>
      </c>
      <c r="F1189" s="56" t="s">
        <v>3061</v>
      </c>
      <c r="H1189" s="34">
        <v>45603</v>
      </c>
      <c r="I1189" s="26">
        <v>1</v>
      </c>
      <c r="J1189" s="26">
        <v>1168</v>
      </c>
      <c r="K1189">
        <f>ТабПозиции[[#This Row],[discountPrice]]*ТабПозиции[[#This Row],[quantity]]</f>
        <v>1168</v>
      </c>
      <c r="L1189" s="26">
        <v>1258</v>
      </c>
      <c r="M1189">
        <f t="shared" si="23"/>
        <v>1258</v>
      </c>
      <c r="O118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Row],[orderNum]],ТабПозиции[orderSumm])&gt;1500),ABS(M1189*VLOOKUP(ТабПозиции[[#This Row],[orderNum]],ТабЗаказы[#Data],MATCH("Percent",ТабЗаказы[#Headers],0),0))/100,200/COUNTIF(ТабПозиции[orderNum],ТабПозиции[[#This Row],[orderNum]])),0),"")</f>
        <v>126</v>
      </c>
      <c r="P1189">
        <f>IF(OR(ТабПозиции[[#This Row],[item]]="По штрихкоду",ТабПозиции[[#This Row],[item]]="Посылка"),ТабПозиции[[#This Row],[deliverySumm]]+ТабПозиции[[#This Row],[deliveryPost]],SUM(M1189:O1189))</f>
        <v>1384</v>
      </c>
      <c r="Q1189" s="57">
        <v>1384</v>
      </c>
      <c r="R1189" s="62">
        <f>ТабПозиции[[#This Row],[totalSumm]]-ТабПозиции[[#This Row],[payment]]</f>
        <v>0</v>
      </c>
      <c r="S1189" s="34" t="s">
        <v>955</v>
      </c>
      <c r="T1189" s="56" t="s">
        <v>3061</v>
      </c>
      <c r="U1189" s="56" t="s">
        <v>3061</v>
      </c>
      <c r="V1189" s="56" t="s">
        <v>3061</v>
      </c>
      <c r="W1189" s="7"/>
      <c r="X1189"/>
    </row>
    <row r="1190" spans="1:24" x14ac:dyDescent="0.25">
      <c r="A1190" s="26">
        <v>323</v>
      </c>
      <c r="B1190" s="1">
        <f>IFERROR(VLOOKUP(ТабПозиции[[#This Row],[orderNum]],ТабЗаказы[#Data],MATCH(B$7,ТабЗаказы[#Headers],0),0),"")</f>
        <v>45598</v>
      </c>
      <c r="C1190" t="str">
        <f>MONTH(ТабПозиции[[#This Row],[date]])&amp;"/"&amp;YEAR(ТабПозиции[[#This Row],[date]])</f>
        <v>11/2024</v>
      </c>
      <c r="D1190" s="1" t="str">
        <f>IFERROR(VLOOKUP(ТабПозиции[[#This Row],[orderNum]],ТабЗаказы[#Data],MATCH(D$7,ТабЗаказы[#Headers],0),0),"")</f>
        <v>Михаил Куприна</v>
      </c>
      <c r="E1190" s="32" t="s">
        <v>1787</v>
      </c>
      <c r="F1190" s="56" t="s">
        <v>3061</v>
      </c>
      <c r="H1190" s="34">
        <v>45601</v>
      </c>
      <c r="I1190" s="26">
        <v>1</v>
      </c>
      <c r="J1190" s="26">
        <v>888</v>
      </c>
      <c r="K1190">
        <f>ТабПозиции[[#This Row],[discountPrice]]*ТабПозиции[[#This Row],[quantity]]</f>
        <v>888</v>
      </c>
      <c r="L1190" s="26">
        <v>965</v>
      </c>
      <c r="M1190">
        <f t="shared" si="23"/>
        <v>965</v>
      </c>
      <c r="O119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Row],[orderNum]],ТабПозиции[orderSumm])&gt;1500),ABS(M1190*VLOOKUP(ТабПозиции[[#This Row],[orderNum]],ТабЗаказы[#Data],MATCH("Percent",ТабЗаказы[#Headers],0),0))/100,200/COUNTIF(ТабПозиции[orderNum],ТабПозиции[[#This Row],[orderNum]])),0),"")</f>
        <v>97</v>
      </c>
      <c r="P1190">
        <f>IF(OR(ТабПозиции[[#This Row],[item]]="По штрихкоду",ТабПозиции[[#This Row],[item]]="Посылка"),ТабПозиции[[#This Row],[deliverySumm]]+ТабПозиции[[#This Row],[deliveryPost]],SUM(M1190:O1190))</f>
        <v>1062</v>
      </c>
      <c r="Q1190" s="57">
        <v>1062</v>
      </c>
      <c r="R1190" s="62">
        <f>ТабПозиции[[#This Row],[totalSumm]]-ТабПозиции[[#This Row],[payment]]</f>
        <v>0</v>
      </c>
      <c r="S1190" s="34" t="s">
        <v>955</v>
      </c>
      <c r="T1190" s="56" t="s">
        <v>3061</v>
      </c>
      <c r="U1190" s="56" t="s">
        <v>3061</v>
      </c>
      <c r="V1190" s="56" t="s">
        <v>3061</v>
      </c>
      <c r="W1190" s="7"/>
      <c r="X1190"/>
    </row>
    <row r="1191" spans="1:24" x14ac:dyDescent="0.25">
      <c r="A1191" s="26">
        <v>323</v>
      </c>
      <c r="B1191" s="1">
        <f>IFERROR(VLOOKUP(ТабПозиции[[#This Row],[orderNum]],ТабЗаказы[#Data],MATCH(B$7,ТабЗаказы[#Headers],0),0),"")</f>
        <v>45598</v>
      </c>
      <c r="C1191" t="str">
        <f>MONTH(ТабПозиции[[#This Row],[date]])&amp;"/"&amp;YEAR(ТабПозиции[[#This Row],[date]])</f>
        <v>11/2024</v>
      </c>
      <c r="D1191" s="1" t="str">
        <f>IFERROR(VLOOKUP(ТабПозиции[[#This Row],[orderNum]],ТабЗаказы[#Data],MATCH(D$7,ТабЗаказы[#Headers],0),0),"")</f>
        <v>Михаил Куприна</v>
      </c>
      <c r="E1191" s="32" t="s">
        <v>1788</v>
      </c>
      <c r="F1191" s="56" t="s">
        <v>3061</v>
      </c>
      <c r="H1191" s="34">
        <v>45601</v>
      </c>
      <c r="I1191" s="26">
        <v>1</v>
      </c>
      <c r="J1191" s="26">
        <v>767</v>
      </c>
      <c r="K1191">
        <f>ТабПозиции[[#This Row],[discountPrice]]*ТабПозиции[[#This Row],[quantity]]</f>
        <v>767</v>
      </c>
      <c r="L1191" s="26">
        <v>834</v>
      </c>
      <c r="M1191">
        <f t="shared" si="23"/>
        <v>834</v>
      </c>
      <c r="O119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Row],[orderNum]],ТабПозиции[orderSumm])&gt;1500),ABS(M1191*VLOOKUP(ТабПозиции[[#This Row],[orderNum]],ТабЗаказы[#Data],MATCH("Percent",ТабЗаказы[#Headers],0),0))/100,200/COUNTIF(ТабПозиции[orderNum],ТабПозиции[[#This Row],[orderNum]])),0),"")</f>
        <v>83</v>
      </c>
      <c r="P1191">
        <f>IF(OR(ТабПозиции[[#This Row],[item]]="По штрихкоду",ТабПозиции[[#This Row],[item]]="Посылка"),ТабПозиции[[#This Row],[deliverySumm]]+ТабПозиции[[#This Row],[deliveryPost]],SUM(M1191:O1191))</f>
        <v>917</v>
      </c>
      <c r="Q1191" s="57">
        <v>917</v>
      </c>
      <c r="R1191" s="62">
        <f>ТабПозиции[[#This Row],[totalSumm]]-ТабПозиции[[#This Row],[payment]]</f>
        <v>0</v>
      </c>
      <c r="S1191" s="34" t="s">
        <v>955</v>
      </c>
      <c r="T1191" s="56" t="s">
        <v>3061</v>
      </c>
      <c r="U1191" s="56" t="s">
        <v>3061</v>
      </c>
      <c r="V1191" s="56" t="s">
        <v>3061</v>
      </c>
      <c r="W1191" s="7"/>
      <c r="X1191"/>
    </row>
    <row r="1192" spans="1:24" x14ac:dyDescent="0.25">
      <c r="A1192" s="26">
        <v>323</v>
      </c>
      <c r="B1192" s="1">
        <f>IFERROR(VLOOKUP(ТабПозиции[[#This Row],[orderNum]],ТабЗаказы[#Data],MATCH(B$7,ТабЗаказы[#Headers],0),0),"")</f>
        <v>45598</v>
      </c>
      <c r="C1192" t="str">
        <f>MONTH(ТабПозиции[[#This Row],[date]])&amp;"/"&amp;YEAR(ТабПозиции[[#This Row],[date]])</f>
        <v>11/2024</v>
      </c>
      <c r="D1192" s="1" t="str">
        <f>IFERROR(VLOOKUP(ТабПозиции[[#This Row],[orderNum]],ТабЗаказы[#Data],MATCH(D$7,ТабЗаказы[#Headers],0),0),"")</f>
        <v>Михаил Куприна</v>
      </c>
      <c r="E1192" s="32" t="s">
        <v>1789</v>
      </c>
      <c r="F1192" s="56" t="s">
        <v>3061</v>
      </c>
      <c r="H1192" s="34">
        <v>45601</v>
      </c>
      <c r="I1192" s="26">
        <v>1</v>
      </c>
      <c r="J1192" s="26">
        <v>898</v>
      </c>
      <c r="K1192">
        <f>ТабПозиции[[#This Row],[discountPrice]]*ТабПозиции[[#This Row],[quantity]]</f>
        <v>898</v>
      </c>
      <c r="L1192" s="26">
        <v>976</v>
      </c>
      <c r="M1192">
        <f t="shared" si="23"/>
        <v>976</v>
      </c>
      <c r="O119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Row],[orderNum]],ТабПозиции[orderSumm])&gt;1500),ABS(M1192*VLOOKUP(ТабПозиции[[#This Row],[orderNum]],ТабЗаказы[#Data],MATCH("Percent",ТабЗаказы[#Headers],0),0))/100,200/COUNTIF(ТабПозиции[orderNum],ТабПозиции[[#This Row],[orderNum]])),0),"")</f>
        <v>98</v>
      </c>
      <c r="P1192">
        <f>IF(OR(ТабПозиции[[#This Row],[item]]="По штрихкоду",ТабПозиции[[#This Row],[item]]="Посылка"),ТабПозиции[[#This Row],[deliverySumm]]+ТабПозиции[[#This Row],[deliveryPost]],SUM(M1192:O1192))</f>
        <v>1074</v>
      </c>
      <c r="Q1192" s="57">
        <v>1074</v>
      </c>
      <c r="R1192" s="62">
        <f>ТабПозиции[[#This Row],[totalSumm]]-ТабПозиции[[#This Row],[payment]]</f>
        <v>0</v>
      </c>
      <c r="S1192" s="34" t="s">
        <v>955</v>
      </c>
      <c r="T1192" s="56" t="s">
        <v>3061</v>
      </c>
      <c r="U1192" s="56" t="s">
        <v>3061</v>
      </c>
      <c r="V1192" s="56" t="s">
        <v>3061</v>
      </c>
      <c r="W1192" s="7"/>
      <c r="X1192"/>
    </row>
    <row r="1193" spans="1:24" x14ac:dyDescent="0.25">
      <c r="A1193" s="26">
        <v>323</v>
      </c>
      <c r="B1193" s="1">
        <f>IFERROR(VLOOKUP(ТабПозиции[[#This Row],[orderNum]],ТабЗаказы[#Data],MATCH(B$7,ТабЗаказы[#Headers],0),0),"")</f>
        <v>45598</v>
      </c>
      <c r="C1193" t="str">
        <f>MONTH(ТабПозиции[[#This Row],[date]])&amp;"/"&amp;YEAR(ТабПозиции[[#This Row],[date]])</f>
        <v>11/2024</v>
      </c>
      <c r="D1193" s="1" t="str">
        <f>IFERROR(VLOOKUP(ТабПозиции[[#This Row],[orderNum]],ТабЗаказы[#Data],MATCH(D$7,ТабЗаказы[#Headers],0),0),"")</f>
        <v>Михаил Куприна</v>
      </c>
      <c r="E1193" s="32" t="s">
        <v>1790</v>
      </c>
      <c r="F1193" s="56" t="s">
        <v>3061</v>
      </c>
      <c r="H1193" s="34">
        <v>45601</v>
      </c>
      <c r="I1193" s="26">
        <v>1</v>
      </c>
      <c r="J1193" s="26">
        <v>443</v>
      </c>
      <c r="K1193">
        <f>ТабПозиции[[#This Row],[discountPrice]]*ТабПозиции[[#This Row],[quantity]]</f>
        <v>443</v>
      </c>
      <c r="L1193" s="26">
        <v>476</v>
      </c>
      <c r="M1193">
        <f t="shared" si="23"/>
        <v>476</v>
      </c>
      <c r="O119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Row],[orderNum]],ТабПозиции[orderSumm])&gt;1500),ABS(M1193*VLOOKUP(ТабПозиции[[#This Row],[orderNum]],ТабЗаказы[#Data],MATCH("Percent",ТабЗаказы[#Headers],0),0))/100,200/COUNTIF(ТабПозиции[orderNum],ТабПозиции[[#This Row],[orderNum]])),0),"")</f>
        <v>48</v>
      </c>
      <c r="P1193">
        <f>IF(OR(ТабПозиции[[#This Row],[item]]="По штрихкоду",ТабПозиции[[#This Row],[item]]="Посылка"),ТабПозиции[[#This Row],[deliverySumm]]+ТабПозиции[[#This Row],[deliveryPost]],SUM(M1193:O1193))</f>
        <v>524</v>
      </c>
      <c r="Q1193" s="57">
        <v>524</v>
      </c>
      <c r="R1193" s="62">
        <f>ТабПозиции[[#This Row],[totalSumm]]-ТабПозиции[[#This Row],[payment]]</f>
        <v>0</v>
      </c>
      <c r="S1193" s="34" t="s">
        <v>955</v>
      </c>
      <c r="T1193" s="56" t="s">
        <v>3061</v>
      </c>
      <c r="U1193" s="56" t="s">
        <v>3061</v>
      </c>
      <c r="V1193" s="56" t="s">
        <v>3061</v>
      </c>
      <c r="W1193" s="7"/>
      <c r="X1193"/>
    </row>
    <row r="1194" spans="1:24" x14ac:dyDescent="0.25">
      <c r="A1194" s="26">
        <v>323</v>
      </c>
      <c r="B1194" s="1">
        <f>IFERROR(VLOOKUP(ТабПозиции[[#This Row],[orderNum]],ТабЗаказы[#Data],MATCH(B$7,ТабЗаказы[#Headers],0),0),"")</f>
        <v>45598</v>
      </c>
      <c r="C1194" t="str">
        <f>MONTH(ТабПозиции[[#This Row],[date]])&amp;"/"&amp;YEAR(ТабПозиции[[#This Row],[date]])</f>
        <v>11/2024</v>
      </c>
      <c r="D1194" s="1" t="str">
        <f>IFERROR(VLOOKUP(ТабПозиции[[#This Row],[orderNum]],ТабЗаказы[#Data],MATCH(D$7,ТабЗаказы[#Headers],0),0),"")</f>
        <v>Михаил Куприна</v>
      </c>
      <c r="E1194" s="32" t="s">
        <v>1791</v>
      </c>
      <c r="F1194" s="56" t="s">
        <v>3061</v>
      </c>
      <c r="H1194" s="34">
        <v>45601</v>
      </c>
      <c r="I1194" s="26">
        <v>1</v>
      </c>
      <c r="J1194" s="26">
        <v>416</v>
      </c>
      <c r="K1194">
        <f>ТабПозиции[[#This Row],[discountPrice]]*ТабПозиции[[#This Row],[quantity]]</f>
        <v>416</v>
      </c>
      <c r="L1194" s="26">
        <v>433</v>
      </c>
      <c r="M1194">
        <f t="shared" si="23"/>
        <v>433</v>
      </c>
      <c r="O119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Row],[orderNum]],ТабПозиции[orderSumm])&gt;1500),ABS(M1194*VLOOKUP(ТабПозиции[[#This Row],[orderNum]],ТабЗаказы[#Data],MATCH("Percent",ТабЗаказы[#Headers],0),0))/100,200/COUNTIF(ТабПозиции[orderNum],ТабПозиции[[#This Row],[orderNum]])),0),"")</f>
        <v>43</v>
      </c>
      <c r="P1194">
        <f>IF(OR(ТабПозиции[[#This Row],[item]]="По штрихкоду",ТабПозиции[[#This Row],[item]]="Посылка"),ТабПозиции[[#This Row],[deliverySumm]]+ТабПозиции[[#This Row],[deliveryPost]],SUM(M1194:O1194))</f>
        <v>476</v>
      </c>
      <c r="Q1194" s="57">
        <v>476</v>
      </c>
      <c r="R1194" s="62">
        <f>ТабПозиции[[#This Row],[totalSumm]]-ТабПозиции[[#This Row],[payment]]</f>
        <v>0</v>
      </c>
      <c r="S1194" s="34" t="s">
        <v>955</v>
      </c>
      <c r="T1194" s="56" t="s">
        <v>3061</v>
      </c>
      <c r="U1194" s="56" t="s">
        <v>3061</v>
      </c>
      <c r="V1194" s="56" t="s">
        <v>3061</v>
      </c>
      <c r="W1194" s="7"/>
      <c r="X1194"/>
    </row>
    <row r="1195" spans="1:24" x14ac:dyDescent="0.25">
      <c r="A1195" s="26">
        <v>323</v>
      </c>
      <c r="B1195" s="1">
        <f>IFERROR(VLOOKUP(ТабПозиции[[#This Row],[orderNum]],ТабЗаказы[#Data],MATCH(B$7,ТабЗаказы[#Headers],0),0),"")</f>
        <v>45598</v>
      </c>
      <c r="C1195" t="str">
        <f>MONTH(ТабПозиции[[#This Row],[date]])&amp;"/"&amp;YEAR(ТабПозиции[[#This Row],[date]])</f>
        <v>11/2024</v>
      </c>
      <c r="D1195" s="1" t="str">
        <f>IFERROR(VLOOKUP(ТабПозиции[[#This Row],[orderNum]],ТабЗаказы[#Data],MATCH(D$7,ТабЗаказы[#Headers],0),0),"")</f>
        <v>Михаил Куприна</v>
      </c>
      <c r="E1195" s="32" t="s">
        <v>1792</v>
      </c>
      <c r="F1195" s="56" t="s">
        <v>3061</v>
      </c>
      <c r="H1195" s="34">
        <v>45600</v>
      </c>
      <c r="I1195" s="26">
        <v>1</v>
      </c>
      <c r="J1195" s="26">
        <v>377</v>
      </c>
      <c r="K1195">
        <f>ТабПозиции[[#This Row],[discountPrice]]*ТабПозиции[[#This Row],[quantity]]</f>
        <v>377</v>
      </c>
      <c r="L1195" s="26">
        <v>406</v>
      </c>
      <c r="M1195">
        <f t="shared" si="23"/>
        <v>406</v>
      </c>
      <c r="O119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Row],[orderNum]],ТабПозиции[orderSumm])&gt;1500),ABS(M1195*VLOOKUP(ТабПозиции[[#This Row],[orderNum]],ТабЗаказы[#Data],MATCH("Percent",ТабЗаказы[#Headers],0),0))/100,200/COUNTIF(ТабПозиции[orderNum],ТабПозиции[[#This Row],[orderNum]])),0),"")</f>
        <v>41</v>
      </c>
      <c r="P1195">
        <f>IF(OR(ТабПозиции[[#This Row],[item]]="По штрихкоду",ТабПозиции[[#This Row],[item]]="Посылка"),ТабПозиции[[#This Row],[deliverySumm]]+ТабПозиции[[#This Row],[deliveryPost]],SUM(M1195:O1195))</f>
        <v>447</v>
      </c>
      <c r="Q1195" s="57">
        <v>447</v>
      </c>
      <c r="R1195" s="62">
        <f>ТабПозиции[[#This Row],[totalSumm]]-ТабПозиции[[#This Row],[payment]]</f>
        <v>0</v>
      </c>
      <c r="S1195" s="34" t="s">
        <v>955</v>
      </c>
      <c r="T1195" s="56" t="s">
        <v>3061</v>
      </c>
      <c r="U1195" s="56" t="s">
        <v>3061</v>
      </c>
      <c r="V1195" s="56" t="s">
        <v>3061</v>
      </c>
      <c r="W1195" s="7"/>
      <c r="X1195"/>
    </row>
    <row r="1196" spans="1:24" x14ac:dyDescent="0.25">
      <c r="A1196" s="26">
        <v>323</v>
      </c>
      <c r="B1196" s="1">
        <f>IFERROR(VLOOKUP(ТабПозиции[[#This Row],[orderNum]],ТабЗаказы[#Data],MATCH(B$7,ТабЗаказы[#Headers],0),0),"")</f>
        <v>45598</v>
      </c>
      <c r="C1196" t="str">
        <f>MONTH(ТабПозиции[[#This Row],[date]])&amp;"/"&amp;YEAR(ТабПозиции[[#This Row],[date]])</f>
        <v>11/2024</v>
      </c>
      <c r="D1196" s="1" t="str">
        <f>IFERROR(VLOOKUP(ТабПозиции[[#This Row],[orderNum]],ТабЗаказы[#Data],MATCH(D$7,ТабЗаказы[#Headers],0),0),"")</f>
        <v>Михаил Куприна</v>
      </c>
      <c r="E1196" s="32" t="s">
        <v>1793</v>
      </c>
      <c r="F1196" s="56" t="s">
        <v>3061</v>
      </c>
      <c r="H1196" s="34">
        <v>45633</v>
      </c>
      <c r="I1196" s="26">
        <v>1</v>
      </c>
      <c r="J1196" s="26">
        <v>859</v>
      </c>
      <c r="K1196">
        <f>ТабПозиции[[#This Row],[discountPrice]]*ТабПозиции[[#This Row],[quantity]]</f>
        <v>859</v>
      </c>
      <c r="L1196" s="26">
        <v>921</v>
      </c>
      <c r="M1196">
        <f t="shared" si="23"/>
        <v>921</v>
      </c>
      <c r="O119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Row],[orderNum]],ТабПозиции[orderSumm])&gt;1500),ABS(M1196*VLOOKUP(ТабПозиции[[#This Row],[orderNum]],ТабЗаказы[#Data],MATCH("Percent",ТабЗаказы[#Headers],0),0))/100,200/COUNTIF(ТабПозиции[orderNum],ТабПозиции[[#This Row],[orderNum]])),0),"")</f>
        <v>92</v>
      </c>
      <c r="P1196">
        <f>IF(OR(ТабПозиции[[#This Row],[item]]="По штрихкоду",ТабПозиции[[#This Row],[item]]="Посылка"),ТабПозиции[[#This Row],[deliverySumm]]+ТабПозиции[[#This Row],[deliveryPost]],SUM(M1196:O1196))</f>
        <v>1013</v>
      </c>
      <c r="Q1196" s="57">
        <v>1013</v>
      </c>
      <c r="R1196" s="62">
        <f>ТабПозиции[[#This Row],[totalSumm]]-ТабПозиции[[#This Row],[payment]]</f>
        <v>0</v>
      </c>
      <c r="S1196" s="34" t="s">
        <v>955</v>
      </c>
      <c r="T1196" s="56" t="s">
        <v>3061</v>
      </c>
      <c r="U1196" s="56" t="str">
        <f>IF(AND(ТабПозиции[[#This Row],[Остаток]]=0,ТабПозиции[[#This Row],[ord]]="true"),"true","false")</f>
        <v>true</v>
      </c>
      <c r="V1196" s="56" t="s">
        <v>3061</v>
      </c>
      <c r="W1196" s="7"/>
      <c r="X1196"/>
    </row>
    <row r="1197" spans="1:24" x14ac:dyDescent="0.25">
      <c r="A1197" s="26">
        <v>316</v>
      </c>
      <c r="B1197" s="1">
        <f>IFERROR(VLOOKUP(ТабПозиции[[#This Row],[orderNum]],ТабЗаказы[#Data],MATCH(B$7,ТабЗаказы[#Headers],0),0),"")</f>
        <v>45595</v>
      </c>
      <c r="C1197" t="str">
        <f>MONTH(ТабПозиции[[#This Row],[date]])&amp;"/"&amp;YEAR(ТабПозиции[[#This Row],[date]])</f>
        <v>10/2024</v>
      </c>
      <c r="D1197" s="1" t="str">
        <f>IFERROR(VLOOKUP(ТабПозиции[[#This Row],[orderNum]],ТабЗаказы[#Data],MATCH(D$7,ТабЗаказы[#Headers],0),0),"")</f>
        <v>Александр Каскад</v>
      </c>
      <c r="E1197" s="32" t="s">
        <v>1795</v>
      </c>
      <c r="F1197" s="56" t="s">
        <v>3061</v>
      </c>
      <c r="H1197" s="34">
        <v>45602</v>
      </c>
      <c r="I1197" s="26">
        <v>1</v>
      </c>
      <c r="J1197" s="26">
        <v>357</v>
      </c>
      <c r="K1197">
        <f>ТабПозиции[[#This Row],[discountPrice]]*ТабПозиции[[#This Row],[quantity]]</f>
        <v>357</v>
      </c>
      <c r="L1197" s="26">
        <v>368</v>
      </c>
      <c r="M1197">
        <f t="shared" si="23"/>
        <v>368</v>
      </c>
      <c r="O119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Row],[orderNum]],ТабПозиции[orderSumm])&gt;1500),ABS(M1197*VLOOKUP(ТабПозиции[[#This Row],[orderNum]],ТабЗаказы[#Data],MATCH("Percent",ТабЗаказы[#Headers],0),0))/100,200/COUNTIF(ТабПозиции[orderNum],ТабПозиции[[#This Row],[orderNum]])),0),"")</f>
        <v>55</v>
      </c>
      <c r="P1197">
        <f>IF(OR(ТабПозиции[[#This Row],[item]]="По штрихкоду",ТабПозиции[[#This Row],[item]]="Посылка"),ТабПозиции[[#This Row],[deliverySumm]]+ТабПозиции[[#This Row],[deliveryPost]],SUM(M1197:O1197))</f>
        <v>423</v>
      </c>
      <c r="Q1197" s="57">
        <v>423</v>
      </c>
      <c r="R1197" s="62">
        <f>ТабПозиции[[#This Row],[totalSumm]]-ТабПозиции[[#This Row],[payment]]</f>
        <v>0</v>
      </c>
      <c r="S1197" s="34" t="s">
        <v>955</v>
      </c>
      <c r="T1197" s="56" t="s">
        <v>3061</v>
      </c>
      <c r="U1197" s="56" t="s">
        <v>3061</v>
      </c>
      <c r="V1197" s="56" t="s">
        <v>3061</v>
      </c>
      <c r="W1197" s="7"/>
      <c r="X1197"/>
    </row>
    <row r="1198" spans="1:24" x14ac:dyDescent="0.25">
      <c r="A1198" s="26">
        <v>325</v>
      </c>
      <c r="B1198" s="1">
        <f>IFERROR(VLOOKUP(ТабПозиции[[#This Row],[orderNum]],ТабЗаказы[#Data],MATCH(B$7,ТабЗаказы[#Headers],0),0),"")</f>
        <v>45600</v>
      </c>
      <c r="C1198" t="str">
        <f>MONTH(ТабПозиции[[#This Row],[date]])&amp;"/"&amp;YEAR(ТабПозиции[[#This Row],[date]])</f>
        <v>11/2024</v>
      </c>
      <c r="D1198" s="1" t="str">
        <f>IFERROR(VLOOKUP(ТабПозиции[[#This Row],[orderNum]],ТабЗаказы[#Data],MATCH(D$7,ТабЗаказы[#Headers],0),0),"")</f>
        <v>Оля Пашина сестра</v>
      </c>
      <c r="E1198" s="32" t="s">
        <v>1810</v>
      </c>
      <c r="F1198" s="56" t="s">
        <v>3061</v>
      </c>
      <c r="H1198" s="34">
        <v>45605</v>
      </c>
      <c r="I1198" s="26">
        <v>1</v>
      </c>
      <c r="J1198" s="26">
        <v>959</v>
      </c>
      <c r="K1198">
        <f>ТабПозиции[[#This Row],[discountPrice]]*ТабПозиции[[#This Row],[quantity]]</f>
        <v>959</v>
      </c>
      <c r="L1198" s="26">
        <v>1046</v>
      </c>
      <c r="M1198">
        <f t="shared" si="23"/>
        <v>1046</v>
      </c>
      <c r="O119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Row],[orderNum]],ТабПозиции[orderSumm])&gt;1500),ABS(M1198*VLOOKUP(ТабПозиции[[#This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198">
        <f>IF(OR(ТабПозиции[[#This Row],[item]]="По штрихкоду",ТабПозиции[[#This Row],[item]]="Посылка"),ТабПозиции[[#This Row],[deliverySumm]]+ТабПозиции[[#This Row],[deliveryPost]],SUM(M1198:O1198))</f>
        <v>1246</v>
      </c>
      <c r="Q1198" s="57">
        <v>1246</v>
      </c>
      <c r="R1198" s="62">
        <f>ТабПозиции[[#This Row],[totalSumm]]-ТабПозиции[[#This Row],[payment]]</f>
        <v>0</v>
      </c>
      <c r="S1198" s="34" t="s">
        <v>955</v>
      </c>
      <c r="T1198" s="56" t="s">
        <v>3061</v>
      </c>
      <c r="U1198" s="56" t="str">
        <f>IF(AND(ТабПозиции[[#This Row],[Остаток]]=0,ТабПозиции[[#This Row],[ord]]="true"),"true","false")</f>
        <v>true</v>
      </c>
      <c r="V1198" s="56" t="s">
        <v>3061</v>
      </c>
      <c r="W1198" s="7"/>
      <c r="X1198"/>
    </row>
    <row r="1199" spans="1:24" x14ac:dyDescent="0.25">
      <c r="A1199" s="26">
        <v>324</v>
      </c>
      <c r="B1199" s="1">
        <f>IFERROR(VLOOKUP(ТабПозиции[[#This Row],[orderNum]],ТабЗаказы[#Data],MATCH(B$7,ТабЗаказы[#Headers],0),0),"")</f>
        <v>45599</v>
      </c>
      <c r="C1199" t="str">
        <f>MONTH(ТабПозиции[[#This Row],[date]])&amp;"/"&amp;YEAR(ТабПозиции[[#This Row],[date]])</f>
        <v>11/2024</v>
      </c>
      <c r="D1199" s="1" t="str">
        <f>IFERROR(VLOOKUP(ТабПозиции[[#This Row],[orderNum]],ТабЗаказы[#Data],MATCH(D$7,ТабЗаказы[#Headers],0),0),"")</f>
        <v>Валентина от Светланы</v>
      </c>
      <c r="E1199" s="32" t="s">
        <v>1799</v>
      </c>
      <c r="F1199" s="56" t="s">
        <v>3061</v>
      </c>
      <c r="H1199" s="34">
        <v>45605</v>
      </c>
      <c r="I1199" s="26">
        <v>9</v>
      </c>
      <c r="J1199" s="26">
        <v>203</v>
      </c>
      <c r="K1199">
        <f>ТабПозиции[[#This Row],[discountPrice]]*ТабПозиции[[#This Row],[quantity]]</f>
        <v>1827</v>
      </c>
      <c r="L1199" s="26">
        <v>214</v>
      </c>
      <c r="M1199">
        <f t="shared" si="23"/>
        <v>1926</v>
      </c>
      <c r="O119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Row],[orderNum]],ТабПозиции[orderSumm])&gt;1500),ABS(M1199*VLOOKUP(ТабПозиции[[#This Row],[orderNum]],ТабЗаказы[#Data],MATCH("Percent",ТабЗаказы[#Headers],0),0))/100,200/COUNTIF(ТабПозиции[orderNum],ТабПозиции[[#This Row],[orderNum]])),0),"")</f>
        <v>193</v>
      </c>
      <c r="P1199">
        <f>IF(OR(ТабПозиции[[#This Row],[item]]="По штрихкоду",ТабПозиции[[#This Row],[item]]="Посылка"),ТабПозиции[[#This Row],[deliverySumm]]+ТабПозиции[[#This Row],[deliveryPost]],SUM(M1199:O1199))</f>
        <v>2119</v>
      </c>
      <c r="Q1199" s="57">
        <v>2119</v>
      </c>
      <c r="R1199" s="62">
        <f>ТабПозиции[[#This Row],[totalSumm]]-ТабПозиции[[#This Row],[payment]]</f>
        <v>0</v>
      </c>
      <c r="S1199" s="34" t="s">
        <v>965</v>
      </c>
      <c r="T1199" s="56" t="s">
        <v>3061</v>
      </c>
      <c r="U1199" s="56" t="str">
        <f>IF(AND(ТабПозиции[[#This Row],[Остаток]]=0,ТабПозиции[[#This Row],[ord]]="true"),"true","false")</f>
        <v>true</v>
      </c>
      <c r="V1199" s="56" t="s">
        <v>3061</v>
      </c>
      <c r="W1199" s="7"/>
      <c r="X1199"/>
    </row>
    <row r="1200" spans="1:24" x14ac:dyDescent="0.25">
      <c r="A1200" s="26">
        <v>324</v>
      </c>
      <c r="B1200" s="1">
        <f>IFERROR(VLOOKUP(ТабПозиции[[#This Row],[orderNum]],ТабЗаказы[#Data],MATCH(B$7,ТабЗаказы[#Headers],0),0),"")</f>
        <v>45599</v>
      </c>
      <c r="C1200" t="str">
        <f>MONTH(ТабПозиции[[#This Row],[date]])&amp;"/"&amp;YEAR(ТабПозиции[[#This Row],[date]])</f>
        <v>11/2024</v>
      </c>
      <c r="D1200" s="1" t="str">
        <f>IFERROR(VLOOKUP(ТабПозиции[[#This Row],[orderNum]],ТабЗаказы[#Data],MATCH(D$7,ТабЗаказы[#Headers],0),0),"")</f>
        <v>Валентина от Светланы</v>
      </c>
      <c r="E1200" s="32" t="s">
        <v>1800</v>
      </c>
      <c r="F1200" s="56" t="s">
        <v>3061</v>
      </c>
      <c r="H1200" s="34">
        <v>45603</v>
      </c>
      <c r="I1200" s="26">
        <v>8</v>
      </c>
      <c r="J1200" s="26">
        <v>261</v>
      </c>
      <c r="K1200">
        <f>ТабПозиции[[#This Row],[discountPrice]]*ТабПозиции[[#This Row],[quantity]]</f>
        <v>2088</v>
      </c>
      <c r="L1200" s="26">
        <v>275</v>
      </c>
      <c r="M1200">
        <f t="shared" si="23"/>
        <v>2200</v>
      </c>
      <c r="O120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Row],[orderNum]],ТабПозиции[orderSumm])&gt;1500),ABS(M1200*VLOOKUP(ТабПозиции[[#This Row],[orderNum]],ТабЗаказы[#Data],MATCH("Percent",ТабЗаказы[#Headers],0),0))/100,200/COUNTIF(ТабПозиции[orderNum],ТабПозиции[[#This Row],[orderNum]])),0),"")</f>
        <v>220</v>
      </c>
      <c r="P1200">
        <f>IF(OR(ТабПозиции[[#This Row],[item]]="По штрихкоду",ТабПозиции[[#This Row],[item]]="Посылка"),ТабПозиции[[#This Row],[deliverySumm]]+ТабПозиции[[#This Row],[deliveryPost]],SUM(M1200:O1200))</f>
        <v>2420</v>
      </c>
      <c r="Q1200" s="57">
        <v>2420</v>
      </c>
      <c r="R1200" s="62">
        <f>ТабПозиции[[#This Row],[totalSumm]]-ТабПозиции[[#This Row],[payment]]</f>
        <v>0</v>
      </c>
      <c r="S1200" s="34" t="s">
        <v>965</v>
      </c>
      <c r="T1200" s="56" t="s">
        <v>3061</v>
      </c>
      <c r="U1200" s="56" t="s">
        <v>3061</v>
      </c>
      <c r="V1200" s="56" t="s">
        <v>3061</v>
      </c>
      <c r="W1200" s="7"/>
      <c r="X1200"/>
    </row>
    <row r="1201" spans="1:24" x14ac:dyDescent="0.25">
      <c r="A1201" s="26">
        <v>324</v>
      </c>
      <c r="B1201" s="1">
        <f>IFERROR(VLOOKUP(ТабПозиции[[#This Row],[orderNum]],ТабЗаказы[#Data],MATCH(B$7,ТабЗаказы[#Headers],0),0),"")</f>
        <v>45599</v>
      </c>
      <c r="C1201" t="str">
        <f>MONTH(ТабПозиции[[#This Row],[date]])&amp;"/"&amp;YEAR(ТабПозиции[[#This Row],[date]])</f>
        <v>11/2024</v>
      </c>
      <c r="D1201" s="1" t="str">
        <f>IFERROR(VLOOKUP(ТабПозиции[[#This Row],[orderNum]],ТабЗаказы[#Data],MATCH(D$7,ТабЗаказы[#Headers],0),0),"")</f>
        <v>Валентина от Светланы</v>
      </c>
      <c r="E1201" s="32" t="s">
        <v>1801</v>
      </c>
      <c r="F1201" s="56" t="s">
        <v>3061</v>
      </c>
      <c r="H1201" s="34">
        <v>45604</v>
      </c>
      <c r="I1201" s="26">
        <v>3</v>
      </c>
      <c r="J1201" s="26">
        <v>339</v>
      </c>
      <c r="K1201">
        <f>ТабПозиции[[#This Row],[discountPrice]]*ТабПозиции[[#This Row],[quantity]]</f>
        <v>1017</v>
      </c>
      <c r="L1201" s="26">
        <v>357</v>
      </c>
      <c r="M1201">
        <f t="shared" si="23"/>
        <v>1071</v>
      </c>
      <c r="O120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Row],[orderNum]],ТабПозиции[orderSumm])&gt;1500),ABS(M1201*VLOOKUP(ТабПозиции[[#This Row],[orderNum]],ТабЗаказы[#Data],MATCH("Percent",ТабЗаказы[#Headers],0),0))/100,200/COUNTIF(ТабПозиции[orderNum],ТабПозиции[[#This Row],[orderNum]])),0),"")</f>
        <v>107</v>
      </c>
      <c r="P1201">
        <f>IF(OR(ТабПозиции[[#This Row],[item]]="По штрихкоду",ТабПозиции[[#This Row],[item]]="Посылка"),ТабПозиции[[#This Row],[deliverySumm]]+ТабПозиции[[#This Row],[deliveryPost]],SUM(M1201:O1201))</f>
        <v>1178</v>
      </c>
      <c r="Q1201" s="57">
        <v>1178</v>
      </c>
      <c r="R1201" s="62">
        <f>ТабПозиции[[#This Row],[totalSumm]]-ТабПозиции[[#This Row],[payment]]</f>
        <v>0</v>
      </c>
      <c r="S1201" s="34" t="s">
        <v>965</v>
      </c>
      <c r="T1201" s="56" t="s">
        <v>3061</v>
      </c>
      <c r="U1201" s="56" t="str">
        <f>IF(AND(ТабПозиции[[#This Row],[Остаток]]=0,ТабПозиции[[#This Row],[ord]]="true"),"true","false")</f>
        <v>true</v>
      </c>
      <c r="V1201" s="56" t="s">
        <v>3061</v>
      </c>
      <c r="W1201" s="7"/>
      <c r="X1201"/>
    </row>
    <row r="1202" spans="1:24" x14ac:dyDescent="0.25">
      <c r="A1202" s="26">
        <v>324</v>
      </c>
      <c r="B1202" s="1">
        <f>IFERROR(VLOOKUP(ТабПозиции[[#This Row],[orderNum]],ТабЗаказы[#Data],MATCH(B$7,ТабЗаказы[#Headers],0),0),"")</f>
        <v>45599</v>
      </c>
      <c r="C1202" t="str">
        <f>MONTH(ТабПозиции[[#This Row],[date]])&amp;"/"&amp;YEAR(ТабПозиции[[#This Row],[date]])</f>
        <v>11/2024</v>
      </c>
      <c r="D1202" s="1" t="str">
        <f>IFERROR(VLOOKUP(ТабПозиции[[#This Row],[orderNum]],ТабЗаказы[#Data],MATCH(D$7,ТабЗаказы[#Headers],0),0),"")</f>
        <v>Валентина от Светланы</v>
      </c>
      <c r="E1202" s="32" t="s">
        <v>1802</v>
      </c>
      <c r="F1202" s="56" t="s">
        <v>3061</v>
      </c>
      <c r="H1202" s="34">
        <v>45604</v>
      </c>
      <c r="I1202" s="26">
        <v>1</v>
      </c>
      <c r="J1202" s="26">
        <v>145</v>
      </c>
      <c r="K1202">
        <f>ТабПозиции[[#This Row],[discountPrice]]*ТабПозиции[[#This Row],[quantity]]</f>
        <v>145</v>
      </c>
      <c r="L1202" s="26">
        <v>153</v>
      </c>
      <c r="M1202">
        <f t="shared" si="23"/>
        <v>153</v>
      </c>
      <c r="O120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Row],[orderNum]],ТабПозиции[orderSumm])&gt;1500),ABS(M1202*VLOOKUP(ТабПозиции[[#This Row],[orderNum]],ТабЗаказы[#Data],MATCH("Percent",ТабЗаказы[#Headers],0),0))/100,200/COUNTIF(ТабПозиции[orderNum],ТабПозиции[[#This Row],[orderNum]])),0),"")</f>
        <v>15</v>
      </c>
      <c r="P1202">
        <f>IF(OR(ТабПозиции[[#This Row],[item]]="По штрихкоду",ТабПозиции[[#This Row],[item]]="Посылка"),ТабПозиции[[#This Row],[deliverySumm]]+ТабПозиции[[#This Row],[deliveryPost]],SUM(M1202:O1202))</f>
        <v>168</v>
      </c>
      <c r="Q1202" s="57">
        <v>168</v>
      </c>
      <c r="R1202" s="62">
        <f>ТабПозиции[[#This Row],[totalSumm]]-ТабПозиции[[#This Row],[payment]]</f>
        <v>0</v>
      </c>
      <c r="S1202" s="34" t="s">
        <v>965</v>
      </c>
      <c r="T1202" s="56" t="s">
        <v>3061</v>
      </c>
      <c r="U1202" s="56" t="str">
        <f>IF(AND(ТабПозиции[[#This Row],[Остаток]]=0,ТабПозиции[[#This Row],[ord]]="true"),"true","false")</f>
        <v>true</v>
      </c>
      <c r="V1202" s="56" t="s">
        <v>3061</v>
      </c>
      <c r="W1202" s="7"/>
      <c r="X1202"/>
    </row>
    <row r="1203" spans="1:24" x14ac:dyDescent="0.25">
      <c r="A1203" s="26">
        <v>324</v>
      </c>
      <c r="B1203" s="1">
        <f>IFERROR(VLOOKUP(ТабПозиции[[#This Row],[orderNum]],ТабЗаказы[#Data],MATCH(B$7,ТабЗаказы[#Headers],0),0),"")</f>
        <v>45599</v>
      </c>
      <c r="C1203" t="str">
        <f>MONTH(ТабПозиции[[#This Row],[date]])&amp;"/"&amp;YEAR(ТабПозиции[[#This Row],[date]])</f>
        <v>11/2024</v>
      </c>
      <c r="D1203" s="1" t="str">
        <f>IFERROR(VLOOKUP(ТабПозиции[[#This Row],[orderNum]],ТабЗаказы[#Data],MATCH(D$7,ТабЗаказы[#Headers],0),0),"")</f>
        <v>Валентина от Светланы</v>
      </c>
      <c r="E1203" s="32" t="s">
        <v>1803</v>
      </c>
      <c r="F1203" s="56" t="s">
        <v>3061</v>
      </c>
      <c r="H1203" s="34">
        <v>45601</v>
      </c>
      <c r="I1203" s="26">
        <v>1</v>
      </c>
      <c r="J1203" s="26">
        <v>147</v>
      </c>
      <c r="K1203">
        <f>ТабПозиции[[#This Row],[discountPrice]]*ТабПозиции[[#This Row],[quantity]]</f>
        <v>147</v>
      </c>
      <c r="L1203" s="26">
        <v>155</v>
      </c>
      <c r="M1203">
        <f t="shared" si="23"/>
        <v>155</v>
      </c>
      <c r="O120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Row],[orderNum]],ТабПозиции[orderSumm])&gt;1500),ABS(M1203*VLOOKUP(ТабПозиции[[#This Row],[orderNum]],ТабЗаказы[#Data],MATCH("Percent",ТабЗаказы[#Headers],0),0))/100,200/COUNTIF(ТабПозиции[orderNum],ТабПозиции[[#This Row],[orderNum]])),0),"")</f>
        <v>16</v>
      </c>
      <c r="P1203">
        <f>IF(OR(ТабПозиции[[#This Row],[item]]="По штрихкоду",ТабПозиции[[#This Row],[item]]="Посылка"),ТабПозиции[[#This Row],[deliverySumm]]+ТабПозиции[[#This Row],[deliveryPost]],SUM(M1203:O1203))</f>
        <v>171</v>
      </c>
      <c r="Q1203" s="57">
        <v>171</v>
      </c>
      <c r="R1203" s="62">
        <f>ТабПозиции[[#This Row],[totalSumm]]-ТабПозиции[[#This Row],[payment]]</f>
        <v>0</v>
      </c>
      <c r="S1203" s="34" t="s">
        <v>965</v>
      </c>
      <c r="T1203" s="56" t="s">
        <v>3061</v>
      </c>
      <c r="U1203" s="56" t="s">
        <v>3061</v>
      </c>
      <c r="V1203" s="56" t="s">
        <v>3061</v>
      </c>
      <c r="W1203" s="7"/>
      <c r="X1203"/>
    </row>
    <row r="1204" spans="1:24" x14ac:dyDescent="0.25">
      <c r="A1204" s="26">
        <v>324</v>
      </c>
      <c r="B1204" s="1">
        <f>IFERROR(VLOOKUP(ТабПозиции[[#This Row],[orderNum]],ТабЗаказы[#Data],MATCH(B$7,ТабЗаказы[#Headers],0),0),"")</f>
        <v>45599</v>
      </c>
      <c r="C1204" t="str">
        <f>MONTH(ТабПозиции[[#This Row],[date]])&amp;"/"&amp;YEAR(ТабПозиции[[#This Row],[date]])</f>
        <v>11/2024</v>
      </c>
      <c r="D1204" s="1" t="str">
        <f>IFERROR(VLOOKUP(ТабПозиции[[#This Row],[orderNum]],ТабЗаказы[#Data],MATCH(D$7,ТабЗаказы[#Headers],0),0),"")</f>
        <v>Валентина от Светланы</v>
      </c>
      <c r="E1204" s="32" t="s">
        <v>1804</v>
      </c>
      <c r="F1204" s="56" t="s">
        <v>3061</v>
      </c>
      <c r="H1204" s="34">
        <v>45603</v>
      </c>
      <c r="I1204" s="26">
        <v>1</v>
      </c>
      <c r="J1204" s="26">
        <v>69</v>
      </c>
      <c r="K1204">
        <f>ТабПозиции[[#This Row],[discountPrice]]*ТабПозиции[[#This Row],[quantity]]</f>
        <v>69</v>
      </c>
      <c r="L1204" s="26">
        <v>73</v>
      </c>
      <c r="M1204">
        <f t="shared" si="23"/>
        <v>73</v>
      </c>
      <c r="O120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Row],[orderNum]],ТабПозиции[orderSumm])&gt;1500),ABS(M1204*VLOOKUP(ТабПозиции[[#This Row],[orderNum]],ТабЗаказы[#Data],MATCH("Percent",ТабЗаказы[#Headers],0),0))/100,200/COUNTIF(ТабПозиции[orderNum],ТабПозиции[[#This Row],[orderNum]])),0),"")</f>
        <v>7</v>
      </c>
      <c r="P1204">
        <f>IF(OR(ТабПозиции[[#This Row],[item]]="По штрихкоду",ТабПозиции[[#This Row],[item]]="Посылка"),ТабПозиции[[#This Row],[deliverySumm]]+ТабПозиции[[#This Row],[deliveryPost]],SUM(M1204:O1204))</f>
        <v>80</v>
      </c>
      <c r="Q1204" s="57">
        <v>80</v>
      </c>
      <c r="R1204" s="62">
        <f>ТабПозиции[[#This Row],[totalSumm]]-ТабПозиции[[#This Row],[payment]]</f>
        <v>0</v>
      </c>
      <c r="S1204" s="34" t="s">
        <v>965</v>
      </c>
      <c r="T1204" s="56" t="s">
        <v>3061</v>
      </c>
      <c r="U1204" s="56" t="s">
        <v>3061</v>
      </c>
      <c r="V1204" s="56" t="s">
        <v>3061</v>
      </c>
      <c r="W1204" s="7"/>
      <c r="X1204"/>
    </row>
    <row r="1205" spans="1:24" x14ac:dyDescent="0.25">
      <c r="A1205" s="26">
        <v>324</v>
      </c>
      <c r="B1205" s="1">
        <f>IFERROR(VLOOKUP(ТабПозиции[[#This Row],[orderNum]],ТабЗаказы[#Data],MATCH(B$7,ТабЗаказы[#Headers],0),0),"")</f>
        <v>45599</v>
      </c>
      <c r="C1205" t="str">
        <f>MONTH(ТабПозиции[[#This Row],[date]])&amp;"/"&amp;YEAR(ТабПозиции[[#This Row],[date]])</f>
        <v>11/2024</v>
      </c>
      <c r="D1205" s="1" t="str">
        <f>IFERROR(VLOOKUP(ТабПозиции[[#This Row],[orderNum]],ТабЗаказы[#Data],MATCH(D$7,ТабЗаказы[#Headers],0),0),"")</f>
        <v>Валентина от Светланы</v>
      </c>
      <c r="E1205" s="32" t="s">
        <v>1805</v>
      </c>
      <c r="F1205" s="56" t="s">
        <v>3061</v>
      </c>
      <c r="H1205" s="34">
        <v>45601</v>
      </c>
      <c r="I1205" s="26">
        <v>1</v>
      </c>
      <c r="J1205" s="26">
        <v>267</v>
      </c>
      <c r="K1205">
        <f>ТабПозиции[[#This Row],[discountPrice]]*ТабПозиции[[#This Row],[quantity]]</f>
        <v>267</v>
      </c>
      <c r="L1205" s="26">
        <v>282</v>
      </c>
      <c r="M1205">
        <f t="shared" si="23"/>
        <v>282</v>
      </c>
      <c r="O120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Row],[orderNum]],ТабПозиции[orderSumm])&gt;1500),ABS(M1205*VLOOKUP(ТабПозиции[[#This Row],[orderNum]],ТабЗаказы[#Data],MATCH("Percent",ТабЗаказы[#Headers],0),0))/100,200/COUNTIF(ТабПозиции[orderNum],ТабПозиции[[#This Row],[orderNum]])),0),"")</f>
        <v>28</v>
      </c>
      <c r="P1205">
        <f>IF(OR(ТабПозиции[[#This Row],[item]]="По штрихкоду",ТабПозиции[[#This Row],[item]]="Посылка"),ТабПозиции[[#This Row],[deliverySumm]]+ТабПозиции[[#This Row],[deliveryPost]],SUM(M1205:O1205))</f>
        <v>310</v>
      </c>
      <c r="Q1205" s="57">
        <v>310</v>
      </c>
      <c r="R1205" s="62">
        <f>ТабПозиции[[#This Row],[totalSumm]]-ТабПозиции[[#This Row],[payment]]</f>
        <v>0</v>
      </c>
      <c r="S1205" s="34" t="s">
        <v>965</v>
      </c>
      <c r="T1205" s="56" t="s">
        <v>3061</v>
      </c>
      <c r="U1205" s="56" t="s">
        <v>3061</v>
      </c>
      <c r="V1205" s="56" t="s">
        <v>3061</v>
      </c>
      <c r="W1205" s="7"/>
      <c r="X1205"/>
    </row>
    <row r="1206" spans="1:24" x14ac:dyDescent="0.25">
      <c r="A1206" s="26">
        <v>324</v>
      </c>
      <c r="B1206" s="1">
        <f>IFERROR(VLOOKUP(ТабПозиции[[#This Row],[orderNum]],ТабЗаказы[#Data],MATCH(B$7,ТабЗаказы[#Headers],0),0),"")</f>
        <v>45599</v>
      </c>
      <c r="C1206" t="str">
        <f>MONTH(ТабПозиции[[#This Row],[date]])&amp;"/"&amp;YEAR(ТабПозиции[[#This Row],[date]])</f>
        <v>11/2024</v>
      </c>
      <c r="D1206" s="1" t="str">
        <f>IFERROR(VLOOKUP(ТабПозиции[[#This Row],[orderNum]],ТабЗаказы[#Data],MATCH(D$7,ТабЗаказы[#Headers],0),0),"")</f>
        <v>Валентина от Светланы</v>
      </c>
      <c r="E1206" s="32" t="s">
        <v>1806</v>
      </c>
      <c r="F1206" s="56" t="s">
        <v>3061</v>
      </c>
      <c r="H1206" s="34">
        <v>45601</v>
      </c>
      <c r="I1206" s="26">
        <v>1</v>
      </c>
      <c r="J1206" s="26">
        <v>267</v>
      </c>
      <c r="K1206">
        <f>ТабПозиции[[#This Row],[discountPrice]]*ТабПозиции[[#This Row],[quantity]]</f>
        <v>267</v>
      </c>
      <c r="L1206" s="26">
        <v>282</v>
      </c>
      <c r="M1206">
        <f t="shared" si="23"/>
        <v>282</v>
      </c>
      <c r="O120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Row],[orderNum]],ТабПозиции[orderSumm])&gt;1500),ABS(M1206*VLOOKUP(ТабПозиции[[#This Row],[orderNum]],ТабЗаказы[#Data],MATCH("Percent",ТабЗаказы[#Headers],0),0))/100,200/COUNTIF(ТабПозиции[orderNum],ТабПозиции[[#This Row],[orderNum]])),0),"")</f>
        <v>28</v>
      </c>
      <c r="P1206">
        <f>IF(OR(ТабПозиции[[#This Row],[item]]="По штрихкоду",ТабПозиции[[#This Row],[item]]="Посылка"),ТабПозиции[[#This Row],[deliverySumm]]+ТабПозиции[[#This Row],[deliveryPost]],SUM(M1206:O1206))</f>
        <v>310</v>
      </c>
      <c r="Q1206" s="57">
        <v>310</v>
      </c>
      <c r="R1206" s="62">
        <f>ТабПозиции[[#This Row],[totalSumm]]-ТабПозиции[[#This Row],[payment]]</f>
        <v>0</v>
      </c>
      <c r="S1206" s="34" t="s">
        <v>965</v>
      </c>
      <c r="T1206" s="56" t="s">
        <v>3061</v>
      </c>
      <c r="U1206" s="56" t="s">
        <v>3061</v>
      </c>
      <c r="V1206" s="56" t="s">
        <v>3061</v>
      </c>
      <c r="W1206" s="7"/>
      <c r="X1206"/>
    </row>
    <row r="1207" spans="1:24" x14ac:dyDescent="0.25">
      <c r="A1207" s="26">
        <v>324</v>
      </c>
      <c r="B1207" s="1">
        <f>IFERROR(VLOOKUP(ТабПозиции[[#This Row],[orderNum]],ТабЗаказы[#Data],MATCH(B$7,ТабЗаказы[#Headers],0),0),"")</f>
        <v>45599</v>
      </c>
      <c r="C1207" t="str">
        <f>MONTH(ТабПозиции[[#This Row],[date]])&amp;"/"&amp;YEAR(ТабПозиции[[#This Row],[date]])</f>
        <v>11/2024</v>
      </c>
      <c r="D1207" s="1" t="str">
        <f>IFERROR(VLOOKUP(ТабПозиции[[#This Row],[orderNum]],ТабЗаказы[#Data],MATCH(D$7,ТабЗаказы[#Headers],0),0),"")</f>
        <v>Валентина от Светланы</v>
      </c>
      <c r="E1207" s="32" t="s">
        <v>1807</v>
      </c>
      <c r="F1207" s="56" t="s">
        <v>3061</v>
      </c>
      <c r="H1207" s="34">
        <v>45603</v>
      </c>
      <c r="I1207" s="26">
        <v>1</v>
      </c>
      <c r="J1207" s="26">
        <v>222</v>
      </c>
      <c r="K1207">
        <f>ТабПозиции[[#This Row],[discountPrice]]*ТабПозиции[[#This Row],[quantity]]</f>
        <v>222</v>
      </c>
      <c r="L1207" s="26">
        <v>234</v>
      </c>
      <c r="M1207">
        <f t="shared" si="23"/>
        <v>234</v>
      </c>
      <c r="O120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Row],[orderNum]],ТабПозиции[orderSumm])&gt;1500),ABS(M1207*VLOOKUP(ТабПозиции[[#This Row],[orderNum]],ТабЗаказы[#Data],MATCH("Percent",ТабЗаказы[#Headers],0),0))/100,200/COUNTIF(ТабПозиции[orderNum],ТабПозиции[[#This Row],[orderNum]])),0),"")</f>
        <v>23</v>
      </c>
      <c r="P1207">
        <f>IF(OR(ТабПозиции[[#This Row],[item]]="По штрихкоду",ТабПозиции[[#This Row],[item]]="Посылка"),ТабПозиции[[#This Row],[deliverySumm]]+ТабПозиции[[#This Row],[deliveryPost]],SUM(M1207:O1207))</f>
        <v>257</v>
      </c>
      <c r="Q1207" s="57">
        <v>257</v>
      </c>
      <c r="R1207" s="62">
        <f>ТабПозиции[[#This Row],[totalSumm]]-ТабПозиции[[#This Row],[payment]]</f>
        <v>0</v>
      </c>
      <c r="S1207" s="34" t="s">
        <v>965</v>
      </c>
      <c r="T1207" s="56" t="s">
        <v>3061</v>
      </c>
      <c r="U1207" s="56" t="s">
        <v>3061</v>
      </c>
      <c r="V1207" s="56" t="s">
        <v>3061</v>
      </c>
      <c r="W1207" s="7"/>
      <c r="X1207"/>
    </row>
    <row r="1208" spans="1:24" x14ac:dyDescent="0.25">
      <c r="A1208" s="26">
        <v>323</v>
      </c>
      <c r="B1208" s="1">
        <f>IFERROR(VLOOKUP(ТабПозиции[[#This Row],[orderNum]],ТабЗаказы[#Data],MATCH(B$7,ТабЗаказы[#Headers],0),0),"")</f>
        <v>45598</v>
      </c>
      <c r="C1208" t="str">
        <f>MONTH(ТабПозиции[[#This Row],[date]])&amp;"/"&amp;YEAR(ТабПозиции[[#This Row],[date]])</f>
        <v>11/2024</v>
      </c>
      <c r="D1208" s="1" t="str">
        <f>IFERROR(VLOOKUP(ТабПозиции[[#This Row],[orderNum]],ТабЗаказы[#Data],MATCH(D$7,ТабЗаказы[#Headers],0),0),"")</f>
        <v>Михаил Куприна</v>
      </c>
      <c r="E1208" s="32" t="s">
        <v>1811</v>
      </c>
      <c r="F1208" s="56" t="s">
        <v>3061</v>
      </c>
      <c r="G1208" s="28" t="s">
        <v>1892</v>
      </c>
      <c r="H1208" s="34">
        <v>45605</v>
      </c>
      <c r="I1208" s="26">
        <v>1</v>
      </c>
      <c r="J1208" s="26">
        <v>1894</v>
      </c>
      <c r="K1208">
        <f>ТабПозиции[[#This Row],[discountPrice]]*ТабПозиции[[#This Row],[quantity]]</f>
        <v>1894</v>
      </c>
      <c r="L1208" s="26">
        <v>2038</v>
      </c>
      <c r="M1208">
        <f t="shared" si="23"/>
        <v>2038</v>
      </c>
      <c r="O120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Row],[orderNum]],ТабПозиции[orderSumm])&gt;1500),ABS(M1208*VLOOKUP(ТабПозиции[[#This Row],[orderNum]],ТабЗаказы[#Data],MATCH("Percent",ТабЗаказы[#Headers],0),0))/100,200/COUNTIF(ТабПозиции[orderNum],ТабПозиции[[#This Row],[orderNum]])),0),"")</f>
        <v>204</v>
      </c>
      <c r="P1208">
        <f>IF(OR(ТабПозиции[[#This Row],[item]]="По штрихкоду",ТабПозиции[[#This Row],[item]]="Посылка"),ТабПозиции[[#This Row],[deliverySumm]]+ТабПозиции[[#This Row],[deliveryPost]],SUM(M1208:O1208))</f>
        <v>2242</v>
      </c>
      <c r="Q1208" s="57">
        <v>2242</v>
      </c>
      <c r="R1208" s="62">
        <f>ТабПозиции[[#This Row],[totalSumm]]-ТабПозиции[[#This Row],[payment]]</f>
        <v>0</v>
      </c>
      <c r="S1208" s="34" t="s">
        <v>1016</v>
      </c>
      <c r="T1208" s="56" t="s">
        <v>3061</v>
      </c>
      <c r="U1208" s="56" t="str">
        <f>IF(AND(ТабПозиции[[#This Row],[Остаток]]=0,ТабПозиции[[#This Row],[ord]]="true"),"true","false")</f>
        <v>true</v>
      </c>
      <c r="V1208" s="56" t="s">
        <v>3061</v>
      </c>
      <c r="W1208" s="7"/>
      <c r="X1208"/>
    </row>
    <row r="1209" spans="1:24" x14ac:dyDescent="0.25">
      <c r="A1209" s="26">
        <v>323</v>
      </c>
      <c r="B1209" s="1">
        <f>IFERROR(VLOOKUP(ТабПозиции[[#This Row],[orderNum]],ТабЗаказы[#Data],MATCH(B$7,ТабЗаказы[#Headers],0),0),"")</f>
        <v>45598</v>
      </c>
      <c r="C1209" t="str">
        <f>MONTH(ТабПозиции[[#This Row],[date]])&amp;"/"&amp;YEAR(ТабПозиции[[#This Row],[date]])</f>
        <v>11/2024</v>
      </c>
      <c r="D1209" s="1" t="str">
        <f>IFERROR(VLOOKUP(ТабПозиции[[#This Row],[orderNum]],ТабЗаказы[#Data],MATCH(D$7,ТабЗаказы[#Headers],0),0),"")</f>
        <v>Михаил Куприна</v>
      </c>
      <c r="E1209" s="32" t="s">
        <v>1208</v>
      </c>
      <c r="F1209" s="56" t="s">
        <v>3061</v>
      </c>
      <c r="H1209" s="34">
        <v>45604</v>
      </c>
      <c r="I1209" s="26">
        <v>1</v>
      </c>
      <c r="J1209" s="26">
        <v>383</v>
      </c>
      <c r="K1209">
        <f>ТабПозиции[[#This Row],[discountPrice]]*ТабПозиции[[#This Row],[quantity]]</f>
        <v>383</v>
      </c>
      <c r="L1209" s="26">
        <v>418</v>
      </c>
      <c r="M1209">
        <f t="shared" si="23"/>
        <v>418</v>
      </c>
      <c r="O120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Row],[orderNum]],ТабПозиции[orderSumm])&gt;1500),ABS(M1209*VLOOKUP(ТабПозиции[[#This Row],[orderNum]],ТабЗаказы[#Data],MATCH("Percent",ТабЗаказы[#Headers],0),0))/100,200/COUNTIF(ТабПозиции[orderNum],ТабПозиции[[#This Row],[orderNum]])),0),"")</f>
        <v>42</v>
      </c>
      <c r="P1209">
        <f>IF(OR(ТабПозиции[[#This Row],[item]]="По штрихкоду",ТабПозиции[[#This Row],[item]]="Посылка"),ТабПозиции[[#This Row],[deliverySumm]]+ТабПозиции[[#This Row],[deliveryPost]],SUM(M1209:O1209))</f>
        <v>460</v>
      </c>
      <c r="Q1209" s="57">
        <v>460</v>
      </c>
      <c r="R1209" s="62">
        <f>ТабПозиции[[#This Row],[totalSumm]]-ТабПозиции[[#This Row],[payment]]</f>
        <v>0</v>
      </c>
      <c r="S1209" s="34" t="s">
        <v>955</v>
      </c>
      <c r="T1209" s="56" t="s">
        <v>3061</v>
      </c>
      <c r="U1209" s="56" t="str">
        <f>IF(AND(ТабПозиции[[#This Row],[Остаток]]=0,ТабПозиции[[#This Row],[ord]]="true"),"true","false")</f>
        <v>true</v>
      </c>
      <c r="V1209" s="56" t="s">
        <v>3061</v>
      </c>
      <c r="W1209" s="7"/>
      <c r="X1209"/>
    </row>
    <row r="1210" spans="1:24" x14ac:dyDescent="0.25">
      <c r="A1210" s="26">
        <v>323</v>
      </c>
      <c r="B1210" s="1">
        <f>IFERROR(VLOOKUP(ТабПозиции[[#This Row],[orderNum]],ТабЗаказы[#Data],MATCH(B$7,ТабЗаказы[#Headers],0),0),"")</f>
        <v>45598</v>
      </c>
      <c r="C1210" t="str">
        <f>MONTH(ТабПозиции[[#This Row],[date]])&amp;"/"&amp;YEAR(ТабПозиции[[#This Row],[date]])</f>
        <v>11/2024</v>
      </c>
      <c r="D1210" s="1" t="str">
        <f>IFERROR(VLOOKUP(ТабПозиции[[#This Row],[orderNum]],ТабЗаказы[#Data],MATCH(D$7,ТабЗаказы[#Headers],0),0),"")</f>
        <v>Михаил Куприна</v>
      </c>
      <c r="E1210" s="32" t="s">
        <v>1812</v>
      </c>
      <c r="F1210" s="56" t="s">
        <v>3061</v>
      </c>
      <c r="H1210" s="34">
        <v>45602</v>
      </c>
      <c r="I1210" s="26">
        <v>1</v>
      </c>
      <c r="J1210" s="26">
        <v>1943</v>
      </c>
      <c r="K1210">
        <f>ТабПозиции[[#This Row],[discountPrice]]*ТабПозиции[[#This Row],[quantity]]</f>
        <v>1943</v>
      </c>
      <c r="L1210" s="26">
        <v>2111</v>
      </c>
      <c r="M1210">
        <f t="shared" si="23"/>
        <v>2111</v>
      </c>
      <c r="O121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Row],[orderNum]],ТабПозиции[orderSumm])&gt;1500),ABS(M1210*VLOOKUP(ТабПозиции[[#This Row],[orderNum]],ТабЗаказы[#Data],MATCH("Percent",ТабЗаказы[#Headers],0),0))/100,200/COUNTIF(ТабПозиции[orderNum],ТабПозиции[[#This Row],[orderNum]])),0),"")</f>
        <v>211</v>
      </c>
      <c r="P1210">
        <f>IF(OR(ТабПозиции[[#This Row],[item]]="По штрихкоду",ТабПозиции[[#This Row],[item]]="Посылка"),ТабПозиции[[#This Row],[deliverySumm]]+ТабПозиции[[#This Row],[deliveryPost]],SUM(M1210:O1210))</f>
        <v>2322</v>
      </c>
      <c r="Q1210" s="57">
        <v>2322</v>
      </c>
      <c r="R1210" s="62">
        <f>ТабПозиции[[#This Row],[totalSumm]]-ТабПозиции[[#This Row],[payment]]</f>
        <v>0</v>
      </c>
      <c r="S1210" s="34" t="s">
        <v>955</v>
      </c>
      <c r="T1210" s="56" t="s">
        <v>3061</v>
      </c>
      <c r="U1210" s="56" t="s">
        <v>3061</v>
      </c>
      <c r="V1210" s="56" t="s">
        <v>3061</v>
      </c>
      <c r="W1210" s="7"/>
      <c r="X1210"/>
    </row>
    <row r="1211" spans="1:24" x14ac:dyDescent="0.25">
      <c r="A1211" s="26">
        <v>323</v>
      </c>
      <c r="B1211" s="1">
        <f>IFERROR(VLOOKUP(ТабПозиции[[#This Row],[orderNum]],ТабЗаказы[#Data],MATCH(B$7,ТабЗаказы[#Headers],0),0),"")</f>
        <v>45598</v>
      </c>
      <c r="C1211" t="str">
        <f>MONTH(ТабПозиции[[#This Row],[date]])&amp;"/"&amp;YEAR(ТабПозиции[[#This Row],[date]])</f>
        <v>11/2024</v>
      </c>
      <c r="D1211" s="1" t="str">
        <f>IFERROR(VLOOKUP(ТабПозиции[[#This Row],[orderNum]],ТабЗаказы[#Data],MATCH(D$7,ТабЗаказы[#Headers],0),0),"")</f>
        <v>Михаил Куприна</v>
      </c>
      <c r="E1211" s="32" t="s">
        <v>1813</v>
      </c>
      <c r="F1211" s="56" t="s">
        <v>3061</v>
      </c>
      <c r="H1211" s="34">
        <v>45602</v>
      </c>
      <c r="I1211" s="26">
        <v>1</v>
      </c>
      <c r="J1211" s="26">
        <v>385</v>
      </c>
      <c r="K1211">
        <f>ТабПозиции[[#This Row],[discountPrice]]*ТабПозиции[[#This Row],[quantity]]</f>
        <v>385</v>
      </c>
      <c r="L1211" s="26">
        <v>416</v>
      </c>
      <c r="M1211">
        <f t="shared" si="23"/>
        <v>416</v>
      </c>
      <c r="O121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Row],[orderNum]],ТабПозиции[orderSumm])&gt;1500),ABS(M1211*VLOOKUP(ТабПозиции[[#This Row],[orderNum]],ТабЗаказы[#Data],MATCH("Percent",ТабЗаказы[#Headers],0),0))/100,200/COUNTIF(ТабПозиции[orderNum],ТабПозиции[[#This Row],[orderNum]])),0),"")</f>
        <v>42</v>
      </c>
      <c r="P1211">
        <f>IF(OR(ТабПозиции[[#This Row],[item]]="По штрихкоду",ТабПозиции[[#This Row],[item]]="Посылка"),ТабПозиции[[#This Row],[deliverySumm]]+ТабПозиции[[#This Row],[deliveryPost]],SUM(M1211:O1211))</f>
        <v>458</v>
      </c>
      <c r="Q1211" s="57">
        <v>458</v>
      </c>
      <c r="R1211" s="62">
        <f>ТабПозиции[[#This Row],[totalSumm]]-ТабПозиции[[#This Row],[payment]]</f>
        <v>0</v>
      </c>
      <c r="S1211" s="34" t="s">
        <v>955</v>
      </c>
      <c r="T1211" s="56" t="s">
        <v>3061</v>
      </c>
      <c r="U1211" s="56" t="s">
        <v>3061</v>
      </c>
      <c r="V1211" s="56" t="s">
        <v>3061</v>
      </c>
      <c r="W1211" s="7"/>
      <c r="X1211"/>
    </row>
    <row r="1212" spans="1:24" x14ac:dyDescent="0.25">
      <c r="A1212" s="26">
        <v>323</v>
      </c>
      <c r="B1212" s="1">
        <f>IFERROR(VLOOKUP(ТабПозиции[[#This Row],[orderNum]],ТабЗаказы[#Data],MATCH(B$7,ТабЗаказы[#Headers],0),0),"")</f>
        <v>45598</v>
      </c>
      <c r="C1212" t="str">
        <f>MONTH(ТабПозиции[[#This Row],[date]])&amp;"/"&amp;YEAR(ТабПозиции[[#This Row],[date]])</f>
        <v>11/2024</v>
      </c>
      <c r="D1212" s="1" t="str">
        <f>IFERROR(VLOOKUP(ТабПозиции[[#This Row],[orderNum]],ТабЗаказы[#Data],MATCH(D$7,ТабЗаказы[#Headers],0),0),"")</f>
        <v>Михаил Куприна</v>
      </c>
      <c r="E1212" s="32" t="s">
        <v>1814</v>
      </c>
      <c r="F1212" s="56" t="s">
        <v>3061</v>
      </c>
      <c r="H1212" s="34">
        <v>45605</v>
      </c>
      <c r="I1212" s="26">
        <v>1</v>
      </c>
      <c r="J1212" s="26">
        <v>595</v>
      </c>
      <c r="K1212">
        <f>ТабПозиции[[#This Row],[discountPrice]]*ТабПозиции[[#This Row],[quantity]]</f>
        <v>595</v>
      </c>
      <c r="L1212" s="26">
        <v>638</v>
      </c>
      <c r="M1212">
        <f t="shared" si="23"/>
        <v>638</v>
      </c>
      <c r="O121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Row],[orderNum]],ТабПозиции[orderSumm])&gt;1500),ABS(M1212*VLOOKUP(ТабПозиции[[#This Row],[orderNum]],ТабЗаказы[#Data],MATCH("Percent",ТабЗаказы[#Headers],0),0))/100,200/COUNTIF(ТабПозиции[orderNum],ТабПозиции[[#This Row],[orderNum]])),0),"")</f>
        <v>64</v>
      </c>
      <c r="P1212">
        <f>IF(OR(ТабПозиции[[#This Row],[item]]="По штрихкоду",ТабПозиции[[#This Row],[item]]="Посылка"),ТабПозиции[[#This Row],[deliverySumm]]+ТабПозиции[[#This Row],[deliveryPost]],SUM(M1212:O1212))</f>
        <v>702</v>
      </c>
      <c r="Q1212" s="57">
        <v>702</v>
      </c>
      <c r="R1212" s="62">
        <f>ТабПозиции[[#This Row],[totalSumm]]-ТабПозиции[[#This Row],[payment]]</f>
        <v>0</v>
      </c>
      <c r="S1212" s="34" t="s">
        <v>955</v>
      </c>
      <c r="T1212" s="56" t="s">
        <v>3061</v>
      </c>
      <c r="U1212" s="56" t="str">
        <f>IF(AND(ТабПозиции[[#This Row],[Остаток]]=0,ТабПозиции[[#This Row],[ord]]="true"),"true","false")</f>
        <v>true</v>
      </c>
      <c r="V1212" s="56" t="s">
        <v>3061</v>
      </c>
      <c r="W1212" s="7"/>
      <c r="X1212"/>
    </row>
    <row r="1213" spans="1:24" x14ac:dyDescent="0.25">
      <c r="A1213" s="26">
        <v>323</v>
      </c>
      <c r="B1213" s="1">
        <f>IFERROR(VLOOKUP(ТабПозиции[[#This Row],[orderNum]],ТабЗаказы[#Data],MATCH(B$7,ТабЗаказы[#Headers],0),0),"")</f>
        <v>45598</v>
      </c>
      <c r="C1213" t="str">
        <f>MONTH(ТабПозиции[[#This Row],[date]])&amp;"/"&amp;YEAR(ТабПозиции[[#This Row],[date]])</f>
        <v>11/2024</v>
      </c>
      <c r="D1213" s="1" t="str">
        <f>IFERROR(VLOOKUP(ТабПозиции[[#This Row],[orderNum]],ТабЗаказы[#Data],MATCH(D$7,ТабЗаказы[#Headers],0),0),"")</f>
        <v>Михаил Куприна</v>
      </c>
      <c r="E1213" s="32" t="s">
        <v>1815</v>
      </c>
      <c r="F1213" s="56" t="s">
        <v>3061</v>
      </c>
      <c r="H1213" s="34">
        <v>45604</v>
      </c>
      <c r="I1213" s="26">
        <v>1</v>
      </c>
      <c r="J1213" s="26">
        <v>532</v>
      </c>
      <c r="K1213">
        <f>ТабПозиции[[#This Row],[discountPrice]]*ТабПозиции[[#This Row],[quantity]]</f>
        <v>532</v>
      </c>
      <c r="L1213" s="26">
        <v>571</v>
      </c>
      <c r="M1213">
        <f t="shared" si="23"/>
        <v>571</v>
      </c>
      <c r="O121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Row],[orderNum]],ТабПозиции[orderSumm])&gt;1500),ABS(M1213*VLOOKUP(ТабПозиции[[#This Row],[orderNum]],ТабЗаказы[#Data],MATCH("Percent",ТабЗаказы[#Headers],0),0))/100,200/COUNTIF(ТабПозиции[orderNum],ТабПозиции[[#This Row],[orderNum]])),0),"")</f>
        <v>57</v>
      </c>
      <c r="P1213">
        <f>IF(OR(ТабПозиции[[#This Row],[item]]="По штрихкоду",ТабПозиции[[#This Row],[item]]="Посылка"),ТабПозиции[[#This Row],[deliverySumm]]+ТабПозиции[[#This Row],[deliveryPost]],SUM(M1213:O1213))</f>
        <v>628</v>
      </c>
      <c r="Q1213" s="57">
        <v>628</v>
      </c>
      <c r="R1213" s="62">
        <f>ТабПозиции[[#This Row],[totalSumm]]-ТабПозиции[[#This Row],[payment]]</f>
        <v>0</v>
      </c>
      <c r="S1213" s="34" t="s">
        <v>955</v>
      </c>
      <c r="T1213" s="56" t="s">
        <v>3061</v>
      </c>
      <c r="U1213" s="56" t="str">
        <f>IF(AND(ТабПозиции[[#This Row],[Остаток]]=0,ТабПозиции[[#This Row],[ord]]="true"),"true","false")</f>
        <v>true</v>
      </c>
      <c r="V1213" s="56" t="s">
        <v>3061</v>
      </c>
      <c r="W1213" s="7"/>
      <c r="X1213"/>
    </row>
    <row r="1214" spans="1:24" x14ac:dyDescent="0.25">
      <c r="A1214" s="26">
        <v>323</v>
      </c>
      <c r="B1214" s="1">
        <f>IFERROR(VLOOKUP(ТабПозиции[[#This Row],[orderNum]],ТабЗаказы[#Data],MATCH(B$7,ТабЗаказы[#Headers],0),0),"")</f>
        <v>45598</v>
      </c>
      <c r="C1214" t="str">
        <f>MONTH(ТабПозиции[[#This Row],[date]])&amp;"/"&amp;YEAR(ТабПозиции[[#This Row],[date]])</f>
        <v>11/2024</v>
      </c>
      <c r="D1214" s="1" t="str">
        <f>IFERROR(VLOOKUP(ТабПозиции[[#This Row],[orderNum]],ТабЗаказы[#Data],MATCH(D$7,ТабЗаказы[#Headers],0),0),"")</f>
        <v>Михаил Куприна</v>
      </c>
      <c r="E1214" s="32" t="s">
        <v>1816</v>
      </c>
      <c r="F1214" s="56" t="s">
        <v>3061</v>
      </c>
      <c r="H1214" s="34">
        <v>45604</v>
      </c>
      <c r="I1214" s="26">
        <v>1</v>
      </c>
      <c r="J1214" s="26">
        <v>924</v>
      </c>
      <c r="K1214">
        <f>ТабПозиции[[#This Row],[discountPrice]]*ТабПозиции[[#This Row],[quantity]]</f>
        <v>924</v>
      </c>
      <c r="L1214" s="26">
        <v>991</v>
      </c>
      <c r="M1214">
        <f t="shared" si="23"/>
        <v>991</v>
      </c>
      <c r="O121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Row],[orderNum]],ТабПозиции[orderSumm])&gt;1500),ABS(M1214*VLOOKUP(ТабПозиции[[#This Row],[orderNum]],ТабЗаказы[#Data],MATCH("Percent",ТабЗаказы[#Headers],0),0))/100,200/COUNTIF(ТабПозиции[orderNum],ТабПозиции[[#This Row],[orderNum]])),0),"")</f>
        <v>99</v>
      </c>
      <c r="P1214">
        <f>IF(OR(ТабПозиции[[#This Row],[item]]="По штрихкоду",ТабПозиции[[#This Row],[item]]="Посылка"),ТабПозиции[[#This Row],[deliverySumm]]+ТабПозиции[[#This Row],[deliveryPost]],SUM(M1214:O1214))</f>
        <v>1090</v>
      </c>
      <c r="Q1214" s="57">
        <v>1090</v>
      </c>
      <c r="R1214" s="62">
        <f>ТабПозиции[[#This Row],[totalSumm]]-ТабПозиции[[#This Row],[payment]]</f>
        <v>0</v>
      </c>
      <c r="S1214" s="34" t="s">
        <v>955</v>
      </c>
      <c r="T1214" s="56" t="s">
        <v>3061</v>
      </c>
      <c r="U1214" s="56" t="s">
        <v>3061</v>
      </c>
      <c r="V1214" s="56" t="s">
        <v>3061</v>
      </c>
      <c r="W1214" s="7"/>
      <c r="X1214"/>
    </row>
    <row r="1215" spans="1:24" x14ac:dyDescent="0.25">
      <c r="A1215" s="26">
        <v>327</v>
      </c>
      <c r="B1215" s="1">
        <f>IFERROR(VLOOKUP(ТабПозиции[[#This Row],[orderNum]],ТабЗаказы[#Data],MATCH(B$7,ТабЗаказы[#Headers],0),0),"")</f>
        <v>45604</v>
      </c>
      <c r="C1215" t="str">
        <f>MONTH(ТабПозиции[[#This Row],[date]])&amp;"/"&amp;YEAR(ТабПозиции[[#This Row],[date]])</f>
        <v>11/2024</v>
      </c>
      <c r="D1215" s="1" t="str">
        <f>IFERROR(VLOOKUP(ТабПозиции[[#This Row],[orderNum]],ТабЗаказы[#Data],MATCH(D$7,ТабЗаказы[#Headers],0),0),"")</f>
        <v>Елена сахар</v>
      </c>
      <c r="E1215" s="26" t="s">
        <v>815</v>
      </c>
      <c r="F1215" s="56" t="s">
        <v>3061</v>
      </c>
      <c r="G1215" s="28" t="s">
        <v>1782</v>
      </c>
      <c r="H1215" s="34">
        <v>45604</v>
      </c>
      <c r="I1215" s="26">
        <v>1</v>
      </c>
      <c r="J1215" s="26">
        <v>25600</v>
      </c>
      <c r="K1215">
        <f>ТабПозиции[[#This Row],[discountPrice]]*ТабПозиции[[#This Row],[quantity]]</f>
        <v>25600</v>
      </c>
      <c r="L1215" s="26">
        <v>25600</v>
      </c>
      <c r="M1215">
        <f t="shared" si="23"/>
        <v>25600</v>
      </c>
      <c r="O121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Row],[orderNum]],ТабПозиции[orderSumm])&gt;1500),ABS(M1215*VLOOKUP(ТабПозиции[[#This Row],[orderNum]],ТабЗаказы[#Data],MATCH("Percent",ТабЗаказы[#Headers],0),0))/100,200/COUNTIF(ТабПозиции[orderNum],ТабПозиции[[#This Row],[orderNum]])),0),"")</f>
        <v>2560</v>
      </c>
      <c r="P1215">
        <f>IF(OR(ТабПозиции[[#This Row],[item]]="По штрихкоду",ТабПозиции[[#This Row],[item]]="Посылка"),ТабПозиции[[#This Row],[deliverySumm]]+ТабПозиции[[#This Row],[deliveryPost]],SUM(M1215:O1215))</f>
        <v>2560</v>
      </c>
      <c r="Q1215" s="57">
        <v>2560</v>
      </c>
      <c r="R1215" s="62">
        <f>ТабПозиции[[#This Row],[totalSumm]]-ТабПозиции[[#This Row],[payment]]</f>
        <v>0</v>
      </c>
      <c r="S1215" s="34" t="s">
        <v>1016</v>
      </c>
      <c r="T1215" s="56" t="s">
        <v>3061</v>
      </c>
      <c r="U1215" s="56" t="s">
        <v>3061</v>
      </c>
      <c r="V1215" s="56" t="s">
        <v>3061</v>
      </c>
      <c r="W1215" s="7"/>
      <c r="X1215"/>
    </row>
    <row r="1216" spans="1:24" x14ac:dyDescent="0.25">
      <c r="A1216" s="26">
        <v>328</v>
      </c>
      <c r="B1216" s="1">
        <f>IFERROR(VLOOKUP(ТабПозиции[[#This Row],[orderNum]],ТабЗаказы[#Data],MATCH(B$7,ТабЗаказы[#Headers],0),0),"")</f>
        <v>45604</v>
      </c>
      <c r="C1216" t="str">
        <f>MONTH(ТабПозиции[[#This Row],[date]])&amp;"/"&amp;YEAR(ТабПозиции[[#This Row],[date]])</f>
        <v>11/2024</v>
      </c>
      <c r="D1216" s="1" t="str">
        <f>IFERROR(VLOOKUP(ТабПозиции[[#This Row],[orderNum]],ТабЗаказы[#Data],MATCH(D$7,ТабЗаказы[#Headers],0),0),"")</f>
        <v>Александр Радин</v>
      </c>
      <c r="E1216" s="26" t="s">
        <v>815</v>
      </c>
      <c r="F1216" s="56" t="s">
        <v>3061</v>
      </c>
      <c r="G1216" s="28" t="s">
        <v>1817</v>
      </c>
      <c r="H1216" s="34">
        <v>45604</v>
      </c>
      <c r="I1216" s="26">
        <v>1</v>
      </c>
      <c r="J1216" s="26">
        <v>15000</v>
      </c>
      <c r="K1216">
        <f>ТабПозиции[[#This Row],[discountPrice]]*ТабПозиции[[#This Row],[quantity]]</f>
        <v>15000</v>
      </c>
      <c r="L1216" s="26">
        <v>15000</v>
      </c>
      <c r="M1216">
        <f t="shared" si="23"/>
        <v>15000</v>
      </c>
      <c r="O121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Row],[orderNum]],ТабПозиции[orderSumm])&gt;1500),ABS(M1216*VLOOKUP(ТабПозиции[[#This Row],[orderNum]],ТабЗаказы[#Data],MATCH("Percent",ТабЗаказы[#Headers],0),0))/100,200/COUNTIF(ТабПозиции[orderNum],ТабПозиции[[#This Row],[orderNum]])),0),"")</f>
        <v>1500</v>
      </c>
      <c r="P1216">
        <f>IF(OR(ТабПозиции[[#This Row],[item]]="По штрихкоду",ТабПозиции[[#This Row],[item]]="Посылка"),ТабПозиции[[#This Row],[deliverySumm]]+ТабПозиции[[#This Row],[deliveryPost]],SUM(M1216:O1216))</f>
        <v>1500</v>
      </c>
      <c r="Q1216" s="57">
        <v>1500</v>
      </c>
      <c r="R1216" s="62">
        <f>ТабПозиции[[#This Row],[totalSumm]]-ТабПозиции[[#This Row],[payment]]</f>
        <v>0</v>
      </c>
      <c r="S1216" s="34" t="s">
        <v>1016</v>
      </c>
      <c r="T1216" s="56" t="s">
        <v>3061</v>
      </c>
      <c r="U1216" s="56" t="s">
        <v>3061</v>
      </c>
      <c r="V1216" s="56" t="s">
        <v>3061</v>
      </c>
      <c r="W1216" s="7"/>
      <c r="X1216"/>
    </row>
    <row r="1217" spans="1:24" x14ac:dyDescent="0.25">
      <c r="A1217" s="26">
        <v>320</v>
      </c>
      <c r="B1217" s="1">
        <f>IFERROR(VLOOKUP(ТабПозиции[[#This Row],[orderNum]],ТабЗаказы[#Data],MATCH(B$7,ТабЗаказы[#Headers],0),0),"")</f>
        <v>45597</v>
      </c>
      <c r="C1217" t="str">
        <f>MONTH(ТабПозиции[[#This Row],[date]])&amp;"/"&amp;YEAR(ТабПозиции[[#This Row],[date]])</f>
        <v>11/2024</v>
      </c>
      <c r="D1217" s="1" t="str">
        <f>IFERROR(VLOOKUP(ТабПозиции[[#This Row],[orderNum]],ТабЗаказы[#Data],MATCH(D$7,ТабЗаказы[#Headers],0),0),"")</f>
        <v>Максим телевизор</v>
      </c>
      <c r="E1217" s="26" t="s">
        <v>815</v>
      </c>
      <c r="F1217" s="56" t="s">
        <v>3061</v>
      </c>
      <c r="G1217" s="44" t="s">
        <v>1821</v>
      </c>
      <c r="H1217" s="34">
        <v>45609</v>
      </c>
      <c r="I1217" s="26">
        <v>1</v>
      </c>
      <c r="J1217" s="26">
        <v>35000</v>
      </c>
      <c r="K1217">
        <f>ТабПозиции[[#This Row],[discountPrice]]*ТабПозиции[[#This Row],[quantity]]</f>
        <v>35000</v>
      </c>
      <c r="L1217" s="26">
        <v>35000</v>
      </c>
      <c r="M1217">
        <f t="shared" si="23"/>
        <v>35000</v>
      </c>
      <c r="O121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Row],[orderNum]],ТабПозиции[orderSumm])&gt;1500),ABS(M1217*VLOOKUP(ТабПозиции[[#This Row],[orderNum]],ТабЗаказы[#Data],MATCH("Percent",ТабЗаказы[#Headers],0),0))/100,200/COUNTIF(ТабПозиции[orderNum],ТабПозиции[[#This Row],[orderNum]])),0),"")</f>
        <v>3500</v>
      </c>
      <c r="P1217">
        <f>IF(OR(ТабПозиции[[#This Row],[item]]="По штрихкоду",ТабПозиции[[#This Row],[item]]="Посылка"),ТабПозиции[[#This Row],[deliverySumm]]+ТабПозиции[[#This Row],[deliveryPost]],SUM(M1217:O1217))</f>
        <v>3500</v>
      </c>
      <c r="Q1217" s="57">
        <v>3500</v>
      </c>
      <c r="R1217" s="62">
        <f>ТабПозиции[[#This Row],[totalSumm]]-ТабПозиции[[#This Row],[payment]]</f>
        <v>0</v>
      </c>
      <c r="S1217" s="34" t="s">
        <v>1016</v>
      </c>
      <c r="T1217" s="56" t="s">
        <v>3061</v>
      </c>
      <c r="U1217" s="56" t="str">
        <f>IF(AND(ТабПозиции[[#This Row],[Остаток]]=0,ТабПозиции[[#This Row],[ord]]="true"),"true","false")</f>
        <v>true</v>
      </c>
      <c r="V1217" s="56" t="s">
        <v>3061</v>
      </c>
      <c r="W1217" s="7"/>
      <c r="X1217"/>
    </row>
    <row r="1218" spans="1:24" x14ac:dyDescent="0.25">
      <c r="A1218" s="26">
        <v>320</v>
      </c>
      <c r="B1218" s="1">
        <f>IFERROR(VLOOKUP(ТабПозиции[[#This Row],[orderNum]],ТабЗаказы[#Data],MATCH(B$7,ТабЗаказы[#Headers],0),0),"")</f>
        <v>45597</v>
      </c>
      <c r="C1218" t="str">
        <f>MONTH(ТабПозиции[[#This Row],[date]])&amp;"/"&amp;YEAR(ТабПозиции[[#This Row],[date]])</f>
        <v>11/2024</v>
      </c>
      <c r="D1218" s="1" t="str">
        <f>IFERROR(VLOOKUP(ТабПозиции[[#This Row],[orderNum]],ТабЗаказы[#Data],MATCH(D$7,ТабЗаказы[#Headers],0),0),"")</f>
        <v>Максим телевизор</v>
      </c>
      <c r="E1218" s="26" t="s">
        <v>815</v>
      </c>
      <c r="F1218" s="56" t="s">
        <v>3061</v>
      </c>
      <c r="G1218" s="28" t="s">
        <v>1822</v>
      </c>
      <c r="H1218" s="34">
        <v>45604</v>
      </c>
      <c r="I1218" s="26">
        <v>1</v>
      </c>
      <c r="J1218" s="26">
        <f>9300-530</f>
        <v>8770</v>
      </c>
      <c r="K1218">
        <f>ТабПозиции[[#This Row],[discountPrice]]*ТабПозиции[[#This Row],[quantity]]</f>
        <v>8770</v>
      </c>
      <c r="L1218" s="26">
        <f>9300-530</f>
        <v>8770</v>
      </c>
      <c r="M1218">
        <f t="shared" si="23"/>
        <v>8770</v>
      </c>
      <c r="O121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Row],[orderNum]],ТабПозиции[orderSumm])&gt;1500),ABS(M1218*VLOOKUP(ТабПозиции[[#This Row],[orderNum]],ТабЗаказы[#Data],MATCH("Percent",ТабЗаказы[#Headers],0),0))/100,200/COUNTIF(ТабПозиции[orderNum],ТабПозиции[[#This Row],[orderNum]])),0),"")</f>
        <v>877</v>
      </c>
      <c r="P1218">
        <f>IF(OR(ТабПозиции[[#This Row],[item]]="По штрихкоду",ТабПозиции[[#This Row],[item]]="Посылка"),ТабПозиции[[#This Row],[deliverySumm]]+ТабПозиции[[#This Row],[deliveryPost]],SUM(M1218:O1218))</f>
        <v>877</v>
      </c>
      <c r="Q1218" s="57">
        <v>877</v>
      </c>
      <c r="R1218" s="62">
        <f>ТабПозиции[[#This Row],[totalSumm]]-ТабПозиции[[#This Row],[payment]]</f>
        <v>0</v>
      </c>
      <c r="S1218" s="34" t="s">
        <v>1016</v>
      </c>
      <c r="T1218" s="56" t="s">
        <v>3061</v>
      </c>
      <c r="U1218" s="56" t="s">
        <v>3061</v>
      </c>
      <c r="V1218" s="56" t="s">
        <v>3061</v>
      </c>
      <c r="W1218" s="7"/>
      <c r="X1218"/>
    </row>
    <row r="1219" spans="1:24" x14ac:dyDescent="0.25">
      <c r="A1219" s="26">
        <v>320</v>
      </c>
      <c r="B1219" s="1">
        <f>IFERROR(VLOOKUP(ТабПозиции[[#This Row],[orderNum]],ТабЗаказы[#Data],MATCH(B$7,ТабЗаказы[#Headers],0),0),"")</f>
        <v>45597</v>
      </c>
      <c r="C1219" t="str">
        <f>MONTH(ТабПозиции[[#This Row],[date]])&amp;"/"&amp;YEAR(ТабПозиции[[#This Row],[date]])</f>
        <v>11/2024</v>
      </c>
      <c r="D1219" s="1" t="str">
        <f>IFERROR(VLOOKUP(ТабПозиции[[#This Row],[orderNum]],ТабЗаказы[#Data],MATCH(D$7,ТабЗаказы[#Headers],0),0),"")</f>
        <v>Максим телевизор</v>
      </c>
      <c r="E1219" s="26" t="s">
        <v>815</v>
      </c>
      <c r="F1219" s="56" t="s">
        <v>3061</v>
      </c>
      <c r="G1219" s="28" t="s">
        <v>1823</v>
      </c>
      <c r="H1219" s="34">
        <v>45604</v>
      </c>
      <c r="I1219" s="26">
        <v>1</v>
      </c>
      <c r="J1219" s="26">
        <f>9000</f>
        <v>9000</v>
      </c>
      <c r="K1219">
        <f>ТабПозиции[[#This Row],[discountPrice]]*ТабПозиции[[#This Row],[quantity]]</f>
        <v>9000</v>
      </c>
      <c r="L1219" s="26">
        <f>9000</f>
        <v>9000</v>
      </c>
      <c r="M1219">
        <f t="shared" si="23"/>
        <v>9000</v>
      </c>
      <c r="O121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Row],[orderNum]],ТабПозиции[orderSumm])&gt;1500),ABS(M1219*VLOOKUP(ТабПозиции[[#This Row],[orderNum]],ТабЗаказы[#Data],MATCH("Percent",ТабЗаказы[#Headers],0),0))/100,200/COUNTIF(ТабПозиции[orderNum],ТабПозиции[[#This Row],[orderNum]])),0),"")</f>
        <v>900</v>
      </c>
      <c r="P1219">
        <f>IF(OR(ТабПозиции[[#This Row],[item]]="По штрихкоду",ТабПозиции[[#This Row],[item]]="Посылка"),ТабПозиции[[#This Row],[deliverySumm]]+ТабПозиции[[#This Row],[deliveryPost]],SUM(M1219:O1219))</f>
        <v>900</v>
      </c>
      <c r="Q1219" s="57">
        <v>900</v>
      </c>
      <c r="R1219" s="62">
        <f>ТабПозиции[[#This Row],[totalSumm]]-ТабПозиции[[#This Row],[payment]]</f>
        <v>0</v>
      </c>
      <c r="S1219" s="34" t="s">
        <v>1016</v>
      </c>
      <c r="T1219" s="56" t="s">
        <v>3061</v>
      </c>
      <c r="U1219" s="56" t="s">
        <v>3061</v>
      </c>
      <c r="V1219" s="56" t="s">
        <v>3061</v>
      </c>
      <c r="W1219" s="7"/>
      <c r="X1219"/>
    </row>
    <row r="1220" spans="1:24" x14ac:dyDescent="0.25">
      <c r="A1220" s="26">
        <v>333</v>
      </c>
      <c r="B1220" s="1">
        <f>IFERROR(VLOOKUP(ТабПозиции[[#This Row],[orderNum]],ТабЗаказы[#Data],MATCH(B$7,ТабЗаказы[#Headers],0),0),"")</f>
        <v>45604</v>
      </c>
      <c r="C1220" t="str">
        <f>MONTH(ТабПозиции[[#This Row],[date]])&amp;"/"&amp;YEAR(ТабПозиции[[#This Row],[date]])</f>
        <v>11/2024</v>
      </c>
      <c r="D1220" s="1" t="str">
        <f>IFERROR(VLOOKUP(ТабПозиции[[#This Row],[orderNum]],ТабЗаказы[#Data],MATCH(D$7,ТабЗаказы[#Headers],0),0),"")</f>
        <v>Руденко Юля</v>
      </c>
      <c r="E1220" s="32" t="s">
        <v>1824</v>
      </c>
      <c r="F1220" s="56" t="s">
        <v>3061</v>
      </c>
      <c r="H1220" s="34">
        <v>45604</v>
      </c>
      <c r="I1220" s="26">
        <v>1</v>
      </c>
      <c r="J1220" s="26">
        <v>3698</v>
      </c>
      <c r="K1220">
        <v>3698</v>
      </c>
      <c r="L1220" s="26">
        <v>3893</v>
      </c>
      <c r="M1220">
        <f t="shared" si="23"/>
        <v>3893</v>
      </c>
      <c r="O122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Row],[orderNum]],ТабПозиции[orderSumm])&gt;1500),ABS(M1220*VLOOKUP(ТабПозиции[[#This Row],[orderNum]],ТабЗаказы[#Data],MATCH("Percent",ТабЗаказы[#Headers],0),0))/100,200/COUNTIF(ТабПозиции[orderNum],ТабПозиции[[#This Row],[orderNum]])),0),"")</f>
        <v>389</v>
      </c>
      <c r="P1220">
        <f>IF(OR(ТабПозиции[[#This Row],[item]]="По штрихкоду",ТабПозиции[[#This Row],[item]]="Посылка"),ТабПозиции[[#This Row],[deliverySumm]]+ТабПозиции[[#This Row],[deliveryPost]],SUM(M1220:O1220))</f>
        <v>4282</v>
      </c>
      <c r="Q1220" s="57">
        <v>4282</v>
      </c>
      <c r="R1220" s="62">
        <f>ТабПозиции[[#This Row],[totalSumm]]-ТабПозиции[[#This Row],[payment]]</f>
        <v>0</v>
      </c>
      <c r="S1220" s="34" t="s">
        <v>965</v>
      </c>
      <c r="T1220" s="56" t="s">
        <v>3061</v>
      </c>
      <c r="U1220" s="56" t="s">
        <v>3061</v>
      </c>
      <c r="V1220" s="56" t="s">
        <v>3061</v>
      </c>
      <c r="W1220" s="7"/>
      <c r="X1220"/>
    </row>
    <row r="1221" spans="1:24" x14ac:dyDescent="0.25">
      <c r="A1221" s="26">
        <v>333</v>
      </c>
      <c r="B1221" s="1">
        <f>IFERROR(VLOOKUP(ТабПозиции[[#This Row],[orderNum]],ТабЗаказы[#Data],MATCH(B$7,ТабЗаказы[#Headers],0),0),"")</f>
        <v>45604</v>
      </c>
      <c r="C1221" t="str">
        <f>MONTH(ТабПозиции[[#This Row],[date]])&amp;"/"&amp;YEAR(ТабПозиции[[#This Row],[date]])</f>
        <v>11/2024</v>
      </c>
      <c r="D1221" s="1" t="str">
        <f>IFERROR(VLOOKUP(ТабПозиции[[#This Row],[orderNum]],ТабЗаказы[#Data],MATCH(D$7,ТабЗаказы[#Headers],0),0),"")</f>
        <v>Руденко Юля</v>
      </c>
      <c r="E1221" s="32" t="s">
        <v>1825</v>
      </c>
      <c r="F1221" s="56" t="s">
        <v>3061</v>
      </c>
      <c r="H1221" s="34">
        <v>45604</v>
      </c>
      <c r="I1221" s="26">
        <v>1</v>
      </c>
      <c r="J1221" s="26">
        <v>1594</v>
      </c>
      <c r="K1221">
        <v>1594</v>
      </c>
      <c r="L1221" s="26">
        <v>1678</v>
      </c>
      <c r="M1221">
        <f t="shared" si="23"/>
        <v>1678</v>
      </c>
      <c r="O122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Row],[orderNum]],ТабПозиции[orderSumm])&gt;1500),ABS(M1221*VLOOKUP(ТабПозиции[[#This Row],[orderNum]],ТабЗаказы[#Data],MATCH("Percent",ТабЗаказы[#Headers],0),0))/100,200/COUNTIF(ТабПозиции[orderNum],ТабПозиции[[#This Row],[orderNum]])),0),"")</f>
        <v>168</v>
      </c>
      <c r="P1221">
        <f>IF(OR(ТабПозиции[[#This Row],[item]]="По штрихкоду",ТабПозиции[[#This Row],[item]]="Посылка"),ТабПозиции[[#This Row],[deliverySumm]]+ТабПозиции[[#This Row],[deliveryPost]],SUM(M1221:O1221))</f>
        <v>1846</v>
      </c>
      <c r="Q1221" s="57">
        <v>1846</v>
      </c>
      <c r="R1221" s="62">
        <f>ТабПозиции[[#This Row],[totalSumm]]-ТабПозиции[[#This Row],[payment]]</f>
        <v>0</v>
      </c>
      <c r="S1221" s="34" t="s">
        <v>965</v>
      </c>
      <c r="T1221" s="56" t="s">
        <v>3061</v>
      </c>
      <c r="U1221" s="56" t="s">
        <v>3061</v>
      </c>
      <c r="V1221" s="56" t="s">
        <v>3061</v>
      </c>
      <c r="W1221" s="7"/>
      <c r="X1221"/>
    </row>
    <row r="1222" spans="1:24" x14ac:dyDescent="0.25">
      <c r="A1222" s="26">
        <v>329</v>
      </c>
      <c r="B1222" s="1">
        <f>IFERROR(VLOOKUP(ТабПозиции[[#This Row],[orderNum]],ТабЗаказы[#Data],MATCH(B$7,ТабЗаказы[#Headers],0),0),"")</f>
        <v>45604</v>
      </c>
      <c r="C1222" t="str">
        <f>MONTH(ТабПозиции[[#This Row],[date]])&amp;"/"&amp;YEAR(ТабПозиции[[#This Row],[date]])</f>
        <v>11/2024</v>
      </c>
      <c r="D1222" s="1" t="str">
        <f>IFERROR(VLOOKUP(ТабПозиции[[#This Row],[orderNum]],ТабЗаказы[#Data],MATCH(D$7,ТабЗаказы[#Headers],0),0),"")</f>
        <v>Лана</v>
      </c>
      <c r="E1222" s="26" t="s">
        <v>32</v>
      </c>
      <c r="F1222" s="56" t="s">
        <v>3061</v>
      </c>
      <c r="H1222" s="34">
        <v>45604</v>
      </c>
      <c r="I1222" s="26">
        <v>1</v>
      </c>
      <c r="J1222" s="26">
        <v>5288</v>
      </c>
      <c r="K1222">
        <f>ТабПозиции[[#This Row],[discountPrice]]*ТабПозиции[[#This Row],[quantity]]</f>
        <v>5288</v>
      </c>
      <c r="L1222" s="26">
        <v>5288</v>
      </c>
      <c r="M1222">
        <f t="shared" si="23"/>
        <v>5288</v>
      </c>
      <c r="O122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Row],[orderNum]],ТабПозиции[orderSumm])&gt;1500),ABS(M1222*VLOOKUP(ТабПозиции[[#This Row],[orderNum]],ТабЗаказы[#Data],MATCH("Percent",ТабЗаказы[#Headers],0),0))/100,200/COUNTIF(ТабПозиции[orderNum],ТабПозиции[[#This Row],[orderNum]])),0),"")</f>
        <v>793</v>
      </c>
      <c r="P1222">
        <f>IF(OR(ТабПозиции[[#This Row],[item]]="По штрихкоду",ТабПозиции[[#This Row],[item]]="Посылка"),ТабПозиции[[#This Row],[deliverySumm]]+ТабПозиции[[#This Row],[deliveryPost]],SUM(M1222:O1222))</f>
        <v>793</v>
      </c>
      <c r="Q1222" s="57">
        <v>793</v>
      </c>
      <c r="R1222" s="62">
        <f>ТабПозиции[[#This Row],[totalSumm]]-ТабПозиции[[#This Row],[payment]]</f>
        <v>0</v>
      </c>
      <c r="S1222" s="34" t="s">
        <v>955</v>
      </c>
      <c r="T1222" s="56" t="s">
        <v>3061</v>
      </c>
      <c r="U1222" s="56" t="s">
        <v>3061</v>
      </c>
      <c r="V1222" s="56" t="s">
        <v>3061</v>
      </c>
      <c r="W1222" s="7"/>
      <c r="X1222"/>
    </row>
    <row r="1223" spans="1:24" x14ac:dyDescent="0.25">
      <c r="A1223" s="26">
        <v>330</v>
      </c>
      <c r="B1223" s="1">
        <f>IFERROR(VLOOKUP(ТабПозиции[[#This Row],[orderNum]],ТабЗаказы[#Data],MATCH(B$7,ТабЗаказы[#Headers],0),0),"")</f>
        <v>45604</v>
      </c>
      <c r="C1223" t="str">
        <f>MONTH(ТабПозиции[[#This Row],[date]])&amp;"/"&amp;YEAR(ТабПозиции[[#This Row],[date]])</f>
        <v>11/2024</v>
      </c>
      <c r="D1223" s="1" t="str">
        <f>IFERROR(VLOOKUP(ТабПозиции[[#This Row],[orderNum]],ТабЗаказы[#Data],MATCH(D$7,ТабЗаказы[#Headers],0),0),"")</f>
        <v>Наталья Лунина 13</v>
      </c>
      <c r="E1223" s="26" t="s">
        <v>32</v>
      </c>
      <c r="F1223" s="56" t="s">
        <v>3061</v>
      </c>
      <c r="H1223" s="34">
        <v>45604</v>
      </c>
      <c r="I1223" s="26">
        <v>1</v>
      </c>
      <c r="J1223" s="26">
        <v>1638</v>
      </c>
      <c r="K1223">
        <f>ТабПозиции[[#This Row],[discountPrice]]*ТабПозиции[[#This Row],[quantity]]</f>
        <v>1638</v>
      </c>
      <c r="L1223" s="26">
        <v>1638</v>
      </c>
      <c r="M1223">
        <f t="shared" si="23"/>
        <v>1638</v>
      </c>
      <c r="O122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Row],[orderNum]],ТабПозиции[orderSumm])&gt;1500),ABS(M1223*VLOOKUP(ТабПозиции[[#This Row],[orderNum]],ТабЗаказы[#Data],MATCH("Percent",ТабЗаказы[#Headers],0),0))/100,200/COUNTIF(ТабПозиции[orderNum],ТабПозиции[[#This Row],[orderNum]])),0),"")</f>
        <v>246</v>
      </c>
      <c r="P1223">
        <f>IF(OR(ТабПозиции[[#This Row],[item]]="По штрихкоду",ТабПозиции[[#This Row],[item]]="Посылка"),ТабПозиции[[#This Row],[deliverySumm]]+ТабПозиции[[#This Row],[deliveryPost]],SUM(M1223:O1223))</f>
        <v>246</v>
      </c>
      <c r="Q1223" s="57">
        <v>246</v>
      </c>
      <c r="R1223" s="62">
        <f>ТабПозиции[[#This Row],[totalSumm]]-ТабПозиции[[#This Row],[payment]]</f>
        <v>0</v>
      </c>
      <c r="S1223" s="34" t="s">
        <v>955</v>
      </c>
      <c r="T1223" s="56" t="s">
        <v>3061</v>
      </c>
      <c r="U1223" s="56" t="s">
        <v>3061</v>
      </c>
      <c r="V1223" s="56" t="s">
        <v>3061</v>
      </c>
      <c r="W1223" s="7"/>
      <c r="X1223"/>
    </row>
    <row r="1224" spans="1:24" x14ac:dyDescent="0.25">
      <c r="A1224" s="26">
        <v>331</v>
      </c>
      <c r="B1224" s="1">
        <f>IFERROR(VLOOKUP(ТабПозиции[[#This Row],[orderNum]],ТабЗаказы[#Data],MATCH(B$7,ТабЗаказы[#Headers],0),0),"")</f>
        <v>45604</v>
      </c>
      <c r="C1224" t="str">
        <f>MONTH(ТабПозиции[[#This Row],[date]])&amp;"/"&amp;YEAR(ТабПозиции[[#This Row],[date]])</f>
        <v>11/2024</v>
      </c>
      <c r="D1224" s="1" t="str">
        <f>IFERROR(VLOOKUP(ТабПозиции[[#This Row],[orderNum]],ТабЗаказы[#Data],MATCH(D$7,ТабЗаказы[#Headers],0),0),"")</f>
        <v>Лариса Кирова</v>
      </c>
      <c r="E1224" s="32" t="s">
        <v>1842</v>
      </c>
      <c r="F1224" s="56" t="s">
        <v>3061</v>
      </c>
      <c r="H1224" s="34">
        <v>45607</v>
      </c>
      <c r="I1224" s="26">
        <v>1</v>
      </c>
      <c r="J1224" s="26">
        <v>304</v>
      </c>
      <c r="K1224">
        <f>ТабПозиции[[#This Row],[discountPrice]]*ТабПозиции[[#This Row],[quantity]]</f>
        <v>304</v>
      </c>
      <c r="L1224" s="26">
        <v>310</v>
      </c>
      <c r="M1224">
        <f t="shared" si="23"/>
        <v>310</v>
      </c>
      <c r="O122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Row],[orderNum]],ТабПозиции[orderSumm])&gt;1500),ABS(M1224*VLOOKUP(ТабПозиции[[#This Row],[orderNum]],ТабЗаказы[#Data],MATCH("Percent",ТабЗаказы[#Headers],0),0))/100,200/COUNTIF(ТабПозиции[orderNum],ТабПозиции[[#This Row],[orderNum]])),0),"")</f>
        <v>47</v>
      </c>
      <c r="P1224">
        <f>IF(OR(ТабПозиции[[#This Row],[item]]="По штрихкоду",ТабПозиции[[#This Row],[item]]="Посылка"),ТабПозиции[[#This Row],[deliverySumm]]+ТабПозиции[[#This Row],[deliveryPost]],SUM(M1224:O1224))</f>
        <v>357</v>
      </c>
      <c r="Q1224" s="57">
        <v>357</v>
      </c>
      <c r="R1224" s="62">
        <f>ТабПозиции[[#This Row],[totalSumm]]-ТабПозиции[[#This Row],[payment]]</f>
        <v>0</v>
      </c>
      <c r="S1224" s="34" t="s">
        <v>955</v>
      </c>
      <c r="T1224" s="56" t="s">
        <v>3061</v>
      </c>
      <c r="U1224" s="56" t="str">
        <f>IF(AND(ТабПозиции[[#This Row],[Остаток]]=0,ТабПозиции[[#This Row],[ord]]="true"),"true","false")</f>
        <v>true</v>
      </c>
      <c r="V1224" s="56" t="s">
        <v>3061</v>
      </c>
      <c r="W1224" s="7"/>
      <c r="X1224"/>
    </row>
    <row r="1225" spans="1:24" x14ac:dyDescent="0.25">
      <c r="A1225" s="26">
        <v>331</v>
      </c>
      <c r="B1225" s="1">
        <f>IFERROR(VLOOKUP(ТабПозиции[[#This Row],[orderNum]],ТабЗаказы[#Data],MATCH(B$7,ТабЗаказы[#Headers],0),0),"")</f>
        <v>45604</v>
      </c>
      <c r="C1225" t="str">
        <f>MONTH(ТабПозиции[[#This Row],[date]])&amp;"/"&amp;YEAR(ТабПозиции[[#This Row],[date]])</f>
        <v>11/2024</v>
      </c>
      <c r="D1225" s="1" t="str">
        <f>IFERROR(VLOOKUP(ТабПозиции[[#This Row],[orderNum]],ТабЗаказы[#Data],MATCH(D$7,ТабЗаказы[#Headers],0),0),"")</f>
        <v>Лариса Кирова</v>
      </c>
      <c r="E1225" s="32" t="s">
        <v>1843</v>
      </c>
      <c r="F1225" s="56" t="s">
        <v>3061</v>
      </c>
      <c r="H1225" s="34">
        <v>45607</v>
      </c>
      <c r="I1225" s="26">
        <v>1</v>
      </c>
      <c r="J1225" s="26">
        <v>377</v>
      </c>
      <c r="K1225">
        <f>ТабПозиции[[#This Row],[discountPrice]]*ТабПозиции[[#This Row],[quantity]]</f>
        <v>377</v>
      </c>
      <c r="L1225" s="26">
        <v>385</v>
      </c>
      <c r="M1225">
        <f t="shared" si="23"/>
        <v>385</v>
      </c>
      <c r="O122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Row],[orderNum]],ТабПозиции[orderSumm])&gt;1500),ABS(M1225*VLOOKUP(ТабПозиции[[#This Row],[orderNum]],ТабЗаказы[#Data],MATCH("Percent",ТабЗаказы[#Headers],0),0))/100,200/COUNTIF(ТабПозиции[orderNum],ТабПозиции[[#This Row],[orderNum]])),0),"")</f>
        <v>58</v>
      </c>
      <c r="P1225">
        <f>IF(OR(ТабПозиции[[#This Row],[item]]="По штрихкоду",ТабПозиции[[#This Row],[item]]="Посылка"),ТабПозиции[[#This Row],[deliverySumm]]+ТабПозиции[[#This Row],[deliveryPost]],SUM(M1225:O1225))</f>
        <v>443</v>
      </c>
      <c r="Q1225" s="57">
        <v>443</v>
      </c>
      <c r="R1225" s="62">
        <f>ТабПозиции[[#This Row],[totalSumm]]-ТабПозиции[[#This Row],[payment]]</f>
        <v>0</v>
      </c>
      <c r="S1225" s="34" t="s">
        <v>955</v>
      </c>
      <c r="T1225" s="56" t="s">
        <v>3061</v>
      </c>
      <c r="U1225" s="56" t="str">
        <f>IF(AND(ТабПозиции[[#This Row],[Остаток]]=0,ТабПозиции[[#This Row],[ord]]="true"),"true","false")</f>
        <v>true</v>
      </c>
      <c r="V1225" s="56" t="s">
        <v>3061</v>
      </c>
      <c r="W1225" s="7"/>
      <c r="X1225"/>
    </row>
    <row r="1226" spans="1:24" x14ac:dyDescent="0.25">
      <c r="A1226" s="26">
        <v>331</v>
      </c>
      <c r="B1226" s="1">
        <f>IFERROR(VLOOKUP(ТабПозиции[[#This Row],[orderNum]],ТабЗаказы[#Data],MATCH(B$7,ТабЗаказы[#Headers],0),0),"")</f>
        <v>45604</v>
      </c>
      <c r="C1226" t="str">
        <f>MONTH(ТабПозиции[[#This Row],[date]])&amp;"/"&amp;YEAR(ТабПозиции[[#This Row],[date]])</f>
        <v>11/2024</v>
      </c>
      <c r="D1226" s="1" t="str">
        <f>IFERROR(VLOOKUP(ТабПозиции[[#This Row],[orderNum]],ТабЗаказы[#Data],MATCH(D$7,ТабЗаказы[#Headers],0),0),"")</f>
        <v>Лариса Кирова</v>
      </c>
      <c r="E1226" s="32" t="s">
        <v>1844</v>
      </c>
      <c r="F1226" s="56" t="s">
        <v>3061</v>
      </c>
      <c r="H1226" s="34">
        <v>45608</v>
      </c>
      <c r="I1226" s="26">
        <v>1</v>
      </c>
      <c r="J1226" s="26">
        <v>473</v>
      </c>
      <c r="K1226">
        <f>ТабПозиции[[#This Row],[discountPrice]]*ТабПозиции[[#This Row],[quantity]]</f>
        <v>473</v>
      </c>
      <c r="L1226" s="26">
        <v>498</v>
      </c>
      <c r="M1226">
        <f t="shared" si="23"/>
        <v>498</v>
      </c>
      <c r="O122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Row],[orderNum]],ТабПозиции[orderSumm])&gt;1500),ABS(M1226*VLOOKUP(ТабПозиции[[#This Row],[orderNum]],ТабЗаказы[#Data],MATCH("Percent",ТабЗаказы[#Headers],0),0))/100,200/COUNTIF(ТабПозиции[orderNum],ТабПозиции[[#This Row],[orderNum]])),0),"")</f>
        <v>75</v>
      </c>
      <c r="P1226">
        <f>IF(OR(ТабПозиции[[#This Row],[item]]="По штрихкоду",ТабПозиции[[#This Row],[item]]="Посылка"),ТабПозиции[[#This Row],[deliverySumm]]+ТабПозиции[[#This Row],[deliveryPost]],SUM(M1226:O1226))</f>
        <v>573</v>
      </c>
      <c r="Q1226" s="57">
        <v>573</v>
      </c>
      <c r="R1226" s="62">
        <f>ТабПозиции[[#This Row],[totalSumm]]-ТабПозиции[[#This Row],[payment]]</f>
        <v>0</v>
      </c>
      <c r="S1226" s="34" t="s">
        <v>965</v>
      </c>
      <c r="T1226" s="56" t="s">
        <v>3061</v>
      </c>
      <c r="U1226" s="56" t="str">
        <f>IF(AND(ТабПозиции[[#This Row],[Остаток]]=0,ТабПозиции[[#This Row],[ord]]="true"),"true","false")</f>
        <v>true</v>
      </c>
      <c r="V1226" s="56" t="s">
        <v>3061</v>
      </c>
      <c r="W1226" s="7"/>
      <c r="X1226"/>
    </row>
    <row r="1227" spans="1:24" x14ac:dyDescent="0.25">
      <c r="A1227" s="26">
        <v>331</v>
      </c>
      <c r="B1227" s="1">
        <f>IFERROR(VLOOKUP(ТабПозиции[[#This Row],[orderNum]],ТабЗаказы[#Data],MATCH(B$7,ТабЗаказы[#Headers],0),0),"")</f>
        <v>45604</v>
      </c>
      <c r="C1227" t="str">
        <f>MONTH(ТабПозиции[[#This Row],[date]])&amp;"/"&amp;YEAR(ТабПозиции[[#This Row],[date]])</f>
        <v>11/2024</v>
      </c>
      <c r="D1227" s="1" t="str">
        <f>IFERROR(VLOOKUP(ТабПозиции[[#This Row],[orderNum]],ТабЗаказы[#Data],MATCH(D$7,ТабЗаказы[#Headers],0),0),"")</f>
        <v>Лариса Кирова</v>
      </c>
      <c r="E1227" s="32" t="s">
        <v>1769</v>
      </c>
      <c r="F1227" s="56" t="s">
        <v>3061</v>
      </c>
      <c r="H1227" s="34">
        <v>45608</v>
      </c>
      <c r="I1227" s="26">
        <v>1</v>
      </c>
      <c r="J1227" s="26">
        <v>489</v>
      </c>
      <c r="K1227">
        <f>ТабПозиции[[#This Row],[discountPrice]]*ТабПозиции[[#This Row],[quantity]]</f>
        <v>489</v>
      </c>
      <c r="L1227" s="26">
        <v>515</v>
      </c>
      <c r="M1227">
        <f t="shared" si="23"/>
        <v>515</v>
      </c>
      <c r="O122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Row],[orderNum]],ТабПозиции[orderSumm])&gt;1500),ABS(M1227*VLOOKUP(ТабПозиции[[#This Row],[orderNum]],ТабЗаказы[#Data],MATCH("Percent",ТабЗаказы[#Headers],0),0))/100,200/COUNTIF(ТабПозиции[orderNum],ТабПозиции[[#This Row],[orderNum]])),0),"")</f>
        <v>77</v>
      </c>
      <c r="P1227">
        <f>IF(OR(ТабПозиции[[#This Row],[item]]="По штрихкоду",ТабПозиции[[#This Row],[item]]="Посылка"),ТабПозиции[[#This Row],[deliverySumm]]+ТабПозиции[[#This Row],[deliveryPost]],SUM(M1227:O1227))</f>
        <v>592</v>
      </c>
      <c r="Q1227" s="57">
        <v>592</v>
      </c>
      <c r="R1227" s="62">
        <f>ТабПозиции[[#This Row],[totalSumm]]-ТабПозиции[[#This Row],[payment]]</f>
        <v>0</v>
      </c>
      <c r="S1227" s="34" t="s">
        <v>965</v>
      </c>
      <c r="T1227" s="56" t="s">
        <v>3061</v>
      </c>
      <c r="U1227" s="56" t="str">
        <f>IF(AND(ТабПозиции[[#This Row],[Остаток]]=0,ТабПозиции[[#This Row],[ord]]="true"),"true","false")</f>
        <v>true</v>
      </c>
      <c r="V1227" s="56" t="s">
        <v>3061</v>
      </c>
      <c r="W1227" s="7"/>
      <c r="X1227"/>
    </row>
    <row r="1228" spans="1:24" x14ac:dyDescent="0.25">
      <c r="A1228" s="26">
        <v>332</v>
      </c>
      <c r="B1228" s="1">
        <f>IFERROR(VLOOKUP(ТабПозиции[[#This Row],[orderNum]],ТабЗаказы[#Data],MATCH(B$7,ТабЗаказы[#Headers],0),0),"")</f>
        <v>45604</v>
      </c>
      <c r="C1228" t="str">
        <f>MONTH(ТабПозиции[[#This Row],[date]])&amp;"/"&amp;YEAR(ТабПозиции[[#This Row],[date]])</f>
        <v>11/2024</v>
      </c>
      <c r="D1228" s="1" t="str">
        <f>IFERROR(VLOOKUP(ТабПозиции[[#This Row],[orderNum]],ТабЗаказы[#Data],MATCH(D$7,ТабЗаказы[#Headers],0),0),"")</f>
        <v>Юля Ларисына</v>
      </c>
      <c r="E1228" s="32" t="s">
        <v>772</v>
      </c>
      <c r="F1228" s="56" t="s">
        <v>3061</v>
      </c>
      <c r="H1228" s="34">
        <v>45606</v>
      </c>
      <c r="I1228" s="26">
        <v>1</v>
      </c>
      <c r="J1228" s="26">
        <v>151</v>
      </c>
      <c r="K1228">
        <f>ТабПозиции[[#This Row],[discountPrice]]*ТабПозиции[[#This Row],[quantity]]</f>
        <v>151</v>
      </c>
      <c r="L1228" s="26">
        <v>159</v>
      </c>
      <c r="M1228">
        <f t="shared" si="23"/>
        <v>159</v>
      </c>
      <c r="O122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Row],[orderNum]],ТабПозиции[orderSumm])&gt;1500),ABS(M1228*VLOOKUP(ТабПозиции[[#This Row],[orderNum]],ТабЗаказы[#Data],MATCH("Percent",ТабЗаказы[#Headers],0),0))/100,200/COUNTIF(ТабПозиции[orderNum],ТабПозиции[[#This Row],[orderNum]])),0),"")</f>
        <v>24</v>
      </c>
      <c r="P1228">
        <f>IF(OR(ТабПозиции[[#This Row],[item]]="По штрихкоду",ТабПозиции[[#This Row],[item]]="Посылка"),ТабПозиции[[#This Row],[deliverySumm]]+ТабПозиции[[#This Row],[deliveryPost]],SUM(M1228:O1228))</f>
        <v>183</v>
      </c>
      <c r="Q1228" s="57">
        <v>183</v>
      </c>
      <c r="R1228" s="62">
        <f>ТабПозиции[[#This Row],[totalSumm]]-ТабПозиции[[#This Row],[payment]]</f>
        <v>0</v>
      </c>
      <c r="S1228" s="34" t="s">
        <v>965</v>
      </c>
      <c r="T1228" s="56" t="s">
        <v>3061</v>
      </c>
      <c r="U1228" s="56" t="str">
        <f>IF(AND(ТабПозиции[[#This Row],[Остаток]]=0,ТабПозиции[[#This Row],[ord]]="true"),"true","false")</f>
        <v>true</v>
      </c>
      <c r="V1228" s="56" t="s">
        <v>3061</v>
      </c>
      <c r="W1228" s="7"/>
      <c r="X1228"/>
    </row>
    <row r="1229" spans="1:24" x14ac:dyDescent="0.25">
      <c r="A1229" s="26">
        <v>332</v>
      </c>
      <c r="B1229" s="1">
        <f>IFERROR(VLOOKUP(ТабПозиции[[#This Row],[orderNum]],ТабЗаказы[#Data],MATCH(B$7,ТабЗаказы[#Headers],0),0),"")</f>
        <v>45604</v>
      </c>
      <c r="C1229" t="str">
        <f>MONTH(ТабПозиции[[#This Row],[date]])&amp;"/"&amp;YEAR(ТабПозиции[[#This Row],[date]])</f>
        <v>11/2024</v>
      </c>
      <c r="D1229" s="1" t="str">
        <f>IFERROR(VLOOKUP(ТабПозиции[[#This Row],[orderNum]],ТабЗаказы[#Data],MATCH(D$7,ТабЗаказы[#Headers],0),0),"")</f>
        <v>Юля Ларисына</v>
      </c>
      <c r="E1229" s="32" t="s">
        <v>1845</v>
      </c>
      <c r="F1229" s="56" t="s">
        <v>3061</v>
      </c>
      <c r="H1229" s="34">
        <v>45609</v>
      </c>
      <c r="I1229" s="26">
        <v>1</v>
      </c>
      <c r="J1229" s="26">
        <v>1052</v>
      </c>
      <c r="K1229">
        <f>ТабПозиции[[#This Row],[discountPrice]]*ТабПозиции[[#This Row],[quantity]]</f>
        <v>1052</v>
      </c>
      <c r="L1229" s="26">
        <v>1084</v>
      </c>
      <c r="M1229">
        <f t="shared" si="23"/>
        <v>1084</v>
      </c>
      <c r="O122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Row],[orderNum]],ТабПозиции[orderSumm])&gt;1500),ABS(M1229*VLOOKUP(ТабПозиции[[#This Row],[orderNum]],ТабЗаказы[#Data],MATCH("Percent",ТабЗаказы[#Headers],0),0))/100,200/COUNTIF(ТабПозиции[orderNum],ТабПозиции[[#This Row],[orderNum]])),0),"")</f>
        <v>163</v>
      </c>
      <c r="P1229">
        <f>IF(OR(ТабПозиции[[#This Row],[item]]="По штрихкоду",ТабПозиции[[#This Row],[item]]="Посылка"),ТабПозиции[[#This Row],[deliverySumm]]+ТабПозиции[[#This Row],[deliveryPost]],SUM(M1229:O1229))</f>
        <v>1247</v>
      </c>
      <c r="Q1229" s="57">
        <v>1247</v>
      </c>
      <c r="R1229" s="62">
        <f>ТабПозиции[[#This Row],[totalSumm]]-ТабПозиции[[#This Row],[payment]]</f>
        <v>0</v>
      </c>
      <c r="S1229" s="34" t="s">
        <v>955</v>
      </c>
      <c r="T1229" s="56" t="s">
        <v>3061</v>
      </c>
      <c r="U1229" s="56" t="str">
        <f>IF(AND(ТабПозиции[[#This Row],[Остаток]]=0,ТабПозиции[[#This Row],[ord]]="true"),"true","false")</f>
        <v>true</v>
      </c>
      <c r="V1229" s="56" t="s">
        <v>3061</v>
      </c>
      <c r="W1229" s="7"/>
      <c r="X1229"/>
    </row>
    <row r="1230" spans="1:24" x14ac:dyDescent="0.25">
      <c r="A1230" s="26">
        <v>332</v>
      </c>
      <c r="B1230" s="1">
        <f>IFERROR(VLOOKUP(ТабПозиции[[#This Row],[orderNum]],ТабЗаказы[#Data],MATCH(B$7,ТабЗаказы[#Headers],0),0),"")</f>
        <v>45604</v>
      </c>
      <c r="C1230" t="str">
        <f>MONTH(ТабПозиции[[#This Row],[date]])&amp;"/"&amp;YEAR(ТабПозиции[[#This Row],[date]])</f>
        <v>11/2024</v>
      </c>
      <c r="D1230" s="1" t="str">
        <f>IFERROR(VLOOKUP(ТабПозиции[[#This Row],[orderNum]],ТабЗаказы[#Data],MATCH(D$7,ТабЗаказы[#Headers],0),0),"")</f>
        <v>Юля Ларисына</v>
      </c>
      <c r="E1230" s="32" t="s">
        <v>1846</v>
      </c>
      <c r="F1230" s="56" t="s">
        <v>3061</v>
      </c>
      <c r="H1230" s="34">
        <v>45615</v>
      </c>
      <c r="I1230" s="26">
        <v>1</v>
      </c>
      <c r="J1230" s="26">
        <v>1033</v>
      </c>
      <c r="K1230">
        <f>ТабПозиции[[#This Row],[discountPrice]]*ТабПозиции[[#This Row],[quantity]]</f>
        <v>1033</v>
      </c>
      <c r="L1230" s="26">
        <v>1134</v>
      </c>
      <c r="M1230">
        <f t="shared" si="23"/>
        <v>1134</v>
      </c>
      <c r="O123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Row],[orderNum]],ТабПозиции[orderSumm])&gt;1500),ABS(M1230*VLOOKUP(ТабПозиции[[#This Row],[orderNum]],ТабЗаказы[#Data],MATCH("Percent",ТабЗаказы[#Headers],0),0))/100,200/COUNTIF(ТабПозиции[orderNum],ТабПозиции[[#This Row],[orderNum]])),0),"")</f>
        <v>170</v>
      </c>
      <c r="P1230">
        <f>IF(OR(ТабПозиции[[#This Row],[item]]="По штрихкоду",ТабПозиции[[#This Row],[item]]="Посылка"),ТабПозиции[[#This Row],[deliverySumm]]+ТабПозиции[[#This Row],[deliveryPost]],SUM(M1230:O1230))</f>
        <v>1304</v>
      </c>
      <c r="Q1230" s="57">
        <v>1304</v>
      </c>
      <c r="R1230" s="62">
        <f>ТабПозиции[[#This Row],[totalSumm]]-ТабПозиции[[#This Row],[payment]]</f>
        <v>0</v>
      </c>
      <c r="S1230" s="34" t="s">
        <v>955</v>
      </c>
      <c r="T1230" s="56" t="s">
        <v>3061</v>
      </c>
      <c r="U1230" s="56" t="str">
        <f>IF(AND(ТабПозиции[[#This Row],[Остаток]]=0,ТабПозиции[[#This Row],[ord]]="true"),"true","false")</f>
        <v>true</v>
      </c>
      <c r="V1230" s="56" t="str">
        <f>IF(AND(ТабПозиции[[#This Row],[Остаток]]=0,ТабПозиции[[#This Row],[ord]]="true"),"true","false")</f>
        <v>true</v>
      </c>
      <c r="W1230" s="7"/>
      <c r="X1230"/>
    </row>
    <row r="1231" spans="1:24" x14ac:dyDescent="0.25">
      <c r="A1231" s="26">
        <v>332</v>
      </c>
      <c r="B1231" s="1">
        <f>IFERROR(VLOOKUP(ТабПозиции[[#This Row],[orderNum]],ТабЗаказы[#Data],MATCH(B$7,ТабЗаказы[#Headers],0),0),"")</f>
        <v>45604</v>
      </c>
      <c r="C1231" t="str">
        <f>MONTH(ТабПозиции[[#This Row],[date]])&amp;"/"&amp;YEAR(ТабПозиции[[#This Row],[date]])</f>
        <v>11/2024</v>
      </c>
      <c r="D1231" s="1" t="str">
        <f>IFERROR(VLOOKUP(ТабПозиции[[#This Row],[orderNum]],ТабЗаказы[#Data],MATCH(D$7,ТабЗаказы[#Headers],0),0),"")</f>
        <v>Юля Ларисына</v>
      </c>
      <c r="E1231" s="32" t="s">
        <v>1847</v>
      </c>
      <c r="F1231" s="56" t="s">
        <v>3061</v>
      </c>
      <c r="G1231" s="28" t="s">
        <v>2147</v>
      </c>
      <c r="H1231" s="34">
        <v>45626</v>
      </c>
      <c r="I1231" s="26">
        <v>1</v>
      </c>
      <c r="J1231" s="26">
        <v>1113</v>
      </c>
      <c r="K1231">
        <f>ТабПозиции[[#This Row],[discountPrice]]*ТабПозиции[[#This Row],[quantity]]</f>
        <v>1113</v>
      </c>
      <c r="L1231" s="26">
        <v>1221</v>
      </c>
      <c r="M1231">
        <f t="shared" si="23"/>
        <v>1221</v>
      </c>
      <c r="O123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Row],[orderNum]],ТабПозиции[orderSumm])&gt;1500),ABS(M1231*VLOOKUP(ТабПозиции[[#This Row],[orderNum]],ТабЗаказы[#Data],MATCH("Percent",ТабЗаказы[#Headers],0),0))/100,200/COUNTIF(ТабПозиции[orderNum],ТабПозиции[[#This Row],[orderNum]])),0),"")</f>
        <v>183</v>
      </c>
      <c r="P1231">
        <f>IF(OR(ТабПозиции[[#This Row],[item]]="По штрихкоду",ТабПозиции[[#This Row],[item]]="Посылка"),ТабПозиции[[#This Row],[deliverySumm]]+ТабПозиции[[#This Row],[deliveryPost]],SUM(M1231:O1231))</f>
        <v>1404</v>
      </c>
      <c r="Q1231" s="57">
        <v>1404</v>
      </c>
      <c r="R1231" s="62">
        <f>ТабПозиции[[#This Row],[totalSumm]]-ТабПозиции[[#This Row],[payment]]</f>
        <v>0</v>
      </c>
      <c r="S1231" s="34" t="s">
        <v>955</v>
      </c>
      <c r="T1231" s="56" t="s">
        <v>3061</v>
      </c>
      <c r="U1231" s="56" t="str">
        <f>IF(AND(ТабПозиции[[#This Row],[Остаток]]=0,ТабПозиции[[#This Row],[ord]]="true"),"true","false")</f>
        <v>true</v>
      </c>
      <c r="V1231" s="56" t="s">
        <v>3061</v>
      </c>
      <c r="W1231" s="7"/>
      <c r="X1231"/>
    </row>
    <row r="1232" spans="1:24" x14ac:dyDescent="0.25">
      <c r="A1232" s="26">
        <v>332</v>
      </c>
      <c r="B1232" s="1">
        <f>IFERROR(VLOOKUP(ТабПозиции[[#This Row],[orderNum]],ТабЗаказы[#Data],MATCH(B$7,ТабЗаказы[#Headers],0),0),"")</f>
        <v>45604</v>
      </c>
      <c r="C1232" t="str">
        <f>MONTH(ТабПозиции[[#This Row],[date]])&amp;"/"&amp;YEAR(ТабПозиции[[#This Row],[date]])</f>
        <v>11/2024</v>
      </c>
      <c r="D1232" s="1" t="str">
        <f>IFERROR(VLOOKUP(ТабПозиции[[#This Row],[orderNum]],ТабЗаказы[#Data],MATCH(D$7,ТабЗаказы[#Headers],0),0),"")</f>
        <v>Юля Ларисына</v>
      </c>
      <c r="E1232" s="32" t="s">
        <v>1848</v>
      </c>
      <c r="F1232" s="56" t="s">
        <v>3061</v>
      </c>
      <c r="H1232" s="34">
        <v>45607</v>
      </c>
      <c r="I1232" s="26">
        <v>1</v>
      </c>
      <c r="J1232" s="26">
        <v>171</v>
      </c>
      <c r="K1232">
        <f>ТабПозиции[[#This Row],[discountPrice]]*ТабПозиции[[#This Row],[quantity]]</f>
        <v>171</v>
      </c>
      <c r="L1232" s="26">
        <v>180</v>
      </c>
      <c r="M1232">
        <f t="shared" si="23"/>
        <v>180</v>
      </c>
      <c r="O123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Row],[orderNum]],ТабПозиции[orderSumm])&gt;1500),ABS(M1232*VLOOKUP(ТабПозиции[[#This Row],[orderNum]],ТабЗаказы[#Data],MATCH("Percent",ТабЗаказы[#Headers],0),0))/100,200/COUNTIF(ТабПозиции[orderNum],ТабПозиции[[#This Row],[orderNum]])),0),"")</f>
        <v>27</v>
      </c>
      <c r="P1232">
        <f>IF(OR(ТабПозиции[[#This Row],[item]]="По штрихкоду",ТабПозиции[[#This Row],[item]]="Посылка"),ТабПозиции[[#This Row],[deliverySumm]]+ТабПозиции[[#This Row],[deliveryPost]],SUM(M1232:O1232))</f>
        <v>207</v>
      </c>
      <c r="Q1232" s="57">
        <v>207</v>
      </c>
      <c r="R1232" s="62">
        <f>ТабПозиции[[#This Row],[totalSumm]]-ТабПозиции[[#This Row],[payment]]</f>
        <v>0</v>
      </c>
      <c r="S1232" s="34" t="s">
        <v>965</v>
      </c>
      <c r="T1232" s="56" t="s">
        <v>3061</v>
      </c>
      <c r="U1232" s="56" t="str">
        <f>IF(AND(ТабПозиции[[#This Row],[Остаток]]=0,ТабПозиции[[#This Row],[ord]]="true"),"true","false")</f>
        <v>true</v>
      </c>
      <c r="V1232" s="56" t="s">
        <v>3061</v>
      </c>
      <c r="W1232" s="7"/>
      <c r="X1232"/>
    </row>
    <row r="1233" spans="1:24" x14ac:dyDescent="0.25">
      <c r="A1233" s="26">
        <v>332</v>
      </c>
      <c r="B1233" s="1">
        <f>IFERROR(VLOOKUP(ТабПозиции[[#This Row],[orderNum]],ТабЗаказы[#Data],MATCH(B$7,ТабЗаказы[#Headers],0),0),"")</f>
        <v>45604</v>
      </c>
      <c r="C1233" t="str">
        <f>MONTH(ТабПозиции[[#This Row],[date]])&amp;"/"&amp;YEAR(ТабПозиции[[#This Row],[date]])</f>
        <v>11/2024</v>
      </c>
      <c r="D1233" s="1" t="str">
        <f>IFERROR(VLOOKUP(ТабПозиции[[#This Row],[orderNum]],ТабЗаказы[#Data],MATCH(D$7,ТабЗаказы[#Headers],0),0),"")</f>
        <v>Юля Ларисына</v>
      </c>
      <c r="E1233" s="32" t="s">
        <v>1849</v>
      </c>
      <c r="F1233" s="56" t="s">
        <v>3061</v>
      </c>
      <c r="H1233" s="34">
        <v>45607</v>
      </c>
      <c r="I1233" s="26">
        <v>1</v>
      </c>
      <c r="J1233" s="26">
        <v>323</v>
      </c>
      <c r="K1233">
        <f>ТабПозиции[[#This Row],[discountPrice]]*ТабПозиции[[#This Row],[quantity]]</f>
        <v>323</v>
      </c>
      <c r="L1233" s="26">
        <v>341</v>
      </c>
      <c r="M1233">
        <f t="shared" si="23"/>
        <v>341</v>
      </c>
      <c r="O123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Row],[orderNum]],ТабПозиции[orderSumm])&gt;1500),ABS(M1233*VLOOKUP(ТабПозиции[[#This Row],[orderNum]],ТабЗаказы[#Data],MATCH("Percent",ТабЗаказы[#Headers],0),0))/100,200/COUNTIF(ТабПозиции[orderNum],ТабПозиции[[#This Row],[orderNum]])),0),"")</f>
        <v>51</v>
      </c>
      <c r="P1233">
        <f>IF(OR(ТабПозиции[[#This Row],[item]]="По штрихкоду",ТабПозиции[[#This Row],[item]]="Посылка"),ТабПозиции[[#This Row],[deliverySumm]]+ТабПозиции[[#This Row],[deliveryPost]],SUM(M1233:O1233))</f>
        <v>392</v>
      </c>
      <c r="Q1233" s="57">
        <v>392</v>
      </c>
      <c r="R1233" s="62">
        <f>ТабПозиции[[#This Row],[totalSumm]]-ТабПозиции[[#This Row],[payment]]</f>
        <v>0</v>
      </c>
      <c r="S1233" s="34" t="s">
        <v>965</v>
      </c>
      <c r="T1233" s="56" t="s">
        <v>3061</v>
      </c>
      <c r="U1233" s="56" t="str">
        <f>IF(AND(ТабПозиции[[#This Row],[Остаток]]=0,ТабПозиции[[#This Row],[ord]]="true"),"true","false")</f>
        <v>true</v>
      </c>
      <c r="V1233" s="56" t="s">
        <v>3061</v>
      </c>
      <c r="W1233" s="7"/>
      <c r="X1233"/>
    </row>
    <row r="1234" spans="1:24" x14ac:dyDescent="0.25">
      <c r="A1234" s="26">
        <v>332</v>
      </c>
      <c r="B1234" s="1">
        <f>IFERROR(VLOOKUP(ТабПозиции[[#This Row],[orderNum]],ТабЗаказы[#Data],MATCH(B$7,ТабЗаказы[#Headers],0),0),"")</f>
        <v>45604</v>
      </c>
      <c r="C1234" t="str">
        <f>MONTH(ТабПозиции[[#This Row],[date]])&amp;"/"&amp;YEAR(ТабПозиции[[#This Row],[date]])</f>
        <v>11/2024</v>
      </c>
      <c r="D1234" s="1" t="str">
        <f>IFERROR(VLOOKUP(ТабПозиции[[#This Row],[orderNum]],ТабЗаказы[#Data],MATCH(D$7,ТабЗаказы[#Headers],0),0),"")</f>
        <v>Юля Ларисына</v>
      </c>
      <c r="E1234" s="32" t="s">
        <v>1850</v>
      </c>
      <c r="F1234" s="56" t="s">
        <v>3061</v>
      </c>
      <c r="H1234" s="34">
        <v>45606</v>
      </c>
      <c r="I1234" s="26">
        <v>1</v>
      </c>
      <c r="J1234" s="26">
        <v>305</v>
      </c>
      <c r="K1234">
        <f>ТабПозиции[[#This Row],[discountPrice]]*ТабПозиции[[#This Row],[quantity]]</f>
        <v>305</v>
      </c>
      <c r="L1234" s="26">
        <v>322</v>
      </c>
      <c r="M1234">
        <f t="shared" si="23"/>
        <v>322</v>
      </c>
      <c r="O123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Row],[orderNum]],ТабПозиции[orderSumm])&gt;1500),ABS(M1234*VLOOKUP(ТабПозиции[[#This Row],[orderNum]],ТабЗаказы[#Data],MATCH("Percent",ТабЗаказы[#Headers],0),0))/100,200/COUNTIF(ТабПозиции[orderNum],ТабПозиции[[#This Row],[orderNum]])),0),"")</f>
        <v>48</v>
      </c>
      <c r="P1234">
        <f>IF(OR(ТабПозиции[[#This Row],[item]]="По штрихкоду",ТабПозиции[[#This Row],[item]]="Посылка"),ТабПозиции[[#This Row],[deliverySumm]]+ТабПозиции[[#This Row],[deliveryPost]],SUM(M1234:O1234))</f>
        <v>370</v>
      </c>
      <c r="Q1234" s="57">
        <v>370</v>
      </c>
      <c r="R1234" s="62">
        <f>ТабПозиции[[#This Row],[totalSumm]]-ТабПозиции[[#This Row],[payment]]</f>
        <v>0</v>
      </c>
      <c r="S1234" s="34" t="s">
        <v>965</v>
      </c>
      <c r="T1234" s="56" t="s">
        <v>3061</v>
      </c>
      <c r="U1234" s="56" t="str">
        <f>IF(AND(ТабПозиции[[#This Row],[Остаток]]=0,ТабПозиции[[#This Row],[ord]]="true"),"true","false")</f>
        <v>true</v>
      </c>
      <c r="V1234" s="56" t="s">
        <v>3061</v>
      </c>
      <c r="W1234" s="7"/>
      <c r="X1234"/>
    </row>
    <row r="1235" spans="1:24" x14ac:dyDescent="0.25">
      <c r="A1235" s="26">
        <v>332</v>
      </c>
      <c r="B1235" s="1">
        <f>IFERROR(VLOOKUP(ТабПозиции[[#This Row],[orderNum]],ТабЗаказы[#Data],MATCH(B$7,ТабЗаказы[#Headers],0),0),"")</f>
        <v>45604</v>
      </c>
      <c r="C1235" t="str">
        <f>MONTH(ТабПозиции[[#This Row],[date]])&amp;"/"&amp;YEAR(ТабПозиции[[#This Row],[date]])</f>
        <v>11/2024</v>
      </c>
      <c r="D1235" s="1" t="str">
        <f>IFERROR(VLOOKUP(ТабПозиции[[#This Row],[orderNum]],ТабЗаказы[#Data],MATCH(D$7,ТабЗаказы[#Headers],0),0),"")</f>
        <v>Юля Ларисына</v>
      </c>
      <c r="E1235" s="32" t="s">
        <v>1851</v>
      </c>
      <c r="F1235" s="56" t="s">
        <v>3061</v>
      </c>
      <c r="H1235" s="34">
        <v>45606</v>
      </c>
      <c r="I1235" s="26">
        <v>1</v>
      </c>
      <c r="J1235" s="26">
        <v>326</v>
      </c>
      <c r="K1235">
        <f>ТабПозиции[[#This Row],[discountPrice]]*ТабПозиции[[#This Row],[quantity]]</f>
        <v>326</v>
      </c>
      <c r="L1235" s="26">
        <v>344</v>
      </c>
      <c r="M1235">
        <f t="shared" si="23"/>
        <v>344</v>
      </c>
      <c r="O123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Row],[orderNum]],ТабПозиции[orderSumm])&gt;1500),ABS(M1235*VLOOKUP(ТабПозиции[[#This Row],[orderNum]],ТабЗаказы[#Data],MATCH("Percent",ТабЗаказы[#Headers],0),0))/100,200/COUNTIF(ТабПозиции[orderNum],ТабПозиции[[#This Row],[orderNum]])),0),"")</f>
        <v>52</v>
      </c>
      <c r="P1235">
        <f>IF(OR(ТабПозиции[[#This Row],[item]]="По штрихкоду",ТабПозиции[[#This Row],[item]]="Посылка"),ТабПозиции[[#This Row],[deliverySumm]]+ТабПозиции[[#This Row],[deliveryPost]],SUM(M1235:O1235))</f>
        <v>396</v>
      </c>
      <c r="Q1235" s="57">
        <v>396</v>
      </c>
      <c r="R1235" s="62">
        <f>ТабПозиции[[#This Row],[totalSumm]]-ТабПозиции[[#This Row],[payment]]</f>
        <v>0</v>
      </c>
      <c r="S1235" s="34" t="s">
        <v>965</v>
      </c>
      <c r="T1235" s="56" t="s">
        <v>3061</v>
      </c>
      <c r="U1235" s="56" t="str">
        <f>IF(AND(ТабПозиции[[#This Row],[Остаток]]=0,ТабПозиции[[#This Row],[ord]]="true"),"true","false")</f>
        <v>true</v>
      </c>
      <c r="V1235" s="56" t="s">
        <v>3061</v>
      </c>
      <c r="W1235" s="7"/>
      <c r="X1235"/>
    </row>
    <row r="1236" spans="1:24" x14ac:dyDescent="0.25">
      <c r="A1236" s="26">
        <v>332</v>
      </c>
      <c r="B1236" s="1">
        <f>IFERROR(VLOOKUP(ТабПозиции[[#This Row],[orderNum]],ТабЗаказы[#Data],MATCH(B$7,ТабЗаказы[#Headers],0),0),"")</f>
        <v>45604</v>
      </c>
      <c r="C1236" t="str">
        <f>MONTH(ТабПозиции[[#This Row],[date]])&amp;"/"&amp;YEAR(ТабПозиции[[#This Row],[date]])</f>
        <v>11/2024</v>
      </c>
      <c r="D1236" s="1" t="str">
        <f>IFERROR(VLOOKUP(ТабПозиции[[#This Row],[orderNum]],ТабЗаказы[#Data],MATCH(D$7,ТабЗаказы[#Headers],0),0),"")</f>
        <v>Юля Ларисына</v>
      </c>
      <c r="E1236" s="32" t="s">
        <v>1248</v>
      </c>
      <c r="F1236" s="56" t="s">
        <v>3061</v>
      </c>
      <c r="H1236" s="34">
        <v>45606</v>
      </c>
      <c r="I1236" s="26">
        <v>1</v>
      </c>
      <c r="J1236" s="26">
        <v>414</v>
      </c>
      <c r="K1236">
        <f>ТабПозиции[[#This Row],[discountPrice]]*ТабПозиции[[#This Row],[quantity]]</f>
        <v>414</v>
      </c>
      <c r="L1236" s="26">
        <v>436</v>
      </c>
      <c r="M1236">
        <f t="shared" si="23"/>
        <v>436</v>
      </c>
      <c r="O123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Row],[orderNum]],ТабПозиции[orderSumm])&gt;1500),ABS(M1236*VLOOKUP(ТабПозиции[[#This Row],[orderNum]],ТабЗаказы[#Data],MATCH("Percent",ТабЗаказы[#Headers],0),0))/100,200/COUNTIF(ТабПозиции[orderNum],ТабПозиции[[#This Row],[orderNum]])),0),"")</f>
        <v>65</v>
      </c>
      <c r="P1236">
        <f>IF(OR(ТабПозиции[[#This Row],[item]]="По штрихкоду",ТабПозиции[[#This Row],[item]]="Посылка"),ТабПозиции[[#This Row],[deliverySumm]]+ТабПозиции[[#This Row],[deliveryPost]],SUM(M1236:O1236))</f>
        <v>501</v>
      </c>
      <c r="Q1236" s="57">
        <v>501</v>
      </c>
      <c r="R1236" s="62">
        <f>ТабПозиции[[#This Row],[totalSumm]]-ТабПозиции[[#This Row],[payment]]</f>
        <v>0</v>
      </c>
      <c r="S1236" s="34" t="s">
        <v>965</v>
      </c>
      <c r="T1236" s="56" t="s">
        <v>3061</v>
      </c>
      <c r="U1236" s="56" t="str">
        <f>IF(AND(ТабПозиции[[#This Row],[Остаток]]=0,ТабПозиции[[#This Row],[ord]]="true"),"true","false")</f>
        <v>true</v>
      </c>
      <c r="V1236" s="56" t="s">
        <v>3061</v>
      </c>
      <c r="W1236" s="7"/>
      <c r="X1236"/>
    </row>
    <row r="1237" spans="1:24" x14ac:dyDescent="0.25">
      <c r="A1237" s="26">
        <v>334</v>
      </c>
      <c r="B1237" s="1">
        <f>IFERROR(VLOOKUP(ТабПозиции[[#This Row],[orderNum]],ТабЗаказы[#Data],MATCH(B$7,ТабЗаказы[#Headers],0),0),"")</f>
        <v>45604</v>
      </c>
      <c r="C1237" t="str">
        <f>MONTH(ТабПозиции[[#This Row],[date]])&amp;"/"&amp;YEAR(ТабПозиции[[#This Row],[date]])</f>
        <v>11/2024</v>
      </c>
      <c r="D1237" s="1" t="str">
        <f>IFERROR(VLOOKUP(ТабПозиции[[#This Row],[orderNum]],ТабЗаказы[#Data],MATCH(D$7,ТабЗаказы[#Headers],0),0),"")</f>
        <v>Руденко Юля</v>
      </c>
      <c r="E1237" s="32" t="s">
        <v>1667</v>
      </c>
      <c r="F1237" s="56" t="s">
        <v>3061</v>
      </c>
      <c r="H1237" s="34">
        <v>45606</v>
      </c>
      <c r="I1237" s="26">
        <v>1</v>
      </c>
      <c r="J1237" s="26">
        <v>877</v>
      </c>
      <c r="K1237">
        <f>ТабПозиции[[#This Row],[discountPrice]]*ТабПозиции[[#This Row],[quantity]]</f>
        <v>877</v>
      </c>
      <c r="L1237" s="26">
        <v>934</v>
      </c>
      <c r="M1237">
        <f t="shared" si="23"/>
        <v>934</v>
      </c>
      <c r="O123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Row],[orderNum]],ТабПозиции[orderSumm])&gt;1500),ABS(M1237*VLOOKUP(ТабПозиции[[#This Row],[orderNum]],ТабЗаказы[#Data],MATCH("Percent",ТабЗаказы[#Headers],0),0))/100,200/COUNTIF(ТабПозиции[orderNum],ТабПозиции[[#This Row],[orderNum]])),0),"")</f>
        <v>93</v>
      </c>
      <c r="P1237">
        <f>IF(OR(ТабПозиции[[#This Row],[item]]="По штрихкоду",ТабПозиции[[#This Row],[item]]="Посылка"),ТабПозиции[[#This Row],[deliverySumm]]+ТабПозиции[[#This Row],[deliveryPost]],SUM(M1237:O1237))</f>
        <v>1027</v>
      </c>
      <c r="Q1237" s="57">
        <v>1027</v>
      </c>
      <c r="R1237" s="62">
        <f>ТабПозиции[[#This Row],[totalSumm]]-ТабПозиции[[#This Row],[payment]]</f>
        <v>0</v>
      </c>
      <c r="S1237" s="34" t="s">
        <v>965</v>
      </c>
      <c r="T1237" s="56" t="s">
        <v>3061</v>
      </c>
      <c r="U1237" s="56" t="str">
        <f>IF(AND(ТабПозиции[[#This Row],[Остаток]]=0,ТабПозиции[[#This Row],[ord]]="true"),"true","false")</f>
        <v>true</v>
      </c>
      <c r="V1237" s="56" t="s">
        <v>3061</v>
      </c>
      <c r="W1237" s="7"/>
      <c r="X1237"/>
    </row>
    <row r="1238" spans="1:24" x14ac:dyDescent="0.25">
      <c r="A1238" s="26">
        <v>334</v>
      </c>
      <c r="B1238" s="1">
        <f>IFERROR(VLOOKUP(ТабПозиции[[#This Row],[orderNum]],ТабЗаказы[#Data],MATCH(B$7,ТабЗаказы[#Headers],0),0),"")</f>
        <v>45604</v>
      </c>
      <c r="C1238" t="str">
        <f>MONTH(ТабПозиции[[#This Row],[date]])&amp;"/"&amp;YEAR(ТабПозиции[[#This Row],[date]])</f>
        <v>11/2024</v>
      </c>
      <c r="D1238" s="1" t="str">
        <f>IFERROR(VLOOKUP(ТабПозиции[[#This Row],[orderNum]],ТабЗаказы[#Data],MATCH(D$7,ТабЗаказы[#Headers],0),0),"")</f>
        <v>Руденко Юля</v>
      </c>
      <c r="E1238" s="32" t="s">
        <v>1852</v>
      </c>
      <c r="F1238" s="56" t="s">
        <v>3061</v>
      </c>
      <c r="H1238" s="34">
        <v>45610</v>
      </c>
      <c r="I1238" s="26">
        <v>1</v>
      </c>
      <c r="J1238" s="26">
        <v>795</v>
      </c>
      <c r="K1238">
        <f>ТабПозиции[[#This Row],[discountPrice]]*ТабПозиции[[#This Row],[quantity]]</f>
        <v>795</v>
      </c>
      <c r="L1238" s="26">
        <v>846</v>
      </c>
      <c r="M1238">
        <f t="shared" ref="M1238:M1290" si="24">L1238*I1238</f>
        <v>846</v>
      </c>
      <c r="O123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Row],[orderNum]],ТабПозиции[orderSumm])&gt;1500),ABS(M1238*VLOOKUP(ТабПозиции[[#This Row],[orderNum]],ТабЗаказы[#Data],MATCH("Percent",ТабЗаказы[#Headers],0),0))/100,200/COUNTIF(ТабПозиции[orderNum],ТабПозиции[[#This Row],[orderNum]])),0),"")</f>
        <v>85</v>
      </c>
      <c r="P1238">
        <f>IF(OR(ТабПозиции[[#This Row],[item]]="По штрихкоду",ТабПозиции[[#This Row],[item]]="Посылка"),ТабПозиции[[#This Row],[deliverySumm]]+ТабПозиции[[#This Row],[deliveryPost]],SUM(M1238:O1238))</f>
        <v>931</v>
      </c>
      <c r="Q1238" s="57">
        <v>931</v>
      </c>
      <c r="R1238" s="62">
        <f>ТабПозиции[[#This Row],[totalSumm]]-ТабПозиции[[#This Row],[payment]]</f>
        <v>0</v>
      </c>
      <c r="S1238" s="34" t="s">
        <v>965</v>
      </c>
      <c r="T1238" s="56" t="s">
        <v>3061</v>
      </c>
      <c r="U1238" s="56" t="str">
        <f>IF(AND(ТабПозиции[[#This Row],[Остаток]]=0,ТабПозиции[[#This Row],[ord]]="true"),"true","false")</f>
        <v>true</v>
      </c>
      <c r="V1238" s="56" t="s">
        <v>3061</v>
      </c>
      <c r="W1238" s="7"/>
      <c r="X1238"/>
    </row>
    <row r="1239" spans="1:24" x14ac:dyDescent="0.25">
      <c r="A1239" s="26">
        <v>334</v>
      </c>
      <c r="B1239" s="1">
        <f>IFERROR(VLOOKUP(ТабПозиции[[#This Row],[orderNum]],ТабЗаказы[#Data],MATCH(B$7,ТабЗаказы[#Headers],0),0),"")</f>
        <v>45604</v>
      </c>
      <c r="C1239" t="str">
        <f>MONTH(ТабПозиции[[#This Row],[date]])&amp;"/"&amp;YEAR(ТабПозиции[[#This Row],[date]])</f>
        <v>11/2024</v>
      </c>
      <c r="D1239" s="1" t="str">
        <f>IFERROR(VLOOKUP(ТабПозиции[[#This Row],[orderNum]],ТабЗаказы[#Data],MATCH(D$7,ТабЗаказы[#Headers],0),0),"")</f>
        <v>Руденко Юля</v>
      </c>
      <c r="E1239" s="32" t="s">
        <v>1853</v>
      </c>
      <c r="F1239" s="56" t="s">
        <v>3061</v>
      </c>
      <c r="H1239" s="34">
        <v>45607</v>
      </c>
      <c r="I1239" s="26">
        <v>1</v>
      </c>
      <c r="J1239" s="26">
        <v>203</v>
      </c>
      <c r="K1239">
        <f>ТабПозиции[[#This Row],[discountPrice]]*ТабПозиции[[#This Row],[quantity]]</f>
        <v>203</v>
      </c>
      <c r="L1239" s="26">
        <v>216</v>
      </c>
      <c r="M1239">
        <f t="shared" si="24"/>
        <v>216</v>
      </c>
      <c r="O123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Row],[orderNum]],ТабПозиции[orderSumm])&gt;1500),ABS(M1239*VLOOKUP(ТабПозиции[[#This Row],[orderNum]],ТабЗаказы[#Data],MATCH("Percent",ТабЗаказы[#Headers],0),0))/100,200/COUNTIF(ТабПозиции[orderNum],ТабПозиции[[#This Row],[orderNum]])),0),"")</f>
        <v>22</v>
      </c>
      <c r="P1239">
        <f>IF(OR(ТабПозиции[[#This Row],[item]]="По штрихкоду",ТабПозиции[[#This Row],[item]]="Посылка"),ТабПозиции[[#This Row],[deliverySumm]]+ТабПозиции[[#This Row],[deliveryPost]],SUM(M1239:O1239))</f>
        <v>238</v>
      </c>
      <c r="Q1239" s="57">
        <v>238</v>
      </c>
      <c r="R1239" s="62">
        <f>ТабПозиции[[#This Row],[totalSumm]]-ТабПозиции[[#This Row],[payment]]</f>
        <v>0</v>
      </c>
      <c r="S1239" s="34" t="s">
        <v>965</v>
      </c>
      <c r="T1239" s="56" t="s">
        <v>3061</v>
      </c>
      <c r="U1239" s="56" t="str">
        <f>IF(AND(ТабПозиции[[#This Row],[Остаток]]=0,ТабПозиции[[#This Row],[ord]]="true"),"true","false")</f>
        <v>true</v>
      </c>
      <c r="V1239" s="56" t="s">
        <v>3061</v>
      </c>
      <c r="W1239" s="7"/>
      <c r="X1239"/>
    </row>
    <row r="1240" spans="1:24" x14ac:dyDescent="0.25">
      <c r="A1240" s="26">
        <v>334</v>
      </c>
      <c r="B1240" s="1">
        <f>IFERROR(VLOOKUP(ТабПозиции[[#This Row],[orderNum]],ТабЗаказы[#Data],MATCH(B$7,ТабЗаказы[#Headers],0),0),"")</f>
        <v>45604</v>
      </c>
      <c r="C1240" t="str">
        <f>MONTH(ТабПозиции[[#This Row],[date]])&amp;"/"&amp;YEAR(ТабПозиции[[#This Row],[date]])</f>
        <v>11/2024</v>
      </c>
      <c r="D1240" s="1" t="str">
        <f>IFERROR(VLOOKUP(ТабПозиции[[#This Row],[orderNum]],ТабЗаказы[#Data],MATCH(D$7,ТабЗаказы[#Headers],0),0),"")</f>
        <v>Руденко Юля</v>
      </c>
      <c r="E1240" s="32" t="s">
        <v>1854</v>
      </c>
      <c r="F1240" s="56" t="s">
        <v>3061</v>
      </c>
      <c r="H1240" s="34">
        <v>45609</v>
      </c>
      <c r="I1240" s="26">
        <v>1</v>
      </c>
      <c r="J1240" s="26">
        <v>675</v>
      </c>
      <c r="K1240">
        <f>ТабПозиции[[#This Row],[discountPrice]]*ТабПозиции[[#This Row],[quantity]]</f>
        <v>675</v>
      </c>
      <c r="L1240" s="26">
        <v>719</v>
      </c>
      <c r="M1240">
        <f t="shared" si="24"/>
        <v>719</v>
      </c>
      <c r="O124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Row],[orderNum]],ТабПозиции[orderSumm])&gt;1500),ABS(M1240*VLOOKUP(ТабПозиции[[#This Row],[orderNum]],ТабЗаказы[#Data],MATCH("Percent",ТабЗаказы[#Headers],0),0))/100,200/COUNTIF(ТабПозиции[orderNum],ТабПозиции[[#This Row],[orderNum]])),0),"")</f>
        <v>72</v>
      </c>
      <c r="P1240">
        <f>IF(OR(ТабПозиции[[#This Row],[item]]="По штрихкоду",ТабПозиции[[#This Row],[item]]="Посылка"),ТабПозиции[[#This Row],[deliverySumm]]+ТабПозиции[[#This Row],[deliveryPost]],SUM(M1240:O1240))</f>
        <v>791</v>
      </c>
      <c r="Q1240" s="57">
        <v>791</v>
      </c>
      <c r="R1240" s="62">
        <f>ТабПозиции[[#This Row],[totalSumm]]-ТабПозиции[[#This Row],[payment]]</f>
        <v>0</v>
      </c>
      <c r="S1240" s="34" t="s">
        <v>965</v>
      </c>
      <c r="T1240" s="56" t="s">
        <v>3061</v>
      </c>
      <c r="U1240" s="56" t="str">
        <f>IF(AND(ТабПозиции[[#This Row],[Остаток]]=0,ТабПозиции[[#This Row],[ord]]="true"),"true","false")</f>
        <v>true</v>
      </c>
      <c r="V1240" s="56" t="s">
        <v>3061</v>
      </c>
      <c r="W1240" s="7"/>
      <c r="X1240"/>
    </row>
    <row r="1241" spans="1:24" x14ac:dyDescent="0.25">
      <c r="A1241" s="26">
        <v>334</v>
      </c>
      <c r="B1241" s="1">
        <f>IFERROR(VLOOKUP(ТабПозиции[[#This Row],[orderNum]],ТабЗаказы[#Data],MATCH(B$7,ТабЗаказы[#Headers],0),0),"")</f>
        <v>45604</v>
      </c>
      <c r="C1241" t="str">
        <f>MONTH(ТабПозиции[[#This Row],[date]])&amp;"/"&amp;YEAR(ТабПозиции[[#This Row],[date]])</f>
        <v>11/2024</v>
      </c>
      <c r="D1241" s="1" t="str">
        <f>IFERROR(VLOOKUP(ТабПозиции[[#This Row],[orderNum]],ТабЗаказы[#Data],MATCH(D$7,ТабЗаказы[#Headers],0),0),"")</f>
        <v>Руденко Юля</v>
      </c>
      <c r="E1241" s="32" t="s">
        <v>1855</v>
      </c>
      <c r="F1241" s="56" t="s">
        <v>3061</v>
      </c>
      <c r="H1241" s="34">
        <v>45607</v>
      </c>
      <c r="I1241" s="26">
        <v>1</v>
      </c>
      <c r="J1241" s="26">
        <v>1298</v>
      </c>
      <c r="K1241">
        <f>ТабПозиции[[#This Row],[discountPrice]]*ТабПозиции[[#This Row],[quantity]]</f>
        <v>1298</v>
      </c>
      <c r="L1241" s="26">
        <v>1381</v>
      </c>
      <c r="M1241">
        <f t="shared" si="24"/>
        <v>1381</v>
      </c>
      <c r="O124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Row],[orderNum]],ТабПозиции[orderSumm])&gt;1500),ABS(M1241*VLOOKUP(ТабПозиции[[#This Row],[orderNum]],ТабЗаказы[#Data],MATCH("Percent",ТабЗаказы[#Headers],0),0))/100,200/COUNTIF(ТабПозиции[orderNum],ТабПозиции[[#This Row],[orderNum]])),0),"")</f>
        <v>138</v>
      </c>
      <c r="P1241">
        <f>IF(OR(ТабПозиции[[#This Row],[item]]="По штрихкоду",ТабПозиции[[#This Row],[item]]="Посылка"),ТабПозиции[[#This Row],[deliverySumm]]+ТабПозиции[[#This Row],[deliveryPost]],SUM(M1241:O1241))</f>
        <v>1519</v>
      </c>
      <c r="Q1241" s="57">
        <v>1519</v>
      </c>
      <c r="R1241" s="62">
        <f>ТабПозиции[[#This Row],[totalSumm]]-ТабПозиции[[#This Row],[payment]]</f>
        <v>0</v>
      </c>
      <c r="S1241" s="34" t="s">
        <v>965</v>
      </c>
      <c r="T1241" s="56" t="s">
        <v>3061</v>
      </c>
      <c r="U1241" s="56" t="str">
        <f>IF(AND(ТабПозиции[[#This Row],[Остаток]]=0,ТабПозиции[[#This Row],[ord]]="true"),"true","false")</f>
        <v>true</v>
      </c>
      <c r="V1241" s="56" t="s">
        <v>3061</v>
      </c>
      <c r="W1241" s="7"/>
      <c r="X1241"/>
    </row>
    <row r="1242" spans="1:24" x14ac:dyDescent="0.25">
      <c r="A1242" s="26">
        <v>334</v>
      </c>
      <c r="B1242" s="1">
        <f>IFERROR(VLOOKUP(ТабПозиции[[#This Row],[orderNum]],ТабЗаказы[#Data],MATCH(B$7,ТабЗаказы[#Headers],0),0),"")</f>
        <v>45604</v>
      </c>
      <c r="C1242" t="str">
        <f>MONTH(ТабПозиции[[#This Row],[date]])&amp;"/"&amp;YEAR(ТабПозиции[[#This Row],[date]])</f>
        <v>11/2024</v>
      </c>
      <c r="D1242" s="1" t="str">
        <f>IFERROR(VLOOKUP(ТабПозиции[[#This Row],[orderNum]],ТабЗаказы[#Data],MATCH(D$7,ТабЗаказы[#Headers],0),0),"")</f>
        <v>Руденко Юля</v>
      </c>
      <c r="E1242" s="32" t="s">
        <v>1855</v>
      </c>
      <c r="F1242" s="56" t="s">
        <v>3061</v>
      </c>
      <c r="H1242" s="34">
        <v>45606</v>
      </c>
      <c r="I1242" s="26">
        <v>1</v>
      </c>
      <c r="J1242" s="26">
        <v>1095</v>
      </c>
      <c r="K1242">
        <f>ТабПозиции[[#This Row],[discountPrice]]*ТабПозиции[[#This Row],[quantity]]</f>
        <v>1095</v>
      </c>
      <c r="L1242" s="26">
        <v>1165</v>
      </c>
      <c r="M1242">
        <f t="shared" si="24"/>
        <v>1165</v>
      </c>
      <c r="O124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Row],[orderNum]],ТабПозиции[orderSumm])&gt;1500),ABS(M1242*VLOOKUP(ТабПозиции[[#This Row],[orderNum]],ТабЗаказы[#Data],MATCH("Percent",ТабЗаказы[#Headers],0),0))/100,200/COUNTIF(ТабПозиции[orderNum],ТабПозиции[[#This Row],[orderNum]])),0),"")</f>
        <v>117</v>
      </c>
      <c r="P1242">
        <f>IF(OR(ТабПозиции[[#This Row],[item]]="По штрихкоду",ТабПозиции[[#This Row],[item]]="Посылка"),ТабПозиции[[#This Row],[deliverySumm]]+ТабПозиции[[#This Row],[deliveryPost]],SUM(M1242:O1242))</f>
        <v>1282</v>
      </c>
      <c r="Q1242" s="57">
        <v>1282</v>
      </c>
      <c r="R1242" s="62">
        <f>ТабПозиции[[#This Row],[totalSumm]]-ТабПозиции[[#This Row],[payment]]</f>
        <v>0</v>
      </c>
      <c r="S1242" s="34" t="s">
        <v>965</v>
      </c>
      <c r="T1242" s="56" t="s">
        <v>3061</v>
      </c>
      <c r="U1242" s="56" t="str">
        <f>IF(AND(ТабПозиции[[#This Row],[Остаток]]=0,ТабПозиции[[#This Row],[ord]]="true"),"true","false")</f>
        <v>true</v>
      </c>
      <c r="V1242" s="56" t="s">
        <v>3061</v>
      </c>
      <c r="W1242" s="7"/>
      <c r="X1242"/>
    </row>
    <row r="1243" spans="1:24" x14ac:dyDescent="0.25">
      <c r="A1243" s="26">
        <v>334</v>
      </c>
      <c r="B1243" s="1">
        <f>IFERROR(VLOOKUP(ТабПозиции[[#This Row],[orderNum]],ТабЗаказы[#Data],MATCH(B$7,ТабЗаказы[#Headers],0),0),"")</f>
        <v>45604</v>
      </c>
      <c r="C1243" t="str">
        <f>MONTH(ТабПозиции[[#This Row],[date]])&amp;"/"&amp;YEAR(ТабПозиции[[#This Row],[date]])</f>
        <v>11/2024</v>
      </c>
      <c r="D1243" s="1" t="str">
        <f>IFERROR(VLOOKUP(ТабПозиции[[#This Row],[orderNum]],ТабЗаказы[#Data],MATCH(D$7,ТабЗаказы[#Headers],0),0),"")</f>
        <v>Руденко Юля</v>
      </c>
      <c r="E1243" s="32" t="s">
        <v>1856</v>
      </c>
      <c r="F1243" s="56" t="s">
        <v>3061</v>
      </c>
      <c r="H1243" s="34">
        <v>45607</v>
      </c>
      <c r="I1243" s="26">
        <v>1</v>
      </c>
      <c r="J1243" s="26">
        <v>523</v>
      </c>
      <c r="K1243">
        <f>ТабПозиции[[#This Row],[discountPrice]]*ТабПозиции[[#This Row],[quantity]]</f>
        <v>523</v>
      </c>
      <c r="L1243" s="26">
        <v>575</v>
      </c>
      <c r="M1243">
        <f t="shared" si="24"/>
        <v>575</v>
      </c>
      <c r="O124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Row],[orderNum]],ТабПозиции[orderSumm])&gt;1500),ABS(M1243*VLOOKUP(ТабПозиции[[#This Row],[orderNum]],ТабЗаказы[#Data],MATCH("Percent",ТабЗаказы[#Headers],0),0))/100,200/COUNTIF(ТабПозиции[orderNum],ТабПозиции[[#This Row],[orderNum]])),0),"")</f>
        <v>58</v>
      </c>
      <c r="P1243">
        <f>IF(OR(ТабПозиции[[#This Row],[item]]="По штрихкоду",ТабПозиции[[#This Row],[item]]="Посылка"),ТабПозиции[[#This Row],[deliverySumm]]+ТабПозиции[[#This Row],[deliveryPost]],SUM(M1243:O1243))</f>
        <v>633</v>
      </c>
      <c r="Q1243" s="57">
        <v>633</v>
      </c>
      <c r="R1243" s="62">
        <f>ТабПозиции[[#This Row],[totalSumm]]-ТабПозиции[[#This Row],[payment]]</f>
        <v>0</v>
      </c>
      <c r="S1243" s="34" t="s">
        <v>965</v>
      </c>
      <c r="T1243" s="56" t="s">
        <v>3061</v>
      </c>
      <c r="U1243" s="56" t="str">
        <f>IF(AND(ТабПозиции[[#This Row],[Остаток]]=0,ТабПозиции[[#This Row],[ord]]="true"),"true","false")</f>
        <v>true</v>
      </c>
      <c r="V1243" s="56" t="s">
        <v>3061</v>
      </c>
      <c r="W1243" s="7"/>
      <c r="X1243"/>
    </row>
    <row r="1244" spans="1:24" x14ac:dyDescent="0.25">
      <c r="A1244" s="26">
        <v>334</v>
      </c>
      <c r="B1244" s="1">
        <f>IFERROR(VLOOKUP(ТабПозиции[[#This Row],[orderNum]],ТабЗаказы[#Data],MATCH(B$7,ТабЗаказы[#Headers],0),0),"")</f>
        <v>45604</v>
      </c>
      <c r="C1244" t="str">
        <f>MONTH(ТабПозиции[[#This Row],[date]])&amp;"/"&amp;YEAR(ТабПозиции[[#This Row],[date]])</f>
        <v>11/2024</v>
      </c>
      <c r="D1244" s="1" t="str">
        <f>IFERROR(VLOOKUP(ТабПозиции[[#This Row],[orderNum]],ТабЗаказы[#Data],MATCH(D$7,ТабЗаказы[#Headers],0),0),"")</f>
        <v>Руденко Юля</v>
      </c>
      <c r="E1244" s="32" t="s">
        <v>1857</v>
      </c>
      <c r="F1244" s="56" t="s">
        <v>3061</v>
      </c>
      <c r="H1244" s="34">
        <v>45607</v>
      </c>
      <c r="I1244" s="26">
        <v>1</v>
      </c>
      <c r="J1244" s="26">
        <v>300</v>
      </c>
      <c r="K1244">
        <f>ТабПозиции[[#This Row],[discountPrice]]*ТабПозиции[[#This Row],[quantity]]</f>
        <v>300</v>
      </c>
      <c r="L1244" s="26">
        <v>320</v>
      </c>
      <c r="M1244">
        <f t="shared" si="24"/>
        <v>320</v>
      </c>
      <c r="O124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Row],[orderNum]],ТабПозиции[orderSumm])&gt;1500),ABS(M1244*VLOOKUP(ТабПозиции[[#This Row],[orderNum]],ТабЗаказы[#Data],MATCH("Percent",ТабЗаказы[#Headers],0),0))/100,200/COUNTIF(ТабПозиции[orderNum],ТабПозиции[[#This Row],[orderNum]])),0),"")</f>
        <v>32</v>
      </c>
      <c r="P1244">
        <f>IF(OR(ТабПозиции[[#This Row],[item]]="По штрихкоду",ТабПозиции[[#This Row],[item]]="Посылка"),ТабПозиции[[#This Row],[deliverySumm]]+ТабПозиции[[#This Row],[deliveryPost]],SUM(M1244:O1244))</f>
        <v>352</v>
      </c>
      <c r="Q1244" s="57">
        <v>352</v>
      </c>
      <c r="R1244" s="62">
        <f>ТабПозиции[[#This Row],[totalSumm]]-ТабПозиции[[#This Row],[payment]]</f>
        <v>0</v>
      </c>
      <c r="S1244" s="34" t="s">
        <v>965</v>
      </c>
      <c r="T1244" s="56" t="s">
        <v>3061</v>
      </c>
      <c r="U1244" s="56" t="str">
        <f>IF(AND(ТабПозиции[[#This Row],[Остаток]]=0,ТабПозиции[[#This Row],[ord]]="true"),"true","false")</f>
        <v>true</v>
      </c>
      <c r="V1244" s="56" t="s">
        <v>3061</v>
      </c>
      <c r="W1244" s="7"/>
      <c r="X1244"/>
    </row>
    <row r="1245" spans="1:24" x14ac:dyDescent="0.25">
      <c r="A1245" s="26">
        <v>334</v>
      </c>
      <c r="B1245" s="1">
        <f>IFERROR(VLOOKUP(ТабПозиции[[#This Row],[orderNum]],ТабЗаказы[#Data],MATCH(B$7,ТабЗаказы[#Headers],0),0),"")</f>
        <v>45604</v>
      </c>
      <c r="C1245" t="str">
        <f>MONTH(ТабПозиции[[#This Row],[date]])&amp;"/"&amp;YEAR(ТабПозиции[[#This Row],[date]])</f>
        <v>11/2024</v>
      </c>
      <c r="D1245" s="1" t="str">
        <f>IFERROR(VLOOKUP(ТабПозиции[[#This Row],[orderNum]],ТабЗаказы[#Data],MATCH(D$7,ТабЗаказы[#Headers],0),0),"")</f>
        <v>Руденко Юля</v>
      </c>
      <c r="E1245" s="32" t="s">
        <v>1858</v>
      </c>
      <c r="F1245" s="56" t="s">
        <v>3061</v>
      </c>
      <c r="H1245" s="34">
        <v>45607</v>
      </c>
      <c r="I1245" s="26">
        <v>1</v>
      </c>
      <c r="J1245" s="26">
        <v>423</v>
      </c>
      <c r="K1245">
        <f>ТабПозиции[[#This Row],[discountPrice]]*ТабПозиции[[#This Row],[quantity]]</f>
        <v>423</v>
      </c>
      <c r="L1245" s="26">
        <v>451</v>
      </c>
      <c r="M1245">
        <f t="shared" si="24"/>
        <v>451</v>
      </c>
      <c r="O124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Row],[orderNum]],ТабПозиции[orderSumm])&gt;1500),ABS(M1245*VLOOKUP(ТабПозиции[[#This Row],[orderNum]],ТабЗаказы[#Data],MATCH("Percent",ТабЗаказы[#Headers],0),0))/100,200/COUNTIF(ТабПозиции[orderNum],ТабПозиции[[#This Row],[orderNum]])),0),"")</f>
        <v>45</v>
      </c>
      <c r="P1245">
        <f>IF(OR(ТабПозиции[[#This Row],[item]]="По штрихкоду",ТабПозиции[[#This Row],[item]]="Посылка"),ТабПозиции[[#This Row],[deliverySumm]]+ТабПозиции[[#This Row],[deliveryPost]],SUM(M1245:O1245))</f>
        <v>496</v>
      </c>
      <c r="Q1245" s="57">
        <v>496</v>
      </c>
      <c r="R1245" s="62">
        <f>ТабПозиции[[#This Row],[totalSumm]]-ТабПозиции[[#This Row],[payment]]</f>
        <v>0</v>
      </c>
      <c r="S1245" s="34" t="s">
        <v>965</v>
      </c>
      <c r="T1245" s="56" t="s">
        <v>3061</v>
      </c>
      <c r="U1245" s="56" t="str">
        <f>IF(AND(ТабПозиции[[#This Row],[Остаток]]=0,ТабПозиции[[#This Row],[ord]]="true"),"true","false")</f>
        <v>true</v>
      </c>
      <c r="V1245" s="56" t="s">
        <v>3061</v>
      </c>
      <c r="W1245" s="7"/>
      <c r="X1245"/>
    </row>
    <row r="1246" spans="1:24" x14ac:dyDescent="0.25">
      <c r="A1246" s="26">
        <v>334</v>
      </c>
      <c r="B1246" s="1">
        <f>IFERROR(VLOOKUP(ТабПозиции[[#This Row],[orderNum]],ТабЗаказы[#Data],MATCH(B$7,ТабЗаказы[#Headers],0),0),"")</f>
        <v>45604</v>
      </c>
      <c r="C1246" t="str">
        <f>MONTH(ТабПозиции[[#This Row],[date]])&amp;"/"&amp;YEAR(ТабПозиции[[#This Row],[date]])</f>
        <v>11/2024</v>
      </c>
      <c r="D1246" s="1" t="str">
        <f>IFERROR(VLOOKUP(ТабПозиции[[#This Row],[orderNum]],ТабЗаказы[#Data],MATCH(D$7,ТабЗаказы[#Headers],0),0),"")</f>
        <v>Руденко Юля</v>
      </c>
      <c r="E1246" s="32" t="s">
        <v>1859</v>
      </c>
      <c r="F1246" s="56" t="s">
        <v>3061</v>
      </c>
      <c r="H1246" s="34">
        <v>45607</v>
      </c>
      <c r="I1246" s="26">
        <v>1</v>
      </c>
      <c r="J1246" s="26">
        <v>902</v>
      </c>
      <c r="K1246">
        <f>ТабПозиции[[#This Row],[discountPrice]]*ТабПозиции[[#This Row],[quantity]]</f>
        <v>902</v>
      </c>
      <c r="L1246" s="26">
        <v>948</v>
      </c>
      <c r="M1246">
        <f t="shared" si="24"/>
        <v>948</v>
      </c>
      <c r="O124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Row],[orderNum]],ТабПозиции[orderSumm])&gt;1500),ABS(M1246*VLOOKUP(ТабПозиции[[#This Row],[orderNum]],ТабЗаказы[#Data],MATCH("Percent",ТабЗаказы[#Headers],0),0))/100,200/COUNTIF(ТабПозиции[orderNum],ТабПозиции[[#This Row],[orderNum]])),0),"")</f>
        <v>95</v>
      </c>
      <c r="P1246">
        <f>IF(OR(ТабПозиции[[#This Row],[item]]="По штрихкоду",ТабПозиции[[#This Row],[item]]="Посылка"),ТабПозиции[[#This Row],[deliverySumm]]+ТабПозиции[[#This Row],[deliveryPost]],SUM(M1246:O1246))</f>
        <v>1043</v>
      </c>
      <c r="Q1246" s="57">
        <v>1043</v>
      </c>
      <c r="R1246" s="62">
        <f>ТабПозиции[[#This Row],[totalSumm]]-ТабПозиции[[#This Row],[payment]]</f>
        <v>0</v>
      </c>
      <c r="S1246" s="34" t="s">
        <v>965</v>
      </c>
      <c r="T1246" s="56" t="s">
        <v>3061</v>
      </c>
      <c r="U1246" s="56" t="str">
        <f>IF(AND(ТабПозиции[[#This Row],[Остаток]]=0,ТабПозиции[[#This Row],[ord]]="true"),"true","false")</f>
        <v>true</v>
      </c>
      <c r="V1246" s="56" t="s">
        <v>3061</v>
      </c>
      <c r="W1246" s="7"/>
      <c r="X1246"/>
    </row>
    <row r="1247" spans="1:24" x14ac:dyDescent="0.25">
      <c r="A1247" s="26">
        <v>335</v>
      </c>
      <c r="B1247" s="1">
        <f>IFERROR(VLOOKUP(ТабПозиции[[#This Row],[orderNum]],ТабЗаказы[#Data],MATCH(B$7,ТабЗаказы[#Headers],0),0),"")</f>
        <v>45607</v>
      </c>
      <c r="C1247" t="str">
        <f>MONTH(ТабПозиции[[#This Row],[date]])&amp;"/"&amp;YEAR(ТабПозиции[[#This Row],[date]])</f>
        <v>11/2024</v>
      </c>
      <c r="D1247" s="1" t="str">
        <f>IFERROR(VLOOKUP(ТабПозиции[[#This Row],[orderNum]],ТабЗаказы[#Data],MATCH(D$7,ТабЗаказы[#Headers],0),0),"")</f>
        <v>Галина Агабекова(церковь)</v>
      </c>
      <c r="E1247" s="32" t="s">
        <v>1860</v>
      </c>
      <c r="F1247" s="56" t="s">
        <v>3061</v>
      </c>
      <c r="H1247" s="34">
        <v>45636</v>
      </c>
      <c r="I1247" s="26">
        <v>1</v>
      </c>
      <c r="J1247" s="26">
        <v>971</v>
      </c>
      <c r="K1247">
        <f>ТабПозиции[[#This Row],[discountPrice]]*ТабПозиции[[#This Row],[quantity]]</f>
        <v>971</v>
      </c>
      <c r="L1247" s="26">
        <v>997</v>
      </c>
      <c r="M1247">
        <f t="shared" si="24"/>
        <v>997</v>
      </c>
      <c r="O124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Row],[orderNum]],ТабПозиции[orderSumm])&gt;1500),ABS(M1247*VLOOKUP(ТабПозиции[[#This Row],[orderNum]],ТабЗаказы[#Data],MATCH("Percent",ТабЗаказы[#Headers],0),0))/100,200/COUNTIF(ТабПозиции[orderNum],ТабПозиции[[#This Row],[orderNum]])),0),"")</f>
        <v>150</v>
      </c>
      <c r="P1247">
        <f>IF(OR(ТабПозиции[[#This Row],[item]]="По штрихкоду",ТабПозиции[[#This Row],[item]]="Посылка"),ТабПозиции[[#This Row],[deliverySumm]]+ТабПозиции[[#This Row],[deliveryPost]],SUM(M1247:O1247))</f>
        <v>1147</v>
      </c>
      <c r="Q1247" s="57">
        <v>1147</v>
      </c>
      <c r="R1247" s="62">
        <f>ТабПозиции[[#This Row],[totalSumm]]-ТабПозиции[[#This Row],[payment]]</f>
        <v>0</v>
      </c>
      <c r="S1247" s="34" t="s">
        <v>955</v>
      </c>
      <c r="T1247" s="56" t="s">
        <v>3061</v>
      </c>
      <c r="U1247" s="56" t="str">
        <f>IF(AND(ТабПозиции[[#This Row],[Остаток]]=0,ТабПозиции[[#This Row],[ord]]="true"),"true","false")</f>
        <v>true</v>
      </c>
      <c r="V1247" s="56" t="str">
        <f>IF(AND(ТабПозиции[[#This Row],[Остаток]]=0,ТабПозиции[[#This Row],[ord]]="true"),"true","false")</f>
        <v>true</v>
      </c>
      <c r="W1247" s="7"/>
      <c r="X1247"/>
    </row>
    <row r="1248" spans="1:24" x14ac:dyDescent="0.25">
      <c r="A1248" s="26">
        <v>335</v>
      </c>
      <c r="B1248" s="1">
        <f>IFERROR(VLOOKUP(ТабПозиции[[#This Row],[orderNum]],ТабЗаказы[#Data],MATCH(B$7,ТабЗаказы[#Headers],0),0),"")</f>
        <v>45607</v>
      </c>
      <c r="C1248" t="str">
        <f>MONTH(ТабПозиции[[#This Row],[date]])&amp;"/"&amp;YEAR(ТабПозиции[[#This Row],[date]])</f>
        <v>11/2024</v>
      </c>
      <c r="D1248" s="1" t="str">
        <f>IFERROR(VLOOKUP(ТабПозиции[[#This Row],[orderNum]],ТабЗаказы[#Data],MATCH(D$7,ТабЗаказы[#Headers],0),0),"")</f>
        <v>Галина Агабекова(церковь)</v>
      </c>
      <c r="E1248" s="32" t="s">
        <v>1861</v>
      </c>
      <c r="F1248" s="56" t="s">
        <v>3061</v>
      </c>
      <c r="H1248" s="34">
        <v>45611</v>
      </c>
      <c r="I1248" s="26">
        <v>0</v>
      </c>
      <c r="J1248" s="26">
        <v>848</v>
      </c>
      <c r="K1248">
        <f>ТабПозиции[[#This Row],[discountPrice]]*ТабПозиции[[#This Row],[quantity]]</f>
        <v>0</v>
      </c>
      <c r="L1248" s="26">
        <v>848</v>
      </c>
      <c r="M1248">
        <f t="shared" si="24"/>
        <v>0</v>
      </c>
      <c r="O124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Row],[orderNum]],ТабПозиции[orderSumm])&gt;1500),ABS(M1248*VLOOKUP(ТабПозиции[[#This Row],[orderNum]],ТабЗаказы[#Data],MATCH("Percent",ТабЗаказы[#Headers],0),0))/100,200/COUNTIF(ТабПозиции[orderNum],ТабПозиции[[#This Row],[orderNum]])),0),"")</f>
        <v>0</v>
      </c>
      <c r="P1248">
        <f>IF(OR(ТабПозиции[[#This Row],[item]]="По штрихкоду",ТабПозиции[[#This Row],[item]]="Посылка"),ТабПозиции[[#This Row],[deliverySumm]]+ТабПозиции[[#This Row],[deliveryPost]],SUM(M1248:O1248))</f>
        <v>0</v>
      </c>
      <c r="R1248" s="62">
        <f>ТабПозиции[[#This Row],[totalSumm]]-ТабПозиции[[#This Row],[payment]]</f>
        <v>0</v>
      </c>
      <c r="S1248" s="34" t="s">
        <v>1862</v>
      </c>
      <c r="T1248" s="56" t="s">
        <v>3061</v>
      </c>
      <c r="U1248" s="56" t="str">
        <f>IF(AND(ТабПозиции[[#This Row],[Остаток]]=0,ТабПозиции[[#This Row],[ord]]="true"),"true","false")</f>
        <v>true</v>
      </c>
      <c r="V1248" s="56" t="s">
        <v>3061</v>
      </c>
      <c r="W1248" s="7"/>
      <c r="X1248"/>
    </row>
    <row r="1249" spans="1:24" x14ac:dyDescent="0.25">
      <c r="A1249" s="26">
        <v>335</v>
      </c>
      <c r="B1249" s="1">
        <f>IFERROR(VLOOKUP(ТабПозиции[[#This Row],[orderNum]],ТабЗаказы[#Data],MATCH(B$7,ТабЗаказы[#Headers],0),0),"")</f>
        <v>45607</v>
      </c>
      <c r="C1249" t="str">
        <f>MONTH(ТабПозиции[[#This Row],[date]])&amp;"/"&amp;YEAR(ТабПозиции[[#This Row],[date]])</f>
        <v>11/2024</v>
      </c>
      <c r="D1249" s="1" t="str">
        <f>IFERROR(VLOOKUP(ТабПозиции[[#This Row],[orderNum]],ТабЗаказы[#Data],MATCH(D$7,ТабЗаказы[#Headers],0),0),"")</f>
        <v>Галина Агабекова(церковь)</v>
      </c>
      <c r="E1249" s="32" t="s">
        <v>1863</v>
      </c>
      <c r="F1249" s="56" t="s">
        <v>3061</v>
      </c>
      <c r="H1249" s="34">
        <v>45608</v>
      </c>
      <c r="I1249" s="26">
        <v>1</v>
      </c>
      <c r="J1249" s="26">
        <v>1345</v>
      </c>
      <c r="K1249">
        <f>ТабПозиции[[#This Row],[discountPrice]]*ТабПозиции[[#This Row],[quantity]]</f>
        <v>1345</v>
      </c>
      <c r="L1249" s="26">
        <v>1453</v>
      </c>
      <c r="M1249">
        <f t="shared" si="24"/>
        <v>1453</v>
      </c>
      <c r="O124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Row],[orderNum]],ТабПозиции[orderSumm])&gt;1500),ABS(M1249*VLOOKUP(ТабПозиции[[#This Row],[orderNum]],ТабЗаказы[#Data],MATCH("Percent",ТабЗаказы[#Headers],0),0))/100,200/COUNTIF(ТабПозиции[orderNum],ТабПозиции[[#This Row],[orderNum]])),0),"")</f>
        <v>218</v>
      </c>
      <c r="P1249">
        <f>IF(OR(ТабПозиции[[#This Row],[item]]="По штрихкоду",ТабПозиции[[#This Row],[item]]="Посылка"),ТабПозиции[[#This Row],[deliverySumm]]+ТабПозиции[[#This Row],[deliveryPost]],SUM(M1249:O1249))</f>
        <v>1671</v>
      </c>
      <c r="Q1249" s="57">
        <v>1671</v>
      </c>
      <c r="R1249" s="62">
        <f>ТабПозиции[[#This Row],[totalSumm]]-ТабПозиции[[#This Row],[payment]]</f>
        <v>0</v>
      </c>
      <c r="S1249" s="34" t="s">
        <v>955</v>
      </c>
      <c r="T1249" s="56" t="s">
        <v>3061</v>
      </c>
      <c r="U1249" s="56" t="str">
        <f>IF(AND(ТабПозиции[[#This Row],[Остаток]]=0,ТабПозиции[[#This Row],[ord]]="true"),"true","false")</f>
        <v>true</v>
      </c>
      <c r="V1249" s="56" t="s">
        <v>3061</v>
      </c>
      <c r="W1249" s="7"/>
      <c r="X1249"/>
    </row>
    <row r="1250" spans="1:24" x14ac:dyDescent="0.25">
      <c r="A1250" s="26">
        <v>335</v>
      </c>
      <c r="B1250" s="1">
        <f>IFERROR(VLOOKUP(ТабПозиции[[#This Row],[orderNum]],ТабЗаказы[#Data],MATCH(B$7,ТабЗаказы[#Headers],0),0),"")</f>
        <v>45607</v>
      </c>
      <c r="C1250" t="str">
        <f>MONTH(ТабПозиции[[#This Row],[date]])&amp;"/"&amp;YEAR(ТабПозиции[[#This Row],[date]])</f>
        <v>11/2024</v>
      </c>
      <c r="D1250" s="1" t="str">
        <f>IFERROR(VLOOKUP(ТабПозиции[[#This Row],[orderNum]],ТабЗаказы[#Data],MATCH(D$7,ТабЗаказы[#Headers],0),0),"")</f>
        <v>Галина Агабекова(церковь)</v>
      </c>
      <c r="E1250" s="32" t="s">
        <v>1864</v>
      </c>
      <c r="F1250" s="56" t="s">
        <v>3061</v>
      </c>
      <c r="H1250" s="34">
        <v>45613</v>
      </c>
      <c r="I1250" s="26">
        <v>1</v>
      </c>
      <c r="J1250" s="26">
        <v>404</v>
      </c>
      <c r="K1250">
        <f>ТабПозиции[[#This Row],[discountPrice]]*ТабПозиции[[#This Row],[quantity]]</f>
        <v>404</v>
      </c>
      <c r="L1250" s="26">
        <v>439</v>
      </c>
      <c r="M1250">
        <f t="shared" si="24"/>
        <v>439</v>
      </c>
      <c r="O125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Row],[orderNum]],ТабПозиции[orderSumm])&gt;1500),ABS(M1250*VLOOKUP(ТабПозиции[[#This Row],[orderNum]],ТабЗаказы[#Data],MATCH("Percent",ТабЗаказы[#Headers],0),0))/100,200/COUNTIF(ТабПозиции[orderNum],ТабПозиции[[#This Row],[orderNum]])),0),"")</f>
        <v>66</v>
      </c>
      <c r="P1250">
        <f>IF(OR(ТабПозиции[[#This Row],[item]]="По штрихкоду",ТабПозиции[[#This Row],[item]]="Посылка"),ТабПозиции[[#This Row],[deliverySumm]]+ТабПозиции[[#This Row],[deliveryPost]],SUM(M1250:O1250))</f>
        <v>505</v>
      </c>
      <c r="Q1250" s="57">
        <v>505</v>
      </c>
      <c r="R1250" s="62">
        <f>ТабПозиции[[#This Row],[totalSumm]]-ТабПозиции[[#This Row],[payment]]</f>
        <v>0</v>
      </c>
      <c r="S1250" s="34" t="s">
        <v>955</v>
      </c>
      <c r="T1250" s="56" t="s">
        <v>3061</v>
      </c>
      <c r="U1250" s="56" t="str">
        <f>IF(AND(ТабПозиции[[#This Row],[Остаток]]=0,ТабПозиции[[#This Row],[ord]]="true"),"true","false")</f>
        <v>true</v>
      </c>
      <c r="V1250" s="56" t="str">
        <f>IF(AND(ТабПозиции[[#This Row],[Остаток]]=0,ТабПозиции[[#This Row],[ord]]="true"),"true","false")</f>
        <v>true</v>
      </c>
      <c r="W1250" s="7"/>
      <c r="X1250"/>
    </row>
    <row r="1251" spans="1:24" x14ac:dyDescent="0.25">
      <c r="A1251" s="26">
        <v>335</v>
      </c>
      <c r="B1251" s="1">
        <f>IFERROR(VLOOKUP(ТабПозиции[[#This Row],[orderNum]],ТабЗаказы[#Data],MATCH(B$7,ТабЗаказы[#Headers],0),0),"")</f>
        <v>45607</v>
      </c>
      <c r="C1251" t="str">
        <f>MONTH(ТабПозиции[[#This Row],[date]])&amp;"/"&amp;YEAR(ТабПозиции[[#This Row],[date]])</f>
        <v>11/2024</v>
      </c>
      <c r="D1251" s="1" t="str">
        <f>IFERROR(VLOOKUP(ТабПозиции[[#This Row],[orderNum]],ТабЗаказы[#Data],MATCH(D$7,ТабЗаказы[#Headers],0),0),"")</f>
        <v>Галина Агабекова(церковь)</v>
      </c>
      <c r="E1251" s="32" t="s">
        <v>1865</v>
      </c>
      <c r="F1251" s="56" t="s">
        <v>3061</v>
      </c>
      <c r="H1251" s="34">
        <v>45612</v>
      </c>
      <c r="I1251" s="26">
        <v>1</v>
      </c>
      <c r="J1251" s="26">
        <v>388</v>
      </c>
      <c r="K1251">
        <f>ТабПозиции[[#This Row],[discountPrice]]*ТабПозиции[[#This Row],[quantity]]</f>
        <v>388</v>
      </c>
      <c r="L1251" s="26">
        <v>421</v>
      </c>
      <c r="M1251">
        <f t="shared" si="24"/>
        <v>421</v>
      </c>
      <c r="O125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Row],[orderNum]],ТабПозиции[orderSumm])&gt;1500),ABS(M1251*VLOOKUP(ТабПозиции[[#This Row],[orderNum]],ТабЗаказы[#Data],MATCH("Percent",ТабЗаказы[#Headers],0),0))/100,200/COUNTIF(ТабПозиции[orderNum],ТабПозиции[[#This Row],[orderNum]])),0),"")</f>
        <v>63</v>
      </c>
      <c r="P1251">
        <f>IF(OR(ТабПозиции[[#This Row],[item]]="По штрихкоду",ТабПозиции[[#This Row],[item]]="Посылка"),ТабПозиции[[#This Row],[deliverySumm]]+ТабПозиции[[#This Row],[deliveryPost]],SUM(M1251:O1251))</f>
        <v>484</v>
      </c>
      <c r="Q1251" s="57">
        <v>484</v>
      </c>
      <c r="R1251" s="62">
        <f>ТабПозиции[[#This Row],[totalSumm]]-ТабПозиции[[#This Row],[payment]]</f>
        <v>0</v>
      </c>
      <c r="S1251" s="34" t="s">
        <v>955</v>
      </c>
      <c r="T1251" s="56" t="s">
        <v>3061</v>
      </c>
      <c r="U1251" s="56" t="str">
        <f>IF(AND(ТабПозиции[[#This Row],[Остаток]]=0,ТабПозиции[[#This Row],[ord]]="true"),"true","false")</f>
        <v>true</v>
      </c>
      <c r="V1251" s="56" t="str">
        <f>IF(AND(ТабПозиции[[#This Row],[Остаток]]=0,ТабПозиции[[#This Row],[ord]]="true"),"true","false")</f>
        <v>true</v>
      </c>
      <c r="W1251" s="7"/>
      <c r="X1251"/>
    </row>
    <row r="1252" spans="1:24" x14ac:dyDescent="0.25">
      <c r="A1252" s="26">
        <v>335</v>
      </c>
      <c r="B1252" s="1">
        <f>IFERROR(VLOOKUP(ТабПозиции[[#This Row],[orderNum]],ТабЗаказы[#Data],MATCH(B$7,ТабЗаказы[#Headers],0),0),"")</f>
        <v>45607</v>
      </c>
      <c r="C1252" t="str">
        <f>MONTH(ТабПозиции[[#This Row],[date]])&amp;"/"&amp;YEAR(ТабПозиции[[#This Row],[date]])</f>
        <v>11/2024</v>
      </c>
      <c r="D1252" s="1" t="str">
        <f>IFERROR(VLOOKUP(ТабПозиции[[#This Row],[orderNum]],ТабЗаказы[#Data],MATCH(D$7,ТабЗаказы[#Headers],0),0),"")</f>
        <v>Галина Агабекова(церковь)</v>
      </c>
      <c r="E1252" s="32" t="s">
        <v>1866</v>
      </c>
      <c r="F1252" s="56" t="s">
        <v>3061</v>
      </c>
      <c r="H1252" s="34">
        <v>45611</v>
      </c>
      <c r="I1252" s="26">
        <v>1</v>
      </c>
      <c r="J1252" s="26">
        <v>467</v>
      </c>
      <c r="K1252">
        <f>ТабПозиции[[#This Row],[discountPrice]]*ТабПозиции[[#This Row],[quantity]]</f>
        <v>467</v>
      </c>
      <c r="L1252" s="26">
        <v>506</v>
      </c>
      <c r="M1252">
        <f t="shared" si="24"/>
        <v>506</v>
      </c>
      <c r="O125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Row],[orderNum]],ТабПозиции[orderSumm])&gt;1500),ABS(M1252*VLOOKUP(ТабПозиции[[#This Row],[orderNum]],ТабЗаказы[#Data],MATCH("Percent",ТабЗаказы[#Headers],0),0))/100,200/COUNTIF(ТабПозиции[orderNum],ТабПозиции[[#This Row],[orderNum]])),0),"")</f>
        <v>76</v>
      </c>
      <c r="P1252">
        <f>IF(OR(ТабПозиции[[#This Row],[item]]="По штрихкоду",ТабПозиции[[#This Row],[item]]="Посылка"),ТабПозиции[[#This Row],[deliverySumm]]+ТабПозиции[[#This Row],[deliveryPost]],SUM(M1252:O1252))</f>
        <v>582</v>
      </c>
      <c r="Q1252" s="57">
        <v>582</v>
      </c>
      <c r="R1252" s="62">
        <f>ТабПозиции[[#This Row],[totalSumm]]-ТабПозиции[[#This Row],[payment]]</f>
        <v>0</v>
      </c>
      <c r="S1252" s="34" t="s">
        <v>955</v>
      </c>
      <c r="T1252" s="56" t="s">
        <v>3061</v>
      </c>
      <c r="U1252" s="56" t="str">
        <f>IF(AND(ТабПозиции[[#This Row],[Остаток]]=0,ТабПозиции[[#This Row],[ord]]="true"),"true","false")</f>
        <v>true</v>
      </c>
      <c r="V1252" s="56" t="str">
        <f>IF(AND(ТабПозиции[[#This Row],[Остаток]]=0,ТабПозиции[[#This Row],[ord]]="true"),"true","false")</f>
        <v>true</v>
      </c>
      <c r="W1252" s="7"/>
      <c r="X1252"/>
    </row>
    <row r="1253" spans="1:24" x14ac:dyDescent="0.25">
      <c r="A1253" s="26">
        <v>335</v>
      </c>
      <c r="B1253" s="1">
        <f>IFERROR(VLOOKUP(ТабПозиции[[#This Row],[orderNum]],ТабЗаказы[#Data],MATCH(B$7,ТабЗаказы[#Headers],0),0),"")</f>
        <v>45607</v>
      </c>
      <c r="C1253" t="str">
        <f>MONTH(ТабПозиции[[#This Row],[date]])&amp;"/"&amp;YEAR(ТабПозиции[[#This Row],[date]])</f>
        <v>11/2024</v>
      </c>
      <c r="D1253" s="1" t="str">
        <f>IFERROR(VLOOKUP(ТабПозиции[[#This Row],[orderNum]],ТабЗаказы[#Data],MATCH(D$7,ТабЗаказы[#Headers],0),0),"")</f>
        <v>Галина Агабекова(церковь)</v>
      </c>
      <c r="E1253" s="32" t="s">
        <v>1867</v>
      </c>
      <c r="F1253" s="56" t="s">
        <v>3061</v>
      </c>
      <c r="H1253" s="34">
        <v>45612</v>
      </c>
      <c r="I1253" s="26">
        <v>1</v>
      </c>
      <c r="J1253" s="26">
        <v>583</v>
      </c>
      <c r="K1253">
        <f>ТабПозиции[[#This Row],[discountPrice]]*ТабПозиции[[#This Row],[quantity]]</f>
        <v>583</v>
      </c>
      <c r="L1253" s="26">
        <v>632</v>
      </c>
      <c r="M1253">
        <f t="shared" si="24"/>
        <v>632</v>
      </c>
      <c r="O125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Row],[orderNum]],ТабПозиции[orderSumm])&gt;1500),ABS(M1253*VLOOKUP(ТабПозиции[[#This Row],[orderNum]],ТабЗаказы[#Data],MATCH("Percent",ТабЗаказы[#Headers],0),0))/100,200/COUNTIF(ТабПозиции[orderNum],ТабПозиции[[#This Row],[orderNum]])),0),"")</f>
        <v>95</v>
      </c>
      <c r="P1253">
        <f>IF(OR(ТабПозиции[[#This Row],[item]]="По штрихкоду",ТабПозиции[[#This Row],[item]]="Посылка"),ТабПозиции[[#This Row],[deliverySumm]]+ТабПозиции[[#This Row],[deliveryPost]],SUM(M1253:O1253))</f>
        <v>727</v>
      </c>
      <c r="Q1253" s="57">
        <v>727</v>
      </c>
      <c r="R1253" s="62">
        <f>ТабПозиции[[#This Row],[totalSumm]]-ТабПозиции[[#This Row],[payment]]</f>
        <v>0</v>
      </c>
      <c r="S1253" s="34" t="s">
        <v>955</v>
      </c>
      <c r="T1253" s="56" t="s">
        <v>3061</v>
      </c>
      <c r="U1253" s="56" t="str">
        <f>IF(AND(ТабПозиции[[#This Row],[Остаток]]=0,ТабПозиции[[#This Row],[ord]]="true"),"true","false")</f>
        <v>true</v>
      </c>
      <c r="V1253" s="56" t="str">
        <f>IF(AND(ТабПозиции[[#This Row],[Остаток]]=0,ТабПозиции[[#This Row],[ord]]="true"),"true","false")</f>
        <v>true</v>
      </c>
      <c r="W1253" s="7"/>
      <c r="X1253"/>
    </row>
    <row r="1254" spans="1:24" x14ac:dyDescent="0.25">
      <c r="A1254" s="26">
        <v>336</v>
      </c>
      <c r="B1254" s="1">
        <f>IFERROR(VLOOKUP(ТабПозиции[[#This Row],[orderNum]],ТабЗаказы[#Data],MATCH(B$7,ТабЗаказы[#Headers],0),0),"")</f>
        <v>45607</v>
      </c>
      <c r="C1254" t="str">
        <f>MONTH(ТабПозиции[[#This Row],[date]])&amp;"/"&amp;YEAR(ТабПозиции[[#This Row],[date]])</f>
        <v>11/2024</v>
      </c>
      <c r="D1254" s="1" t="str">
        <f>IFERROR(VLOOKUP(ТабПозиции[[#This Row],[orderNum]],ТабЗаказы[#Data],MATCH(D$7,ТабЗаказы[#Headers],0),0),"")</f>
        <v>Алена шмалко</v>
      </c>
      <c r="E1254" s="32" t="s">
        <v>1868</v>
      </c>
      <c r="F1254" s="56" t="s">
        <v>3061</v>
      </c>
      <c r="H1254" s="34">
        <v>45610</v>
      </c>
      <c r="I1254" s="26">
        <v>1</v>
      </c>
      <c r="J1254" s="26">
        <v>411</v>
      </c>
      <c r="K1254">
        <f>ТабПозиции[[#This Row],[discountPrice]]*ТабПозиции[[#This Row],[quantity]]</f>
        <v>411</v>
      </c>
      <c r="L1254" s="26">
        <v>438</v>
      </c>
      <c r="M1254">
        <f t="shared" si="24"/>
        <v>438</v>
      </c>
      <c r="O125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Row],[orderNum]],ТабПозиции[orderSumm])&gt;1500),ABS(M1254*VLOOKUP(ТабПозиции[[#This Row],[orderNum]],ТабЗаказы[#Data],MATCH("Percent",ТабЗаказы[#Headers],0),0))/100,200/COUNTIF(ТабПозиции[orderNum],ТабПозиции[[#This Row],[orderNum]])),0),"")</f>
        <v>66</v>
      </c>
      <c r="P1254">
        <f>IF(OR(ТабПозиции[[#This Row],[item]]="По штрихкоду",ТабПозиции[[#This Row],[item]]="Посылка"),ТабПозиции[[#This Row],[deliverySumm]]+ТабПозиции[[#This Row],[deliveryPost]],SUM(M1254:O1254))</f>
        <v>504</v>
      </c>
      <c r="Q1254" s="57">
        <v>504</v>
      </c>
      <c r="R1254" s="62">
        <f>ТабПозиции[[#This Row],[totalSumm]]-ТабПозиции[[#This Row],[payment]]</f>
        <v>0</v>
      </c>
      <c r="S1254" s="34" t="s">
        <v>965</v>
      </c>
      <c r="T1254" s="56" t="s">
        <v>3061</v>
      </c>
      <c r="U1254" s="56" t="str">
        <f>IF(AND(ТабПозиции[[#This Row],[Остаток]]=0,ТабПозиции[[#This Row],[ord]]="true"),"true","false")</f>
        <v>true</v>
      </c>
      <c r="V1254" s="56" t="s">
        <v>3061</v>
      </c>
      <c r="W1254" s="7"/>
      <c r="X1254"/>
    </row>
    <row r="1255" spans="1:24" x14ac:dyDescent="0.25">
      <c r="A1255" s="26">
        <v>336</v>
      </c>
      <c r="B1255" s="1">
        <f>IFERROR(VLOOKUP(ТабПозиции[[#This Row],[orderNum]],ТабЗаказы[#Data],MATCH(B$7,ТабЗаказы[#Headers],0),0),"")</f>
        <v>45607</v>
      </c>
      <c r="C1255" t="str">
        <f>MONTH(ТабПозиции[[#This Row],[date]])&amp;"/"&amp;YEAR(ТабПозиции[[#This Row],[date]])</f>
        <v>11/2024</v>
      </c>
      <c r="D1255" s="1" t="str">
        <f>IFERROR(VLOOKUP(ТабПозиции[[#This Row],[orderNum]],ТабЗаказы[#Data],MATCH(D$7,ТабЗаказы[#Headers],0),0),"")</f>
        <v>Алена шмалко</v>
      </c>
      <c r="E1255" s="32" t="s">
        <v>1869</v>
      </c>
      <c r="F1255" s="56" t="s">
        <v>3061</v>
      </c>
      <c r="H1255" s="34">
        <v>45609</v>
      </c>
      <c r="I1255" s="26">
        <v>1</v>
      </c>
      <c r="J1255" s="26">
        <v>676</v>
      </c>
      <c r="K1255">
        <f>ТабПозиции[[#This Row],[discountPrice]]*ТабПозиции[[#This Row],[quantity]]</f>
        <v>676</v>
      </c>
      <c r="L1255" s="26">
        <v>720</v>
      </c>
      <c r="M1255">
        <f t="shared" si="24"/>
        <v>720</v>
      </c>
      <c r="O125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Row],[orderNum]],ТабПозиции[orderSumm])&gt;1500),ABS(M1255*VLOOKUP(ТабПозиции[[#This Row],[orderNum]],ТабЗаказы[#Data],MATCH("Percent",ТабЗаказы[#Headers],0),0))/100,200/COUNTIF(ТабПозиции[orderNum],ТабПозиции[[#This Row],[orderNum]])),0),"")</f>
        <v>108</v>
      </c>
      <c r="P1255">
        <f>IF(OR(ТабПозиции[[#This Row],[item]]="По штрихкоду",ТабПозиции[[#This Row],[item]]="Посылка"),ТабПозиции[[#This Row],[deliverySumm]]+ТабПозиции[[#This Row],[deliveryPost]],SUM(M1255:O1255))</f>
        <v>828</v>
      </c>
      <c r="Q1255" s="57">
        <v>828</v>
      </c>
      <c r="R1255" s="62">
        <f>ТабПозиции[[#This Row],[totalSumm]]-ТабПозиции[[#This Row],[payment]]</f>
        <v>0</v>
      </c>
      <c r="S1255" s="34" t="s">
        <v>965</v>
      </c>
      <c r="T1255" s="56" t="s">
        <v>3061</v>
      </c>
      <c r="U1255" s="56" t="str">
        <f>IF(AND(ТабПозиции[[#This Row],[Остаток]]=0,ТабПозиции[[#This Row],[ord]]="true"),"true","false")</f>
        <v>true</v>
      </c>
      <c r="V1255" s="56" t="s">
        <v>3061</v>
      </c>
      <c r="W1255" s="7"/>
      <c r="X1255"/>
    </row>
    <row r="1256" spans="1:24" x14ac:dyDescent="0.25">
      <c r="A1256" s="26">
        <v>336</v>
      </c>
      <c r="B1256" s="1">
        <f>IFERROR(VLOOKUP(ТабПозиции[[#This Row],[orderNum]],ТабЗаказы[#Data],MATCH(B$7,ТабЗаказы[#Headers],0),0),"")</f>
        <v>45607</v>
      </c>
      <c r="C1256" t="str">
        <f>MONTH(ТабПозиции[[#This Row],[date]])&amp;"/"&amp;YEAR(ТабПозиции[[#This Row],[date]])</f>
        <v>11/2024</v>
      </c>
      <c r="D1256" s="1" t="str">
        <f>IFERROR(VLOOKUP(ТабПозиции[[#This Row],[orderNum]],ТабЗаказы[#Data],MATCH(D$7,ТабЗаказы[#Headers],0),0),"")</f>
        <v>Алена шмалко</v>
      </c>
      <c r="E1256" s="32" t="s">
        <v>1870</v>
      </c>
      <c r="F1256" s="56" t="s">
        <v>3061</v>
      </c>
      <c r="H1256" s="34">
        <v>45610</v>
      </c>
      <c r="I1256" s="26">
        <v>1</v>
      </c>
      <c r="J1256" s="26">
        <v>288</v>
      </c>
      <c r="K1256">
        <f>ТабПозиции[[#This Row],[discountPrice]]*ТабПозиции[[#This Row],[quantity]]</f>
        <v>288</v>
      </c>
      <c r="L1256" s="26">
        <v>307</v>
      </c>
      <c r="M1256">
        <f t="shared" si="24"/>
        <v>307</v>
      </c>
      <c r="O125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Row],[orderNum]],ТабПозиции[orderSumm])&gt;1500),ABS(M1256*VLOOKUP(ТабПозиции[[#This Row],[orderNum]],ТабЗаказы[#Data],MATCH("Percent",ТабЗаказы[#Headers],0),0))/100,200/COUNTIF(ТабПозиции[orderNum],ТабПозиции[[#This Row],[orderNum]])),0),"")</f>
        <v>46</v>
      </c>
      <c r="P1256">
        <f>IF(OR(ТабПозиции[[#This Row],[item]]="По штрихкоду",ТабПозиции[[#This Row],[item]]="Посылка"),ТабПозиции[[#This Row],[deliverySumm]]+ТабПозиции[[#This Row],[deliveryPost]],SUM(M1256:O1256))</f>
        <v>353</v>
      </c>
      <c r="Q1256" s="57">
        <v>353</v>
      </c>
      <c r="R1256" s="62">
        <f>ТабПозиции[[#This Row],[totalSumm]]-ТабПозиции[[#This Row],[payment]]</f>
        <v>0</v>
      </c>
      <c r="S1256" s="34" t="s">
        <v>965</v>
      </c>
      <c r="T1256" s="56" t="s">
        <v>3061</v>
      </c>
      <c r="U1256" s="56" t="str">
        <f>IF(AND(ТабПозиции[[#This Row],[Остаток]]=0,ТабПозиции[[#This Row],[ord]]="true"),"true","false")</f>
        <v>true</v>
      </c>
      <c r="V1256" s="56" t="s">
        <v>3061</v>
      </c>
      <c r="W1256" s="7"/>
      <c r="X1256"/>
    </row>
    <row r="1257" spans="1:24" x14ac:dyDescent="0.25">
      <c r="A1257" s="26">
        <v>336</v>
      </c>
      <c r="B1257" s="1">
        <f>IFERROR(VLOOKUP(ТабПозиции[[#This Row],[orderNum]],ТабЗаказы[#Data],MATCH(B$7,ТабЗаказы[#Headers],0),0),"")</f>
        <v>45607</v>
      </c>
      <c r="C1257" t="str">
        <f>MONTH(ТабПозиции[[#This Row],[date]])&amp;"/"&amp;YEAR(ТабПозиции[[#This Row],[date]])</f>
        <v>11/2024</v>
      </c>
      <c r="D1257" s="1" t="str">
        <f>IFERROR(VLOOKUP(ТабПозиции[[#This Row],[orderNum]],ТабЗаказы[#Data],MATCH(D$7,ТабЗаказы[#Headers],0),0),"")</f>
        <v>Алена шмалко</v>
      </c>
      <c r="E1257" s="32" t="s">
        <v>1871</v>
      </c>
      <c r="F1257" s="56" t="s">
        <v>3061</v>
      </c>
      <c r="H1257" s="34">
        <v>45611</v>
      </c>
      <c r="I1257" s="26">
        <v>1</v>
      </c>
      <c r="J1257" s="26">
        <v>168</v>
      </c>
      <c r="K1257">
        <f>ТабПозиции[[#This Row],[discountPrice]]*ТабПозиции[[#This Row],[quantity]]</f>
        <v>168</v>
      </c>
      <c r="L1257" s="26">
        <v>179</v>
      </c>
      <c r="M1257">
        <f t="shared" si="24"/>
        <v>179</v>
      </c>
      <c r="O125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Row],[orderNum]],ТабПозиции[orderSumm])&gt;1500),ABS(M1257*VLOOKUP(ТабПозиции[[#This Row],[orderNum]],ТабЗаказы[#Data],MATCH("Percent",ТабЗаказы[#Headers],0),0))/100,200/COUNTIF(ТабПозиции[orderNum],ТабПозиции[[#This Row],[orderNum]])),0),"")</f>
        <v>27</v>
      </c>
      <c r="P1257">
        <f>IF(OR(ТабПозиции[[#This Row],[item]]="По штрихкоду",ТабПозиции[[#This Row],[item]]="Посылка"),ТабПозиции[[#This Row],[deliverySumm]]+ТабПозиции[[#This Row],[deliveryPost]],SUM(M1257:O1257))</f>
        <v>206</v>
      </c>
      <c r="Q1257" s="57">
        <v>206</v>
      </c>
      <c r="R1257" s="62">
        <f>ТабПозиции[[#This Row],[totalSumm]]-ТабПозиции[[#This Row],[payment]]</f>
        <v>0</v>
      </c>
      <c r="S1257" s="34" t="s">
        <v>965</v>
      </c>
      <c r="T1257" s="56" t="s">
        <v>3061</v>
      </c>
      <c r="U1257" s="56" t="str">
        <f>IF(AND(ТабПозиции[[#This Row],[Остаток]]=0,ТабПозиции[[#This Row],[ord]]="true"),"true","false")</f>
        <v>true</v>
      </c>
      <c r="V1257" s="56" t="s">
        <v>3061</v>
      </c>
      <c r="W1257" s="7"/>
      <c r="X1257"/>
    </row>
    <row r="1258" spans="1:24" x14ac:dyDescent="0.25">
      <c r="A1258" s="26">
        <v>336</v>
      </c>
      <c r="B1258" s="1">
        <f>IFERROR(VLOOKUP(ТабПозиции[[#This Row],[orderNum]],ТабЗаказы[#Data],MATCH(B$7,ТабЗаказы[#Headers],0),0),"")</f>
        <v>45607</v>
      </c>
      <c r="C1258" t="str">
        <f>MONTH(ТабПозиции[[#This Row],[date]])&amp;"/"&amp;YEAR(ТабПозиции[[#This Row],[date]])</f>
        <v>11/2024</v>
      </c>
      <c r="D1258" s="1" t="str">
        <f>IFERROR(VLOOKUP(ТабПозиции[[#This Row],[orderNum]],ТабЗаказы[#Data],MATCH(D$7,ТабЗаказы[#Headers],0),0),"")</f>
        <v>Алена шмалко</v>
      </c>
      <c r="E1258" s="32" t="s">
        <v>1872</v>
      </c>
      <c r="F1258" s="56" t="s">
        <v>3061</v>
      </c>
      <c r="H1258" s="34">
        <v>45609</v>
      </c>
      <c r="I1258" s="26">
        <v>1</v>
      </c>
      <c r="J1258" s="26">
        <v>1246</v>
      </c>
      <c r="K1258">
        <f>ТабПозиции[[#This Row],[discountPrice]]*ТабПозиции[[#This Row],[quantity]]</f>
        <v>1246</v>
      </c>
      <c r="L1258" s="26">
        <v>1326</v>
      </c>
      <c r="M1258">
        <f t="shared" si="24"/>
        <v>1326</v>
      </c>
      <c r="O125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Row],[orderNum]],ТабПозиции[orderSumm])&gt;1500),ABS(M1258*VLOOKUP(ТабПозиции[[#This Row],[orderNum]],ТабЗаказы[#Data],MATCH("Percent",ТабЗаказы[#Headers],0),0))/100,200/COUNTIF(ТабПозиции[orderNum],ТабПозиции[[#This Row],[orderNum]])),0),"")</f>
        <v>199</v>
      </c>
      <c r="P1258">
        <f>IF(OR(ТабПозиции[[#This Row],[item]]="По штрихкоду",ТабПозиции[[#This Row],[item]]="Посылка"),ТабПозиции[[#This Row],[deliverySumm]]+ТабПозиции[[#This Row],[deliveryPost]],SUM(M1258:O1258))</f>
        <v>1525</v>
      </c>
      <c r="Q1258" s="57">
        <v>1525</v>
      </c>
      <c r="R1258" s="62">
        <f>ТабПозиции[[#This Row],[totalSumm]]-ТабПозиции[[#This Row],[payment]]</f>
        <v>0</v>
      </c>
      <c r="S1258" s="34" t="s">
        <v>965</v>
      </c>
      <c r="T1258" s="56" t="s">
        <v>3061</v>
      </c>
      <c r="U1258" s="56" t="str">
        <f>IF(AND(ТабПозиции[[#This Row],[Остаток]]=0,ТабПозиции[[#This Row],[ord]]="true"),"true","false")</f>
        <v>true</v>
      </c>
      <c r="V1258" s="56" t="s">
        <v>3061</v>
      </c>
      <c r="W1258" s="7"/>
      <c r="X1258"/>
    </row>
    <row r="1259" spans="1:24" x14ac:dyDescent="0.25">
      <c r="A1259" s="26">
        <v>336</v>
      </c>
      <c r="B1259" s="1">
        <f>IFERROR(VLOOKUP(ТабПозиции[[#This Row],[orderNum]],ТабЗаказы[#Data],MATCH(B$7,ТабЗаказы[#Headers],0),0),"")</f>
        <v>45607</v>
      </c>
      <c r="C1259" t="str">
        <f>MONTH(ТабПозиции[[#This Row],[date]])&amp;"/"&amp;YEAR(ТабПозиции[[#This Row],[date]])</f>
        <v>11/2024</v>
      </c>
      <c r="D1259" s="1" t="str">
        <f>IFERROR(VLOOKUP(ТабПозиции[[#This Row],[orderNum]],ТабЗаказы[#Data],MATCH(D$7,ТабЗаказы[#Headers],0),0),"")</f>
        <v>Алена шмалко</v>
      </c>
      <c r="E1259" s="32" t="s">
        <v>1873</v>
      </c>
      <c r="F1259" s="56" t="s">
        <v>3061</v>
      </c>
      <c r="H1259" s="34">
        <v>45610</v>
      </c>
      <c r="I1259" s="26">
        <v>1</v>
      </c>
      <c r="J1259" s="26">
        <v>192</v>
      </c>
      <c r="K1259">
        <f>ТабПозиции[[#This Row],[discountPrice]]*ТабПозиции[[#This Row],[quantity]]</f>
        <v>192</v>
      </c>
      <c r="L1259" s="26">
        <v>205</v>
      </c>
      <c r="M1259">
        <f t="shared" si="24"/>
        <v>205</v>
      </c>
      <c r="O125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Row],[orderNum]],ТабПозиции[orderSumm])&gt;1500),ABS(M1259*VLOOKUP(ТабПозиции[[#This Row],[orderNum]],ТабЗаказы[#Data],MATCH("Percent",ТабЗаказы[#Headers],0),0))/100,200/COUNTIF(ТабПозиции[orderNum],ТабПозиции[[#This Row],[orderNum]])),0),"")</f>
        <v>31</v>
      </c>
      <c r="P1259">
        <f>IF(OR(ТабПозиции[[#This Row],[item]]="По штрихкоду",ТабПозиции[[#This Row],[item]]="Посылка"),ТабПозиции[[#This Row],[deliverySumm]]+ТабПозиции[[#This Row],[deliveryPost]],SUM(M1259:O1259))</f>
        <v>236</v>
      </c>
      <c r="Q1259" s="57">
        <v>236</v>
      </c>
      <c r="R1259" s="62">
        <f>ТабПозиции[[#This Row],[totalSumm]]-ТабПозиции[[#This Row],[payment]]</f>
        <v>0</v>
      </c>
      <c r="S1259" s="34" t="s">
        <v>965</v>
      </c>
      <c r="T1259" s="56" t="s">
        <v>3061</v>
      </c>
      <c r="U1259" s="56" t="str">
        <f>IF(AND(ТабПозиции[[#This Row],[Остаток]]=0,ТабПозиции[[#This Row],[ord]]="true"),"true","false")</f>
        <v>true</v>
      </c>
      <c r="V1259" s="56" t="s">
        <v>3061</v>
      </c>
      <c r="W1259" s="7"/>
      <c r="X1259"/>
    </row>
    <row r="1260" spans="1:24" x14ac:dyDescent="0.25">
      <c r="A1260" s="26">
        <v>336</v>
      </c>
      <c r="B1260" s="1">
        <f>IFERROR(VLOOKUP(ТабПозиции[[#This Row],[orderNum]],ТабЗаказы[#Data],MATCH(B$7,ТабЗаказы[#Headers],0),0),"")</f>
        <v>45607</v>
      </c>
      <c r="C1260" t="str">
        <f>MONTH(ТабПозиции[[#This Row],[date]])&amp;"/"&amp;YEAR(ТабПозиции[[#This Row],[date]])</f>
        <v>11/2024</v>
      </c>
      <c r="D1260" s="1" t="str">
        <f>IFERROR(VLOOKUP(ТабПозиции[[#This Row],[orderNum]],ТабЗаказы[#Data],MATCH(D$7,ТабЗаказы[#Headers],0),0),"")</f>
        <v>Алена шмалко</v>
      </c>
      <c r="E1260" s="32" t="s">
        <v>1874</v>
      </c>
      <c r="F1260" s="56" t="s">
        <v>3061</v>
      </c>
      <c r="H1260" s="34">
        <v>45610</v>
      </c>
      <c r="I1260" s="26">
        <v>1</v>
      </c>
      <c r="J1260" s="26">
        <v>142</v>
      </c>
      <c r="K1260">
        <f>ТабПозиции[[#This Row],[discountPrice]]*ТабПозиции[[#This Row],[quantity]]</f>
        <v>142</v>
      </c>
      <c r="L1260" s="26">
        <v>152</v>
      </c>
      <c r="M1260">
        <f t="shared" si="24"/>
        <v>152</v>
      </c>
      <c r="O126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Row],[orderNum]],ТабПозиции[orderSumm])&gt;1500),ABS(M1260*VLOOKUP(ТабПозиции[[#This Row],[orderNum]],ТабЗаказы[#Data],MATCH("Percent",ТабЗаказы[#Headers],0),0))/100,200/COUNTIF(ТабПозиции[orderNum],ТабПозиции[[#This Row],[orderNum]])),0),"")</f>
        <v>23</v>
      </c>
      <c r="P1260">
        <f>IF(OR(ТабПозиции[[#This Row],[item]]="По штрихкоду",ТабПозиции[[#This Row],[item]]="Посылка"),ТабПозиции[[#This Row],[deliverySumm]]+ТабПозиции[[#This Row],[deliveryPost]],SUM(M1260:O1260))</f>
        <v>175</v>
      </c>
      <c r="Q1260" s="57">
        <v>175</v>
      </c>
      <c r="R1260" s="62">
        <f>ТабПозиции[[#This Row],[totalSumm]]-ТабПозиции[[#This Row],[payment]]</f>
        <v>0</v>
      </c>
      <c r="S1260" s="34" t="s">
        <v>965</v>
      </c>
      <c r="T1260" s="56" t="s">
        <v>3061</v>
      </c>
      <c r="U1260" s="56" t="str">
        <f>IF(AND(ТабПозиции[[#This Row],[Остаток]]=0,ТабПозиции[[#This Row],[ord]]="true"),"true","false")</f>
        <v>true</v>
      </c>
      <c r="V1260" s="56" t="str">
        <f>IF(AND(ТабПозиции[[#This Row],[Остаток]]=0,ТабПозиции[[#This Row],[ord]]="true"),"true","false")</f>
        <v>true</v>
      </c>
      <c r="W1260" s="7"/>
      <c r="X1260"/>
    </row>
    <row r="1261" spans="1:24" x14ac:dyDescent="0.25">
      <c r="A1261" s="26">
        <v>336</v>
      </c>
      <c r="B1261" s="1">
        <f>IFERROR(VLOOKUP(ТабПозиции[[#This Row],[orderNum]],ТабЗаказы[#Data],MATCH(B$7,ТабЗаказы[#Headers],0),0),"")</f>
        <v>45607</v>
      </c>
      <c r="C1261" t="str">
        <f>MONTH(ТабПозиции[[#This Row],[date]])&amp;"/"&amp;YEAR(ТабПозиции[[#This Row],[date]])</f>
        <v>11/2024</v>
      </c>
      <c r="D1261" s="1" t="str">
        <f>IFERROR(VLOOKUP(ТабПозиции[[#This Row],[orderNum]],ТабЗаказы[#Data],MATCH(D$7,ТабЗаказы[#Headers],0),0),"")</f>
        <v>Алена шмалко</v>
      </c>
      <c r="E1261" s="32" t="s">
        <v>1875</v>
      </c>
      <c r="F1261" s="56" t="s">
        <v>3061</v>
      </c>
      <c r="H1261" s="34">
        <v>45609</v>
      </c>
      <c r="I1261" s="26">
        <v>1</v>
      </c>
      <c r="J1261" s="26">
        <v>324</v>
      </c>
      <c r="K1261">
        <f>ТабПозиции[[#This Row],[discountPrice]]*ТабПозиции[[#This Row],[quantity]]</f>
        <v>324</v>
      </c>
      <c r="L1261" s="26">
        <v>345</v>
      </c>
      <c r="M1261">
        <f t="shared" si="24"/>
        <v>345</v>
      </c>
      <c r="O126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Row],[orderNum]],ТабПозиции[orderSumm])&gt;1500),ABS(M1261*VLOOKUP(ТабПозиции[[#This Row],[orderNum]],ТабЗаказы[#Data],MATCH("Percent",ТабЗаказы[#Headers],0),0))/100,200/COUNTIF(ТабПозиции[orderNum],ТабПозиции[[#This Row],[orderNum]])),0),"")</f>
        <v>52</v>
      </c>
      <c r="P1261">
        <f>IF(OR(ТабПозиции[[#This Row],[item]]="По штрихкоду",ТабПозиции[[#This Row],[item]]="Посылка"),ТабПозиции[[#This Row],[deliverySumm]]+ТабПозиции[[#This Row],[deliveryPost]],SUM(M1261:O1261))</f>
        <v>397</v>
      </c>
      <c r="Q1261" s="57">
        <v>397</v>
      </c>
      <c r="R1261" s="62">
        <f>ТабПозиции[[#This Row],[totalSumm]]-ТабПозиции[[#This Row],[payment]]</f>
        <v>0</v>
      </c>
      <c r="S1261" s="34" t="s">
        <v>965</v>
      </c>
      <c r="T1261" s="56" t="s">
        <v>3061</v>
      </c>
      <c r="U1261" s="56" t="str">
        <f>IF(AND(ТабПозиции[[#This Row],[Остаток]]=0,ТабПозиции[[#This Row],[ord]]="true"),"true","false")</f>
        <v>true</v>
      </c>
      <c r="V1261" s="56" t="s">
        <v>3061</v>
      </c>
      <c r="W1261" s="7"/>
      <c r="X1261"/>
    </row>
    <row r="1262" spans="1:24" x14ac:dyDescent="0.25">
      <c r="A1262" s="26">
        <v>336</v>
      </c>
      <c r="B1262" s="1">
        <f>IFERROR(VLOOKUP(ТабПозиции[[#This Row],[orderNum]],ТабЗаказы[#Data],MATCH(B$7,ТабЗаказы[#Headers],0),0),"")</f>
        <v>45607</v>
      </c>
      <c r="C1262" t="str">
        <f>MONTH(ТабПозиции[[#This Row],[date]])&amp;"/"&amp;YEAR(ТабПозиции[[#This Row],[date]])</f>
        <v>11/2024</v>
      </c>
      <c r="D1262" s="1" t="str">
        <f>IFERROR(VLOOKUP(ТабПозиции[[#This Row],[orderNum]],ТабЗаказы[#Data],MATCH(D$7,ТабЗаказы[#Headers],0),0),"")</f>
        <v>Алена шмалко</v>
      </c>
      <c r="E1262" s="32" t="s">
        <v>1876</v>
      </c>
      <c r="F1262" s="56" t="s">
        <v>3061</v>
      </c>
      <c r="H1262" s="34">
        <v>45609</v>
      </c>
      <c r="I1262" s="26">
        <v>1</v>
      </c>
      <c r="J1262" s="26">
        <v>419</v>
      </c>
      <c r="K1262">
        <f>ТабПозиции[[#This Row],[discountPrice]]*ТабПозиции[[#This Row],[quantity]]</f>
        <v>419</v>
      </c>
      <c r="L1262" s="26">
        <v>446</v>
      </c>
      <c r="M1262">
        <f t="shared" si="24"/>
        <v>446</v>
      </c>
      <c r="O126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Row],[orderNum]],ТабПозиции[orderSumm])&gt;1500),ABS(M1262*VLOOKUP(ТабПозиции[[#This Row],[orderNum]],ТабЗаказы[#Data],MATCH("Percent",ТабЗаказы[#Headers],0),0))/100,200/COUNTIF(ТабПозиции[orderNum],ТабПозиции[[#This Row],[orderNum]])),0),"")</f>
        <v>67</v>
      </c>
      <c r="P1262">
        <f>IF(OR(ТабПозиции[[#This Row],[item]]="По штрихкоду",ТабПозиции[[#This Row],[item]]="Посылка"),ТабПозиции[[#This Row],[deliverySumm]]+ТабПозиции[[#This Row],[deliveryPost]],SUM(M1262:O1262))</f>
        <v>513</v>
      </c>
      <c r="Q1262" s="57">
        <v>513</v>
      </c>
      <c r="R1262" s="62">
        <f>ТабПозиции[[#This Row],[totalSumm]]-ТабПозиции[[#This Row],[payment]]</f>
        <v>0</v>
      </c>
      <c r="S1262" s="34" t="s">
        <v>965</v>
      </c>
      <c r="T1262" s="56" t="s">
        <v>3061</v>
      </c>
      <c r="U1262" s="56" t="str">
        <f>IF(AND(ТабПозиции[[#This Row],[Остаток]]=0,ТабПозиции[[#This Row],[ord]]="true"),"true","false")</f>
        <v>true</v>
      </c>
      <c r="V1262" s="56" t="s">
        <v>3061</v>
      </c>
      <c r="W1262" s="7"/>
      <c r="X1262"/>
    </row>
    <row r="1263" spans="1:24" x14ac:dyDescent="0.25">
      <c r="A1263" s="26">
        <v>336</v>
      </c>
      <c r="B1263" s="1">
        <f>IFERROR(VLOOKUP(ТабПозиции[[#This Row],[orderNum]],ТабЗаказы[#Data],MATCH(B$7,ТабЗаказы[#Headers],0),0),"")</f>
        <v>45607</v>
      </c>
      <c r="C1263" t="str">
        <f>MONTH(ТабПозиции[[#This Row],[date]])&amp;"/"&amp;YEAR(ТабПозиции[[#This Row],[date]])</f>
        <v>11/2024</v>
      </c>
      <c r="D1263" s="1" t="str">
        <f>IFERROR(VLOOKUP(ТабПозиции[[#This Row],[orderNum]],ТабЗаказы[#Data],MATCH(D$7,ТабЗаказы[#Headers],0),0),"")</f>
        <v>Алена шмалко</v>
      </c>
      <c r="E1263" s="32" t="s">
        <v>1877</v>
      </c>
      <c r="F1263" s="56" t="s">
        <v>3061</v>
      </c>
      <c r="H1263" s="34">
        <v>45609</v>
      </c>
      <c r="I1263" s="26">
        <v>1</v>
      </c>
      <c r="J1263" s="26">
        <v>135</v>
      </c>
      <c r="K1263">
        <f>ТабПозиции[[#This Row],[discountPrice]]*ТабПозиции[[#This Row],[quantity]]</f>
        <v>135</v>
      </c>
      <c r="L1263" s="26">
        <v>144</v>
      </c>
      <c r="M1263">
        <f t="shared" si="24"/>
        <v>144</v>
      </c>
      <c r="O126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Row],[orderNum]],ТабПозиции[orderSumm])&gt;1500),ABS(M1263*VLOOKUP(ТабПозиции[[#This Row],[orderNum]],ТабЗаказы[#Data],MATCH("Percent",ТабЗаказы[#Headers],0),0))/100,200/COUNTIF(ТабПозиции[orderNum],ТабПозиции[[#This Row],[orderNum]])),0),"")</f>
        <v>22</v>
      </c>
      <c r="P1263">
        <f>IF(OR(ТабПозиции[[#This Row],[item]]="По штрихкоду",ТабПозиции[[#This Row],[item]]="Посылка"),ТабПозиции[[#This Row],[deliverySumm]]+ТабПозиции[[#This Row],[deliveryPost]],SUM(M1263:O1263))</f>
        <v>166</v>
      </c>
      <c r="Q1263" s="57">
        <v>166</v>
      </c>
      <c r="R1263" s="62">
        <f>ТабПозиции[[#This Row],[totalSumm]]-ТабПозиции[[#This Row],[payment]]</f>
        <v>0</v>
      </c>
      <c r="S1263" s="34" t="s">
        <v>965</v>
      </c>
      <c r="T1263" s="56" t="s">
        <v>3061</v>
      </c>
      <c r="U1263" s="56" t="str">
        <f>IF(AND(ТабПозиции[[#This Row],[Остаток]]=0,ТабПозиции[[#This Row],[ord]]="true"),"true","false")</f>
        <v>true</v>
      </c>
      <c r="V1263" s="56" t="s">
        <v>3061</v>
      </c>
      <c r="W1263" s="7"/>
      <c r="X1263"/>
    </row>
    <row r="1264" spans="1:24" x14ac:dyDescent="0.25">
      <c r="A1264" s="26">
        <v>336</v>
      </c>
      <c r="B1264" s="1">
        <f>IFERROR(VLOOKUP(ТабПозиции[[#This Row],[orderNum]],ТабЗаказы[#Data],MATCH(B$7,ТабЗаказы[#Headers],0),0),"")</f>
        <v>45607</v>
      </c>
      <c r="C1264" t="str">
        <f>MONTH(ТабПозиции[[#This Row],[date]])&amp;"/"&amp;YEAR(ТабПозиции[[#This Row],[date]])</f>
        <v>11/2024</v>
      </c>
      <c r="D1264" s="1" t="str">
        <f>IFERROR(VLOOKUP(ТабПозиции[[#This Row],[orderNum]],ТабЗаказы[#Data],MATCH(D$7,ТабЗаказы[#Headers],0),0),"")</f>
        <v>Алена шмалко</v>
      </c>
      <c r="E1264" s="32" t="s">
        <v>1878</v>
      </c>
      <c r="F1264" s="56" t="s">
        <v>3061</v>
      </c>
      <c r="H1264" s="34">
        <v>45628</v>
      </c>
      <c r="I1264" s="26">
        <v>1</v>
      </c>
      <c r="J1264" s="26">
        <v>128</v>
      </c>
      <c r="K1264">
        <f>ТабПозиции[[#This Row],[discountPrice]]*ТабПозиции[[#This Row],[quantity]]</f>
        <v>128</v>
      </c>
      <c r="L1264" s="26">
        <v>135</v>
      </c>
      <c r="M1264">
        <f t="shared" si="24"/>
        <v>135</v>
      </c>
      <c r="O126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Row],[orderNum]],ТабПозиции[orderSumm])&gt;1500),ABS(M1264*VLOOKUP(ТабПозиции[[#This Row],[orderNum]],ТабЗаказы[#Data],MATCH("Percent",ТабЗаказы[#Headers],0),0))/100,200/COUNTIF(ТабПозиции[orderNum],ТабПозиции[[#This Row],[orderNum]])),0),"")</f>
        <v>20</v>
      </c>
      <c r="P1264">
        <f>IF(OR(ТабПозиции[[#This Row],[item]]="По штрихкоду",ТабПозиции[[#This Row],[item]]="Посылка"),ТабПозиции[[#This Row],[deliverySumm]]+ТабПозиции[[#This Row],[deliveryPost]],SUM(M1264:O1264))</f>
        <v>155</v>
      </c>
      <c r="Q1264" s="57">
        <v>155</v>
      </c>
      <c r="R1264" s="62">
        <f>ТабПозиции[[#This Row],[totalSumm]]-ТабПозиции[[#This Row],[payment]]</f>
        <v>0</v>
      </c>
      <c r="S1264" s="34" t="s">
        <v>965</v>
      </c>
      <c r="T1264" s="56" t="s">
        <v>3061</v>
      </c>
      <c r="U1264" s="56" t="str">
        <f>IF(AND(ТабПозиции[[#This Row],[Остаток]]=0,ТабПозиции[[#This Row],[ord]]="true"),"true","false")</f>
        <v>true</v>
      </c>
      <c r="V1264" s="56" t="str">
        <f>IF(AND(ТабПозиции[[#This Row],[Остаток]]=0,ТабПозиции[[#This Row],[ord]]="true"),"true","false")</f>
        <v>true</v>
      </c>
      <c r="W1264" s="7"/>
      <c r="X1264"/>
    </row>
    <row r="1265" spans="1:24" x14ac:dyDescent="0.25">
      <c r="A1265" s="26">
        <v>336</v>
      </c>
      <c r="B1265" s="1">
        <f>IFERROR(VLOOKUP(ТабПозиции[[#This Row],[orderNum]],ТабЗаказы[#Data],MATCH(B$7,ТабЗаказы[#Headers],0),0),"")</f>
        <v>45607</v>
      </c>
      <c r="C1265" t="str">
        <f>MONTH(ТабПозиции[[#This Row],[date]])&amp;"/"&amp;YEAR(ТабПозиции[[#This Row],[date]])</f>
        <v>11/2024</v>
      </c>
      <c r="D1265" s="1" t="str">
        <f>IFERROR(VLOOKUP(ТабПозиции[[#This Row],[orderNum]],ТабЗаказы[#Data],MATCH(D$7,ТабЗаказы[#Headers],0),0),"")</f>
        <v>Алена шмалко</v>
      </c>
      <c r="E1265" s="32" t="s">
        <v>1879</v>
      </c>
      <c r="F1265" s="56" t="s">
        <v>3061</v>
      </c>
      <c r="H1265" s="34">
        <v>45609</v>
      </c>
      <c r="I1265" s="26">
        <v>1</v>
      </c>
      <c r="J1265" s="26">
        <v>232</v>
      </c>
      <c r="K1265">
        <f>ТабПозиции[[#This Row],[discountPrice]]*ТабПозиции[[#This Row],[quantity]]</f>
        <v>232</v>
      </c>
      <c r="L1265" s="26">
        <v>247</v>
      </c>
      <c r="M1265">
        <f t="shared" si="24"/>
        <v>247</v>
      </c>
      <c r="O126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Row],[orderNum]],ТабПозиции[orderSumm])&gt;1500),ABS(M1265*VLOOKUP(ТабПозиции[[#This Row],[orderNum]],ТабЗаказы[#Data],MATCH("Percent",ТабЗаказы[#Headers],0),0))/100,200/COUNTIF(ТабПозиции[orderNum],ТабПозиции[[#This Row],[orderNum]])),0),"")</f>
        <v>37</v>
      </c>
      <c r="P1265">
        <f>IF(OR(ТабПозиции[[#This Row],[item]]="По штрихкоду",ТабПозиции[[#This Row],[item]]="Посылка"),ТабПозиции[[#This Row],[deliverySumm]]+ТабПозиции[[#This Row],[deliveryPost]],SUM(M1265:O1265))</f>
        <v>284</v>
      </c>
      <c r="Q1265" s="57">
        <v>284</v>
      </c>
      <c r="R1265" s="62">
        <f>ТабПозиции[[#This Row],[totalSumm]]-ТабПозиции[[#This Row],[payment]]</f>
        <v>0</v>
      </c>
      <c r="S1265" s="34" t="s">
        <v>965</v>
      </c>
      <c r="T1265" s="56" t="s">
        <v>3061</v>
      </c>
      <c r="U1265" s="56" t="str">
        <f>IF(AND(ТабПозиции[[#This Row],[Остаток]]=0,ТабПозиции[[#This Row],[ord]]="true"),"true","false")</f>
        <v>true</v>
      </c>
      <c r="V1265" s="56" t="s">
        <v>3061</v>
      </c>
      <c r="W1265" s="7"/>
      <c r="X1265"/>
    </row>
    <row r="1266" spans="1:24" x14ac:dyDescent="0.25">
      <c r="A1266" s="26">
        <v>336</v>
      </c>
      <c r="B1266" s="1">
        <f>IFERROR(VLOOKUP(ТабПозиции[[#This Row],[orderNum]],ТабЗаказы[#Data],MATCH(B$7,ТабЗаказы[#Headers],0),0),"")</f>
        <v>45607</v>
      </c>
      <c r="C1266" t="str">
        <f>MONTH(ТабПозиции[[#This Row],[date]])&amp;"/"&amp;YEAR(ТабПозиции[[#This Row],[date]])</f>
        <v>11/2024</v>
      </c>
      <c r="D1266" s="1" t="str">
        <f>IFERROR(VLOOKUP(ТабПозиции[[#This Row],[orderNum]],ТабЗаказы[#Data],MATCH(D$7,ТабЗаказы[#Headers],0),0),"")</f>
        <v>Алена шмалко</v>
      </c>
      <c r="E1266" s="32" t="s">
        <v>1880</v>
      </c>
      <c r="F1266" s="56" t="s">
        <v>3061</v>
      </c>
      <c r="H1266" s="34">
        <v>45610</v>
      </c>
      <c r="I1266" s="26">
        <v>1</v>
      </c>
      <c r="J1266" s="26">
        <v>366</v>
      </c>
      <c r="K1266">
        <f>ТабПозиции[[#This Row],[discountPrice]]*ТабПозиции[[#This Row],[quantity]]</f>
        <v>366</v>
      </c>
      <c r="L1266" s="26">
        <v>390</v>
      </c>
      <c r="M1266">
        <f t="shared" si="24"/>
        <v>390</v>
      </c>
      <c r="O126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Row],[orderNum]],ТабПозиции[orderSumm])&gt;1500),ABS(M1266*VLOOKUP(ТабПозиции[[#This Row],[orderNum]],ТабЗаказы[#Data],MATCH("Percent",ТабЗаказы[#Headers],0),0))/100,200/COUNTIF(ТабПозиции[orderNum],ТабПозиции[[#This Row],[orderNum]])),0),"")</f>
        <v>59</v>
      </c>
      <c r="P1266">
        <f>IF(OR(ТабПозиции[[#This Row],[item]]="По штрихкоду",ТабПозиции[[#This Row],[item]]="Посылка"),ТабПозиции[[#This Row],[deliverySumm]]+ТабПозиции[[#This Row],[deliveryPost]],SUM(M1266:O1266))</f>
        <v>449</v>
      </c>
      <c r="Q1266" s="57">
        <v>449</v>
      </c>
      <c r="R1266" s="62">
        <f>ТабПозиции[[#This Row],[totalSumm]]-ТабПозиции[[#This Row],[payment]]</f>
        <v>0</v>
      </c>
      <c r="S1266" s="34" t="s">
        <v>965</v>
      </c>
      <c r="T1266" s="56" t="s">
        <v>3061</v>
      </c>
      <c r="U1266" s="56" t="str">
        <f>IF(AND(ТабПозиции[[#This Row],[Остаток]]=0,ТабПозиции[[#This Row],[ord]]="true"),"true","false")</f>
        <v>true</v>
      </c>
      <c r="V1266" s="56" t="s">
        <v>3061</v>
      </c>
      <c r="W1266" s="7"/>
      <c r="X1266"/>
    </row>
    <row r="1267" spans="1:24" x14ac:dyDescent="0.25">
      <c r="A1267" s="26">
        <v>337</v>
      </c>
      <c r="B1267" s="1">
        <f>IFERROR(VLOOKUP(ТабПозиции[[#This Row],[orderNum]],ТабЗаказы[#Data],MATCH(B$7,ТабЗаказы[#Headers],0),0),"")</f>
        <v>45610</v>
      </c>
      <c r="C1267" t="str">
        <f>MONTH(ТабПозиции[[#This Row],[date]])&amp;"/"&amp;YEAR(ТабПозиции[[#This Row],[date]])</f>
        <v>11/2024</v>
      </c>
      <c r="D1267" s="1" t="str">
        <f>IFERROR(VLOOKUP(ТабПозиции[[#This Row],[orderNum]],ТабЗаказы[#Data],MATCH(D$7,ТабЗаказы[#Headers],0),0),"")</f>
        <v>Михаил Куприна</v>
      </c>
      <c r="E1267" s="32" t="s">
        <v>1881</v>
      </c>
      <c r="F1267" s="56" t="s">
        <v>3061</v>
      </c>
      <c r="H1267" s="34">
        <v>45613</v>
      </c>
      <c r="I1267" s="26">
        <v>1</v>
      </c>
      <c r="J1267" s="26">
        <v>375</v>
      </c>
      <c r="K1267">
        <f>ТабПозиции[[#This Row],[discountPrice]]*ТабПозиции[[#This Row],[quantity]]</f>
        <v>375</v>
      </c>
      <c r="L1267" s="26">
        <v>402</v>
      </c>
      <c r="M1267">
        <f t="shared" si="24"/>
        <v>402</v>
      </c>
      <c r="O126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Row],[orderNum]],ТабПозиции[orderSumm])&gt;1500),ABS(M1267*VLOOKUP(ТабПозиции[[#This Row],[orderNum]],ТабЗаказы[#Data],MATCH("Percent",ТабЗаказы[#Headers],0),0))/100,200/COUNTIF(ТабПозиции[orderNum],ТабПозиции[[#This Row],[orderNum]])),0),"")</f>
        <v>60</v>
      </c>
      <c r="P1267">
        <f>IF(OR(ТабПозиции[[#This Row],[item]]="По штрихкоду",ТабПозиции[[#This Row],[item]]="Посылка"),ТабПозиции[[#This Row],[deliverySumm]]+ТабПозиции[[#This Row],[deliveryPost]],SUM(M1267:O1267))</f>
        <v>462</v>
      </c>
      <c r="Q1267" s="57">
        <v>462</v>
      </c>
      <c r="R1267" s="62">
        <f>ТабПозиции[[#This Row],[totalSumm]]-ТабПозиции[[#This Row],[payment]]</f>
        <v>0</v>
      </c>
      <c r="S1267" s="34" t="s">
        <v>955</v>
      </c>
      <c r="T1267" s="56" t="s">
        <v>3061</v>
      </c>
      <c r="U1267" s="56" t="str">
        <f>IF(AND(ТабПозиции[[#This Row],[Остаток]]=0,ТабПозиции[[#This Row],[ord]]="true"),"true","false")</f>
        <v>true</v>
      </c>
      <c r="V1267" s="56" t="s">
        <v>3061</v>
      </c>
      <c r="W1267" s="7"/>
      <c r="X1267"/>
    </row>
    <row r="1268" spans="1:24" x14ac:dyDescent="0.25">
      <c r="A1268" s="26">
        <v>337</v>
      </c>
      <c r="B1268" s="1">
        <f>IFERROR(VLOOKUP(ТабПозиции[[#This Row],[orderNum]],ТабЗаказы[#Data],MATCH(B$7,ТабЗаказы[#Headers],0),0),"")</f>
        <v>45610</v>
      </c>
      <c r="C1268" t="str">
        <f>MONTH(ТабПозиции[[#This Row],[date]])&amp;"/"&amp;YEAR(ТабПозиции[[#This Row],[date]])</f>
        <v>11/2024</v>
      </c>
      <c r="D1268" s="1" t="str">
        <f>IFERROR(VLOOKUP(ТабПозиции[[#This Row],[orderNum]],ТабЗаказы[#Data],MATCH(D$7,ТабЗаказы[#Headers],0),0),"")</f>
        <v>Михаил Куприна</v>
      </c>
      <c r="E1268" s="32" t="s">
        <v>1882</v>
      </c>
      <c r="F1268" s="56" t="s">
        <v>3061</v>
      </c>
      <c r="H1268" s="34">
        <v>45611</v>
      </c>
      <c r="I1268" s="26">
        <v>1</v>
      </c>
      <c r="J1268" s="26">
        <v>1060</v>
      </c>
      <c r="K1268">
        <f>ТабПозиции[[#This Row],[discountPrice]]*ТабПозиции[[#This Row],[quantity]]</f>
        <v>1060</v>
      </c>
      <c r="L1268" s="26">
        <v>1172</v>
      </c>
      <c r="M1268">
        <f t="shared" si="24"/>
        <v>1172</v>
      </c>
      <c r="O126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Row],[orderNum]],ТабПозиции[orderSumm])&gt;1500),ABS(M1268*VLOOKUP(ТабПозиции[[#This Row],[orderNum]],ТабЗаказы[#Data],MATCH("Percent",ТабЗаказы[#Headers],0),0))/100,200/COUNTIF(ТабПозиции[orderNum],ТабПозиции[[#This Row],[orderNum]])),0),"")</f>
        <v>176</v>
      </c>
      <c r="P1268">
        <f>IF(OR(ТабПозиции[[#This Row],[item]]="По штрихкоду",ТабПозиции[[#This Row],[item]]="Посылка"),ТабПозиции[[#This Row],[deliverySumm]]+ТабПозиции[[#This Row],[deliveryPost]],SUM(M1268:O1268))</f>
        <v>1348</v>
      </c>
      <c r="Q1268" s="57">
        <v>1348</v>
      </c>
      <c r="R1268" s="62">
        <f>ТабПозиции[[#This Row],[totalSumm]]-ТабПозиции[[#This Row],[payment]]</f>
        <v>0</v>
      </c>
      <c r="S1268" s="34" t="s">
        <v>955</v>
      </c>
      <c r="T1268" s="56" t="s">
        <v>3061</v>
      </c>
      <c r="U1268" s="56" t="str">
        <f>IF(AND(ТабПозиции[[#This Row],[Остаток]]=0,ТабПозиции[[#This Row],[ord]]="true"),"true","false")</f>
        <v>true</v>
      </c>
      <c r="V1268" s="56" t="s">
        <v>3061</v>
      </c>
      <c r="W1268" s="7"/>
      <c r="X1268"/>
    </row>
    <row r="1269" spans="1:24" x14ac:dyDescent="0.25">
      <c r="A1269" s="26">
        <v>338</v>
      </c>
      <c r="B1269" s="1">
        <f>IFERROR(VLOOKUP(ТабПозиции[[#This Row],[orderNum]],ТабЗаказы[#Data],MATCH(B$7,ТабЗаказы[#Headers],0),0),"")</f>
        <v>45610</v>
      </c>
      <c r="C1269" t="str">
        <f>MONTH(ТабПозиции[[#This Row],[date]])&amp;"/"&amp;YEAR(ТабПозиции[[#This Row],[date]])</f>
        <v>11/2024</v>
      </c>
      <c r="D1269" s="1" t="str">
        <f>IFERROR(VLOOKUP(ТабПозиции[[#This Row],[orderNum]],ТабЗаказы[#Data],MATCH(D$7,ТабЗаказы[#Headers],0),0),"")</f>
        <v>Александр Каскад</v>
      </c>
      <c r="E1269" s="32" t="s">
        <v>1883</v>
      </c>
      <c r="F1269" s="56" t="s">
        <v>3061</v>
      </c>
      <c r="H1269" s="34">
        <v>45613</v>
      </c>
      <c r="I1269" s="26">
        <v>1</v>
      </c>
      <c r="J1269" s="26">
        <v>1544</v>
      </c>
      <c r="K1269">
        <f>ТабПозиции[[#This Row],[discountPrice]]*ТабПозиции[[#This Row],[quantity]]</f>
        <v>1544</v>
      </c>
      <c r="L1269" s="26">
        <v>1658</v>
      </c>
      <c r="M1269">
        <f t="shared" si="24"/>
        <v>1658</v>
      </c>
      <c r="O126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Row],[orderNum]],ТабПозиции[orderSumm])&gt;1500),ABS(M1269*VLOOKUP(ТабПозиции[[#This Row],[orderNum]],ТабЗаказы[#Data],MATCH("Percent",ТабЗаказы[#Headers],0),0))/100,200/COUNTIF(ТабПозиции[orderNum],ТабПозиции[[#This Row],[orderNum]])),0),"")</f>
        <v>249</v>
      </c>
      <c r="P1269">
        <f>IF(OR(ТабПозиции[[#This Row],[item]]="По штрихкоду",ТабПозиции[[#This Row],[item]]="Посылка"),ТабПозиции[[#This Row],[deliverySumm]]+ТабПозиции[[#This Row],[deliveryPost]],SUM(M1269:O1269))</f>
        <v>1907</v>
      </c>
      <c r="Q1269" s="57">
        <v>1907</v>
      </c>
      <c r="R1269" s="62">
        <f>ТабПозиции[[#This Row],[totalSumm]]-ТабПозиции[[#This Row],[payment]]</f>
        <v>0</v>
      </c>
      <c r="S1269" s="34" t="s">
        <v>955</v>
      </c>
      <c r="T1269" s="56" t="s">
        <v>3061</v>
      </c>
      <c r="U1269" s="56" t="str">
        <f>IF(AND(ТабПозиции[[#This Row],[Остаток]]=0,ТабПозиции[[#This Row],[ord]]="true"),"true","false")</f>
        <v>true</v>
      </c>
      <c r="V1269" s="56" t="s">
        <v>3061</v>
      </c>
      <c r="W1269" s="7"/>
      <c r="X1269"/>
    </row>
    <row r="1270" spans="1:24" x14ac:dyDescent="0.25">
      <c r="A1270" s="26">
        <v>338</v>
      </c>
      <c r="B1270" s="1">
        <f>IFERROR(VLOOKUP(ТабПозиции[[#This Row],[orderNum]],ТабЗаказы[#Data],MATCH(B$7,ТабЗаказы[#Headers],0),0),"")</f>
        <v>45610</v>
      </c>
      <c r="C1270" t="str">
        <f>MONTH(ТабПозиции[[#This Row],[date]])&amp;"/"&amp;YEAR(ТабПозиции[[#This Row],[date]])</f>
        <v>11/2024</v>
      </c>
      <c r="D1270" s="1" t="str">
        <f>IFERROR(VLOOKUP(ТабПозиции[[#This Row],[orderNum]],ТабЗаказы[#Data],MATCH(D$7,ТабЗаказы[#Headers],0),0),"")</f>
        <v>Александр Каскад</v>
      </c>
      <c r="E1270" s="32" t="s">
        <v>1884</v>
      </c>
      <c r="F1270" s="56" t="s">
        <v>3061</v>
      </c>
      <c r="H1270" s="34">
        <v>45642</v>
      </c>
      <c r="I1270" s="26">
        <v>1</v>
      </c>
      <c r="J1270" s="26">
        <v>1113</v>
      </c>
      <c r="K1270">
        <f>ТабПозиции[[#This Row],[discountPrice]]*ТабПозиции[[#This Row],[quantity]]</f>
        <v>1113</v>
      </c>
      <c r="L1270" s="26">
        <v>1113</v>
      </c>
      <c r="M1270">
        <f t="shared" si="24"/>
        <v>1113</v>
      </c>
      <c r="O127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Row],[orderNum]],ТабПозиции[orderSumm])&gt;1500),ABS(M1270*VLOOKUP(ТабПозиции[[#This Row],[orderNum]],ТабЗаказы[#Data],MATCH("Percent",ТабЗаказы[#Headers],0),0))/100,200/COUNTIF(ТабПозиции[orderNum],ТабПозиции[[#This Row],[orderNum]])),0),"")</f>
        <v>167</v>
      </c>
      <c r="P1270">
        <f>IF(OR(ТабПозиции[[#This Row],[item]]="По штрихкоду",ТабПозиции[[#This Row],[item]]="Посылка"),ТабПозиции[[#This Row],[deliverySumm]]+ТабПозиции[[#This Row],[deliveryPost]],SUM(M1270:O1270))</f>
        <v>1280</v>
      </c>
      <c r="Q1270" s="57">
        <v>1280</v>
      </c>
      <c r="R1270" s="62">
        <f>ТабПозиции[[#This Row],[totalSumm]]-ТабПозиции[[#This Row],[payment]]</f>
        <v>0</v>
      </c>
      <c r="S1270" s="34" t="s">
        <v>955</v>
      </c>
      <c r="T1270" s="56" t="s">
        <v>3061</v>
      </c>
      <c r="U1270" s="56" t="str">
        <f>IF(AND(ТабПозиции[[#This Row],[Остаток]]=0,ТабПозиции[[#This Row],[ord]]="true"),"true","false")</f>
        <v>true</v>
      </c>
      <c r="V1270" s="56" t="s">
        <v>3061</v>
      </c>
      <c r="W1270" s="7"/>
      <c r="X1270"/>
    </row>
    <row r="1271" spans="1:24" x14ac:dyDescent="0.25">
      <c r="A1271" s="26">
        <v>340</v>
      </c>
      <c r="B1271" s="1">
        <f>IFERROR(VLOOKUP(ТабПозиции[[#This Row],[orderNum]],ТабЗаказы[#Data],MATCH(B$7,ТабЗаказы[#Headers],0),0),"")</f>
        <v>45610</v>
      </c>
      <c r="C1271" t="str">
        <f>MONTH(ТабПозиции[[#This Row],[date]])&amp;"/"&amp;YEAR(ТабПозиции[[#This Row],[date]])</f>
        <v>11/2024</v>
      </c>
      <c r="D1271" s="1" t="str">
        <f>IFERROR(VLOOKUP(ТабПозиции[[#This Row],[orderNum]],ТабЗаказы[#Data],MATCH(D$7,ТабЗаказы[#Headers],0),0),"")</f>
        <v>Алексей Бамси</v>
      </c>
      <c r="E1271" s="26" t="s">
        <v>815</v>
      </c>
      <c r="F1271" s="56" t="s">
        <v>3061</v>
      </c>
      <c r="G1271" s="77" t="s">
        <v>1885</v>
      </c>
      <c r="H1271" s="34">
        <v>45617</v>
      </c>
      <c r="I1271" s="26">
        <v>1</v>
      </c>
      <c r="J1271" s="26">
        <v>5200</v>
      </c>
      <c r="K1271">
        <f>ТабПозиции[[#This Row],[discountPrice]]*ТабПозиции[[#This Row],[quantity]]</f>
        <v>5200</v>
      </c>
      <c r="L1271" s="26">
        <v>5200</v>
      </c>
      <c r="M1271">
        <f t="shared" si="24"/>
        <v>5200</v>
      </c>
      <c r="N1271" s="26">
        <v>655</v>
      </c>
      <c r="O127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Row],[orderNum]],ТабПозиции[orderSumm])&gt;1500),ABS(M1271*VLOOKUP(ТабПозиции[[#This Row],[orderNum]],ТабЗаказы[#Data],MATCH("Percent",ТабЗаказы[#Headers],0),0))/100,200/COUNTIF(ТабПозиции[orderNum],ТабПозиции[[#This Row],[orderNum]])),0),"")</f>
        <v>780</v>
      </c>
      <c r="P1271">
        <f>IF(OR(ТабПозиции[[#This Row],[item]]="По штрихкоду",ТабПозиции[[#This Row],[item]]="Посылка"),ТабПозиции[[#This Row],[deliverySumm]]+ТабПозиции[[#This Row],[deliveryPost]],SUM(M1271:O1271))</f>
        <v>1435</v>
      </c>
      <c r="Q1271" s="57">
        <v>1435</v>
      </c>
      <c r="R1271" s="62">
        <f>ТабПозиции[[#This Row],[totalSumm]]-ТабПозиции[[#This Row],[payment]]</f>
        <v>0</v>
      </c>
      <c r="S1271" s="34" t="s">
        <v>1016</v>
      </c>
      <c r="T1271" s="56" t="s">
        <v>3061</v>
      </c>
      <c r="U1271" s="56" t="str">
        <f>IF(AND(ТабПозиции[[#This Row],[Остаток]]=0,ТабПозиции[[#This Row],[ord]]="true"),"true","false")</f>
        <v>true</v>
      </c>
      <c r="V1271" s="56" t="s">
        <v>3061</v>
      </c>
      <c r="W1271" s="7"/>
      <c r="X1271"/>
    </row>
    <row r="1272" spans="1:24" x14ac:dyDescent="0.25">
      <c r="A1272" s="26">
        <v>320</v>
      </c>
      <c r="B1272" s="1">
        <f>IFERROR(VLOOKUP(ТабПозиции[[#This Row],[orderNum]],ТабЗаказы[#Data],MATCH(B$7,ТабЗаказы[#Headers],0),0),"")</f>
        <v>45597</v>
      </c>
      <c r="C1272" t="str">
        <f>MONTH(ТабПозиции[[#This Row],[date]])&amp;"/"&amp;YEAR(ТабПозиции[[#This Row],[date]])</f>
        <v>11/2024</v>
      </c>
      <c r="D1272" s="1" t="str">
        <f>IFERROR(VLOOKUP(ТабПозиции[[#This Row],[orderNum]],ТабЗаказы[#Data],MATCH(D$7,ТабЗаказы[#Headers],0),0),"")</f>
        <v>Максим телевизор</v>
      </c>
      <c r="E1272" s="26" t="s">
        <v>815</v>
      </c>
      <c r="F1272" s="56" t="s">
        <v>3061</v>
      </c>
      <c r="G1272" s="44" t="s">
        <v>1886</v>
      </c>
      <c r="H1272" s="34">
        <v>45610</v>
      </c>
      <c r="I1272" s="26">
        <v>1</v>
      </c>
      <c r="J1272" s="26">
        <v>6900</v>
      </c>
      <c r="K1272">
        <f>ТабПозиции[[#This Row],[discountPrice]]*ТабПозиции[[#This Row],[quantity]]</f>
        <v>6900</v>
      </c>
      <c r="L1272" s="26">
        <v>6900</v>
      </c>
      <c r="M1272">
        <f t="shared" si="24"/>
        <v>6900</v>
      </c>
      <c r="N1272" s="26">
        <v>640</v>
      </c>
      <c r="O127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Row],[orderNum]],ТабПозиции[orderSumm])&gt;1500),ABS(M1272*VLOOKUP(ТабПозиции[[#This Row],[orderNum]],ТабЗаказы[#Data],MATCH("Percent",ТабЗаказы[#Headers],0),0))/100,200/COUNTIF(ТабПозиции[orderNum],ТабПозиции[[#This Row],[orderNum]])),0),"")</f>
        <v>690</v>
      </c>
      <c r="P1272">
        <f>IF(OR(ТабПозиции[[#This Row],[item]]="По штрихкоду",ТабПозиции[[#This Row],[item]]="Посылка"),ТабПозиции[[#This Row],[deliverySumm]]+ТабПозиции[[#This Row],[deliveryPost]],SUM(M1272:O1272))</f>
        <v>1330</v>
      </c>
      <c r="Q1272" s="57">
        <v>1330</v>
      </c>
      <c r="R1272" s="62">
        <f>ТабПозиции[[#This Row],[totalSumm]]-ТабПозиции[[#This Row],[payment]]</f>
        <v>0</v>
      </c>
      <c r="S1272" s="34" t="s">
        <v>1016</v>
      </c>
      <c r="T1272" s="56" t="s">
        <v>3061</v>
      </c>
      <c r="U1272" s="56" t="str">
        <f>IF(AND(ТабПозиции[[#This Row],[Остаток]]=0,ТабПозиции[[#This Row],[ord]]="true"),"true","false")</f>
        <v>true</v>
      </c>
      <c r="V1272" s="56" t="s">
        <v>3061</v>
      </c>
      <c r="W1272" s="7"/>
      <c r="X1272"/>
    </row>
    <row r="1273" spans="1:24" x14ac:dyDescent="0.25">
      <c r="A1273" s="26">
        <v>320</v>
      </c>
      <c r="B1273" s="1">
        <f>IFERROR(VLOOKUP(ТабПозиции[[#This Row],[orderNum]],ТабЗаказы[#Data],MATCH(B$7,ТабЗаказы[#Headers],0),0),"")</f>
        <v>45597</v>
      </c>
      <c r="C1273" t="str">
        <f>MONTH(ТабПозиции[[#This Row],[date]])&amp;"/"&amp;YEAR(ТабПозиции[[#This Row],[date]])</f>
        <v>11/2024</v>
      </c>
      <c r="D1273" s="1" t="str">
        <f>IFERROR(VLOOKUP(ТабПозиции[[#This Row],[orderNum]],ТабЗаказы[#Data],MATCH(D$7,ТабЗаказы[#Headers],0),0),"")</f>
        <v>Максим телевизор</v>
      </c>
      <c r="E1273" s="26" t="s">
        <v>815</v>
      </c>
      <c r="F1273" s="56" t="s">
        <v>3061</v>
      </c>
      <c r="G1273" s="77" t="s">
        <v>1887</v>
      </c>
      <c r="H1273" s="34">
        <v>45614</v>
      </c>
      <c r="I1273" s="26">
        <v>1</v>
      </c>
      <c r="J1273" s="26">
        <v>15210</v>
      </c>
      <c r="K1273">
        <f>ТабПозиции[[#This Row],[discountPrice]]*ТабПозиции[[#This Row],[quantity]]</f>
        <v>15210</v>
      </c>
      <c r="L1273" s="26">
        <v>15210</v>
      </c>
      <c r="M1273">
        <f t="shared" si="24"/>
        <v>15210</v>
      </c>
      <c r="O127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Row],[orderNum]],ТабПозиции[orderSumm])&gt;1500),ABS(M1273*VLOOKUP(ТабПозиции[[#This Row],[orderNum]],ТабЗаказы[#Data],MATCH("Percent",ТабЗаказы[#Headers],0),0))/100,200/COUNTIF(ТабПозиции[orderNum],ТабПозиции[[#This Row],[orderNum]])),0),"")</f>
        <v>1521</v>
      </c>
      <c r="P1273">
        <f>IF(OR(ТабПозиции[[#This Row],[item]]="По штрихкоду",ТабПозиции[[#This Row],[item]]="Посылка"),ТабПозиции[[#This Row],[deliverySumm]]+ТабПозиции[[#This Row],[deliveryPost]],SUM(M1273:O1273))</f>
        <v>1521</v>
      </c>
      <c r="Q1273" s="57">
        <v>1521</v>
      </c>
      <c r="R1273" s="62">
        <f>ТабПозиции[[#This Row],[totalSumm]]-ТабПозиции[[#This Row],[payment]]</f>
        <v>0</v>
      </c>
      <c r="S1273" s="34" t="s">
        <v>1016</v>
      </c>
      <c r="T1273" s="56" t="s">
        <v>3061</v>
      </c>
      <c r="U1273" s="56" t="str">
        <f>IF(AND(ТабПозиции[[#This Row],[Остаток]]=0,ТабПозиции[[#This Row],[ord]]="true"),"true","false")</f>
        <v>true</v>
      </c>
      <c r="V1273" s="56" t="s">
        <v>3061</v>
      </c>
      <c r="W1273" s="7"/>
      <c r="X1273"/>
    </row>
    <row r="1274" spans="1:24" x14ac:dyDescent="0.25">
      <c r="A1274" s="26">
        <v>339</v>
      </c>
      <c r="B1274" s="1">
        <f>IFERROR(VLOOKUP(ТабПозиции[[#This Row],[orderNum]],ТабЗаказы[#Data],MATCH(B$7,ТабЗаказы[#Headers],0),0),"")</f>
        <v>45610</v>
      </c>
      <c r="C1274" t="str">
        <f>MONTH(ТабПозиции[[#This Row],[date]])&amp;"/"&amp;YEAR(ТабПозиции[[#This Row],[date]])</f>
        <v>11/2024</v>
      </c>
      <c r="D1274" s="1" t="str">
        <f>IFERROR(VLOOKUP(ТабПозиции[[#This Row],[orderNum]],ТабЗаказы[#Data],MATCH(D$7,ТабЗаказы[#Headers],0),0),"")</f>
        <v>Александр Радин</v>
      </c>
      <c r="E1274" s="26" t="s">
        <v>815</v>
      </c>
      <c r="F1274" s="56" t="s">
        <v>3061</v>
      </c>
      <c r="G1274" s="44" t="s">
        <v>1888</v>
      </c>
      <c r="H1274" s="34">
        <v>45626</v>
      </c>
      <c r="I1274" s="26">
        <v>1</v>
      </c>
      <c r="J1274" s="26">
        <v>30160</v>
      </c>
      <c r="K1274">
        <f>ТабПозиции[[#This Row],[discountPrice]]*ТабПозиции[[#This Row],[quantity]]</f>
        <v>30160</v>
      </c>
      <c r="L1274" s="26">
        <v>30160</v>
      </c>
      <c r="M1274">
        <f t="shared" si="24"/>
        <v>30160</v>
      </c>
      <c r="O127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Row],[orderNum]],ТабПозиции[orderSumm])&gt;1500),ABS(M1274*VLOOKUP(ТабПозиции[[#This Row],[orderNum]],ТабЗаказы[#Data],MATCH("Percent",ТабЗаказы[#Headers],0),0))/100,200/COUNTIF(ТабПозиции[orderNum],ТабПозиции[[#This Row],[orderNum]])),0),"")</f>
        <v>3016</v>
      </c>
      <c r="P1274">
        <f>IF(OR(ТабПозиции[[#This Row],[item]]="По штрихкоду",ТабПозиции[[#This Row],[item]]="Посылка"),ТабПозиции[[#This Row],[deliverySumm]]+ТабПозиции[[#This Row],[deliveryPost]],SUM(M1274:O1274))</f>
        <v>3016</v>
      </c>
      <c r="Q1274" s="57">
        <v>3016</v>
      </c>
      <c r="R1274" s="62">
        <f>ТабПозиции[[#This Row],[totalSumm]]-ТабПозиции[[#This Row],[payment]]</f>
        <v>0</v>
      </c>
      <c r="S1274" s="34" t="s">
        <v>1016</v>
      </c>
      <c r="T1274" s="56" t="s">
        <v>3061</v>
      </c>
      <c r="U1274" s="56" t="str">
        <f>IF(AND(ТабПозиции[[#This Row],[Остаток]]=0,ТабПозиции[[#This Row],[ord]]="true"),"true","false")</f>
        <v>true</v>
      </c>
      <c r="V1274" s="56" t="str">
        <f>IF(AND(ТабПозиции[[#This Row],[Остаток]]=0,ТабПозиции[[#This Row],[ord]]="true"),"true","false")</f>
        <v>true</v>
      </c>
      <c r="W1274" s="7"/>
      <c r="X1274"/>
    </row>
    <row r="1275" spans="1:24" x14ac:dyDescent="0.25">
      <c r="A1275" s="26">
        <v>338</v>
      </c>
      <c r="B1275" s="1">
        <f>IFERROR(VLOOKUP(ТабПозиции[[#This Row],[orderNum]],ТабЗаказы[#Data],MATCH(B$7,ТабЗаказы[#Headers],0),0),"")</f>
        <v>45610</v>
      </c>
      <c r="C1275" t="str">
        <f>MONTH(ТабПозиции[[#This Row],[date]])&amp;"/"&amp;YEAR(ТабПозиции[[#This Row],[date]])</f>
        <v>11/2024</v>
      </c>
      <c r="D1275" s="1" t="str">
        <f>IFERROR(VLOOKUP(ТабПозиции[[#This Row],[orderNum]],ТабЗаказы[#Data],MATCH(D$7,ТабЗаказы[#Headers],0),0),"")</f>
        <v>Александр Каскад</v>
      </c>
      <c r="E1275" s="32" t="s">
        <v>1889</v>
      </c>
      <c r="F1275" s="56" t="s">
        <v>3061</v>
      </c>
      <c r="H1275" s="34">
        <v>45612</v>
      </c>
      <c r="I1275" s="26">
        <v>1</v>
      </c>
      <c r="J1275" s="26">
        <v>1497</v>
      </c>
      <c r="K1275">
        <f>ТабПозиции[[#This Row],[discountPrice]]*ТабПозиции[[#This Row],[quantity]]</f>
        <v>1497</v>
      </c>
      <c r="L1275" s="26">
        <v>1605</v>
      </c>
      <c r="M1275">
        <f t="shared" si="24"/>
        <v>1605</v>
      </c>
      <c r="O127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Row],[orderNum]],ТабПозиции[orderSumm])&gt;1500),ABS(M1275*VLOOKUP(ТабПозиции[[#This Row],[orderNum]],ТабЗаказы[#Data],MATCH("Percent",ТабЗаказы[#Headers],0),0))/100,200/COUNTIF(ТабПозиции[orderNum],ТабПозиции[[#This Row],[orderNum]])),0),"")</f>
        <v>241</v>
      </c>
      <c r="P1275">
        <f>IF(OR(ТабПозиции[[#This Row],[item]]="По штрихкоду",ТабПозиции[[#This Row],[item]]="Посылка"),ТабПозиции[[#This Row],[deliverySumm]]+ТабПозиции[[#This Row],[deliveryPost]],SUM(M1275:O1275))</f>
        <v>1846</v>
      </c>
      <c r="Q1275" s="57">
        <v>1846</v>
      </c>
      <c r="R1275" s="62">
        <f>ТабПозиции[[#This Row],[totalSumm]]-ТабПозиции[[#This Row],[payment]]</f>
        <v>0</v>
      </c>
      <c r="S1275" s="34" t="s">
        <v>955</v>
      </c>
      <c r="T1275" s="56" t="s">
        <v>3061</v>
      </c>
      <c r="U1275" s="56" t="str">
        <f>IF(AND(ТабПозиции[[#This Row],[Остаток]]=0,ТабПозиции[[#This Row],[ord]]="true"),"true","false")</f>
        <v>true</v>
      </c>
      <c r="V1275" s="56" t="s">
        <v>3061</v>
      </c>
      <c r="W1275" s="7"/>
      <c r="X1275"/>
    </row>
    <row r="1276" spans="1:24" x14ac:dyDescent="0.25">
      <c r="A1276" s="26">
        <v>341</v>
      </c>
      <c r="B1276" s="1">
        <f>IFERROR(VLOOKUP(ТабПозиции[[#This Row],[orderNum]],ТабЗаказы[#Data],MATCH(B$7,ТабЗаказы[#Headers],0),0),"")</f>
        <v>45611</v>
      </c>
      <c r="C1276" t="str">
        <f>MONTH(ТабПозиции[[#This Row],[date]])&amp;"/"&amp;YEAR(ТабПозиции[[#This Row],[date]])</f>
        <v>11/2024</v>
      </c>
      <c r="D1276" s="1" t="str">
        <f>IFERROR(VLOOKUP(ТабПозиции[[#This Row],[orderNum]],ТабЗаказы[#Data],MATCH(D$7,ТабЗаказы[#Headers],0),0),"")</f>
        <v>Аннет</v>
      </c>
      <c r="E1276" s="26" t="s">
        <v>32</v>
      </c>
      <c r="F1276" s="56" t="s">
        <v>3061</v>
      </c>
      <c r="H1276" s="34">
        <v>45611</v>
      </c>
      <c r="I1276" s="26">
        <v>1</v>
      </c>
      <c r="J1276" s="26">
        <v>1243</v>
      </c>
      <c r="K1276">
        <f>ТабПозиции[[#This Row],[discountPrice]]*ТабПозиции[[#This Row],[quantity]]</f>
        <v>1243</v>
      </c>
      <c r="L1276" s="26">
        <v>1243</v>
      </c>
      <c r="M1276">
        <f t="shared" si="24"/>
        <v>1243</v>
      </c>
      <c r="O127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Row],[orderNum]],ТабПозиции[orderSumm])&gt;1500),ABS(M1276*VLOOKUP(ТабПозиции[[#This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276">
        <f>IF(OR(ТабПозиции[[#This Row],[item]]="По штрихкоду",ТабПозиции[[#This Row],[item]]="Посылка"),ТабПозиции[[#This Row],[deliverySumm]]+ТабПозиции[[#This Row],[deliveryPost]],SUM(M1276:O1276))</f>
        <v>200</v>
      </c>
      <c r="Q1276">
        <f>IF(OR(ТабПозиции[[#This Row],[item]]="По штрихкоду",ТабПозиции[[#This Row],[item]]="Посылка"),ТабПозиции[[#This Row],[deliverySumm]]+ТабПозиции[[#This Row],[deliveryPost]],SUM(N1276:P1276))</f>
        <v>200</v>
      </c>
      <c r="R1276" s="62">
        <f>ТабПозиции[[#This Row],[totalSumm]]-ТабПозиции[[#This Row],[payment]]</f>
        <v>0</v>
      </c>
      <c r="S1276" s="34" t="s">
        <v>955</v>
      </c>
      <c r="T1276" s="56" t="s">
        <v>3061</v>
      </c>
      <c r="U1276" s="56" t="str">
        <f>IF(AND(ТабПозиции[[#This Row],[Остаток]]=0,ТабПозиции[[#This Row],[ord]]="true"),"true","false")</f>
        <v>true</v>
      </c>
      <c r="V1276" s="56" t="s">
        <v>3061</v>
      </c>
      <c r="W1276" s="7"/>
      <c r="X1276"/>
    </row>
    <row r="1277" spans="1:24" x14ac:dyDescent="0.25">
      <c r="A1277" s="26">
        <v>342</v>
      </c>
      <c r="B1277" s="1">
        <f>IFERROR(VLOOKUP(ТабПозиции[[#This Row],[orderNum]],ТабЗаказы[#Data],MATCH(B$7,ТабЗаказы[#Headers],0),0),"")</f>
        <v>45611</v>
      </c>
      <c r="C1277" t="str">
        <f>MONTH(ТабПозиции[[#This Row],[date]])&amp;"/"&amp;YEAR(ТабПозиции[[#This Row],[date]])</f>
        <v>11/2024</v>
      </c>
      <c r="D1277" s="1" t="str">
        <f>IFERROR(VLOOKUP(ТабПозиции[[#This Row],[orderNum]],ТабЗаказы[#Data],MATCH(D$7,ТабЗаказы[#Headers],0),0),"")</f>
        <v>Лана</v>
      </c>
      <c r="E1277" s="26" t="s">
        <v>32</v>
      </c>
      <c r="F1277" s="56" t="s">
        <v>3061</v>
      </c>
      <c r="H1277" s="34">
        <v>45611</v>
      </c>
      <c r="I1277" s="26">
        <v>1</v>
      </c>
      <c r="J1277" s="26">
        <v>1035</v>
      </c>
      <c r="K1277">
        <f>ТабПозиции[[#This Row],[discountPrice]]*ТабПозиции[[#This Row],[quantity]]</f>
        <v>1035</v>
      </c>
      <c r="L1277" s="26">
        <v>1035</v>
      </c>
      <c r="M1277">
        <f t="shared" si="24"/>
        <v>1035</v>
      </c>
      <c r="O127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Row],[orderNum]],ТабПозиции[orderSumm])&gt;1500),ABS(M1277*VLOOKUP(ТабПозиции[[#This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277">
        <f>IF(OR(ТабПозиции[[#This Row],[item]]="По штрихкоду",ТабПозиции[[#This Row],[item]]="Посылка"),ТабПозиции[[#This Row],[deliverySumm]]+ТабПозиции[[#This Row],[deliveryPost]],SUM(M1277:O1277))</f>
        <v>200</v>
      </c>
      <c r="Q1277" s="57">
        <v>200</v>
      </c>
      <c r="R1277" s="62">
        <f>ТабПозиции[[#This Row],[totalSumm]]-ТабПозиции[[#This Row],[payment]]</f>
        <v>0</v>
      </c>
      <c r="S1277" s="34" t="s">
        <v>955</v>
      </c>
      <c r="T1277" s="56" t="s">
        <v>3061</v>
      </c>
      <c r="U1277" s="56" t="str">
        <f>IF(AND(ТабПозиции[[#This Row],[Остаток]]=0,ТабПозиции[[#This Row],[ord]]="true"),"true","false")</f>
        <v>true</v>
      </c>
      <c r="V1277" s="56" t="s">
        <v>3061</v>
      </c>
      <c r="W1277" s="7"/>
      <c r="X1277"/>
    </row>
    <row r="1278" spans="1:24" x14ac:dyDescent="0.25">
      <c r="A1278" s="26">
        <v>343</v>
      </c>
      <c r="B1278" s="1">
        <f>IFERROR(VLOOKUP(ТабПозиции[[#This Row],[orderNum]],ТабЗаказы[#Data],MATCH(B$7,ТабЗаказы[#Headers],0),0),"")</f>
        <v>45611</v>
      </c>
      <c r="C1278" t="str">
        <f>MONTH(ТабПозиции[[#This Row],[date]])&amp;"/"&amp;YEAR(ТабПозиции[[#This Row],[date]])</f>
        <v>11/2024</v>
      </c>
      <c r="D1278" s="1" t="str">
        <f>IFERROR(VLOOKUP(ТабПозиции[[#This Row],[orderNum]],ТабЗаказы[#Data],MATCH(D$7,ТабЗаказы[#Headers],0),0),"")</f>
        <v>Наталья Лунина 13</v>
      </c>
      <c r="E1278" s="26" t="s">
        <v>32</v>
      </c>
      <c r="F1278" s="56" t="s">
        <v>3061</v>
      </c>
      <c r="H1278" s="34">
        <v>45611</v>
      </c>
      <c r="I1278" s="26">
        <v>1</v>
      </c>
      <c r="J1278" s="26">
        <v>714</v>
      </c>
      <c r="K1278">
        <f>ТабПозиции[[#This Row],[discountPrice]]*ТабПозиции[[#This Row],[quantity]]</f>
        <v>714</v>
      </c>
      <c r="L1278" s="26">
        <v>714</v>
      </c>
      <c r="M1278">
        <f t="shared" si="24"/>
        <v>714</v>
      </c>
      <c r="O127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Row],[orderNum]],ТабПозиции[orderSumm])&gt;1500),ABS(M1278*VLOOKUP(ТабПозиции[[#This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278">
        <f>IF(OR(ТабПозиции[[#This Row],[item]]="По штрихкоду",ТабПозиции[[#This Row],[item]]="Посылка"),ТабПозиции[[#This Row],[deliverySumm]]+ТабПозиции[[#This Row],[deliveryPost]],SUM(M1278:O1278))</f>
        <v>200</v>
      </c>
      <c r="Q1278" s="57">
        <v>200</v>
      </c>
      <c r="R1278" s="62">
        <f>ТабПозиции[[#This Row],[totalSumm]]-ТабПозиции[[#This Row],[payment]]</f>
        <v>0</v>
      </c>
      <c r="S1278" s="34" t="s">
        <v>955</v>
      </c>
      <c r="T1278" s="56" t="s">
        <v>3061</v>
      </c>
      <c r="U1278" s="56" t="str">
        <f>IF(AND(ТабПозиции[[#This Row],[Остаток]]=0,ТабПозиции[[#This Row],[ord]]="true"),"true","false")</f>
        <v>true</v>
      </c>
      <c r="V1278" s="56" t="s">
        <v>3061</v>
      </c>
      <c r="W1278" s="7"/>
      <c r="X1278"/>
    </row>
    <row r="1279" spans="1:24" x14ac:dyDescent="0.25">
      <c r="A1279" s="26">
        <v>337</v>
      </c>
      <c r="B1279" s="1">
        <f>IFERROR(VLOOKUP(ТабПозиции[[#This Row],[orderNum]],ТабЗаказы[#Data],MATCH(B$7,ТабЗаказы[#Headers],0),0),"")</f>
        <v>45610</v>
      </c>
      <c r="C1279" t="str">
        <f>MONTH(ТабПозиции[[#This Row],[date]])&amp;"/"&amp;YEAR(ТабПозиции[[#This Row],[date]])</f>
        <v>11/2024</v>
      </c>
      <c r="D1279" s="1" t="str">
        <f>IFERROR(VLOOKUP(ТабПозиции[[#This Row],[orderNum]],ТабЗаказы[#Data],MATCH(D$7,ТабЗаказы[#Headers],0),0),"")</f>
        <v>Михаил Куприна</v>
      </c>
      <c r="E1279" s="32" t="s">
        <v>1901</v>
      </c>
      <c r="F1279" s="56" t="s">
        <v>3061</v>
      </c>
      <c r="H1279" s="34">
        <v>45612</v>
      </c>
      <c r="I1279" s="26">
        <v>1</v>
      </c>
      <c r="J1279" s="26">
        <v>1432</v>
      </c>
      <c r="K1279">
        <f>ТабПозиции[[#This Row],[discountPrice]]*ТабПозиции[[#This Row],[quantity]]</f>
        <v>1432</v>
      </c>
      <c r="L1279" s="26">
        <v>1535</v>
      </c>
      <c r="M1279">
        <f t="shared" si="24"/>
        <v>1535</v>
      </c>
      <c r="O127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Row],[orderNum]],ТабПозиции[orderSumm])&gt;1500),ABS(M1279*VLOOKUP(ТабПозиции[[#This Row],[orderNum]],ТабЗаказы[#Data],MATCH("Percent",ТабЗаказы[#Headers],0),0))/100,200/COUNTIF(ТабПозиции[orderNum],ТабПозиции[[#This Row],[orderNum]])),0),"")</f>
        <v>230</v>
      </c>
      <c r="P1279">
        <f>IF(OR(ТабПозиции[[#This Row],[item]]="По штрихкоду",ТабПозиции[[#This Row],[item]]="Посылка"),ТабПозиции[[#This Row],[deliverySumm]]+ТабПозиции[[#This Row],[deliveryPost]],SUM(M1279:O1279))</f>
        <v>1765</v>
      </c>
      <c r="Q1279" s="57">
        <v>1765</v>
      </c>
      <c r="R1279" s="62">
        <f>ТабПозиции[[#This Row],[totalSumm]]-ТабПозиции[[#This Row],[payment]]</f>
        <v>0</v>
      </c>
      <c r="S1279" s="34" t="s">
        <v>955</v>
      </c>
      <c r="T1279" s="56" t="s">
        <v>3061</v>
      </c>
      <c r="U1279" s="56" t="str">
        <f>IF(AND(ТабПозиции[[#This Row],[Остаток]]=0,ТабПозиции[[#This Row],[ord]]="true"),"true","false")</f>
        <v>true</v>
      </c>
      <c r="V1279" s="56" t="s">
        <v>3061</v>
      </c>
      <c r="W1279" s="7"/>
      <c r="X1279"/>
    </row>
    <row r="1280" spans="1:24" x14ac:dyDescent="0.25">
      <c r="A1280" s="26">
        <v>337</v>
      </c>
      <c r="B1280" s="1">
        <f>IFERROR(VLOOKUP(ТабПозиции[[#This Row],[orderNum]],ТабЗаказы[#Data],MATCH(B$7,ТабЗаказы[#Headers],0),0),"")</f>
        <v>45610</v>
      </c>
      <c r="C1280" t="str">
        <f>MONTH(ТабПозиции[[#This Row],[date]])&amp;"/"&amp;YEAR(ТабПозиции[[#This Row],[date]])</f>
        <v>11/2024</v>
      </c>
      <c r="D1280" s="1" t="str">
        <f>IFERROR(VLOOKUP(ТабПозиции[[#This Row],[orderNum]],ТабЗаказы[#Data],MATCH(D$7,ТабЗаказы[#Headers],0),0),"")</f>
        <v>Михаил Куприна</v>
      </c>
      <c r="E1280" s="32" t="s">
        <v>1901</v>
      </c>
      <c r="F1280" s="56" t="s">
        <v>3061</v>
      </c>
      <c r="H1280" s="34">
        <v>45614</v>
      </c>
      <c r="I1280" s="26">
        <v>1</v>
      </c>
      <c r="J1280" s="26">
        <v>863</v>
      </c>
      <c r="K1280">
        <f>ТабПозиции[[#This Row],[discountPrice]]*ТабПозиции[[#This Row],[quantity]]</f>
        <v>863</v>
      </c>
      <c r="L1280" s="26">
        <v>926</v>
      </c>
      <c r="M1280">
        <f t="shared" si="24"/>
        <v>926</v>
      </c>
      <c r="O128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Row],[orderNum]],ТабПозиции[orderSumm])&gt;1500),ABS(M1280*VLOOKUP(ТабПозиции[[#This Row],[orderNum]],ТабЗаказы[#Data],MATCH("Percent",ТабЗаказы[#Headers],0),0))/100,200/COUNTIF(ТабПозиции[orderNum],ТабПозиции[[#This Row],[orderNum]])),0),"")</f>
        <v>139</v>
      </c>
      <c r="P1280">
        <f>IF(OR(ТабПозиции[[#This Row],[item]]="По штрихкоду",ТабПозиции[[#This Row],[item]]="Посылка"),ТабПозиции[[#This Row],[deliverySumm]]+ТабПозиции[[#This Row],[deliveryPost]],SUM(M1280:O1280))</f>
        <v>1065</v>
      </c>
      <c r="Q1280" s="57">
        <v>1065</v>
      </c>
      <c r="R1280" s="62">
        <f>ТабПозиции[[#This Row],[totalSumm]]-ТабПозиции[[#This Row],[payment]]</f>
        <v>0</v>
      </c>
      <c r="S1280" s="34" t="s">
        <v>955</v>
      </c>
      <c r="T1280" s="56" t="s">
        <v>3061</v>
      </c>
      <c r="U1280" s="56" t="str">
        <f>IF(AND(ТабПозиции[[#This Row],[Остаток]]=0,ТабПозиции[[#This Row],[ord]]="true"),"true","false")</f>
        <v>true</v>
      </c>
      <c r="V1280" s="56" t="s">
        <v>3061</v>
      </c>
      <c r="W1280" s="7"/>
      <c r="X1280"/>
    </row>
    <row r="1281" spans="1:24" x14ac:dyDescent="0.25">
      <c r="A1281" s="26">
        <v>337</v>
      </c>
      <c r="B1281" s="1">
        <f>IFERROR(VLOOKUP(ТабПозиции[[#This Row],[orderNum]],ТабЗаказы[#Data],MATCH(B$7,ТабЗаказы[#Headers],0),0),"")</f>
        <v>45610</v>
      </c>
      <c r="C1281" t="str">
        <f>MONTH(ТабПозиции[[#This Row],[date]])&amp;"/"&amp;YEAR(ТабПозиции[[#This Row],[date]])</f>
        <v>11/2024</v>
      </c>
      <c r="D1281" s="1" t="str">
        <f>IFERROR(VLOOKUP(ТабПозиции[[#This Row],[orderNum]],ТабЗаказы[#Data],MATCH(D$7,ТабЗаказы[#Headers],0),0),"")</f>
        <v>Михаил Куприна</v>
      </c>
      <c r="E1281" s="32" t="s">
        <v>1902</v>
      </c>
      <c r="F1281" s="56" t="s">
        <v>3061</v>
      </c>
      <c r="H1281" s="34">
        <v>45612</v>
      </c>
      <c r="I1281" s="26">
        <v>1</v>
      </c>
      <c r="J1281" s="26">
        <v>966</v>
      </c>
      <c r="K1281">
        <f>ТабПозиции[[#This Row],[discountPrice]]*ТабПозиции[[#This Row],[quantity]]</f>
        <v>966</v>
      </c>
      <c r="L1281" s="26">
        <v>1035</v>
      </c>
      <c r="M1281">
        <f t="shared" si="24"/>
        <v>1035</v>
      </c>
      <c r="O128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Row],[orderNum]],ТабПозиции[orderSumm])&gt;1500),ABS(M1281*VLOOKUP(ТабПозиции[[#This Row],[orderNum]],ТабЗаказы[#Data],MATCH("Percent",ТабЗаказы[#Headers],0),0))/100,200/COUNTIF(ТабПозиции[orderNum],ТабПозиции[[#This Row],[orderNum]])),0),"")</f>
        <v>155</v>
      </c>
      <c r="P1281">
        <f>IF(OR(ТабПозиции[[#This Row],[item]]="По штрихкоду",ТабПозиции[[#This Row],[item]]="Посылка"),ТабПозиции[[#This Row],[deliverySumm]]+ТабПозиции[[#This Row],[deliveryPost]],SUM(M1281:O1281))</f>
        <v>1190</v>
      </c>
      <c r="Q1281" s="57">
        <v>1190</v>
      </c>
      <c r="R1281" s="62">
        <f>ТабПозиции[[#This Row],[totalSumm]]-ТабПозиции[[#This Row],[payment]]</f>
        <v>0</v>
      </c>
      <c r="S1281" s="34" t="s">
        <v>955</v>
      </c>
      <c r="T1281" s="56" t="s">
        <v>3061</v>
      </c>
      <c r="U1281" s="56" t="str">
        <f>IF(AND(ТабПозиции[[#This Row],[Остаток]]=0,ТабПозиции[[#This Row],[ord]]="true"),"true","false")</f>
        <v>true</v>
      </c>
      <c r="V1281" s="56" t="s">
        <v>3061</v>
      </c>
      <c r="W1281" s="7"/>
      <c r="X1281"/>
    </row>
    <row r="1282" spans="1:24" x14ac:dyDescent="0.25">
      <c r="A1282" s="26">
        <v>337</v>
      </c>
      <c r="B1282" s="1">
        <f>IFERROR(VLOOKUP(ТабПозиции[[#This Row],[orderNum]],ТабЗаказы[#Data],MATCH(B$7,ТабЗаказы[#Headers],0),0),"")</f>
        <v>45610</v>
      </c>
      <c r="C1282" t="str">
        <f>MONTH(ТабПозиции[[#This Row],[date]])&amp;"/"&amp;YEAR(ТабПозиции[[#This Row],[date]])</f>
        <v>11/2024</v>
      </c>
      <c r="D1282" s="1" t="str">
        <f>IFERROR(VLOOKUP(ТабПозиции[[#This Row],[orderNum]],ТабЗаказы[#Data],MATCH(D$7,ТабЗаказы[#Headers],0),0),"")</f>
        <v>Михаил Куприна</v>
      </c>
      <c r="E1282" s="32" t="s">
        <v>1903</v>
      </c>
      <c r="F1282" s="56" t="s">
        <v>3061</v>
      </c>
      <c r="H1282" s="34">
        <v>45614</v>
      </c>
      <c r="I1282" s="26">
        <v>1</v>
      </c>
      <c r="J1282" s="26">
        <v>997</v>
      </c>
      <c r="K1282">
        <f>ТабПозиции[[#This Row],[discountPrice]]*ТабПозиции[[#This Row],[quantity]]</f>
        <v>997</v>
      </c>
      <c r="L1282" s="26">
        <v>1056</v>
      </c>
      <c r="M1282">
        <f t="shared" si="24"/>
        <v>1056</v>
      </c>
      <c r="O128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Row],[orderNum]],ТабПозиции[orderSumm])&gt;1500),ABS(M1282*VLOOKUP(ТабПозиции[[#This Row],[orderNum]],ТабЗаказы[#Data],MATCH("Percent",ТабЗаказы[#Headers],0),0))/100,200/COUNTIF(ТабПозиции[orderNum],ТабПозиции[[#This Row],[orderNum]])),0),"")</f>
        <v>158</v>
      </c>
      <c r="P1282">
        <f>IF(OR(ТабПозиции[[#This Row],[item]]="По штрихкоду",ТабПозиции[[#This Row],[item]]="Посылка"),ТабПозиции[[#This Row],[deliverySumm]]+ТабПозиции[[#This Row],[deliveryPost]],SUM(M1282:O1282))</f>
        <v>1214</v>
      </c>
      <c r="Q1282" s="57">
        <v>1214</v>
      </c>
      <c r="R1282" s="62">
        <f>ТабПозиции[[#This Row],[totalSumm]]-ТабПозиции[[#This Row],[payment]]</f>
        <v>0</v>
      </c>
      <c r="S1282" s="34" t="s">
        <v>955</v>
      </c>
      <c r="T1282" s="56" t="s">
        <v>3061</v>
      </c>
      <c r="U1282" s="56" t="str">
        <f>IF(AND(ТабПозиции[[#This Row],[Остаток]]=0,ТабПозиции[[#This Row],[ord]]="true"),"true","false")</f>
        <v>true</v>
      </c>
      <c r="V1282" s="56" t="s">
        <v>3061</v>
      </c>
      <c r="W1282" s="7"/>
      <c r="X1282"/>
    </row>
    <row r="1283" spans="1:24" x14ac:dyDescent="0.25">
      <c r="A1283" s="26">
        <v>337</v>
      </c>
      <c r="B1283" s="1">
        <f>IFERROR(VLOOKUP(ТабПозиции[[#This Row],[orderNum]],ТабЗаказы[#Data],MATCH(B$7,ТабЗаказы[#Headers],0),0),"")</f>
        <v>45610</v>
      </c>
      <c r="C1283" t="str">
        <f>MONTH(ТабПозиции[[#This Row],[date]])&amp;"/"&amp;YEAR(ТабПозиции[[#This Row],[date]])</f>
        <v>11/2024</v>
      </c>
      <c r="D1283" s="1" t="str">
        <f>IFERROR(VLOOKUP(ТабПозиции[[#This Row],[orderNum]],ТабЗаказы[#Data],MATCH(D$7,ТабЗаказы[#Headers],0),0),"")</f>
        <v>Михаил Куприна</v>
      </c>
      <c r="E1283" s="32" t="s">
        <v>924</v>
      </c>
      <c r="F1283" s="56" t="s">
        <v>3061</v>
      </c>
      <c r="H1283" s="34">
        <v>45612</v>
      </c>
      <c r="I1283" s="26">
        <v>1</v>
      </c>
      <c r="J1283" s="26">
        <v>766</v>
      </c>
      <c r="K1283">
        <f>ТабПозиции[[#This Row],[discountPrice]]*ТабПозиции[[#This Row],[quantity]]</f>
        <v>766</v>
      </c>
      <c r="L1283" s="26">
        <v>821</v>
      </c>
      <c r="M1283">
        <f t="shared" si="24"/>
        <v>821</v>
      </c>
      <c r="O128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Row],[orderNum]],ТабПозиции[orderSumm])&gt;1500),ABS(M1283*VLOOKUP(ТабПозиции[[#This Row],[orderNum]],ТабЗаказы[#Data],MATCH("Percent",ТабЗаказы[#Headers],0),0))/100,200/COUNTIF(ТабПозиции[orderNum],ТабПозиции[[#This Row],[orderNum]])),0),"")</f>
        <v>123</v>
      </c>
      <c r="P1283">
        <f>IF(OR(ТабПозиции[[#This Row],[item]]="По штрихкоду",ТабПозиции[[#This Row],[item]]="Посылка"),ТабПозиции[[#This Row],[deliverySumm]]+ТабПозиции[[#This Row],[deliveryPost]],SUM(M1283:O1283))</f>
        <v>944</v>
      </c>
      <c r="Q1283" s="57">
        <v>944</v>
      </c>
      <c r="R1283" s="62">
        <f>ТабПозиции[[#This Row],[totalSumm]]-ТабПозиции[[#This Row],[payment]]</f>
        <v>0</v>
      </c>
      <c r="S1283" s="34" t="s">
        <v>955</v>
      </c>
      <c r="T1283" s="56" t="s">
        <v>3061</v>
      </c>
      <c r="U1283" s="56" t="str">
        <f>IF(AND(ТабПозиции[[#This Row],[Остаток]]=0,ТабПозиции[[#This Row],[ord]]="true"),"true","false")</f>
        <v>true</v>
      </c>
      <c r="V1283" s="56" t="s">
        <v>3061</v>
      </c>
      <c r="W1283" s="7"/>
      <c r="X1283"/>
    </row>
    <row r="1284" spans="1:24" x14ac:dyDescent="0.25">
      <c r="A1284" s="26">
        <v>338</v>
      </c>
      <c r="B1284" s="1">
        <f>IFERROR(VLOOKUP(ТабПозиции[[#This Row],[orderNum]],ТабЗаказы[#Data],MATCH(B$7,ТабЗаказы[#Headers],0),0),"")</f>
        <v>45610</v>
      </c>
      <c r="C1284" t="str">
        <f>MONTH(ТабПозиции[[#This Row],[date]])&amp;"/"&amp;YEAR(ТабПозиции[[#This Row],[date]])</f>
        <v>11/2024</v>
      </c>
      <c r="D1284" s="1" t="str">
        <f>IFERROR(VLOOKUP(ТабПозиции[[#This Row],[orderNum]],ТабЗаказы[#Data],MATCH(D$7,ТабЗаказы[#Headers],0),0),"")</f>
        <v>Александр Каскад</v>
      </c>
      <c r="E1284" s="32" t="s">
        <v>1906</v>
      </c>
      <c r="F1284" s="56" t="s">
        <v>3061</v>
      </c>
      <c r="H1284" s="34">
        <v>45615</v>
      </c>
      <c r="I1284" s="26">
        <v>3</v>
      </c>
      <c r="J1284" s="26">
        <v>549</v>
      </c>
      <c r="K1284">
        <f>ТабПозиции[[#This Row],[discountPrice]]*ТабПозиции[[#This Row],[quantity]]</f>
        <v>1647</v>
      </c>
      <c r="L1284" s="26">
        <v>589</v>
      </c>
      <c r="M1284">
        <f t="shared" si="24"/>
        <v>1767</v>
      </c>
      <c r="O128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Row],[orderNum]],ТабПозиции[orderSumm])&gt;1500),ABS(M1284*VLOOKUP(ТабПозиции[[#This Row],[orderNum]],ТабЗаказы[#Data],MATCH("Percent",ТабЗаказы[#Headers],0),0))/100,200/COUNTIF(ТабПозиции[orderNum],ТабПозиции[[#This Row],[orderNum]])),0),"")</f>
        <v>265</v>
      </c>
      <c r="P1284">
        <f>IF(OR(ТабПозиции[[#This Row],[item]]="По штрихкоду",ТабПозиции[[#This Row],[item]]="Посылка"),ТабПозиции[[#This Row],[deliverySumm]]+ТабПозиции[[#This Row],[deliveryPost]],SUM(M1284:O1284))</f>
        <v>2032</v>
      </c>
      <c r="Q1284" s="57">
        <v>2032</v>
      </c>
      <c r="R1284" s="62">
        <f>ТабПозиции[[#This Row],[totalSumm]]-ТабПозиции[[#This Row],[payment]]</f>
        <v>0</v>
      </c>
      <c r="S1284" s="34" t="s">
        <v>955</v>
      </c>
      <c r="T1284" s="56" t="s">
        <v>3061</v>
      </c>
      <c r="U1284" s="56" t="str">
        <f>IF(AND(ТабПозиции[[#This Row],[Остаток]]=0,ТабПозиции[[#This Row],[ord]]="true"),"true","false")</f>
        <v>true</v>
      </c>
      <c r="V1284" s="56" t="s">
        <v>3061</v>
      </c>
      <c r="W1284" s="7"/>
      <c r="X1284"/>
    </row>
    <row r="1285" spans="1:24" x14ac:dyDescent="0.25">
      <c r="A1285" s="26">
        <v>338</v>
      </c>
      <c r="B1285" s="1">
        <f>IFERROR(VLOOKUP(ТабПозиции[[#This Row],[orderNum]],ТабЗаказы[#Data],MATCH(B$7,ТабЗаказы[#Headers],0),0),"")</f>
        <v>45610</v>
      </c>
      <c r="C1285" t="str">
        <f>MONTH(ТабПозиции[[#This Row],[date]])&amp;"/"&amp;YEAR(ТабПозиции[[#This Row],[date]])</f>
        <v>11/2024</v>
      </c>
      <c r="D1285" s="1" t="str">
        <f>IFERROR(VLOOKUP(ТабПозиции[[#This Row],[orderNum]],ТабЗаказы[#Data],MATCH(D$7,ТабЗаказы[#Headers],0),0),"")</f>
        <v>Александр Каскад</v>
      </c>
      <c r="E1285" s="32" t="s">
        <v>1907</v>
      </c>
      <c r="F1285" s="56" t="s">
        <v>3061</v>
      </c>
      <c r="H1285" s="34">
        <v>45615</v>
      </c>
      <c r="I1285" s="26">
        <v>2</v>
      </c>
      <c r="J1285" s="26">
        <v>416</v>
      </c>
      <c r="K1285">
        <f>ТабПозиции[[#This Row],[discountPrice]]*ТабПозиции[[#This Row],[quantity]]</f>
        <v>832</v>
      </c>
      <c r="L1285" s="26">
        <v>425</v>
      </c>
      <c r="M1285">
        <f t="shared" si="24"/>
        <v>850</v>
      </c>
      <c r="O128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Row],[orderNum]],ТабПозиции[orderSumm])&gt;1500),ABS(M1285*VLOOKUP(ТабПозиции[[#This Row],[orderNum]],ТабЗаказы[#Data],MATCH("Percent",ТабЗаказы[#Headers],0),0))/100,200/COUNTIF(ТабПозиции[orderNum],ТабПозиции[[#This Row],[orderNum]])),0),"")</f>
        <v>128</v>
      </c>
      <c r="P1285">
        <f>IF(OR(ТабПозиции[[#This Row],[item]]="По штрихкоду",ТабПозиции[[#This Row],[item]]="Посылка"),ТабПозиции[[#This Row],[deliverySumm]]+ТабПозиции[[#This Row],[deliveryPost]],SUM(M1285:O1285))</f>
        <v>978</v>
      </c>
      <c r="Q1285" s="57">
        <v>978</v>
      </c>
      <c r="R1285" s="62">
        <f>ТабПозиции[[#This Row],[totalSumm]]-ТабПозиции[[#This Row],[payment]]</f>
        <v>0</v>
      </c>
      <c r="S1285" s="34" t="s">
        <v>955</v>
      </c>
      <c r="T1285" s="56" t="s">
        <v>3061</v>
      </c>
      <c r="U1285" s="56" t="str">
        <f>IF(AND(ТабПозиции[[#This Row],[Остаток]]=0,ТабПозиции[[#This Row],[ord]]="true"),"true","false")</f>
        <v>true</v>
      </c>
      <c r="V1285" s="56" t="s">
        <v>3061</v>
      </c>
      <c r="W1285" s="7"/>
      <c r="X1285"/>
    </row>
    <row r="1286" spans="1:24" x14ac:dyDescent="0.25">
      <c r="A1286" s="26">
        <v>338</v>
      </c>
      <c r="B1286" s="1">
        <f>IFERROR(VLOOKUP(ТабПозиции[[#This Row],[orderNum]],ТабЗаказы[#Data],MATCH(B$7,ТабЗаказы[#Headers],0),0),"")</f>
        <v>45610</v>
      </c>
      <c r="C1286" t="str">
        <f>MONTH(ТабПозиции[[#This Row],[date]])&amp;"/"&amp;YEAR(ТабПозиции[[#This Row],[date]])</f>
        <v>11/2024</v>
      </c>
      <c r="D1286" s="1" t="str">
        <f>IFERROR(VLOOKUP(ТабПозиции[[#This Row],[orderNum]],ТабЗаказы[#Data],MATCH(D$7,ТабЗаказы[#Headers],0),0),"")</f>
        <v>Александр Каскад</v>
      </c>
      <c r="E1286" s="32" t="s">
        <v>1906</v>
      </c>
      <c r="F1286" s="56" t="s">
        <v>3061</v>
      </c>
      <c r="H1286" s="34">
        <v>45615</v>
      </c>
      <c r="I1286" s="26">
        <v>1</v>
      </c>
      <c r="J1286" s="26">
        <v>464</v>
      </c>
      <c r="K1286">
        <f>ТабПозиции[[#This Row],[discountPrice]]*ТабПозиции[[#This Row],[quantity]]</f>
        <v>464</v>
      </c>
      <c r="L1286" s="26">
        <v>497</v>
      </c>
      <c r="M1286">
        <f t="shared" si="24"/>
        <v>497</v>
      </c>
      <c r="O128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Row],[orderNum]],ТабПозиции[orderSumm])&gt;1500),ABS(M1286*VLOOKUP(ТабПозиции[[#This Row],[orderNum]],ТабЗаказы[#Data],MATCH("Percent",ТабЗаказы[#Headers],0),0))/100,200/COUNTIF(ТабПозиции[orderNum],ТабПозиции[[#This Row],[orderNum]])),0),"")</f>
        <v>75</v>
      </c>
      <c r="P1286">
        <f>IF(OR(ТабПозиции[[#This Row],[item]]="По штрихкоду",ТабПозиции[[#This Row],[item]]="Посылка"),ТабПозиции[[#This Row],[deliverySumm]]+ТабПозиции[[#This Row],[deliveryPost]],SUM(M1286:O1286))</f>
        <v>572</v>
      </c>
      <c r="Q1286" s="57">
        <v>572</v>
      </c>
      <c r="R1286" s="62">
        <f>ТабПозиции[[#This Row],[totalSumm]]-ТабПозиции[[#This Row],[payment]]</f>
        <v>0</v>
      </c>
      <c r="S1286" s="34" t="s">
        <v>955</v>
      </c>
      <c r="T1286" s="56" t="s">
        <v>3061</v>
      </c>
      <c r="U1286" s="56" t="str">
        <f>IF(AND(ТабПозиции[[#This Row],[Остаток]]=0,ТабПозиции[[#This Row],[ord]]="true"),"true","false")</f>
        <v>true</v>
      </c>
      <c r="V1286" s="56" t="s">
        <v>3061</v>
      </c>
      <c r="W1286" s="7"/>
      <c r="X1286"/>
    </row>
    <row r="1287" spans="1:24" x14ac:dyDescent="0.25">
      <c r="A1287" s="26">
        <v>344</v>
      </c>
      <c r="B1287" s="1">
        <f>IFERROR(VLOOKUP(ТабПозиции[[#This Row],[orderNum]],ТабЗаказы[#Data],MATCH(B$7,ТабЗаказы[#Headers],0),0),"")</f>
        <v>45612</v>
      </c>
      <c r="C1287" t="str">
        <f>MONTH(ТабПозиции[[#This Row],[date]])&amp;"/"&amp;YEAR(ТабПозиции[[#This Row],[date]])</f>
        <v>11/2024</v>
      </c>
      <c r="D1287" s="1" t="str">
        <f>IFERROR(VLOOKUP(ТабПозиции[[#This Row],[orderNum]],ТабЗаказы[#Data],MATCH(D$7,ТабЗаказы[#Headers],0),0),"")</f>
        <v>Лидия Цысь</v>
      </c>
      <c r="E1287" s="32" t="s">
        <v>1912</v>
      </c>
      <c r="F1287" s="56" t="s">
        <v>3061</v>
      </c>
      <c r="H1287" s="34">
        <v>45619</v>
      </c>
      <c r="I1287" s="26">
        <v>1</v>
      </c>
      <c r="J1287" s="26">
        <v>1560</v>
      </c>
      <c r="K1287">
        <f>ТабПозиции[[#This Row],[discountPrice]]*ТабПозиции[[#This Row],[quantity]]</f>
        <v>1560</v>
      </c>
      <c r="L1287" s="26">
        <v>1638</v>
      </c>
      <c r="M1287">
        <f t="shared" si="24"/>
        <v>1638</v>
      </c>
      <c r="O128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Row],[orderNum]],ТабПозиции[orderSumm])&gt;1500),ABS(M1287*VLOOKUP(ТабПозиции[[#This Row],[orderNum]],ТабЗаказы[#Data],MATCH("Percent",ТабЗаказы[#Headers],0),0))/100,200/COUNTIF(ТабПозиции[orderNum],ТабПозиции[[#This Row],[orderNum]])),0),"")</f>
        <v>246</v>
      </c>
      <c r="P1287">
        <f>IF(OR(ТабПозиции[[#This Row],[item]]="По штрихкоду",ТабПозиции[[#This Row],[item]]="Посылка"),ТабПозиции[[#This Row],[deliverySumm]]+ТабПозиции[[#This Row],[deliveryPost]],SUM(M1287:O1287))</f>
        <v>1884</v>
      </c>
      <c r="Q1287" s="57">
        <v>1884</v>
      </c>
      <c r="R1287" s="62">
        <f>ТабПозиции[[#This Row],[totalSumm]]-ТабПозиции[[#This Row],[payment]]</f>
        <v>0</v>
      </c>
      <c r="S1287" s="34" t="s">
        <v>955</v>
      </c>
      <c r="T1287" s="56" t="s">
        <v>3061</v>
      </c>
      <c r="U1287" s="56" t="str">
        <f>IF(AND(ТабПозиции[[#This Row],[Остаток]]=0,ТабПозиции[[#This Row],[ord]]="true"),"true","false")</f>
        <v>true</v>
      </c>
      <c r="V1287" s="56" t="str">
        <f>IF(AND(ТабПозиции[[#This Row],[Остаток]]=0,ТабПозиции[[#This Row],[ord]]="true"),"true","false")</f>
        <v>true</v>
      </c>
      <c r="W1287" s="7"/>
      <c r="X1287"/>
    </row>
    <row r="1288" spans="1:24" x14ac:dyDescent="0.25">
      <c r="A1288" s="26">
        <v>345</v>
      </c>
      <c r="B1288" s="1">
        <f>IFERROR(VLOOKUP(ТабПозиции[[#This Row],[orderNum]],ТабЗаказы[#Data],MATCH(B$7,ТабЗаказы[#Headers],0),0),"")</f>
        <v>45614</v>
      </c>
      <c r="C1288" t="str">
        <f>MONTH(ТабПозиции[[#This Row],[date]])&amp;"/"&amp;YEAR(ТабПозиции[[#This Row],[date]])</f>
        <v>11/2024</v>
      </c>
      <c r="D1288" s="1" t="str">
        <f>IFERROR(VLOOKUP(ТабПозиции[[#This Row],[orderNum]],ТабЗаказы[#Data],MATCH(D$7,ТабЗаказы[#Headers],0),0),"")</f>
        <v>Светлана от Александра</v>
      </c>
      <c r="E1288" s="32" t="s">
        <v>1913</v>
      </c>
      <c r="F1288" s="56" t="s">
        <v>3061</v>
      </c>
      <c r="H1288" s="34">
        <v>45616</v>
      </c>
      <c r="I1288" s="26">
        <v>1</v>
      </c>
      <c r="J1288" s="26">
        <v>438</v>
      </c>
      <c r="K1288">
        <f>ТабПозиции[[#This Row],[discountPrice]]*ТабПозиции[[#This Row],[quantity]]</f>
        <v>438</v>
      </c>
      <c r="L1288" s="26">
        <v>467</v>
      </c>
      <c r="M1288">
        <f t="shared" si="24"/>
        <v>467</v>
      </c>
      <c r="O128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Row],[orderNum]],ТабПозиции[orderSumm])&gt;1500),ABS(M1288*VLOOKUP(ТабПозиции[[#This Row],[orderNum]],ТабЗаказы[#Data],MATCH("Percent",ТабЗаказы[#Headers],0),0))/100,200/COUNTIF(ТабПозиции[orderNum],ТабПозиции[[#This Row],[orderNum]])),0),"")</f>
        <v>70</v>
      </c>
      <c r="P1288">
        <f>IF(OR(ТабПозиции[[#This Row],[item]]="По штрихкоду",ТабПозиции[[#This Row],[item]]="Посылка"),ТабПозиции[[#This Row],[deliverySumm]]+ТабПозиции[[#This Row],[deliveryPost]],SUM(M1288:O1288))</f>
        <v>537</v>
      </c>
      <c r="Q1288" s="57">
        <v>537</v>
      </c>
      <c r="R1288" s="62">
        <f>ТабПозиции[[#This Row],[totalSumm]]-ТабПозиции[[#This Row],[payment]]</f>
        <v>0</v>
      </c>
      <c r="S1288" s="34" t="s">
        <v>965</v>
      </c>
      <c r="T1288" s="56" t="s">
        <v>3061</v>
      </c>
      <c r="U1288" s="56" t="str">
        <f>IF(AND(ТабПозиции[[#This Row],[Остаток]]=0,ТабПозиции[[#This Row],[ord]]="true"),"true","false")</f>
        <v>true</v>
      </c>
      <c r="V1288" s="56" t="s">
        <v>3061</v>
      </c>
      <c r="W1288" s="7"/>
      <c r="X1288"/>
    </row>
    <row r="1289" spans="1:24" x14ac:dyDescent="0.25">
      <c r="A1289" s="26">
        <v>345</v>
      </c>
      <c r="B1289" s="1">
        <f>IFERROR(VLOOKUP(ТабПозиции[[#This Row],[orderNum]],ТабЗаказы[#Data],MATCH(B$7,ТабЗаказы[#Headers],0),0),"")</f>
        <v>45614</v>
      </c>
      <c r="C1289" t="str">
        <f>MONTH(ТабПозиции[[#This Row],[date]])&amp;"/"&amp;YEAR(ТабПозиции[[#This Row],[date]])</f>
        <v>11/2024</v>
      </c>
      <c r="D1289" s="1" t="str">
        <f>IFERROR(VLOOKUP(ТабПозиции[[#This Row],[orderNum]],ТабЗаказы[#Data],MATCH(D$7,ТабЗаказы[#Headers],0),0),"")</f>
        <v>Светлана от Александра</v>
      </c>
      <c r="E1289" s="32" t="s">
        <v>1914</v>
      </c>
      <c r="F1289" s="56" t="s">
        <v>3061</v>
      </c>
      <c r="H1289" s="34">
        <v>45616</v>
      </c>
      <c r="I1289" s="26">
        <v>1</v>
      </c>
      <c r="J1289" s="26">
        <v>268</v>
      </c>
      <c r="K1289">
        <f>ТабПозиции[[#This Row],[discountPrice]]*ТабПозиции[[#This Row],[quantity]]</f>
        <v>268</v>
      </c>
      <c r="L1289" s="26">
        <v>286</v>
      </c>
      <c r="M1289">
        <f t="shared" si="24"/>
        <v>286</v>
      </c>
      <c r="O128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Row],[orderNum]],ТабПозиции[orderSumm])&gt;1500),ABS(M1289*VLOOKUP(ТабПозиции[[#This Row],[orderNum]],ТабЗаказы[#Data],MATCH("Percent",ТабЗаказы[#Headers],0),0))/100,200/COUNTIF(ТабПозиции[orderNum],ТабПозиции[[#This Row],[orderNum]])),0),"")</f>
        <v>43</v>
      </c>
      <c r="P1289">
        <f>IF(OR(ТабПозиции[[#This Row],[item]]="По штрихкоду",ТабПозиции[[#This Row],[item]]="Посылка"),ТабПозиции[[#This Row],[deliverySumm]]+ТабПозиции[[#This Row],[deliveryPost]],SUM(M1289:O1289))</f>
        <v>329</v>
      </c>
      <c r="Q1289" s="57">
        <v>329</v>
      </c>
      <c r="R1289" s="62">
        <f>ТабПозиции[[#This Row],[totalSumm]]-ТабПозиции[[#This Row],[payment]]</f>
        <v>0</v>
      </c>
      <c r="S1289" s="34" t="s">
        <v>965</v>
      </c>
      <c r="T1289" s="56" t="s">
        <v>3061</v>
      </c>
      <c r="U1289" s="56" t="str">
        <f>IF(AND(ТабПозиции[[#This Row],[Остаток]]=0,ТабПозиции[[#This Row],[ord]]="true"),"true","false")</f>
        <v>true</v>
      </c>
      <c r="V1289" s="56" t="s">
        <v>3061</v>
      </c>
      <c r="W1289" s="7"/>
      <c r="X1289"/>
    </row>
    <row r="1290" spans="1:24" x14ac:dyDescent="0.25">
      <c r="A1290" s="26">
        <v>345</v>
      </c>
      <c r="B1290" s="1">
        <f>IFERROR(VLOOKUP(ТабПозиции[[#This Row],[orderNum]],ТабЗаказы[#Data],MATCH(B$7,ТабЗаказы[#Headers],0),0),"")</f>
        <v>45614</v>
      </c>
      <c r="C1290" t="str">
        <f>MONTH(ТабПозиции[[#This Row],[date]])&amp;"/"&amp;YEAR(ТабПозиции[[#This Row],[date]])</f>
        <v>11/2024</v>
      </c>
      <c r="D1290" s="1" t="str">
        <f>IFERROR(VLOOKUP(ТабПозиции[[#This Row],[orderNum]],ТабЗаказы[#Data],MATCH(D$7,ТабЗаказы[#Headers],0),0),"")</f>
        <v>Светлана от Александра</v>
      </c>
      <c r="E1290" s="32" t="s">
        <v>1915</v>
      </c>
      <c r="F1290" s="56" t="s">
        <v>3061</v>
      </c>
      <c r="H1290" s="34">
        <v>45616</v>
      </c>
      <c r="I1290" s="26">
        <v>1</v>
      </c>
      <c r="J1290" s="26">
        <v>260</v>
      </c>
      <c r="K1290">
        <f>ТабПозиции[[#This Row],[discountPrice]]*ТабПозиции[[#This Row],[quantity]]</f>
        <v>260</v>
      </c>
      <c r="L1290" s="26">
        <v>277</v>
      </c>
      <c r="M1290">
        <f t="shared" si="24"/>
        <v>277</v>
      </c>
      <c r="O129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Row],[orderNum]],ТабПозиции[orderSumm])&gt;1500),ABS(M1290*VLOOKUP(ТабПозиции[[#This Row],[orderNum]],ТабЗаказы[#Data],MATCH("Percent",ТабЗаказы[#Headers],0),0))/100,200/COUNTIF(ТабПозиции[orderNum],ТабПозиции[[#This Row],[orderNum]])),0),"")</f>
        <v>42</v>
      </c>
      <c r="P1290">
        <f>IF(OR(ТабПозиции[[#This Row],[item]]="По штрихкоду",ТабПозиции[[#This Row],[item]]="Посылка"),ТабПозиции[[#This Row],[deliverySumm]]+ТабПозиции[[#This Row],[deliveryPost]],SUM(M1290:O1290))</f>
        <v>319</v>
      </c>
      <c r="Q1290" s="57">
        <v>319</v>
      </c>
      <c r="R1290" s="62">
        <f>ТабПозиции[[#This Row],[totalSumm]]-ТабПозиции[[#This Row],[payment]]</f>
        <v>0</v>
      </c>
      <c r="S1290" s="34" t="s">
        <v>965</v>
      </c>
      <c r="T1290" s="56" t="s">
        <v>3061</v>
      </c>
      <c r="U1290" s="56" t="str">
        <f>IF(AND(ТабПозиции[[#This Row],[Остаток]]=0,ТабПозиции[[#This Row],[ord]]="true"),"true","false")</f>
        <v>true</v>
      </c>
      <c r="V1290" s="56" t="s">
        <v>3061</v>
      </c>
      <c r="W1290" s="7"/>
      <c r="X1290"/>
    </row>
    <row r="1291" spans="1:24" x14ac:dyDescent="0.25">
      <c r="A1291" s="26">
        <v>345</v>
      </c>
      <c r="B1291" s="1">
        <f>IFERROR(VLOOKUP(ТабПозиции[[#This Row],[orderNum]],ТабЗаказы[#Data],MATCH(B$7,ТабЗаказы[#Headers],0),0),"")</f>
        <v>45614</v>
      </c>
      <c r="C1291" t="str">
        <f>MONTH(ТабПозиции[[#This Row],[date]])&amp;"/"&amp;YEAR(ТабПозиции[[#This Row],[date]])</f>
        <v>11/2024</v>
      </c>
      <c r="D1291" s="1" t="str">
        <f>IFERROR(VLOOKUP(ТабПозиции[[#This Row],[orderNum]],ТабЗаказы[#Data],MATCH(D$7,ТабЗаказы[#Headers],0),0),"")</f>
        <v>Светлана от Александра</v>
      </c>
      <c r="E1291" s="32" t="s">
        <v>1916</v>
      </c>
      <c r="F1291" s="56" t="s">
        <v>3061</v>
      </c>
      <c r="H1291" s="34">
        <v>45616</v>
      </c>
      <c r="I1291" s="26">
        <v>1</v>
      </c>
      <c r="J1291" s="26">
        <v>1022</v>
      </c>
      <c r="K1291">
        <f>ТабПозиции[[#This Row],[discountPrice]]*ТабПозиции[[#This Row],[quantity]]</f>
        <v>1022</v>
      </c>
      <c r="L1291" s="26">
        <v>1088</v>
      </c>
      <c r="M1291">
        <f t="shared" ref="M1291:M1353" si="25">L1291*I1291</f>
        <v>1088</v>
      </c>
      <c r="O129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Row],[orderNum]],ТабПозиции[orderSumm])&gt;1500),ABS(M1291*VLOOKUP(ТабПозиции[[#This Row],[orderNum]],ТабЗаказы[#Data],MATCH("Percent",ТабЗаказы[#Headers],0),0))/100,200/COUNTIF(ТабПозиции[orderNum],ТабПозиции[[#This Row],[orderNum]])),0),"")</f>
        <v>163</v>
      </c>
      <c r="P1291">
        <f>IF(OR(ТабПозиции[[#This Row],[item]]="По штрихкоду",ТабПозиции[[#This Row],[item]]="Посылка"),ТабПозиции[[#This Row],[deliverySumm]]+ТабПозиции[[#This Row],[deliveryPost]],SUM(M1291:O1291))</f>
        <v>1251</v>
      </c>
      <c r="Q1291" s="57">
        <v>1251</v>
      </c>
      <c r="R1291" s="62">
        <f>ТабПозиции[[#This Row],[totalSumm]]-ТабПозиции[[#This Row],[payment]]</f>
        <v>0</v>
      </c>
      <c r="S1291" s="34" t="s">
        <v>965</v>
      </c>
      <c r="T1291" s="56" t="s">
        <v>3061</v>
      </c>
      <c r="U1291" s="56" t="str">
        <f>IF(AND(ТабПозиции[[#This Row],[Остаток]]=0,ТабПозиции[[#This Row],[ord]]="true"),"true","false")</f>
        <v>true</v>
      </c>
      <c r="V1291" s="56" t="s">
        <v>3061</v>
      </c>
      <c r="W1291" s="7"/>
      <c r="X1291"/>
    </row>
    <row r="1292" spans="1:24" x14ac:dyDescent="0.25">
      <c r="A1292" s="26">
        <v>345</v>
      </c>
      <c r="B1292" s="1">
        <f>IFERROR(VLOOKUP(ТабПозиции[[#This Row],[orderNum]],ТабЗаказы[#Data],MATCH(B$7,ТабЗаказы[#Headers],0),0),"")</f>
        <v>45614</v>
      </c>
      <c r="C1292" t="str">
        <f>MONTH(ТабПозиции[[#This Row],[date]])&amp;"/"&amp;YEAR(ТабПозиции[[#This Row],[date]])</f>
        <v>11/2024</v>
      </c>
      <c r="D1292" s="1" t="str">
        <f>IFERROR(VLOOKUP(ТабПозиции[[#This Row],[orderNum]],ТабЗаказы[#Data],MATCH(D$7,ТабЗаказы[#Headers],0),0),"")</f>
        <v>Светлана от Александра</v>
      </c>
      <c r="E1292" s="32" t="s">
        <v>1645</v>
      </c>
      <c r="F1292" s="56" t="s">
        <v>3061</v>
      </c>
      <c r="H1292" s="34">
        <v>45616</v>
      </c>
      <c r="I1292" s="26">
        <v>1</v>
      </c>
      <c r="J1292" s="26">
        <v>211</v>
      </c>
      <c r="K1292">
        <f>ТабПозиции[[#This Row],[discountPrice]]*ТабПозиции[[#This Row],[quantity]]</f>
        <v>211</v>
      </c>
      <c r="L1292" s="26">
        <v>225</v>
      </c>
      <c r="M1292">
        <f t="shared" si="25"/>
        <v>225</v>
      </c>
      <c r="O129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Row],[orderNum]],ТабПозиции[orderSumm])&gt;1500),ABS(M1292*VLOOKUP(ТабПозиции[[#This Row],[orderNum]],ТабЗаказы[#Data],MATCH("Percent",ТабЗаказы[#Headers],0),0))/100,200/COUNTIF(ТабПозиции[orderNum],ТабПозиции[[#This Row],[orderNum]])),0),"")</f>
        <v>34</v>
      </c>
      <c r="P1292">
        <f>IF(OR(ТабПозиции[[#This Row],[item]]="По штрихкоду",ТабПозиции[[#This Row],[item]]="Посылка"),ТабПозиции[[#This Row],[deliverySumm]]+ТабПозиции[[#This Row],[deliveryPost]],SUM(M1292:O1292))</f>
        <v>259</v>
      </c>
      <c r="Q1292" s="57">
        <v>259</v>
      </c>
      <c r="R1292" s="62">
        <f>ТабПозиции[[#This Row],[totalSumm]]-ТабПозиции[[#This Row],[payment]]</f>
        <v>0</v>
      </c>
      <c r="S1292" s="34" t="s">
        <v>965</v>
      </c>
      <c r="T1292" s="56" t="s">
        <v>3061</v>
      </c>
      <c r="U1292" s="56" t="str">
        <f>IF(AND(ТабПозиции[[#This Row],[Остаток]]=0,ТабПозиции[[#This Row],[ord]]="true"),"true","false")</f>
        <v>true</v>
      </c>
      <c r="V1292" s="56" t="s">
        <v>3061</v>
      </c>
      <c r="W1292" s="7"/>
      <c r="X1292"/>
    </row>
    <row r="1293" spans="1:24" x14ac:dyDescent="0.25">
      <c r="A1293" s="26">
        <v>346</v>
      </c>
      <c r="B1293" s="1">
        <f>IFERROR(VLOOKUP(ТабПозиции[[#This Row],[orderNum]],ТабЗаказы[#Data],MATCH(B$7,ТабЗаказы[#Headers],0),0),"")</f>
        <v>45614</v>
      </c>
      <c r="C1293" t="str">
        <f>MONTH(ТабПозиции[[#This Row],[date]])&amp;"/"&amp;YEAR(ТабПозиции[[#This Row],[date]])</f>
        <v>11/2024</v>
      </c>
      <c r="D1293" s="1" t="str">
        <f>IFERROR(VLOOKUP(ТабПозиции[[#This Row],[orderNum]],ТабЗаказы[#Data],MATCH(D$7,ТабЗаказы[#Headers],0),0),"")</f>
        <v>Руденко Юля</v>
      </c>
      <c r="E1293" s="32" t="s">
        <v>1855</v>
      </c>
      <c r="F1293" s="56" t="s">
        <v>3061</v>
      </c>
      <c r="H1293" s="34">
        <v>45617</v>
      </c>
      <c r="I1293" s="26">
        <v>1</v>
      </c>
      <c r="J1293" s="26">
        <v>2184</v>
      </c>
      <c r="K1293">
        <f>ТабПозиции[[#This Row],[discountPrice]]*ТабПозиции[[#This Row],[quantity]]</f>
        <v>2184</v>
      </c>
      <c r="L1293" s="26">
        <v>2324</v>
      </c>
      <c r="M1293">
        <f t="shared" si="25"/>
        <v>2324</v>
      </c>
      <c r="O129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Row],[orderNum]],ТабПозиции[orderSumm])&gt;1500),ABS(M1293*VLOOKUP(ТабПозиции[[#This Row],[orderNum]],ТабЗаказы[#Data],MATCH("Percent",ТабЗаказы[#Headers],0),0))/100,200/COUNTIF(ТабПозиции[orderNum],ТабПозиции[[#This Row],[orderNum]])),0),"")</f>
        <v>232</v>
      </c>
      <c r="P1293">
        <f>IF(OR(ТабПозиции[[#This Row],[item]]="По штрихкоду",ТабПозиции[[#This Row],[item]]="Посылка"),ТабПозиции[[#This Row],[deliverySumm]]+ТабПозиции[[#This Row],[deliveryPost]],SUM(M1293:O1293))</f>
        <v>2556</v>
      </c>
      <c r="Q1293" s="57">
        <v>2556</v>
      </c>
      <c r="R1293" s="62">
        <f>ТабПозиции[[#This Row],[totalSumm]]-ТабПозиции[[#This Row],[payment]]</f>
        <v>0</v>
      </c>
      <c r="S1293" s="34" t="s">
        <v>965</v>
      </c>
      <c r="T1293" s="56" t="s">
        <v>3061</v>
      </c>
      <c r="U1293" s="56" t="str">
        <f>IF(AND(ТабПозиции[[#This Row],[Остаток]]=0,ТабПозиции[[#This Row],[ord]]="true"),"true","false")</f>
        <v>true</v>
      </c>
      <c r="V1293" s="56" t="s">
        <v>3061</v>
      </c>
      <c r="W1293" s="7"/>
      <c r="X1293"/>
    </row>
    <row r="1294" spans="1:24" x14ac:dyDescent="0.25">
      <c r="A1294" s="26">
        <v>346</v>
      </c>
      <c r="B1294" s="1">
        <f>IFERROR(VLOOKUP(ТабПозиции[[#This Row],[orderNum]],ТабЗаказы[#Data],MATCH(B$7,ТабЗаказы[#Headers],0),0),"")</f>
        <v>45614</v>
      </c>
      <c r="C1294" t="str">
        <f>MONTH(ТабПозиции[[#This Row],[date]])&amp;"/"&amp;YEAR(ТабПозиции[[#This Row],[date]])</f>
        <v>11/2024</v>
      </c>
      <c r="D1294" s="1" t="str">
        <f>IFERROR(VLOOKUP(ТабПозиции[[#This Row],[orderNum]],ТабЗаказы[#Data],MATCH(D$7,ТабЗаказы[#Headers],0),0),"")</f>
        <v>Руденко Юля</v>
      </c>
      <c r="E1294" s="32" t="s">
        <v>591</v>
      </c>
      <c r="F1294" s="56" t="s">
        <v>3061</v>
      </c>
      <c r="H1294" s="34">
        <v>45616</v>
      </c>
      <c r="I1294" s="26">
        <v>1</v>
      </c>
      <c r="J1294" s="26">
        <v>966</v>
      </c>
      <c r="K1294">
        <f>ТабПозиции[[#This Row],[discountPrice]]*ТабПозиции[[#This Row],[quantity]]</f>
        <v>966</v>
      </c>
      <c r="L1294" s="26">
        <v>1028</v>
      </c>
      <c r="M1294">
        <f t="shared" si="25"/>
        <v>1028</v>
      </c>
      <c r="O129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Row],[orderNum]],ТабПозиции[orderSumm])&gt;1500),ABS(M1294*VLOOKUP(ТабПозиции[[#This Row],[orderNum]],ТабЗаказы[#Data],MATCH("Percent",ТабЗаказы[#Headers],0),0))/100,200/COUNTIF(ТабПозиции[orderNum],ТабПозиции[[#This Row],[orderNum]])),0),"")</f>
        <v>103</v>
      </c>
      <c r="P1294">
        <f>IF(OR(ТабПозиции[[#This Row],[item]]="По штрихкоду",ТабПозиции[[#This Row],[item]]="Посылка"),ТабПозиции[[#This Row],[deliverySumm]]+ТабПозиции[[#This Row],[deliveryPost]],SUM(M1294:O1294))</f>
        <v>1131</v>
      </c>
      <c r="Q1294" s="57">
        <v>1131</v>
      </c>
      <c r="R1294" s="62">
        <f>ТабПозиции[[#This Row],[totalSumm]]-ТабПозиции[[#This Row],[payment]]</f>
        <v>0</v>
      </c>
      <c r="S1294" s="34" t="s">
        <v>965</v>
      </c>
      <c r="T1294" s="56" t="s">
        <v>3061</v>
      </c>
      <c r="U1294" s="56" t="str">
        <f>IF(AND(ТабПозиции[[#This Row],[Остаток]]=0,ТабПозиции[[#This Row],[ord]]="true"),"true","false")</f>
        <v>true</v>
      </c>
      <c r="V1294" s="56" t="s">
        <v>3061</v>
      </c>
      <c r="W1294" s="7"/>
      <c r="X1294"/>
    </row>
    <row r="1295" spans="1:24" x14ac:dyDescent="0.25">
      <c r="A1295" s="26">
        <v>346</v>
      </c>
      <c r="B1295" s="1">
        <f>IFERROR(VLOOKUP(ТабПозиции[[#This Row],[orderNum]],ТабЗаказы[#Data],MATCH(B$7,ТабЗаказы[#Headers],0),0),"")</f>
        <v>45614</v>
      </c>
      <c r="C1295" t="str">
        <f>MONTH(ТабПозиции[[#This Row],[date]])&amp;"/"&amp;YEAR(ТабПозиции[[#This Row],[date]])</f>
        <v>11/2024</v>
      </c>
      <c r="D1295" s="1" t="str">
        <f>IFERROR(VLOOKUP(ТабПозиции[[#This Row],[orderNum]],ТабЗаказы[#Data],MATCH(D$7,ТабЗаказы[#Headers],0),0),"")</f>
        <v>Руденко Юля</v>
      </c>
      <c r="E1295" s="32" t="s">
        <v>1917</v>
      </c>
      <c r="F1295" s="56" t="s">
        <v>3061</v>
      </c>
      <c r="H1295" s="34">
        <v>45616</v>
      </c>
      <c r="I1295" s="26">
        <v>1</v>
      </c>
      <c r="J1295" s="26">
        <v>927</v>
      </c>
      <c r="K1295">
        <f>ТабПозиции[[#This Row],[discountPrice]]*ТабПозиции[[#This Row],[quantity]]</f>
        <v>927</v>
      </c>
      <c r="L1295" s="26">
        <v>987</v>
      </c>
      <c r="M1295">
        <f t="shared" si="25"/>
        <v>987</v>
      </c>
      <c r="O129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Row],[orderNum]],ТабПозиции[orderSumm])&gt;1500),ABS(M1295*VLOOKUP(ТабПозиции[[#This Row],[orderNum]],ТабЗаказы[#Data],MATCH("Percent",ТабЗаказы[#Headers],0),0))/100,200/COUNTIF(ТабПозиции[orderNum],ТабПозиции[[#This Row],[orderNum]])),0),"")</f>
        <v>99</v>
      </c>
      <c r="P1295">
        <f>IF(OR(ТабПозиции[[#This Row],[item]]="По штрихкоду",ТабПозиции[[#This Row],[item]]="Посылка"),ТабПозиции[[#This Row],[deliverySumm]]+ТабПозиции[[#This Row],[deliveryPost]],SUM(M1295:O1295))</f>
        <v>1086</v>
      </c>
      <c r="Q1295" s="57">
        <v>1086</v>
      </c>
      <c r="R1295" s="62">
        <f>ТабПозиции[[#This Row],[totalSumm]]-ТабПозиции[[#This Row],[payment]]</f>
        <v>0</v>
      </c>
      <c r="S1295" s="34" t="s">
        <v>965</v>
      </c>
      <c r="T1295" s="56" t="s">
        <v>3061</v>
      </c>
      <c r="U1295" s="56" t="str">
        <f>IF(AND(ТабПозиции[[#This Row],[Остаток]]=0,ТабПозиции[[#This Row],[ord]]="true"),"true","false")</f>
        <v>true</v>
      </c>
      <c r="V1295" s="56" t="s">
        <v>3061</v>
      </c>
      <c r="W1295" s="7"/>
      <c r="X1295"/>
    </row>
    <row r="1296" spans="1:24" x14ac:dyDescent="0.25">
      <c r="A1296" s="26">
        <v>347</v>
      </c>
      <c r="B1296" s="1">
        <f>IFERROR(VLOOKUP(ТабПозиции[[#This Row],[orderNum]],ТабЗаказы[#Data],MATCH(B$7,ТабЗаказы[#Headers],0),0),"")</f>
        <v>45614</v>
      </c>
      <c r="C1296" t="str">
        <f>MONTH(ТабПозиции[[#This Row],[date]])&amp;"/"&amp;YEAR(ТабПозиции[[#This Row],[date]])</f>
        <v>11/2024</v>
      </c>
      <c r="D1296" s="1" t="str">
        <f>IFERROR(VLOOKUP(ТабПозиции[[#This Row],[orderNum]],ТабЗаказы[#Data],MATCH(D$7,ТабЗаказы[#Headers],0),0),"")</f>
        <v>Лакарова Татьяна</v>
      </c>
      <c r="E1296" s="32" t="s">
        <v>1918</v>
      </c>
      <c r="F1296" s="56" t="s">
        <v>3061</v>
      </c>
      <c r="H1296" s="34">
        <v>45618</v>
      </c>
      <c r="I1296" s="26">
        <v>1</v>
      </c>
      <c r="J1296" s="26">
        <v>800</v>
      </c>
      <c r="K1296">
        <f>ТабПозиции[[#This Row],[discountPrice]]*ТабПозиции[[#This Row],[quantity]]</f>
        <v>800</v>
      </c>
      <c r="L1296" s="26">
        <v>800</v>
      </c>
      <c r="M1296">
        <f t="shared" si="25"/>
        <v>800</v>
      </c>
      <c r="N1296" s="26">
        <v>94</v>
      </c>
      <c r="O129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Row],[orderNum]],ТабПозиции[orderSumm])&gt;1500),ABS(M1296*VLOOKUP(ТабПозиции[[#This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296">
        <f>IF(OR(ТабПозиции[[#This Row],[item]]="По штрихкоду",ТабПозиции[[#This Row],[item]]="Посылка"),ТабПозиции[[#This Row],[deliverySumm]]+ТабПозиции[[#This Row],[deliveryPost]],SUM(M1296:O1296))</f>
        <v>1094</v>
      </c>
      <c r="Q1296" s="57">
        <v>1094</v>
      </c>
      <c r="R1296" s="62">
        <f>ТабПозиции[[#This Row],[totalSumm]]-ТабПозиции[[#This Row],[payment]]</f>
        <v>0</v>
      </c>
      <c r="S1296" s="34" t="s">
        <v>1011</v>
      </c>
      <c r="T1296" s="56" t="s">
        <v>3061</v>
      </c>
      <c r="U1296" s="56" t="str">
        <f>IF(AND(ТабПозиции[[#This Row],[Остаток]]=0,ТабПозиции[[#This Row],[ord]]="true"),"true","false")</f>
        <v>true</v>
      </c>
      <c r="V1296" s="56" t="str">
        <f>IF(AND(ТабПозиции[[#This Row],[Остаток]]=0,ТабПозиции[[#This Row],[ord]]="true"),"true","false")</f>
        <v>true</v>
      </c>
      <c r="W1296" s="7"/>
      <c r="X1296"/>
    </row>
    <row r="1297" spans="1:24" x14ac:dyDescent="0.25">
      <c r="A1297" s="26">
        <v>348</v>
      </c>
      <c r="B1297" s="1">
        <f>IFERROR(VLOOKUP(ТабПозиции[[#This Row],[orderNum]],ТабЗаказы[#Data],MATCH(B$7,ТабЗаказы[#Headers],0),0),"")</f>
        <v>45615</v>
      </c>
      <c r="C1297" t="str">
        <f>MONTH(ТабПозиции[[#This Row],[date]])&amp;"/"&amp;YEAR(ТабПозиции[[#This Row],[date]])</f>
        <v>11/2024</v>
      </c>
      <c r="D1297" s="1" t="str">
        <f>IFERROR(VLOOKUP(ТабПозиции[[#This Row],[orderNum]],ТабЗаказы[#Data],MATCH(D$7,ТабЗаказы[#Headers],0),0),"")</f>
        <v>Кирилл Куприна</v>
      </c>
      <c r="E1297" s="32" t="s">
        <v>1919</v>
      </c>
      <c r="F1297" s="56" t="s">
        <v>3061</v>
      </c>
      <c r="H1297" s="34">
        <v>45617</v>
      </c>
      <c r="I1297" s="26">
        <v>1</v>
      </c>
      <c r="J1297" s="26">
        <v>1522</v>
      </c>
      <c r="K1297">
        <f>ТабПозиции[[#This Row],[discountPrice]]*ТабПозиции[[#This Row],[quantity]]</f>
        <v>1522</v>
      </c>
      <c r="L1297" s="26">
        <v>1620</v>
      </c>
      <c r="M1297">
        <f t="shared" si="25"/>
        <v>1620</v>
      </c>
      <c r="O129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Row],[orderNum]],ТабПозиции[orderSumm])&gt;1500),ABS(M1297*VLOOKUP(ТабПозиции[[#This Row],[orderNum]],ТабЗаказы[#Data],MATCH("Percent",ТабЗаказы[#Headers],0),0))/100,200/COUNTIF(ТабПозиции[orderNum],ТабПозиции[[#This Row],[orderNum]])),0),"")</f>
        <v>243</v>
      </c>
      <c r="P1297">
        <f>IF(OR(ТабПозиции[[#This Row],[item]]="По штрихкоду",ТабПозиции[[#This Row],[item]]="Посылка"),ТабПозиции[[#This Row],[deliverySumm]]+ТабПозиции[[#This Row],[deliveryPost]],SUM(M1297:O1297))</f>
        <v>1863</v>
      </c>
      <c r="Q1297" s="57">
        <v>1863</v>
      </c>
      <c r="R1297" s="62">
        <f>ТабПозиции[[#This Row],[totalSumm]]-ТабПозиции[[#This Row],[payment]]</f>
        <v>0</v>
      </c>
      <c r="S1297" s="34" t="s">
        <v>965</v>
      </c>
      <c r="T1297" s="56" t="s">
        <v>3061</v>
      </c>
      <c r="U1297" s="56" t="str">
        <f>IF(AND(ТабПозиции[[#This Row],[Остаток]]=0,ТабПозиции[[#This Row],[ord]]="true"),"true","false")</f>
        <v>true</v>
      </c>
      <c r="V1297" s="56" t="s">
        <v>3061</v>
      </c>
      <c r="W1297" s="7"/>
      <c r="X1297"/>
    </row>
    <row r="1298" spans="1:24" x14ac:dyDescent="0.25">
      <c r="A1298" s="26">
        <v>348</v>
      </c>
      <c r="B1298" s="1">
        <f>IFERROR(VLOOKUP(ТабПозиции[[#This Row],[orderNum]],ТабЗаказы[#Data],MATCH(B$7,ТабЗаказы[#Headers],0),0),"")</f>
        <v>45615</v>
      </c>
      <c r="C1298" t="str">
        <f>MONTH(ТабПозиции[[#This Row],[date]])&amp;"/"&amp;YEAR(ТабПозиции[[#This Row],[date]])</f>
        <v>11/2024</v>
      </c>
      <c r="D1298" s="1" t="str">
        <f>IFERROR(VLOOKUP(ТабПозиции[[#This Row],[orderNum]],ТабЗаказы[#Data],MATCH(D$7,ТабЗаказы[#Headers],0),0),"")</f>
        <v>Кирилл Куприна</v>
      </c>
      <c r="E1298" s="32" t="s">
        <v>1920</v>
      </c>
      <c r="F1298" s="56" t="s">
        <v>3061</v>
      </c>
      <c r="H1298" s="34">
        <v>45618</v>
      </c>
      <c r="I1298" s="26">
        <v>1</v>
      </c>
      <c r="J1298" s="26">
        <v>443</v>
      </c>
      <c r="K1298">
        <f>ТабПозиции[[#This Row],[discountPrice]]*ТабПозиции[[#This Row],[quantity]]</f>
        <v>443</v>
      </c>
      <c r="L1298" s="26">
        <v>472</v>
      </c>
      <c r="M1298">
        <f t="shared" si="25"/>
        <v>472</v>
      </c>
      <c r="O129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Row],[orderNum]],ТабПозиции[orderSumm])&gt;1500),ABS(M1298*VLOOKUP(ТабПозиции[[#This Row],[orderNum]],ТабЗаказы[#Data],MATCH("Percent",ТабЗаказы[#Headers],0),0))/100,200/COUNTIF(ТабПозиции[orderNum],ТабПозиции[[#This Row],[orderNum]])),0),"")</f>
        <v>71</v>
      </c>
      <c r="P1298">
        <f>IF(OR(ТабПозиции[[#This Row],[item]]="По штрихкоду",ТабПозиции[[#This Row],[item]]="Посылка"),ТабПозиции[[#This Row],[deliverySumm]]+ТабПозиции[[#This Row],[deliveryPost]],SUM(M1298:O1298))</f>
        <v>543</v>
      </c>
      <c r="Q1298" s="57">
        <v>543</v>
      </c>
      <c r="R1298" s="62">
        <f>ТабПозиции[[#This Row],[totalSumm]]-ТабПозиции[[#This Row],[payment]]</f>
        <v>0</v>
      </c>
      <c r="S1298" s="34" t="s">
        <v>965</v>
      </c>
      <c r="T1298" s="56" t="s">
        <v>3061</v>
      </c>
      <c r="U1298" s="56" t="str">
        <f>IF(AND(ТабПозиции[[#This Row],[Остаток]]=0,ТабПозиции[[#This Row],[ord]]="true"),"true","false")</f>
        <v>true</v>
      </c>
      <c r="V1298" s="56" t="s">
        <v>3061</v>
      </c>
      <c r="W1298" s="7"/>
      <c r="X1298"/>
    </row>
    <row r="1299" spans="1:24" x14ac:dyDescent="0.25">
      <c r="A1299" s="26">
        <v>348</v>
      </c>
      <c r="B1299" s="1">
        <f>IFERROR(VLOOKUP(ТабПозиции[[#This Row],[orderNum]],ТабЗаказы[#Data],MATCH(B$7,ТабЗаказы[#Headers],0),0),"")</f>
        <v>45615</v>
      </c>
      <c r="C1299" t="str">
        <f>MONTH(ТабПозиции[[#This Row],[date]])&amp;"/"&amp;YEAR(ТабПозиции[[#This Row],[date]])</f>
        <v>11/2024</v>
      </c>
      <c r="D1299" s="1" t="str">
        <f>IFERROR(VLOOKUP(ТабПозиции[[#This Row],[orderNum]],ТабЗаказы[#Data],MATCH(D$7,ТабЗаказы[#Headers],0),0),"")</f>
        <v>Кирилл Куприна</v>
      </c>
      <c r="E1299" s="32" t="s">
        <v>1921</v>
      </c>
      <c r="F1299" s="56" t="s">
        <v>3061</v>
      </c>
      <c r="H1299" s="34">
        <v>45618</v>
      </c>
      <c r="I1299" s="26">
        <v>1</v>
      </c>
      <c r="J1299" s="26">
        <v>3519</v>
      </c>
      <c r="K1299">
        <f>ТабПозиции[[#This Row],[discountPrice]]*ТабПозиции[[#This Row],[quantity]]</f>
        <v>3519</v>
      </c>
      <c r="L1299" s="26">
        <v>3744</v>
      </c>
      <c r="M1299">
        <f t="shared" si="25"/>
        <v>3744</v>
      </c>
      <c r="O129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Row],[orderNum]],ТабПозиции[orderSumm])&gt;1500),ABS(M1299*VLOOKUP(ТабПозиции[[#This Row],[orderNum]],ТабЗаказы[#Data],MATCH("Percent",ТабЗаказы[#Headers],0),0))/100,200/COUNTIF(ТабПозиции[orderNum],ТабПозиции[[#This Row],[orderNum]])),0),"")</f>
        <v>562</v>
      </c>
      <c r="P1299">
        <f>IF(OR(ТабПозиции[[#This Row],[item]]="По штрихкоду",ТабПозиции[[#This Row],[item]]="Посылка"),ТабПозиции[[#This Row],[deliverySumm]]+ТабПозиции[[#This Row],[deliveryPost]],SUM(M1299:O1299))</f>
        <v>4306</v>
      </c>
      <c r="Q1299" s="57">
        <v>4306</v>
      </c>
      <c r="R1299" s="62">
        <f>ТабПозиции[[#This Row],[totalSumm]]-ТабПозиции[[#This Row],[payment]]</f>
        <v>0</v>
      </c>
      <c r="S1299" s="34" t="s">
        <v>965</v>
      </c>
      <c r="T1299" s="56" t="s">
        <v>3061</v>
      </c>
      <c r="U1299" s="56" t="str">
        <f>IF(AND(ТабПозиции[[#This Row],[Остаток]]=0,ТабПозиции[[#This Row],[ord]]="true"),"true","false")</f>
        <v>true</v>
      </c>
      <c r="V1299" s="56" t="s">
        <v>3061</v>
      </c>
      <c r="W1299" s="7"/>
      <c r="X1299"/>
    </row>
    <row r="1300" spans="1:24" x14ac:dyDescent="0.25">
      <c r="A1300" s="26">
        <v>349</v>
      </c>
      <c r="B1300" s="1">
        <f>IFERROR(VLOOKUP(ТабПозиции[[#This Row],[orderNum]],ТабЗаказы[#Data],MATCH(B$7,ТабЗаказы[#Headers],0),0),"")</f>
        <v>45616</v>
      </c>
      <c r="C1300" t="str">
        <f>MONTH(ТабПозиции[[#This Row],[date]])&amp;"/"&amp;YEAR(ТабПозиции[[#This Row],[date]])</f>
        <v>11/2024</v>
      </c>
      <c r="D1300" s="1" t="str">
        <f>IFERROR(VLOOKUP(ТабПозиции[[#This Row],[orderNum]],ТабЗаказы[#Data],MATCH(D$7,ТабЗаказы[#Headers],0),0),"")</f>
        <v>Светлана от Александра</v>
      </c>
      <c r="E1300" s="32" t="s">
        <v>1922</v>
      </c>
      <c r="F1300" s="56" t="s">
        <v>3061</v>
      </c>
      <c r="H1300" s="34">
        <v>45619</v>
      </c>
      <c r="I1300" s="26">
        <v>1</v>
      </c>
      <c r="J1300" s="26">
        <v>131</v>
      </c>
      <c r="K1300">
        <f>ТабПозиции[[#This Row],[discountPrice]]*ТабПозиции[[#This Row],[quantity]]</f>
        <v>131</v>
      </c>
      <c r="L1300" s="26">
        <v>140</v>
      </c>
      <c r="M1300">
        <f t="shared" si="25"/>
        <v>140</v>
      </c>
      <c r="O130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Row],[orderNum]],ТабПозиции[orderSumm])&gt;1500),ABS(M1300*VLOOKUP(ТабПозиции[[#This Row],[orderNum]],ТабЗаказы[#Data],MATCH("Percent",ТабЗаказы[#Headers],0),0))/100,200/COUNTIF(ТабПозиции[orderNum],ТабПозиции[[#This Row],[orderNum]])),0),"")</f>
        <v>21</v>
      </c>
      <c r="P1300">
        <f>IF(OR(ТабПозиции[[#This Row],[item]]="По штрихкоду",ТабПозиции[[#This Row],[item]]="Посылка"),ТабПозиции[[#This Row],[deliverySumm]]+ТабПозиции[[#This Row],[deliveryPost]],SUM(M1300:O1300))</f>
        <v>161</v>
      </c>
      <c r="Q1300" s="57">
        <v>161</v>
      </c>
      <c r="R1300" s="62">
        <f>ТабПозиции[[#This Row],[totalSumm]]-ТабПозиции[[#This Row],[payment]]</f>
        <v>0</v>
      </c>
      <c r="S1300" s="34" t="s">
        <v>965</v>
      </c>
      <c r="T1300" s="56" t="s">
        <v>3061</v>
      </c>
      <c r="U1300" s="56" t="str">
        <f>IF(AND(ТабПозиции[[#This Row],[Остаток]]=0,ТабПозиции[[#This Row],[ord]]="true"),"true","false")</f>
        <v>true</v>
      </c>
      <c r="V1300" s="56" t="str">
        <f>IF(AND(ТабПозиции[[#This Row],[Остаток]]=0,ТабПозиции[[#This Row],[ord]]="true"),"true","false")</f>
        <v>true</v>
      </c>
      <c r="W1300" s="7"/>
      <c r="X1300"/>
    </row>
    <row r="1301" spans="1:24" x14ac:dyDescent="0.25">
      <c r="A1301" s="26">
        <v>349</v>
      </c>
      <c r="B1301" s="1">
        <f>IFERROR(VLOOKUP(ТабПозиции[[#This Row],[orderNum]],ТабЗаказы[#Data],MATCH(B$7,ТабЗаказы[#Headers],0),0),"")</f>
        <v>45616</v>
      </c>
      <c r="C1301" t="str">
        <f>MONTH(ТабПозиции[[#This Row],[date]])&amp;"/"&amp;YEAR(ТабПозиции[[#This Row],[date]])</f>
        <v>11/2024</v>
      </c>
      <c r="D1301" s="1" t="str">
        <f>IFERROR(VLOOKUP(ТабПозиции[[#This Row],[orderNum]],ТабЗаказы[#Data],MATCH(D$7,ТабЗаказы[#Headers],0),0),"")</f>
        <v>Светлана от Александра</v>
      </c>
      <c r="E1301" s="32" t="s">
        <v>1923</v>
      </c>
      <c r="F1301" s="56" t="s">
        <v>3061</v>
      </c>
      <c r="H1301" s="34">
        <v>45619</v>
      </c>
      <c r="I1301" s="26">
        <v>1</v>
      </c>
      <c r="J1301" s="26">
        <v>188</v>
      </c>
      <c r="K1301">
        <f>ТабПозиции[[#This Row],[discountPrice]]*ТабПозиции[[#This Row],[quantity]]</f>
        <v>188</v>
      </c>
      <c r="L1301" s="26">
        <v>200</v>
      </c>
      <c r="M1301">
        <f t="shared" si="25"/>
        <v>200</v>
      </c>
      <c r="O130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Row],[orderNum]],ТабПозиции[orderSumm])&gt;1500),ABS(M1301*VLOOKUP(ТабПозиции[[#This Row],[orderNum]],ТабЗаказы[#Data],MATCH("Percent",ТабЗаказы[#Headers],0),0))/100,200/COUNTIF(ТабПозиции[orderNum],ТабПозиции[[#This Row],[orderNum]])),0),"")</f>
        <v>30</v>
      </c>
      <c r="P1301">
        <f>IF(OR(ТабПозиции[[#This Row],[item]]="По штрихкоду",ТабПозиции[[#This Row],[item]]="Посылка"),ТабПозиции[[#This Row],[deliverySumm]]+ТабПозиции[[#This Row],[deliveryPost]],SUM(M1301:O1301))</f>
        <v>230</v>
      </c>
      <c r="Q1301" s="57">
        <v>230</v>
      </c>
      <c r="R1301" s="62">
        <f>ТабПозиции[[#This Row],[totalSumm]]-ТабПозиции[[#This Row],[payment]]</f>
        <v>0</v>
      </c>
      <c r="S1301" s="34" t="s">
        <v>965</v>
      </c>
      <c r="T1301" s="56" t="s">
        <v>3061</v>
      </c>
      <c r="U1301" s="56" t="str">
        <f>IF(AND(ТабПозиции[[#This Row],[Остаток]]=0,ТабПозиции[[#This Row],[ord]]="true"),"true","false")</f>
        <v>true</v>
      </c>
      <c r="V1301" s="56" t="str">
        <f>IF(AND(ТабПозиции[[#This Row],[Остаток]]=0,ТабПозиции[[#This Row],[ord]]="true"),"true","false")</f>
        <v>true</v>
      </c>
      <c r="W1301" s="7"/>
      <c r="X1301"/>
    </row>
    <row r="1302" spans="1:24" x14ac:dyDescent="0.25">
      <c r="A1302" s="26">
        <v>349</v>
      </c>
      <c r="B1302" s="1">
        <f>IFERROR(VLOOKUP(ТабПозиции[[#This Row],[orderNum]],ТабЗаказы[#Data],MATCH(B$7,ТабЗаказы[#Headers],0),0),"")</f>
        <v>45616</v>
      </c>
      <c r="C1302" t="str">
        <f>MONTH(ТабПозиции[[#This Row],[date]])&amp;"/"&amp;YEAR(ТабПозиции[[#This Row],[date]])</f>
        <v>11/2024</v>
      </c>
      <c r="D1302" s="1" t="str">
        <f>IFERROR(VLOOKUP(ТабПозиции[[#This Row],[orderNum]],ТабЗаказы[#Data],MATCH(D$7,ТабЗаказы[#Headers],0),0),"")</f>
        <v>Светлана от Александра</v>
      </c>
      <c r="E1302" s="32" t="s">
        <v>1924</v>
      </c>
      <c r="F1302" s="56" t="s">
        <v>3061</v>
      </c>
      <c r="H1302" s="34">
        <v>45620</v>
      </c>
      <c r="I1302" s="26">
        <v>1</v>
      </c>
      <c r="J1302" s="26">
        <v>559</v>
      </c>
      <c r="K1302">
        <f>ТабПозиции[[#This Row],[discountPrice]]*ТабПозиции[[#This Row],[quantity]]</f>
        <v>559</v>
      </c>
      <c r="L1302" s="26">
        <v>595</v>
      </c>
      <c r="M1302">
        <f t="shared" si="25"/>
        <v>595</v>
      </c>
      <c r="O130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Row],[orderNum]],ТабПозиции[orderSumm])&gt;1500),ABS(M1302*VLOOKUP(ТабПозиции[[#This Row],[orderNum]],ТабЗаказы[#Data],MATCH("Percent",ТабЗаказы[#Headers],0),0))/100,200/COUNTIF(ТабПозиции[orderNum],ТабПозиции[[#This Row],[orderNum]])),0),"")</f>
        <v>89</v>
      </c>
      <c r="P1302">
        <f>IF(OR(ТабПозиции[[#This Row],[item]]="По штрихкоду",ТабПозиции[[#This Row],[item]]="Посылка"),ТабПозиции[[#This Row],[deliverySumm]]+ТабПозиции[[#This Row],[deliveryPost]],SUM(M1302:O1302))</f>
        <v>684</v>
      </c>
      <c r="Q1302" s="57">
        <v>684</v>
      </c>
      <c r="R1302" s="62">
        <f>ТабПозиции[[#This Row],[totalSumm]]-ТабПозиции[[#This Row],[payment]]</f>
        <v>0</v>
      </c>
      <c r="S1302" s="34" t="s">
        <v>965</v>
      </c>
      <c r="T1302" s="56" t="s">
        <v>3061</v>
      </c>
      <c r="U1302" s="56" t="str">
        <f>IF(AND(ТабПозиции[[#This Row],[Остаток]]=0,ТабПозиции[[#This Row],[ord]]="true"),"true","false")</f>
        <v>true</v>
      </c>
      <c r="V1302" s="56" t="str">
        <f>IF(AND(ТабПозиции[[#This Row],[Остаток]]=0,ТабПозиции[[#This Row],[ord]]="true"),"true","false")</f>
        <v>true</v>
      </c>
      <c r="W1302" s="7"/>
      <c r="X1302"/>
    </row>
    <row r="1303" spans="1:24" x14ac:dyDescent="0.25">
      <c r="A1303" s="26">
        <v>349</v>
      </c>
      <c r="B1303" s="1">
        <f>IFERROR(VLOOKUP(ТабПозиции[[#This Row],[orderNum]],ТабЗаказы[#Data],MATCH(B$7,ТабЗаказы[#Headers],0),0),"")</f>
        <v>45616</v>
      </c>
      <c r="C1303" t="str">
        <f>MONTH(ТабПозиции[[#This Row],[date]])&amp;"/"&amp;YEAR(ТабПозиции[[#This Row],[date]])</f>
        <v>11/2024</v>
      </c>
      <c r="D1303" s="1" t="str">
        <f>IFERROR(VLOOKUP(ТабПозиции[[#This Row],[orderNum]],ТабЗаказы[#Data],MATCH(D$7,ТабЗаказы[#Headers],0),0),"")</f>
        <v>Светлана от Александра</v>
      </c>
      <c r="E1303" s="32" t="s">
        <v>1925</v>
      </c>
      <c r="F1303" s="56" t="s">
        <v>3061</v>
      </c>
      <c r="H1303" s="34">
        <v>45620</v>
      </c>
      <c r="I1303" s="26">
        <v>0</v>
      </c>
      <c r="J1303" s="26">
        <v>263</v>
      </c>
      <c r="K1303">
        <f>ТабПозиции[[#This Row],[discountPrice]]*ТабПозиции[[#This Row],[quantity]]</f>
        <v>0</v>
      </c>
      <c r="L1303" s="26">
        <v>280</v>
      </c>
      <c r="M1303">
        <f t="shared" si="25"/>
        <v>0</v>
      </c>
      <c r="O130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Row],[orderNum]],ТабПозиции[orderSumm])&gt;1500),ABS(M1303*VLOOKUP(ТабПозиции[[#This Row],[orderNum]],ТабЗаказы[#Data],MATCH("Percent",ТабЗаказы[#Headers],0),0))/100,200/COUNTIF(ТабПозиции[orderNum],ТабПозиции[[#This Row],[orderNum]])),0),"")</f>
        <v>0</v>
      </c>
      <c r="P1303">
        <f>IF(OR(ТабПозиции[[#This Row],[item]]="По штрихкоду",ТабПозиции[[#This Row],[item]]="Посылка"),ТабПозиции[[#This Row],[deliverySumm]]+ТабПозиции[[#This Row],[deliveryPost]],SUM(M1303:O1303))</f>
        <v>0</v>
      </c>
      <c r="R1303" s="62">
        <f>ТабПозиции[[#This Row],[totalSumm]]-ТабПозиции[[#This Row],[payment]]</f>
        <v>0</v>
      </c>
      <c r="S1303" s="34" t="s">
        <v>965</v>
      </c>
      <c r="T1303" s="56" t="s">
        <v>3061</v>
      </c>
      <c r="U1303" s="56" t="str">
        <f>IF(AND(ТабПозиции[[#This Row],[Остаток]]=0,ТабПозиции[[#This Row],[ord]]="true"),"true","false")</f>
        <v>true</v>
      </c>
      <c r="V1303" s="56" t="s">
        <v>3061</v>
      </c>
      <c r="W1303" s="7"/>
      <c r="X1303"/>
    </row>
    <row r="1304" spans="1:24" x14ac:dyDescent="0.25">
      <c r="A1304" s="26">
        <v>349</v>
      </c>
      <c r="B1304" s="1">
        <f>IFERROR(VLOOKUP(ТабПозиции[[#This Row],[orderNum]],ТабЗаказы[#Data],MATCH(B$7,ТабЗаказы[#Headers],0),0),"")</f>
        <v>45616</v>
      </c>
      <c r="C1304" t="str">
        <f>MONTH(ТабПозиции[[#This Row],[date]])&amp;"/"&amp;YEAR(ТабПозиции[[#This Row],[date]])</f>
        <v>11/2024</v>
      </c>
      <c r="D1304" s="1" t="str">
        <f>IFERROR(VLOOKUP(ТабПозиции[[#This Row],[orderNum]],ТабЗаказы[#Data],MATCH(D$7,ТабЗаказы[#Headers],0),0),"")</f>
        <v>Светлана от Александра</v>
      </c>
      <c r="E1304" s="32" t="s">
        <v>1926</v>
      </c>
      <c r="F1304" s="56" t="s">
        <v>3061</v>
      </c>
      <c r="H1304" s="34">
        <v>45620</v>
      </c>
      <c r="I1304" s="26">
        <v>1</v>
      </c>
      <c r="J1304" s="26">
        <v>344</v>
      </c>
      <c r="K1304">
        <f>ТабПозиции[[#This Row],[discountPrice]]*ТабПозиции[[#This Row],[quantity]]</f>
        <v>344</v>
      </c>
      <c r="L1304" s="26">
        <v>367</v>
      </c>
      <c r="M1304">
        <f t="shared" si="25"/>
        <v>367</v>
      </c>
      <c r="O130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Row],[orderNum]],ТабПозиции[orderSumm])&gt;1500),ABS(M1304*VLOOKUP(ТабПозиции[[#This Row],[orderNum]],ТабЗаказы[#Data],MATCH("Percent",ТабЗаказы[#Headers],0),0))/100,200/COUNTIF(ТабПозиции[orderNum],ТабПозиции[[#This Row],[orderNum]])),0),"")</f>
        <v>55</v>
      </c>
      <c r="P1304">
        <f>IF(OR(ТабПозиции[[#This Row],[item]]="По штрихкоду",ТабПозиции[[#This Row],[item]]="Посылка"),ТабПозиции[[#This Row],[deliverySumm]]+ТабПозиции[[#This Row],[deliveryPost]],SUM(M1304:O1304))</f>
        <v>422</v>
      </c>
      <c r="Q1304" s="57">
        <v>422</v>
      </c>
      <c r="R1304" s="62">
        <f>ТабПозиции[[#This Row],[totalSumm]]-ТабПозиции[[#This Row],[payment]]</f>
        <v>0</v>
      </c>
      <c r="S1304" s="34" t="s">
        <v>965</v>
      </c>
      <c r="T1304" s="56" t="s">
        <v>3061</v>
      </c>
      <c r="U1304" s="56" t="str">
        <f>IF(AND(ТабПозиции[[#This Row],[Остаток]]=0,ТабПозиции[[#This Row],[ord]]="true"),"true","false")</f>
        <v>true</v>
      </c>
      <c r="V1304" s="56" t="str">
        <f>IF(AND(ТабПозиции[[#This Row],[Остаток]]=0,ТабПозиции[[#This Row],[ord]]="true"),"true","false")</f>
        <v>true</v>
      </c>
      <c r="W1304" s="7"/>
      <c r="X1304"/>
    </row>
    <row r="1305" spans="1:24" x14ac:dyDescent="0.25">
      <c r="A1305" s="26">
        <v>349</v>
      </c>
      <c r="B1305" s="1">
        <f>IFERROR(VLOOKUP(ТабПозиции[[#This Row],[orderNum]],ТабЗаказы[#Data],MATCH(B$7,ТабЗаказы[#Headers],0),0),"")</f>
        <v>45616</v>
      </c>
      <c r="C1305" t="str">
        <f>MONTH(ТабПозиции[[#This Row],[date]])&amp;"/"&amp;YEAR(ТабПозиции[[#This Row],[date]])</f>
        <v>11/2024</v>
      </c>
      <c r="D1305" s="1" t="str">
        <f>IFERROR(VLOOKUP(ТабПозиции[[#This Row],[orderNum]],ТабЗаказы[#Data],MATCH(D$7,ТабЗаказы[#Headers],0),0),"")</f>
        <v>Светлана от Александра</v>
      </c>
      <c r="E1305" s="32" t="s">
        <v>1035</v>
      </c>
      <c r="F1305" s="56" t="s">
        <v>3061</v>
      </c>
      <c r="H1305" s="34">
        <v>45619</v>
      </c>
      <c r="I1305" s="26">
        <v>1</v>
      </c>
      <c r="J1305" s="26">
        <v>932</v>
      </c>
      <c r="K1305">
        <f>ТабПозиции[[#This Row],[discountPrice]]*ТабПозиции[[#This Row],[quantity]]</f>
        <v>932</v>
      </c>
      <c r="L1305" s="26">
        <v>992</v>
      </c>
      <c r="M1305">
        <f t="shared" si="25"/>
        <v>992</v>
      </c>
      <c r="O130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Row],[orderNum]],ТабПозиции[orderSumm])&gt;1500),ABS(M1305*VLOOKUP(ТабПозиции[[#This Row],[orderNum]],ТабЗаказы[#Data],MATCH("Percent",ТабЗаказы[#Headers],0),0))/100,200/COUNTIF(ТабПозиции[orderNum],ТабПозиции[[#This Row],[orderNum]])),0),"")</f>
        <v>149</v>
      </c>
      <c r="P1305">
        <f>IF(OR(ТабПозиции[[#This Row],[item]]="По штрихкоду",ТабПозиции[[#This Row],[item]]="Посылка"),ТабПозиции[[#This Row],[deliverySumm]]+ТабПозиции[[#This Row],[deliveryPost]],SUM(M1305:O1305))</f>
        <v>1141</v>
      </c>
      <c r="Q1305" s="57">
        <v>1141</v>
      </c>
      <c r="R1305" s="62">
        <f>ТабПозиции[[#This Row],[totalSumm]]-ТабПозиции[[#This Row],[payment]]</f>
        <v>0</v>
      </c>
      <c r="S1305" s="34" t="s">
        <v>965</v>
      </c>
      <c r="T1305" s="56" t="s">
        <v>3061</v>
      </c>
      <c r="U1305" s="56" t="str">
        <f>IF(AND(ТабПозиции[[#This Row],[Остаток]]=0,ТабПозиции[[#This Row],[ord]]="true"),"true","false")</f>
        <v>true</v>
      </c>
      <c r="V1305" s="56" t="str">
        <f>IF(AND(ТабПозиции[[#This Row],[Остаток]]=0,ТабПозиции[[#This Row],[ord]]="true"),"true","false")</f>
        <v>true</v>
      </c>
      <c r="W1305" s="7"/>
      <c r="X1305"/>
    </row>
    <row r="1306" spans="1:24" x14ac:dyDescent="0.25">
      <c r="A1306" s="26">
        <v>350</v>
      </c>
      <c r="B1306" s="1">
        <f>IFERROR(VLOOKUP(ТабПозиции[[#This Row],[orderNum]],ТабЗаказы[#Data],MATCH(B$7,ТабЗаказы[#Headers],0),0),"")</f>
        <v>45617</v>
      </c>
      <c r="C1306" t="str">
        <f>MONTH(ТабПозиции[[#This Row],[date]])&amp;"/"&amp;YEAR(ТабПозиции[[#This Row],[date]])</f>
        <v>11/2024</v>
      </c>
      <c r="D1306" s="1" t="str">
        <f>IFERROR(VLOOKUP(ТабПозиции[[#This Row],[orderNum]],ТабЗаказы[#Data],MATCH(D$7,ТабЗаказы[#Headers],0),0),"")</f>
        <v>Юрий от Вадима</v>
      </c>
      <c r="E1306" s="32" t="s">
        <v>1929</v>
      </c>
      <c r="F1306" s="56" t="s">
        <v>3061</v>
      </c>
      <c r="H1306" s="34">
        <v>45625</v>
      </c>
      <c r="I1306" s="26">
        <v>1</v>
      </c>
      <c r="J1306" s="26">
        <v>4000</v>
      </c>
      <c r="K1306">
        <f>ТабПозиции[[#This Row],[discountPrice]]*ТабПозиции[[#This Row],[quantity]]</f>
        <v>4000</v>
      </c>
      <c r="L1306" s="26">
        <v>4000</v>
      </c>
      <c r="M1306">
        <f t="shared" si="25"/>
        <v>4000</v>
      </c>
      <c r="N1306" s="26">
        <v>234</v>
      </c>
      <c r="O130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Row],[orderNum]],ТабПозиции[orderSumm])&gt;1500),ABS(M1306*VLOOKUP(ТабПозиции[[#This Row],[orderNum]],ТабЗаказы[#Data],MATCH("Percent",ТабЗаказы[#Headers],0),0))/100,200/COUNTIF(ТабПозиции[orderNum],ТабПозиции[[#This Row],[orderNum]])),0),"")</f>
        <v>600</v>
      </c>
      <c r="P1306">
        <f>IF(OR(ТабПозиции[[#This Row],[item]]="По штрихкоду",ТабПозиции[[#This Row],[item]]="Посылка"),ТабПозиции[[#This Row],[deliverySumm]]+ТабПозиции[[#This Row],[deliveryPost]],SUM(M1306:O1306))</f>
        <v>4834</v>
      </c>
      <c r="Q1306" s="57">
        <v>4834</v>
      </c>
      <c r="R1306" s="62">
        <f>ТабПозиции[[#This Row],[totalSumm]]-ТабПозиции[[#This Row],[payment]]</f>
        <v>0</v>
      </c>
      <c r="S1306" s="34" t="s">
        <v>1011</v>
      </c>
      <c r="T1306" s="56" t="s">
        <v>3061</v>
      </c>
      <c r="U1306" s="56" t="str">
        <f>IF(AND(ТабПозиции[[#This Row],[Остаток]]=0,ТабПозиции[[#This Row],[ord]]="true"),"true","false")</f>
        <v>true</v>
      </c>
      <c r="V1306" s="56" t="str">
        <f>IF(AND(ТабПозиции[[#This Row],[Остаток]]=0,ТабПозиции[[#This Row],[ord]]="true"),"true","false")</f>
        <v>true</v>
      </c>
      <c r="W1306" s="7"/>
      <c r="X1306"/>
    </row>
    <row r="1307" spans="1:24" x14ac:dyDescent="0.25">
      <c r="A1307" s="26">
        <v>320</v>
      </c>
      <c r="B1307" s="1">
        <f>IFERROR(VLOOKUP(ТабПозиции[[#This Row],[orderNum]],ТабЗаказы[#Data],MATCH(B$7,ТабЗаказы[#Headers],0),0),"")</f>
        <v>45597</v>
      </c>
      <c r="C1307" t="str">
        <f>MONTH(ТабПозиции[[#This Row],[date]])&amp;"/"&amp;YEAR(ТабПозиции[[#This Row],[date]])</f>
        <v>11/2024</v>
      </c>
      <c r="D1307" s="1" t="str">
        <f>IFERROR(VLOOKUP(ТабПозиции[[#This Row],[orderNum]],ТабЗаказы[#Data],MATCH(D$7,ТабЗаказы[#Headers],0),0),"")</f>
        <v>Максим телевизор</v>
      </c>
      <c r="E1307" s="26" t="s">
        <v>815</v>
      </c>
      <c r="F1307" s="56" t="s">
        <v>3061</v>
      </c>
      <c r="G1307" s="77" t="s">
        <v>1930</v>
      </c>
      <c r="H1307" s="34">
        <v>45617</v>
      </c>
      <c r="I1307" s="26">
        <v>1</v>
      </c>
      <c r="J1307" s="26">
        <v>9500</v>
      </c>
      <c r="K1307">
        <f>ТабПозиции[[#This Row],[discountPrice]]*ТабПозиции[[#This Row],[quantity]]</f>
        <v>9500</v>
      </c>
      <c r="L1307" s="26">
        <v>9500</v>
      </c>
      <c r="M1307">
        <f t="shared" si="25"/>
        <v>9500</v>
      </c>
      <c r="O130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Row],[orderNum]],ТабПозиции[orderSumm])&gt;1500),ABS(M1307*VLOOKUP(ТабПозиции[[#This Row],[orderNum]],ТабЗаказы[#Data],MATCH("Percent",ТабЗаказы[#Headers],0),0))/100,200/COUNTIF(ТабПозиции[orderNum],ТабПозиции[[#This Row],[orderNum]])),0),"")</f>
        <v>950</v>
      </c>
      <c r="P1307">
        <f>IF(OR(ТабПозиции[[#This Row],[item]]="По штрихкоду",ТабПозиции[[#This Row],[item]]="Посылка"),ТабПозиции[[#This Row],[deliverySumm]]+ТабПозиции[[#This Row],[deliveryPost]],SUM(M1307:O1307))</f>
        <v>950</v>
      </c>
      <c r="Q1307" s="57">
        <v>950</v>
      </c>
      <c r="R1307" s="62">
        <f>ТабПозиции[[#This Row],[totalSumm]]-ТабПозиции[[#This Row],[payment]]</f>
        <v>0</v>
      </c>
      <c r="S1307" s="34" t="s">
        <v>1016</v>
      </c>
      <c r="T1307" s="56" t="s">
        <v>3061</v>
      </c>
      <c r="U1307" s="56" t="str">
        <f>IF(AND(ТабПозиции[[#This Row],[Остаток]]=0,ТабПозиции[[#This Row],[ord]]="true"),"true","false")</f>
        <v>true</v>
      </c>
      <c r="V1307" s="56" t="s">
        <v>3061</v>
      </c>
      <c r="W1307" s="7"/>
      <c r="X1307"/>
    </row>
    <row r="1308" spans="1:24" x14ac:dyDescent="0.25">
      <c r="A1308" s="26">
        <v>351</v>
      </c>
      <c r="B1308" s="1">
        <f>IFERROR(VLOOKUP(ТабПозиции[[#This Row],[orderNum]],ТабЗаказы[#Data],MATCH(B$7,ТабЗаказы[#Headers],0),0),"")</f>
        <v>45618</v>
      </c>
      <c r="C1308" t="str">
        <f>MONTH(ТабПозиции[[#This Row],[date]])&amp;"/"&amp;YEAR(ТабПозиции[[#This Row],[date]])</f>
        <v>11/2024</v>
      </c>
      <c r="D1308" s="1" t="str">
        <f>IFERROR(VLOOKUP(ТабПозиции[[#This Row],[orderNum]],ТабЗаказы[#Data],MATCH(D$7,ТабЗаказы[#Headers],0),0),"")</f>
        <v>Лариса Лавицкого 16</v>
      </c>
      <c r="E1308" s="26" t="s">
        <v>815</v>
      </c>
      <c r="F1308" s="56" t="s">
        <v>3061</v>
      </c>
      <c r="G1308" s="43" t="s">
        <v>1931</v>
      </c>
      <c r="H1308" s="34">
        <v>45618</v>
      </c>
      <c r="I1308" s="26">
        <v>1</v>
      </c>
      <c r="J1308" s="26">
        <v>4000</v>
      </c>
      <c r="K1308">
        <f>ТабПозиции[[#This Row],[discountPrice]]*ТабПозиции[[#This Row],[quantity]]</f>
        <v>4000</v>
      </c>
      <c r="L1308" s="26">
        <v>4000</v>
      </c>
      <c r="M1308">
        <f t="shared" si="25"/>
        <v>4000</v>
      </c>
      <c r="O130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Row],[orderNum]],ТабПозиции[orderSumm])&gt;1500),ABS(M1308*VLOOKUP(ТабПозиции[[#This Row],[orderNum]],ТабЗаказы[#Data],MATCH("Percent",ТабЗаказы[#Headers],0),0))/100,200/COUNTIF(ТабПозиции[orderNum],ТабПозиции[[#This Row],[orderNum]])),0),"")</f>
        <v>600</v>
      </c>
      <c r="P1308">
        <f>IF(OR(ТабПозиции[[#This Row],[item]]="По штрихкоду",ТабПозиции[[#This Row],[item]]="Посылка"),ТабПозиции[[#This Row],[deliverySumm]]+ТабПозиции[[#This Row],[deliveryPost]],SUM(M1308:O1308))</f>
        <v>600</v>
      </c>
      <c r="Q1308" s="57">
        <v>600</v>
      </c>
      <c r="R1308" s="62">
        <f>ТабПозиции[[#This Row],[totalSumm]]-ТабПозиции[[#This Row],[payment]]</f>
        <v>0</v>
      </c>
      <c r="S1308" s="34" t="s">
        <v>1016</v>
      </c>
      <c r="T1308" s="56" t="s">
        <v>3061</v>
      </c>
      <c r="U1308" s="56" t="str">
        <f>IF(AND(ТабПозиции[[#This Row],[Остаток]]=0,ТабПозиции[[#This Row],[ord]]="true"),"true","false")</f>
        <v>true</v>
      </c>
      <c r="V1308" s="56" t="str">
        <f>IF(AND(ТабПозиции[[#This Row],[Остаток]]=0,ТабПозиции[[#This Row],[ord]]="true"),"true","false")</f>
        <v>true</v>
      </c>
      <c r="W1308" s="7"/>
      <c r="X1308"/>
    </row>
    <row r="1309" spans="1:24" x14ac:dyDescent="0.25">
      <c r="A1309" s="26">
        <v>338</v>
      </c>
      <c r="B1309" s="1">
        <f>IFERROR(VLOOKUP(ТабПозиции[[#This Row],[orderNum]],ТабЗаказы[#Data],MATCH(B$7,ТабЗаказы[#Headers],0),0),"")</f>
        <v>45610</v>
      </c>
      <c r="C1309" t="str">
        <f>MONTH(ТабПозиции[[#This Row],[date]])&amp;"/"&amp;YEAR(ТабПозиции[[#This Row],[date]])</f>
        <v>11/2024</v>
      </c>
      <c r="D1309" s="1" t="str">
        <f>IFERROR(VLOOKUP(ТабПозиции[[#This Row],[orderNum]],ТабЗаказы[#Data],MATCH(D$7,ТабЗаказы[#Headers],0),0),"")</f>
        <v>Александр Каскад</v>
      </c>
      <c r="E1309" s="32" t="s">
        <v>1932</v>
      </c>
      <c r="F1309" s="56" t="s">
        <v>3061</v>
      </c>
      <c r="H1309" s="34">
        <v>45627</v>
      </c>
      <c r="I1309" s="26">
        <v>1</v>
      </c>
      <c r="J1309" s="26">
        <v>414</v>
      </c>
      <c r="K1309">
        <f>ТабПозиции[[#This Row],[discountPrice]]*ТабПозиции[[#This Row],[quantity]]</f>
        <v>414</v>
      </c>
      <c r="L1309" s="26">
        <v>443</v>
      </c>
      <c r="M1309">
        <f t="shared" si="25"/>
        <v>443</v>
      </c>
      <c r="O130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Row],[orderNum]],ТабПозиции[orderSumm])&gt;1500),ABS(M1309*VLOOKUP(ТабПозиции[[#This Row],[orderNum]],ТабЗаказы[#Data],MATCH("Percent",ТабЗаказы[#Headers],0),0))/100,200/COUNTIF(ТабПозиции[orderNum],ТабПозиции[[#This Row],[orderNum]])),0),"")</f>
        <v>66</v>
      </c>
      <c r="P1309">
        <f>IF(OR(ТабПозиции[[#This Row],[item]]="По штрихкоду",ТабПозиции[[#This Row],[item]]="Посылка"),ТабПозиции[[#This Row],[deliverySumm]]+ТабПозиции[[#This Row],[deliveryPost]],SUM(M1309:O1309))</f>
        <v>509</v>
      </c>
      <c r="Q1309" s="57">
        <v>509</v>
      </c>
      <c r="R1309" s="62">
        <f>ТабПозиции[[#This Row],[totalSumm]]-ТабПозиции[[#This Row],[payment]]</f>
        <v>0</v>
      </c>
      <c r="S1309" s="34" t="s">
        <v>955</v>
      </c>
      <c r="T1309" s="56" t="s">
        <v>3061</v>
      </c>
      <c r="U1309" s="56" t="str">
        <f>IF(AND(ТабПозиции[[#This Row],[Остаток]]=0,ТабПозиции[[#This Row],[ord]]="true"),"true","false")</f>
        <v>true</v>
      </c>
      <c r="V1309" s="56" t="str">
        <f>IF(AND(ТабПозиции[[#This Row],[Остаток]]=0,ТабПозиции[[#This Row],[ord]]="true"),"true","false")</f>
        <v>true</v>
      </c>
      <c r="W1309" s="7"/>
      <c r="X1309"/>
    </row>
    <row r="1310" spans="1:24" x14ac:dyDescent="0.25">
      <c r="A1310" s="26">
        <v>335</v>
      </c>
      <c r="B1310" s="1">
        <f>IFERROR(VLOOKUP(ТабПозиции[[#This Row],[orderNum]],ТабЗаказы[#Data],MATCH(B$7,ТабЗаказы[#Headers],0),0),"")</f>
        <v>45607</v>
      </c>
      <c r="C1310" t="str">
        <f>MONTH(ТабПозиции[[#This Row],[date]])&amp;"/"&amp;YEAR(ТабПозиции[[#This Row],[date]])</f>
        <v>11/2024</v>
      </c>
      <c r="D1310" s="1" t="str">
        <f>IFERROR(VLOOKUP(ТабПозиции[[#This Row],[orderNum]],ТабЗаказы[#Data],MATCH(D$7,ТабЗаказы[#Headers],0),0),"")</f>
        <v>Галина Агабекова(церковь)</v>
      </c>
      <c r="E1310" s="26" t="s">
        <v>1933</v>
      </c>
      <c r="F1310" s="56" t="s">
        <v>3061</v>
      </c>
      <c r="H1310" s="34">
        <v>45618</v>
      </c>
      <c r="I1310" s="26">
        <v>1</v>
      </c>
      <c r="J1310" s="26">
        <v>322</v>
      </c>
      <c r="K1310">
        <f>ТабПозиции[[#This Row],[discountPrice]]*ТабПозиции[[#This Row],[quantity]]</f>
        <v>322</v>
      </c>
      <c r="L1310" s="26">
        <v>322</v>
      </c>
      <c r="M1310">
        <f t="shared" si="25"/>
        <v>322</v>
      </c>
      <c r="N1310" s="26">
        <v>69</v>
      </c>
      <c r="O131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Row],[orderNum]],ТабПозиции[orderSumm])&gt;1500),ABS(M1310*VLOOKUP(ТабПозиции[[#This Row],[orderNum]],ТабЗаказы[#Data],MATCH("Percent",ТабЗаказы[#Headers],0),0))/100,200/COUNTIF(ТабПозиции[orderNum],ТабПозиции[[#This Row],[orderNum]])),0),"")</f>
        <v>48</v>
      </c>
      <c r="P1310">
        <f>IF(OR(ТабПозиции[[#This Row],[item]]="По штрихкоду",ТабПозиции[[#This Row],[item]]="Посылка"),ТабПозиции[[#This Row],[deliverySumm]]+ТабПозиции[[#This Row],[deliveryPost]],SUM(M1310:O1310))</f>
        <v>439</v>
      </c>
      <c r="Q1310" s="57">
        <v>439</v>
      </c>
      <c r="R1310" s="62">
        <f>ТабПозиции[[#This Row],[totalSumm]]-ТабПозиции[[#This Row],[payment]]</f>
        <v>0</v>
      </c>
      <c r="S1310" s="34" t="s">
        <v>1113</v>
      </c>
      <c r="T1310" s="56" t="s">
        <v>3061</v>
      </c>
      <c r="U1310" s="56" t="str">
        <f>IF(AND(ТабПозиции[[#This Row],[Остаток]]=0,ТабПозиции[[#This Row],[ord]]="true"),"true","false")</f>
        <v>true</v>
      </c>
      <c r="V1310" s="56" t="str">
        <f>IF(AND(ТабПозиции[[#This Row],[Остаток]]=0,ТабПозиции[[#This Row],[ord]]="true"),"true","false")</f>
        <v>true</v>
      </c>
      <c r="W1310" s="7"/>
      <c r="X1310"/>
    </row>
    <row r="1311" spans="1:24" x14ac:dyDescent="0.25">
      <c r="A1311" s="26">
        <v>352</v>
      </c>
      <c r="B1311" s="1">
        <f>IFERROR(VLOOKUP(ТабПозиции[[#This Row],[orderNum]],ТабЗаказы[#Data],MATCH(B$7,ТабЗаказы[#Headers],0),0),"")</f>
        <v>45618</v>
      </c>
      <c r="C1311" t="str">
        <f>MONTH(ТабПозиции[[#This Row],[date]])&amp;"/"&amp;YEAR(ТабПозиции[[#This Row],[date]])</f>
        <v>11/2024</v>
      </c>
      <c r="D1311" s="1" t="str">
        <f>IFERROR(VLOOKUP(ТабПозиции[[#This Row],[orderNum]],ТабЗаказы[#Data],MATCH(D$7,ТабЗаказы[#Headers],0),0),"")</f>
        <v>Наталья Лунина 13</v>
      </c>
      <c r="E1311" s="26" t="s">
        <v>32</v>
      </c>
      <c r="F1311" s="56" t="s">
        <v>3061</v>
      </c>
      <c r="H1311" s="34">
        <v>45618</v>
      </c>
      <c r="I1311" s="26">
        <v>1</v>
      </c>
      <c r="J1311" s="26">
        <v>1099</v>
      </c>
      <c r="K1311">
        <f>ТабПозиции[[#This Row],[discountPrice]]*ТабПозиции[[#This Row],[quantity]]</f>
        <v>1099</v>
      </c>
      <c r="L1311" s="26">
        <v>1099</v>
      </c>
      <c r="M1311">
        <f t="shared" si="25"/>
        <v>1099</v>
      </c>
      <c r="O131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Row],[orderNum]],ТабПозиции[orderSumm])&gt;1500),ABS(M1311*VLOOKUP(ТабПозиции[[#This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311">
        <f>IF(OR(ТабПозиции[[#This Row],[item]]="По штрихкоду",ТабПозиции[[#This Row],[item]]="Посылка"),ТабПозиции[[#This Row],[deliverySumm]]+ТабПозиции[[#This Row],[deliveryPost]],SUM(M1311:O1311))</f>
        <v>200</v>
      </c>
      <c r="Q1311" s="57">
        <v>200</v>
      </c>
      <c r="R1311" s="62">
        <f>ТабПозиции[[#This Row],[totalSumm]]-ТабПозиции[[#This Row],[payment]]</f>
        <v>0</v>
      </c>
      <c r="S1311" s="34" t="s">
        <v>955</v>
      </c>
      <c r="T1311" s="56" t="s">
        <v>3061</v>
      </c>
      <c r="U1311" s="56" t="str">
        <f>IF(AND(ТабПозиции[[#This Row],[Остаток]]=0,ТабПозиции[[#This Row],[ord]]="true"),"true","false")</f>
        <v>true</v>
      </c>
      <c r="V1311" s="56" t="s">
        <v>3061</v>
      </c>
      <c r="W1311" s="7"/>
      <c r="X1311"/>
    </row>
    <row r="1312" spans="1:24" x14ac:dyDescent="0.25">
      <c r="A1312" s="26">
        <v>353</v>
      </c>
      <c r="B1312" s="1">
        <f>IFERROR(VLOOKUP(ТабПозиции[[#This Row],[orderNum]],ТабЗаказы[#Data],MATCH(B$7,ТабЗаказы[#Headers],0),0),"")</f>
        <v>45618</v>
      </c>
      <c r="C1312" t="str">
        <f>MONTH(ТабПозиции[[#This Row],[date]])&amp;"/"&amp;YEAR(ТабПозиции[[#This Row],[date]])</f>
        <v>11/2024</v>
      </c>
      <c r="D1312" s="1" t="str">
        <f>IFERROR(VLOOKUP(ТабПозиции[[#This Row],[orderNum]],ТабЗаказы[#Data],MATCH(D$7,ТабЗаказы[#Headers],0),0),"")</f>
        <v>Анна Лавицкого</v>
      </c>
      <c r="E1312" s="26" t="s">
        <v>32</v>
      </c>
      <c r="F1312" s="56" t="s">
        <v>3061</v>
      </c>
      <c r="H1312" s="34">
        <v>45618</v>
      </c>
      <c r="I1312" s="26">
        <v>1</v>
      </c>
      <c r="J1312" s="26">
        <v>9219</v>
      </c>
      <c r="K1312">
        <f>ТабПозиции[[#This Row],[discountPrice]]*ТабПозиции[[#This Row],[quantity]]</f>
        <v>9219</v>
      </c>
      <c r="L1312" s="26">
        <v>9219</v>
      </c>
      <c r="M1312">
        <f t="shared" si="25"/>
        <v>9219</v>
      </c>
      <c r="O131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Row],[orderNum]],ТабПозиции[orderSumm])&gt;1500),ABS(M1312*VLOOKUP(ТабПозиции[[#This Row],[orderNum]],ТабЗаказы[#Data],MATCH("Percent",ТабЗаказы[#Headers],0),0))/100,200/COUNTIF(ТабПозиции[orderNum],ТабПозиции[[#This Row],[orderNum]])),0),"")</f>
        <v>1383</v>
      </c>
      <c r="P1312">
        <f>IF(OR(ТабПозиции[[#This Row],[item]]="По штрихкоду",ТабПозиции[[#This Row],[item]]="Посылка"),ТабПозиции[[#This Row],[deliverySumm]]+ТабПозиции[[#This Row],[deliveryPost]],SUM(M1312:O1312))</f>
        <v>1383</v>
      </c>
      <c r="Q1312" s="57">
        <v>1383</v>
      </c>
      <c r="R1312" s="62">
        <f>ТабПозиции[[#This Row],[totalSumm]]-ТабПозиции[[#This Row],[payment]]</f>
        <v>0</v>
      </c>
      <c r="S1312" s="34" t="s">
        <v>955</v>
      </c>
      <c r="T1312" s="56" t="s">
        <v>3061</v>
      </c>
      <c r="U1312" s="56" t="str">
        <f>IF(AND(ТабПозиции[[#This Row],[Остаток]]=0,ТабПозиции[[#This Row],[ord]]="true"),"true","false")</f>
        <v>true</v>
      </c>
      <c r="V1312" s="56" t="s">
        <v>3061</v>
      </c>
      <c r="W1312" s="7"/>
      <c r="X1312"/>
    </row>
    <row r="1313" spans="1:24" x14ac:dyDescent="0.25">
      <c r="A1313" s="26">
        <v>354</v>
      </c>
      <c r="B1313" s="1">
        <f>IFERROR(VLOOKUP(ТабПозиции[[#This Row],[orderNum]],ТабЗаказы[#Data],MATCH(B$7,ТабЗаказы[#Headers],0),0),"")</f>
        <v>45618</v>
      </c>
      <c r="C1313" t="str">
        <f>MONTH(ТабПозиции[[#This Row],[date]])&amp;"/"&amp;YEAR(ТабПозиции[[#This Row],[date]])</f>
        <v>11/2024</v>
      </c>
      <c r="D1313" s="1" t="str">
        <f>IFERROR(VLOOKUP(ТабПозиции[[#This Row],[orderNum]],ТабЗаказы[#Data],MATCH(D$7,ТабЗаказы[#Headers],0),0),"")</f>
        <v>Дарья Урицкого</v>
      </c>
      <c r="E1313" s="26" t="s">
        <v>32</v>
      </c>
      <c r="F1313" s="56" t="s">
        <v>3061</v>
      </c>
      <c r="H1313" s="34">
        <v>45618</v>
      </c>
      <c r="I1313" s="26">
        <v>1</v>
      </c>
      <c r="J1313" s="26">
        <v>4808</v>
      </c>
      <c r="K1313">
        <f>ТабПозиции[[#This Row],[discountPrice]]*ТабПозиции[[#This Row],[quantity]]</f>
        <v>4808</v>
      </c>
      <c r="L1313" s="26">
        <v>4808</v>
      </c>
      <c r="M1313">
        <f t="shared" si="25"/>
        <v>4808</v>
      </c>
      <c r="O131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Row],[orderNum]],ТабПозиции[orderSumm])&gt;1500),ABS(M1313*VLOOKUP(ТабПозиции[[#This Row],[orderNum]],ТабЗаказы[#Data],MATCH("Percent",ТабЗаказы[#Headers],0),0))/100,200/COUNTIF(ТабПозиции[orderNum],ТабПозиции[[#This Row],[orderNum]])),0),"")</f>
        <v>721</v>
      </c>
      <c r="P1313">
        <f>IF(OR(ТабПозиции[[#This Row],[item]]="По штрихкоду",ТабПозиции[[#This Row],[item]]="Посылка"),ТабПозиции[[#This Row],[deliverySumm]]+ТабПозиции[[#This Row],[deliveryPost]],SUM(M1313:O1313))</f>
        <v>721</v>
      </c>
      <c r="Q1313" s="57">
        <v>721</v>
      </c>
      <c r="R1313" s="62">
        <f>ТабПозиции[[#This Row],[totalSumm]]-ТабПозиции[[#This Row],[payment]]</f>
        <v>0</v>
      </c>
      <c r="S1313" s="34" t="s">
        <v>955</v>
      </c>
      <c r="T1313" s="56" t="s">
        <v>3061</v>
      </c>
      <c r="U1313" s="56" t="str">
        <f>IF(AND(ТабПозиции[[#This Row],[Остаток]]=0,ТабПозиции[[#This Row],[ord]]="true"),"true","false")</f>
        <v>true</v>
      </c>
      <c r="V1313" s="56" t="s">
        <v>3061</v>
      </c>
      <c r="W1313" s="7"/>
      <c r="X1313"/>
    </row>
    <row r="1314" spans="1:24" x14ac:dyDescent="0.25">
      <c r="A1314" s="26">
        <v>355</v>
      </c>
      <c r="B1314" s="1">
        <f>IFERROR(VLOOKUP(ТабПозиции[[#This Row],[orderNum]],ТабЗаказы[#Data],MATCH(B$7,ТабЗаказы[#Headers],0),0),"")</f>
        <v>45620</v>
      </c>
      <c r="C1314" t="str">
        <f>MONTH(ТабПозиции[[#This Row],[date]])&amp;"/"&amp;YEAR(ТабПозиции[[#This Row],[date]])</f>
        <v>11/2024</v>
      </c>
      <c r="D1314" s="1" t="str">
        <f>IFERROR(VLOOKUP(ТабПозиции[[#This Row],[orderNum]],ТабЗаказы[#Data],MATCH(D$7,ТабЗаказы[#Headers],0),0),"")</f>
        <v>Юля Ларисына</v>
      </c>
      <c r="E1314" s="32" t="s">
        <v>1951</v>
      </c>
      <c r="F1314" s="56" t="s">
        <v>3061</v>
      </c>
      <c r="H1314" s="34">
        <v>45623</v>
      </c>
      <c r="I1314" s="26">
        <v>1</v>
      </c>
      <c r="J1314" s="26">
        <v>127</v>
      </c>
      <c r="K1314">
        <f>ТабПозиции[[#This Row],[discountPrice]]*ТабПозиции[[#This Row],[quantity]]</f>
        <v>127</v>
      </c>
      <c r="L1314" s="26">
        <v>136</v>
      </c>
      <c r="M1314">
        <f t="shared" si="25"/>
        <v>136</v>
      </c>
      <c r="O131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Row],[orderNum]],ТабПозиции[orderSumm])&gt;1500),ABS(M1314*VLOOKUP(ТабПозиции[[#This Row],[orderNum]],ТабЗаказы[#Data],MATCH("Percent",ТабЗаказы[#Headers],0),0))/100,200/COUNTIF(ТабПозиции[orderNum],ТабПозиции[[#This Row],[orderNum]])),0),"")</f>
        <v>20</v>
      </c>
      <c r="P1314">
        <f>IF(OR(ТабПозиции[[#This Row],[item]]="По штрихкоду",ТабПозиции[[#This Row],[item]]="Посылка"),ТабПозиции[[#This Row],[deliverySumm]]+ТабПозиции[[#This Row],[deliveryPost]],SUM(M1314:O1314))</f>
        <v>156</v>
      </c>
      <c r="Q1314" s="57">
        <v>156</v>
      </c>
      <c r="R1314" s="62">
        <f>ТабПозиции[[#This Row],[totalSumm]]-ТабПозиции[[#This Row],[payment]]</f>
        <v>0</v>
      </c>
      <c r="S1314" s="34" t="s">
        <v>965</v>
      </c>
      <c r="T1314" s="56" t="s">
        <v>3061</v>
      </c>
      <c r="U1314" s="56" t="str">
        <f>IF(AND(ТабПозиции[[#This Row],[Остаток]]=0,ТабПозиции[[#This Row],[ord]]="true"),"true","false")</f>
        <v>true</v>
      </c>
      <c r="V1314" s="56" t="str">
        <f>IF(AND(ТабПозиции[[#This Row],[Остаток]]=0,ТабПозиции[[#This Row],[ord]]="true"),"true","false")</f>
        <v>true</v>
      </c>
      <c r="W1314" s="7"/>
      <c r="X1314"/>
    </row>
    <row r="1315" spans="1:24" x14ac:dyDescent="0.25">
      <c r="A1315" s="26">
        <v>355</v>
      </c>
      <c r="B1315" s="1">
        <f>IFERROR(VLOOKUP(ТабПозиции[[#This Row],[orderNum]],ТабЗаказы[#Data],MATCH(B$7,ТабЗаказы[#Headers],0),0),"")</f>
        <v>45620</v>
      </c>
      <c r="C1315" t="str">
        <f>MONTH(ТабПозиции[[#This Row],[date]])&amp;"/"&amp;YEAR(ТабПозиции[[#This Row],[date]])</f>
        <v>11/2024</v>
      </c>
      <c r="D1315" s="1" t="str">
        <f>IFERROR(VLOOKUP(ТабПозиции[[#This Row],[orderNum]],ТабЗаказы[#Data],MATCH(D$7,ТабЗаказы[#Headers],0),0),"")</f>
        <v>Юля Ларисына</v>
      </c>
      <c r="E1315" s="32" t="s">
        <v>1952</v>
      </c>
      <c r="F1315" s="56" t="s">
        <v>3061</v>
      </c>
      <c r="H1315" s="34">
        <v>45624</v>
      </c>
      <c r="I1315" s="26">
        <v>1</v>
      </c>
      <c r="J1315" s="26">
        <v>120</v>
      </c>
      <c r="K1315">
        <f>ТабПозиции[[#This Row],[discountPrice]]*ТабПозиции[[#This Row],[quantity]]</f>
        <v>120</v>
      </c>
      <c r="L1315" s="26">
        <v>128</v>
      </c>
      <c r="M1315">
        <f t="shared" si="25"/>
        <v>128</v>
      </c>
      <c r="O131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Row],[orderNum]],ТабПозиции[orderSumm])&gt;1500),ABS(M1315*VLOOKUP(ТабПозиции[[#This Row],[orderNum]],ТабЗаказы[#Data],MATCH("Percent",ТабЗаказы[#Headers],0),0))/100,200/COUNTIF(ТабПозиции[orderNum],ТабПозиции[[#This Row],[orderNum]])),0),"")</f>
        <v>19</v>
      </c>
      <c r="P1315">
        <f>IF(OR(ТабПозиции[[#This Row],[item]]="По штрихкоду",ТабПозиции[[#This Row],[item]]="Посылка"),ТабПозиции[[#This Row],[deliverySumm]]+ТабПозиции[[#This Row],[deliveryPost]],SUM(M1315:O1315))</f>
        <v>147</v>
      </c>
      <c r="Q1315" s="57">
        <v>147</v>
      </c>
      <c r="R1315" s="62">
        <f>ТабПозиции[[#This Row],[totalSumm]]-ТабПозиции[[#This Row],[payment]]</f>
        <v>0</v>
      </c>
      <c r="S1315" s="34" t="s">
        <v>965</v>
      </c>
      <c r="T1315" s="56" t="s">
        <v>3061</v>
      </c>
      <c r="U1315" s="56" t="str">
        <f>IF(AND(ТабПозиции[[#This Row],[Остаток]]=0,ТабПозиции[[#This Row],[ord]]="true"),"true","false")</f>
        <v>true</v>
      </c>
      <c r="V1315" s="56" t="str">
        <f>IF(AND(ТабПозиции[[#This Row],[Остаток]]=0,ТабПозиции[[#This Row],[ord]]="true"),"true","false")</f>
        <v>true</v>
      </c>
      <c r="W1315" s="7"/>
      <c r="X1315"/>
    </row>
    <row r="1316" spans="1:24" x14ac:dyDescent="0.25">
      <c r="A1316" s="26">
        <v>355</v>
      </c>
      <c r="B1316" s="1">
        <f>IFERROR(VLOOKUP(ТабПозиции[[#This Row],[orderNum]],ТабЗаказы[#Data],MATCH(B$7,ТабЗаказы[#Headers],0),0),"")</f>
        <v>45620</v>
      </c>
      <c r="C1316" t="str">
        <f>MONTH(ТабПозиции[[#This Row],[date]])&amp;"/"&amp;YEAR(ТабПозиции[[#This Row],[date]])</f>
        <v>11/2024</v>
      </c>
      <c r="D1316" s="1" t="str">
        <f>IFERROR(VLOOKUP(ТабПозиции[[#This Row],[orderNum]],ТабЗаказы[#Data],MATCH(D$7,ТабЗаказы[#Headers],0),0),"")</f>
        <v>Юля Ларисына</v>
      </c>
      <c r="E1316" s="32" t="s">
        <v>1953</v>
      </c>
      <c r="F1316" s="56" t="s">
        <v>3061</v>
      </c>
      <c r="H1316" s="34">
        <v>45622</v>
      </c>
      <c r="I1316" s="26">
        <v>1</v>
      </c>
      <c r="J1316" s="26">
        <v>95</v>
      </c>
      <c r="K1316">
        <f>ТабПозиции[[#This Row],[discountPrice]]*ТабПозиции[[#This Row],[quantity]]</f>
        <v>95</v>
      </c>
      <c r="L1316" s="26">
        <v>102</v>
      </c>
      <c r="M1316">
        <f t="shared" si="25"/>
        <v>102</v>
      </c>
      <c r="O131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Row],[orderNum]],ТабПозиции[orderSumm])&gt;1500),ABS(M1316*VLOOKUP(ТабПозиции[[#This Row],[orderNum]],ТабЗаказы[#Data],MATCH("Percent",ТабЗаказы[#Headers],0),0))/100,200/COUNTIF(ТабПозиции[orderNum],ТабПозиции[[#This Row],[orderNum]])),0),"")</f>
        <v>15</v>
      </c>
      <c r="P1316">
        <f>IF(OR(ТабПозиции[[#This Row],[item]]="По штрихкоду",ТабПозиции[[#This Row],[item]]="Посылка"),ТабПозиции[[#This Row],[deliverySumm]]+ТабПозиции[[#This Row],[deliveryPost]],SUM(M1316:O1316))</f>
        <v>117</v>
      </c>
      <c r="Q1316" s="57">
        <v>117</v>
      </c>
      <c r="R1316" s="62">
        <f>ТабПозиции[[#This Row],[totalSumm]]-ТабПозиции[[#This Row],[payment]]</f>
        <v>0</v>
      </c>
      <c r="S1316" s="34" t="s">
        <v>965</v>
      </c>
      <c r="T1316" s="56" t="s">
        <v>3061</v>
      </c>
      <c r="U1316" s="56" t="str">
        <f>IF(AND(ТабПозиции[[#This Row],[Остаток]]=0,ТабПозиции[[#This Row],[ord]]="true"),"true","false")</f>
        <v>true</v>
      </c>
      <c r="V1316" s="56" t="str">
        <f>IF(AND(ТабПозиции[[#This Row],[Остаток]]=0,ТабПозиции[[#This Row],[ord]]="true"),"true","false")</f>
        <v>true</v>
      </c>
      <c r="W1316" s="7"/>
      <c r="X1316"/>
    </row>
    <row r="1317" spans="1:24" x14ac:dyDescent="0.25">
      <c r="A1317" s="26">
        <v>355</v>
      </c>
      <c r="B1317" s="1">
        <f>IFERROR(VLOOKUP(ТабПозиции[[#This Row],[orderNum]],ТабЗаказы[#Data],MATCH(B$7,ТабЗаказы[#Headers],0),0),"")</f>
        <v>45620</v>
      </c>
      <c r="C1317" t="str">
        <f>MONTH(ТабПозиции[[#This Row],[date]])&amp;"/"&amp;YEAR(ТабПозиции[[#This Row],[date]])</f>
        <v>11/2024</v>
      </c>
      <c r="D1317" s="1" t="str">
        <f>IFERROR(VLOOKUP(ТабПозиции[[#This Row],[orderNum]],ТабЗаказы[#Data],MATCH(D$7,ТабЗаказы[#Headers],0),0),"")</f>
        <v>Юля Ларисына</v>
      </c>
      <c r="E1317" s="32" t="s">
        <v>1954</v>
      </c>
      <c r="F1317" s="56" t="s">
        <v>3061</v>
      </c>
      <c r="H1317" s="34">
        <v>45622</v>
      </c>
      <c r="I1317" s="26">
        <v>1</v>
      </c>
      <c r="J1317" s="26">
        <v>417</v>
      </c>
      <c r="K1317">
        <f>ТабПозиции[[#This Row],[discountPrice]]*ТабПозиции[[#This Row],[quantity]]</f>
        <v>417</v>
      </c>
      <c r="L1317" s="26">
        <v>438</v>
      </c>
      <c r="M1317">
        <f t="shared" si="25"/>
        <v>438</v>
      </c>
      <c r="O131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Row],[orderNum]],ТабПозиции[orderSumm])&gt;1500),ABS(M1317*VLOOKUP(ТабПозиции[[#This Row],[orderNum]],ТабЗаказы[#Data],MATCH("Percent",ТабЗаказы[#Headers],0),0))/100,200/COUNTIF(ТабПозиции[orderNum],ТабПозиции[[#This Row],[orderNum]])),0),"")</f>
        <v>66</v>
      </c>
      <c r="P1317">
        <f>IF(OR(ТабПозиции[[#This Row],[item]]="По штрихкоду",ТабПозиции[[#This Row],[item]]="Посылка"),ТабПозиции[[#This Row],[deliverySumm]]+ТабПозиции[[#This Row],[deliveryPost]],SUM(M1317:O1317))</f>
        <v>504</v>
      </c>
      <c r="Q1317" s="57">
        <v>504</v>
      </c>
      <c r="R1317" s="62">
        <f>ТабПозиции[[#This Row],[totalSumm]]-ТабПозиции[[#This Row],[payment]]</f>
        <v>0</v>
      </c>
      <c r="S1317" s="34" t="s">
        <v>955</v>
      </c>
      <c r="T1317" s="56" t="s">
        <v>3061</v>
      </c>
      <c r="U1317" s="56" t="str">
        <f>IF(AND(ТабПозиции[[#This Row],[Остаток]]=0,ТабПозиции[[#This Row],[ord]]="true"),"true","false")</f>
        <v>true</v>
      </c>
      <c r="V1317" s="56" t="str">
        <f>IF(AND(ТабПозиции[[#This Row],[Остаток]]=0,ТабПозиции[[#This Row],[ord]]="true"),"true","false")</f>
        <v>true</v>
      </c>
      <c r="W1317" s="7"/>
      <c r="X1317"/>
    </row>
    <row r="1318" spans="1:24" x14ac:dyDescent="0.25">
      <c r="A1318" s="26">
        <v>355</v>
      </c>
      <c r="B1318" s="1">
        <f>IFERROR(VLOOKUP(ТабПозиции[[#This Row],[orderNum]],ТабЗаказы[#Data],MATCH(B$7,ТабЗаказы[#Headers],0),0),"")</f>
        <v>45620</v>
      </c>
      <c r="C1318" t="str">
        <f>MONTH(ТабПозиции[[#This Row],[date]])&amp;"/"&amp;YEAR(ТабПозиции[[#This Row],[date]])</f>
        <v>11/2024</v>
      </c>
      <c r="D1318" s="1" t="str">
        <f>IFERROR(VLOOKUP(ТабПозиции[[#This Row],[orderNum]],ТабЗаказы[#Data],MATCH(D$7,ТабЗаказы[#Headers],0),0),"")</f>
        <v>Юля Ларисына</v>
      </c>
      <c r="E1318" s="32" t="s">
        <v>1955</v>
      </c>
      <c r="F1318" s="56" t="s">
        <v>3061</v>
      </c>
      <c r="H1318" s="34">
        <v>45622</v>
      </c>
      <c r="I1318" s="26">
        <v>1</v>
      </c>
      <c r="J1318" s="26">
        <v>483</v>
      </c>
      <c r="K1318">
        <f>ТабПозиции[[#This Row],[discountPrice]]*ТабПозиции[[#This Row],[quantity]]</f>
        <v>483</v>
      </c>
      <c r="L1318" s="26">
        <v>514</v>
      </c>
      <c r="M1318">
        <f t="shared" si="25"/>
        <v>514</v>
      </c>
      <c r="O131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Row],[orderNum]],ТабПозиции[orderSumm])&gt;1500),ABS(M1318*VLOOKUP(ТабПозиции[[#This Row],[orderNum]],ТабЗаказы[#Data],MATCH("Percent",ТабЗаказы[#Headers],0),0))/100,200/COUNTIF(ТабПозиции[orderNum],ТабПозиции[[#This Row],[orderNum]])),0),"")</f>
        <v>77</v>
      </c>
      <c r="P1318">
        <f>IF(OR(ТабПозиции[[#This Row],[item]]="По штрихкоду",ТабПозиции[[#This Row],[item]]="Посылка"),ТабПозиции[[#This Row],[deliverySumm]]+ТабПозиции[[#This Row],[deliveryPost]],SUM(M1318:O1318))</f>
        <v>591</v>
      </c>
      <c r="Q1318" s="57">
        <v>591</v>
      </c>
      <c r="R1318" s="62">
        <f>ТабПозиции[[#This Row],[totalSumm]]-ТабПозиции[[#This Row],[payment]]</f>
        <v>0</v>
      </c>
      <c r="S1318" s="34" t="s">
        <v>965</v>
      </c>
      <c r="T1318" s="56" t="s">
        <v>3061</v>
      </c>
      <c r="U1318" s="56" t="str">
        <f>IF(AND(ТабПозиции[[#This Row],[Остаток]]=0,ТабПозиции[[#This Row],[ord]]="true"),"true","false")</f>
        <v>true</v>
      </c>
      <c r="V1318" s="56" t="str">
        <f>IF(AND(ТабПозиции[[#This Row],[Остаток]]=0,ТабПозиции[[#This Row],[ord]]="true"),"true","false")</f>
        <v>true</v>
      </c>
      <c r="W1318" s="7"/>
      <c r="X1318"/>
    </row>
    <row r="1319" spans="1:24" x14ac:dyDescent="0.25">
      <c r="A1319" s="26">
        <v>355</v>
      </c>
      <c r="B1319" s="1">
        <f>IFERROR(VLOOKUP(ТабПозиции[[#This Row],[orderNum]],ТабЗаказы[#Data],MATCH(B$7,ТабЗаказы[#Headers],0),0),"")</f>
        <v>45620</v>
      </c>
      <c r="C1319" t="str">
        <f>MONTH(ТабПозиции[[#This Row],[date]])&amp;"/"&amp;YEAR(ТабПозиции[[#This Row],[date]])</f>
        <v>11/2024</v>
      </c>
      <c r="D1319" s="1" t="str">
        <f>IFERROR(VLOOKUP(ТабПозиции[[#This Row],[orderNum]],ТабЗаказы[#Data],MATCH(D$7,ТабЗаказы[#Headers],0),0),"")</f>
        <v>Юля Ларисына</v>
      </c>
      <c r="E1319" s="32" t="s">
        <v>1956</v>
      </c>
      <c r="F1319" s="56" t="s">
        <v>3061</v>
      </c>
      <c r="H1319" s="34">
        <v>45622</v>
      </c>
      <c r="I1319" s="26">
        <v>1</v>
      </c>
      <c r="J1319" s="26">
        <v>126</v>
      </c>
      <c r="K1319">
        <f>ТабПозиции[[#This Row],[discountPrice]]*ТабПозиции[[#This Row],[quantity]]</f>
        <v>126</v>
      </c>
      <c r="L1319" s="26">
        <v>135</v>
      </c>
      <c r="M1319">
        <f t="shared" si="25"/>
        <v>135</v>
      </c>
      <c r="O131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Row],[orderNum]],ТабПозиции[orderSumm])&gt;1500),ABS(M1319*VLOOKUP(ТабПозиции[[#This Row],[orderNum]],ТабЗаказы[#Data],MATCH("Percent",ТабЗаказы[#Headers],0),0))/100,200/COUNTIF(ТабПозиции[orderNum],ТабПозиции[[#This Row],[orderNum]])),0),"")</f>
        <v>20</v>
      </c>
      <c r="P1319">
        <f>IF(OR(ТабПозиции[[#This Row],[item]]="По штрихкоду",ТабПозиции[[#This Row],[item]]="Посылка"),ТабПозиции[[#This Row],[deliverySumm]]+ТабПозиции[[#This Row],[deliveryPost]],SUM(M1319:O1319))</f>
        <v>155</v>
      </c>
      <c r="Q1319" s="57">
        <v>155</v>
      </c>
      <c r="R1319" s="62">
        <f>ТабПозиции[[#This Row],[totalSumm]]-ТабПозиции[[#This Row],[payment]]</f>
        <v>0</v>
      </c>
      <c r="S1319" s="34" t="s">
        <v>965</v>
      </c>
      <c r="T1319" s="56" t="s">
        <v>3061</v>
      </c>
      <c r="U1319" s="56" t="str">
        <f>IF(AND(ТабПозиции[[#This Row],[Остаток]]=0,ТабПозиции[[#This Row],[ord]]="true"),"true","false")</f>
        <v>true</v>
      </c>
      <c r="V1319" s="56" t="str">
        <f>IF(AND(ТабПозиции[[#This Row],[Остаток]]=0,ТабПозиции[[#This Row],[ord]]="true"),"true","false")</f>
        <v>true</v>
      </c>
      <c r="W1319" s="7"/>
      <c r="X1319"/>
    </row>
    <row r="1320" spans="1:24" x14ac:dyDescent="0.25">
      <c r="A1320" s="26">
        <v>355</v>
      </c>
      <c r="B1320" s="1">
        <f>IFERROR(VLOOKUP(ТабПозиции[[#This Row],[orderNum]],ТабЗаказы[#Data],MATCH(B$7,ТабЗаказы[#Headers],0),0),"")</f>
        <v>45620</v>
      </c>
      <c r="C1320" t="str">
        <f>MONTH(ТабПозиции[[#This Row],[date]])&amp;"/"&amp;YEAR(ТабПозиции[[#This Row],[date]])</f>
        <v>11/2024</v>
      </c>
      <c r="D1320" s="1" t="str">
        <f>IFERROR(VLOOKUP(ТабПозиции[[#This Row],[orderNum]],ТабЗаказы[#Data],MATCH(D$7,ТабЗаказы[#Headers],0),0),"")</f>
        <v>Юля Ларисына</v>
      </c>
      <c r="E1320" s="32" t="s">
        <v>1957</v>
      </c>
      <c r="F1320" s="56" t="s">
        <v>3061</v>
      </c>
      <c r="H1320" s="34">
        <v>45621</v>
      </c>
      <c r="I1320" s="26">
        <v>1</v>
      </c>
      <c r="J1320" s="26">
        <v>141</v>
      </c>
      <c r="K1320">
        <f>ТабПозиции[[#This Row],[discountPrice]]*ТабПозиции[[#This Row],[quantity]]</f>
        <v>141</v>
      </c>
      <c r="L1320" s="26">
        <v>151</v>
      </c>
      <c r="M1320">
        <f t="shared" si="25"/>
        <v>151</v>
      </c>
      <c r="O132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Row],[orderNum]],ТабПозиции[orderSumm])&gt;1500),ABS(M1320*VLOOKUP(ТабПозиции[[#This Row],[orderNum]],ТабЗаказы[#Data],MATCH("Percent",ТабЗаказы[#Headers],0),0))/100,200/COUNTIF(ТабПозиции[orderNum],ТабПозиции[[#This Row],[orderNum]])),0),"")</f>
        <v>23</v>
      </c>
      <c r="P1320">
        <f>IF(OR(ТабПозиции[[#This Row],[item]]="По штрихкоду",ТабПозиции[[#This Row],[item]]="Посылка"),ТабПозиции[[#This Row],[deliverySumm]]+ТабПозиции[[#This Row],[deliveryPost]],SUM(M1320:O1320))</f>
        <v>174</v>
      </c>
      <c r="Q1320" s="57">
        <v>174</v>
      </c>
      <c r="R1320" s="62">
        <f>ТабПозиции[[#This Row],[totalSumm]]-ТабПозиции[[#This Row],[payment]]</f>
        <v>0</v>
      </c>
      <c r="S1320" s="34" t="s">
        <v>965</v>
      </c>
      <c r="T1320" s="56" t="s">
        <v>3061</v>
      </c>
      <c r="U1320" s="56" t="str">
        <f>IF(AND(ТабПозиции[[#This Row],[Остаток]]=0,ТабПозиции[[#This Row],[ord]]="true"),"true","false")</f>
        <v>true</v>
      </c>
      <c r="V1320" s="56" t="str">
        <f>IF(AND(ТабПозиции[[#This Row],[Остаток]]=0,ТабПозиции[[#This Row],[ord]]="true"),"true","false")</f>
        <v>true</v>
      </c>
      <c r="W1320" s="7"/>
      <c r="X1320"/>
    </row>
    <row r="1321" spans="1:24" x14ac:dyDescent="0.25">
      <c r="A1321" s="26">
        <v>355</v>
      </c>
      <c r="B1321" s="1">
        <f>IFERROR(VLOOKUP(ТабПозиции[[#This Row],[orderNum]],ТабЗаказы[#Data],MATCH(B$7,ТабЗаказы[#Headers],0),0),"")</f>
        <v>45620</v>
      </c>
      <c r="C1321" t="str">
        <f>MONTH(ТабПозиции[[#This Row],[date]])&amp;"/"&amp;YEAR(ТабПозиции[[#This Row],[date]])</f>
        <v>11/2024</v>
      </c>
      <c r="D1321" s="1" t="str">
        <f>IFERROR(VLOOKUP(ТабПозиции[[#This Row],[orderNum]],ТабЗаказы[#Data],MATCH(D$7,ТабЗаказы[#Headers],0),0),"")</f>
        <v>Юля Ларисына</v>
      </c>
      <c r="E1321" s="32" t="s">
        <v>1958</v>
      </c>
      <c r="F1321" s="56" t="s">
        <v>3061</v>
      </c>
      <c r="H1321" s="34">
        <v>45624</v>
      </c>
      <c r="I1321" s="26">
        <v>1</v>
      </c>
      <c r="J1321" s="26">
        <v>639</v>
      </c>
      <c r="K1321">
        <f>ТабПозиции[[#This Row],[discountPrice]]*ТабПозиции[[#This Row],[quantity]]</f>
        <v>639</v>
      </c>
      <c r="L1321" s="26">
        <v>680</v>
      </c>
      <c r="M1321">
        <f t="shared" si="25"/>
        <v>680</v>
      </c>
      <c r="O132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Row],[orderNum]],ТабПозиции[orderSumm])&gt;1500),ABS(M1321*VLOOKUP(ТабПозиции[[#This Row],[orderNum]],ТабЗаказы[#Data],MATCH("Percent",ТабЗаказы[#Headers],0),0))/100,200/COUNTIF(ТабПозиции[orderNum],ТабПозиции[[#This Row],[orderNum]])),0),"")</f>
        <v>102</v>
      </c>
      <c r="P1321">
        <f>IF(OR(ТабПозиции[[#This Row],[item]]="По штрихкоду",ТабПозиции[[#This Row],[item]]="Посылка"),ТабПозиции[[#This Row],[deliverySumm]]+ТабПозиции[[#This Row],[deliveryPost]],SUM(M1321:O1321))</f>
        <v>782</v>
      </c>
      <c r="Q1321" s="57">
        <v>782</v>
      </c>
      <c r="R1321" s="62">
        <f>ТабПозиции[[#This Row],[totalSumm]]-ТабПозиции[[#This Row],[payment]]</f>
        <v>0</v>
      </c>
      <c r="S1321" s="34" t="s">
        <v>965</v>
      </c>
      <c r="T1321" s="56" t="s">
        <v>3061</v>
      </c>
      <c r="U1321" s="56" t="str">
        <f>IF(AND(ТабПозиции[[#This Row],[Остаток]]=0,ТабПозиции[[#This Row],[ord]]="true"),"true","false")</f>
        <v>true</v>
      </c>
      <c r="V1321" s="56" t="str">
        <f>IF(AND(ТабПозиции[[#This Row],[Остаток]]=0,ТабПозиции[[#This Row],[ord]]="true"),"true","false")</f>
        <v>true</v>
      </c>
      <c r="W1321" s="7"/>
      <c r="X1321"/>
    </row>
    <row r="1322" spans="1:24" x14ac:dyDescent="0.25">
      <c r="A1322" s="26">
        <v>355</v>
      </c>
      <c r="B1322" s="1">
        <f>IFERROR(VLOOKUP(ТабПозиции[[#This Row],[orderNum]],ТабЗаказы[#Data],MATCH(B$7,ТабЗаказы[#Headers],0),0),"")</f>
        <v>45620</v>
      </c>
      <c r="C1322" t="str">
        <f>MONTH(ТабПозиции[[#This Row],[date]])&amp;"/"&amp;YEAR(ТабПозиции[[#This Row],[date]])</f>
        <v>11/2024</v>
      </c>
      <c r="D1322" s="1" t="str">
        <f>IFERROR(VLOOKUP(ТабПозиции[[#This Row],[orderNum]],ТабЗаказы[#Data],MATCH(D$7,ТабЗаказы[#Headers],0),0),"")</f>
        <v>Юля Ларисына</v>
      </c>
      <c r="E1322" s="32" t="s">
        <v>1959</v>
      </c>
      <c r="F1322" s="56" t="s">
        <v>3061</v>
      </c>
      <c r="H1322" s="34">
        <v>45622</v>
      </c>
      <c r="I1322" s="26">
        <v>1</v>
      </c>
      <c r="J1322" s="26">
        <v>295</v>
      </c>
      <c r="K1322">
        <f>ТабПозиции[[#This Row],[discountPrice]]*ТабПозиции[[#This Row],[quantity]]</f>
        <v>295</v>
      </c>
      <c r="L1322" s="26">
        <v>314</v>
      </c>
      <c r="M1322">
        <f t="shared" si="25"/>
        <v>314</v>
      </c>
      <c r="O132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Row],[orderNum]],ТабПозиции[orderSumm])&gt;1500),ABS(M1322*VLOOKUP(ТабПозиции[[#This Row],[orderNum]],ТабЗаказы[#Data],MATCH("Percent",ТабЗаказы[#Headers],0),0))/100,200/COUNTIF(ТабПозиции[orderNum],ТабПозиции[[#This Row],[orderNum]])),0),"")</f>
        <v>47</v>
      </c>
      <c r="P1322">
        <f>IF(OR(ТабПозиции[[#This Row],[item]]="По штрихкоду",ТабПозиции[[#This Row],[item]]="Посылка"),ТабПозиции[[#This Row],[deliverySumm]]+ТабПозиции[[#This Row],[deliveryPost]],SUM(M1322:O1322))</f>
        <v>361</v>
      </c>
      <c r="Q1322" s="57">
        <v>361</v>
      </c>
      <c r="R1322" s="62">
        <f>ТабПозиции[[#This Row],[totalSumm]]-ТабПозиции[[#This Row],[payment]]</f>
        <v>0</v>
      </c>
      <c r="S1322" s="34" t="s">
        <v>965</v>
      </c>
      <c r="T1322" s="56" t="s">
        <v>3061</v>
      </c>
      <c r="U1322" s="56" t="str">
        <f>IF(AND(ТабПозиции[[#This Row],[Остаток]]=0,ТабПозиции[[#This Row],[ord]]="true"),"true","false")</f>
        <v>true</v>
      </c>
      <c r="V1322" s="56" t="str">
        <f>IF(AND(ТабПозиции[[#This Row],[Остаток]]=0,ТабПозиции[[#This Row],[ord]]="true"),"true","false")</f>
        <v>true</v>
      </c>
      <c r="W1322" s="7"/>
      <c r="X1322"/>
    </row>
    <row r="1323" spans="1:24" x14ac:dyDescent="0.25">
      <c r="A1323" s="26">
        <v>355</v>
      </c>
      <c r="B1323" s="1">
        <f>IFERROR(VLOOKUP(ТабПозиции[[#This Row],[orderNum]],ТабЗаказы[#Data],MATCH(B$7,ТабЗаказы[#Headers],0),0),"")</f>
        <v>45620</v>
      </c>
      <c r="C1323" t="str">
        <f>MONTH(ТабПозиции[[#This Row],[date]])&amp;"/"&amp;YEAR(ТабПозиции[[#This Row],[date]])</f>
        <v>11/2024</v>
      </c>
      <c r="D1323" s="1" t="str">
        <f>IFERROR(VLOOKUP(ТабПозиции[[#This Row],[orderNum]],ТабЗаказы[#Data],MATCH(D$7,ТабЗаказы[#Headers],0),0),"")</f>
        <v>Юля Ларисына</v>
      </c>
      <c r="E1323" s="32" t="s">
        <v>1571</v>
      </c>
      <c r="F1323" s="56" t="s">
        <v>3061</v>
      </c>
      <c r="H1323" s="34">
        <v>45621</v>
      </c>
      <c r="I1323" s="26">
        <v>1</v>
      </c>
      <c r="J1323" s="26">
        <v>517</v>
      </c>
      <c r="K1323">
        <f>ТабПозиции[[#This Row],[discountPrice]]*ТабПозиции[[#This Row],[quantity]]</f>
        <v>517</v>
      </c>
      <c r="L1323" s="26">
        <v>551</v>
      </c>
      <c r="M1323">
        <f t="shared" si="25"/>
        <v>551</v>
      </c>
      <c r="O132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Row],[orderNum]],ТабПозиции[orderSumm])&gt;1500),ABS(M1323*VLOOKUP(ТабПозиции[[#This Row],[orderNum]],ТабЗаказы[#Data],MATCH("Percent",ТабЗаказы[#Headers],0),0))/100,200/COUNTIF(ТабПозиции[orderNum],ТабПозиции[[#This Row],[orderNum]])),0),"")</f>
        <v>83</v>
      </c>
      <c r="P1323">
        <f>IF(OR(ТабПозиции[[#This Row],[item]]="По штрихкоду",ТабПозиции[[#This Row],[item]]="Посылка"),ТабПозиции[[#This Row],[deliverySumm]]+ТабПозиции[[#This Row],[deliveryPost]],SUM(M1323:O1323))</f>
        <v>634</v>
      </c>
      <c r="Q1323" s="57">
        <v>634</v>
      </c>
      <c r="R1323" s="62">
        <f>ТабПозиции[[#This Row],[totalSumm]]-ТабПозиции[[#This Row],[payment]]</f>
        <v>0</v>
      </c>
      <c r="S1323" s="34" t="s">
        <v>965</v>
      </c>
      <c r="T1323" s="56" t="s">
        <v>3061</v>
      </c>
      <c r="U1323" s="56" t="str">
        <f>IF(AND(ТабПозиции[[#This Row],[Остаток]]=0,ТабПозиции[[#This Row],[ord]]="true"),"true","false")</f>
        <v>true</v>
      </c>
      <c r="V1323" s="56" t="str">
        <f>IF(AND(ТабПозиции[[#This Row],[Остаток]]=0,ТабПозиции[[#This Row],[ord]]="true"),"true","false")</f>
        <v>true</v>
      </c>
      <c r="W1323" s="7"/>
      <c r="X1323"/>
    </row>
    <row r="1324" spans="1:24" x14ac:dyDescent="0.25">
      <c r="A1324" s="26">
        <v>355</v>
      </c>
      <c r="B1324" s="1">
        <f>IFERROR(VLOOKUP(ТабПозиции[[#This Row],[orderNum]],ТабЗаказы[#Data],MATCH(B$7,ТабЗаказы[#Headers],0),0),"")</f>
        <v>45620</v>
      </c>
      <c r="C1324" t="str">
        <f>MONTH(ТабПозиции[[#This Row],[date]])&amp;"/"&amp;YEAR(ТабПозиции[[#This Row],[date]])</f>
        <v>11/2024</v>
      </c>
      <c r="D1324" s="1" t="str">
        <f>IFERROR(VLOOKUP(ТабПозиции[[#This Row],[orderNum]],ТабЗаказы[#Data],MATCH(D$7,ТабЗаказы[#Headers],0),0),"")</f>
        <v>Юля Ларисына</v>
      </c>
      <c r="E1324" s="32" t="s">
        <v>1960</v>
      </c>
      <c r="F1324" s="56" t="s">
        <v>3061</v>
      </c>
      <c r="H1324" s="34">
        <v>45623</v>
      </c>
      <c r="I1324" s="26">
        <v>1</v>
      </c>
      <c r="J1324" s="26">
        <v>1264</v>
      </c>
      <c r="K1324">
        <f>ТабПозиции[[#This Row],[discountPrice]]*ТабПозиции[[#This Row],[quantity]]</f>
        <v>1264</v>
      </c>
      <c r="L1324" s="26">
        <v>1345</v>
      </c>
      <c r="M1324">
        <f t="shared" si="25"/>
        <v>1345</v>
      </c>
      <c r="O132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Row],[orderNum]],ТабПозиции[orderSumm])&gt;1500),ABS(M1324*VLOOKUP(ТабПозиции[[#This Row],[orderNum]],ТабЗаказы[#Data],MATCH("Percent",ТабЗаказы[#Headers],0),0))/100,200/COUNTIF(ТабПозиции[orderNum],ТабПозиции[[#This Row],[orderNum]])),0),"")</f>
        <v>202</v>
      </c>
      <c r="P1324">
        <f>IF(OR(ТабПозиции[[#This Row],[item]]="По штрихкоду",ТабПозиции[[#This Row],[item]]="Посылка"),ТабПозиции[[#This Row],[deliverySumm]]+ТабПозиции[[#This Row],[deliveryPost]],SUM(M1324:O1324))</f>
        <v>1547</v>
      </c>
      <c r="Q1324" s="57">
        <v>1547</v>
      </c>
      <c r="R1324" s="62">
        <f>ТабПозиции[[#This Row],[totalSumm]]-ТабПозиции[[#This Row],[payment]]</f>
        <v>0</v>
      </c>
      <c r="S1324" s="34" t="s">
        <v>965</v>
      </c>
      <c r="T1324" s="56" t="s">
        <v>3061</v>
      </c>
      <c r="U1324" s="56" t="str">
        <f>IF(AND(ТабПозиции[[#This Row],[Остаток]]=0,ТабПозиции[[#This Row],[ord]]="true"),"true","false")</f>
        <v>true</v>
      </c>
      <c r="V1324" s="56" t="str">
        <f>IF(AND(ТабПозиции[[#This Row],[Остаток]]=0,ТабПозиции[[#This Row],[ord]]="true"),"true","false")</f>
        <v>true</v>
      </c>
      <c r="W1324" s="7"/>
      <c r="X1324"/>
    </row>
    <row r="1325" spans="1:24" x14ac:dyDescent="0.25">
      <c r="A1325" s="26">
        <v>355</v>
      </c>
      <c r="B1325" s="1">
        <f>IFERROR(VLOOKUP(ТабПозиции[[#This Row],[orderNum]],ТабЗаказы[#Data],MATCH(B$7,ТабЗаказы[#Headers],0),0),"")</f>
        <v>45620</v>
      </c>
      <c r="C1325" t="str">
        <f>MONTH(ТабПозиции[[#This Row],[date]])&amp;"/"&amp;YEAR(ТабПозиции[[#This Row],[date]])</f>
        <v>11/2024</v>
      </c>
      <c r="D1325" s="1" t="str">
        <f>IFERROR(VLOOKUP(ТабПозиции[[#This Row],[orderNum]],ТабЗаказы[#Data],MATCH(D$7,ТабЗаказы[#Headers],0),0),"")</f>
        <v>Юля Ларисына</v>
      </c>
      <c r="E1325" s="32" t="s">
        <v>1961</v>
      </c>
      <c r="F1325" s="56" t="s">
        <v>3061</v>
      </c>
      <c r="H1325" s="34">
        <v>45622</v>
      </c>
      <c r="I1325" s="26">
        <v>1</v>
      </c>
      <c r="J1325" s="26">
        <v>343</v>
      </c>
      <c r="K1325">
        <f>ТабПозиции[[#This Row],[discountPrice]]*ТабПозиции[[#This Row],[quantity]]</f>
        <v>343</v>
      </c>
      <c r="L1325" s="26">
        <v>365</v>
      </c>
      <c r="M1325">
        <f t="shared" si="25"/>
        <v>365</v>
      </c>
      <c r="O132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Row],[orderNum]],ТабПозиции[orderSumm])&gt;1500),ABS(M1325*VLOOKUP(ТабПозиции[[#This Row],[orderNum]],ТабЗаказы[#Data],MATCH("Percent",ТабЗаказы[#Headers],0),0))/100,200/COUNTIF(ТабПозиции[orderNum],ТабПозиции[[#This Row],[orderNum]])),0),"")</f>
        <v>55</v>
      </c>
      <c r="P1325">
        <f>IF(OR(ТабПозиции[[#This Row],[item]]="По штрихкоду",ТабПозиции[[#This Row],[item]]="Посылка"),ТабПозиции[[#This Row],[deliverySumm]]+ТабПозиции[[#This Row],[deliveryPost]],SUM(M1325:O1325))</f>
        <v>420</v>
      </c>
      <c r="Q1325" s="57">
        <v>420</v>
      </c>
      <c r="R1325" s="62">
        <f>ТабПозиции[[#This Row],[totalSumm]]-ТабПозиции[[#This Row],[payment]]</f>
        <v>0</v>
      </c>
      <c r="S1325" s="34" t="s">
        <v>965</v>
      </c>
      <c r="T1325" s="56" t="s">
        <v>3061</v>
      </c>
      <c r="U1325" s="56" t="str">
        <f>IF(AND(ТабПозиции[[#This Row],[Остаток]]=0,ТабПозиции[[#This Row],[ord]]="true"),"true","false")</f>
        <v>true</v>
      </c>
      <c r="V1325" s="56" t="str">
        <f>IF(AND(ТабПозиции[[#This Row],[Остаток]]=0,ТабПозиции[[#This Row],[ord]]="true"),"true","false")</f>
        <v>true</v>
      </c>
      <c r="W1325" s="7"/>
      <c r="X1325"/>
    </row>
    <row r="1326" spans="1:24" x14ac:dyDescent="0.25">
      <c r="A1326" s="26">
        <v>344</v>
      </c>
      <c r="B1326" s="1">
        <f>IFERROR(VLOOKUP(ТабПозиции[[#This Row],[orderNum]],ТабЗаказы[#Data],MATCH(B$7,ТабЗаказы[#Headers],0),0),"")</f>
        <v>45612</v>
      </c>
      <c r="C1326" t="str">
        <f>MONTH(ТабПозиции[[#This Row],[date]])&amp;"/"&amp;YEAR(ТабПозиции[[#This Row],[date]])</f>
        <v>11/2024</v>
      </c>
      <c r="D1326" s="1" t="str">
        <f>IFERROR(VLOOKUP(ТабПозиции[[#This Row],[orderNum]],ТабЗаказы[#Data],MATCH(D$7,ТабЗаказы[#Headers],0),0),"")</f>
        <v>Лидия Цысь</v>
      </c>
      <c r="E1326" s="32" t="s">
        <v>761</v>
      </c>
      <c r="F1326" s="56" t="s">
        <v>3061</v>
      </c>
      <c r="H1326" s="34">
        <v>45622</v>
      </c>
      <c r="I1326" s="26">
        <v>1</v>
      </c>
      <c r="J1326" s="26">
        <v>507</v>
      </c>
      <c r="K1326">
        <f>ТабПозиции[[#This Row],[discountPrice]]*ТабПозиции[[#This Row],[quantity]]</f>
        <v>507</v>
      </c>
      <c r="L1326" s="26">
        <v>554</v>
      </c>
      <c r="M1326">
        <f t="shared" si="25"/>
        <v>554</v>
      </c>
      <c r="O132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Row],[orderNum]],ТабПозиции[orderSumm])&gt;1500),ABS(M1326*VLOOKUP(ТабПозиции[[#This Row],[orderNum]],ТабЗаказы[#Data],MATCH("Percent",ТабЗаказы[#Headers],0),0))/100,200/COUNTIF(ТабПозиции[orderNum],ТабПозиции[[#This Row],[orderNum]])),0),"")</f>
        <v>83</v>
      </c>
      <c r="P1326">
        <f>IF(OR(ТабПозиции[[#This Row],[item]]="По штрихкоду",ТабПозиции[[#This Row],[item]]="Посылка"),ТабПозиции[[#This Row],[deliverySumm]]+ТабПозиции[[#This Row],[deliveryPost]],SUM(M1326:O1326))</f>
        <v>637</v>
      </c>
      <c r="Q1326" s="57">
        <v>637</v>
      </c>
      <c r="R1326" s="62">
        <f>ТабПозиции[[#This Row],[totalSumm]]-ТабПозиции[[#This Row],[payment]]</f>
        <v>0</v>
      </c>
      <c r="S1326" s="34" t="s">
        <v>955</v>
      </c>
      <c r="T1326" s="56" t="s">
        <v>3061</v>
      </c>
      <c r="U1326" s="56" t="str">
        <f>IF(AND(ТабПозиции[[#This Row],[Остаток]]=0,ТабПозиции[[#This Row],[ord]]="true"),"true","false")</f>
        <v>true</v>
      </c>
      <c r="V1326" s="56" t="str">
        <f>IF(AND(ТабПозиции[[#This Row],[Остаток]]=0,ТабПозиции[[#This Row],[ord]]="true"),"true","false")</f>
        <v>true</v>
      </c>
      <c r="W1326" s="7"/>
      <c r="X1326"/>
    </row>
    <row r="1327" spans="1:24" x14ac:dyDescent="0.25">
      <c r="A1327" s="26">
        <v>356</v>
      </c>
      <c r="B1327" s="1">
        <f>IFERROR(VLOOKUP(ТабПозиции[[#This Row],[orderNum]],ТабЗаказы[#Data],MATCH(B$7,ТабЗаказы[#Headers],0),0),"")</f>
        <v>45622</v>
      </c>
      <c r="C1327" t="str">
        <f>MONTH(ТабПозиции[[#This Row],[date]])&amp;"/"&amp;YEAR(ТабПозиции[[#This Row],[date]])</f>
        <v>11/2024</v>
      </c>
      <c r="D1327" s="1" t="str">
        <f>IFERROR(VLOOKUP(ТабПозиции[[#This Row],[orderNum]],ТабЗаказы[#Data],MATCH(D$7,ТабЗаказы[#Headers],0),0),"")</f>
        <v>Михаил Куприна</v>
      </c>
      <c r="E1327" s="32" t="s">
        <v>1962</v>
      </c>
      <c r="F1327" s="56" t="s">
        <v>3061</v>
      </c>
      <c r="H1327" s="34">
        <v>45624</v>
      </c>
      <c r="I1327" s="26">
        <v>1</v>
      </c>
      <c r="J1327" s="26">
        <v>692</v>
      </c>
      <c r="K1327">
        <f>ТабПозиции[[#This Row],[discountPrice]]*ТабПозиции[[#This Row],[quantity]]</f>
        <v>692</v>
      </c>
      <c r="L1327" s="26">
        <v>742</v>
      </c>
      <c r="M1327">
        <f t="shared" si="25"/>
        <v>742</v>
      </c>
      <c r="O132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Row],[orderNum]],ТабПозиции[orderSumm])&gt;1500),ABS(M1327*VLOOKUP(ТабПозиции[[#This Row],[orderNum]],ТабЗаказы[#Data],MATCH("Percent",ТабЗаказы[#Headers],0),0))/100,200/COUNTIF(ТабПозиции[orderNum],ТабПозиции[[#This Row],[orderNum]])),0),"")</f>
        <v>111</v>
      </c>
      <c r="P1327">
        <f>IF(OR(ТабПозиции[[#This Row],[item]]="По штрихкоду",ТабПозиции[[#This Row],[item]]="Посылка"),ТабПозиции[[#This Row],[deliverySumm]]+ТабПозиции[[#This Row],[deliveryPost]],SUM(M1327:O1327))</f>
        <v>853</v>
      </c>
      <c r="Q1327" s="57">
        <v>853</v>
      </c>
      <c r="R1327" s="62">
        <f>ТабПозиции[[#This Row],[totalSumm]]-ТабПозиции[[#This Row],[payment]]</f>
        <v>0</v>
      </c>
      <c r="S1327" s="34" t="s">
        <v>955</v>
      </c>
      <c r="T1327" s="56" t="s">
        <v>3061</v>
      </c>
      <c r="U1327" s="56" t="str">
        <f>IF(AND(ТабПозиции[[#This Row],[Остаток]]=0,ТабПозиции[[#This Row],[ord]]="true"),"true","false")</f>
        <v>true</v>
      </c>
      <c r="V1327" s="56" t="str">
        <f>IF(AND(ТабПозиции[[#This Row],[Остаток]]=0,ТабПозиции[[#This Row],[ord]]="true"),"true","false")</f>
        <v>true</v>
      </c>
      <c r="W1327" s="7"/>
      <c r="X1327"/>
    </row>
    <row r="1328" spans="1:24" x14ac:dyDescent="0.25">
      <c r="A1328" s="26">
        <v>356</v>
      </c>
      <c r="B1328" s="1">
        <f>IFERROR(VLOOKUP(ТабПозиции[[#This Row],[orderNum]],ТабЗаказы[#Data],MATCH(B$7,ТабЗаказы[#Headers],0),0),"")</f>
        <v>45622</v>
      </c>
      <c r="C1328" t="str">
        <f>MONTH(ТабПозиции[[#This Row],[date]])&amp;"/"&amp;YEAR(ТабПозиции[[#This Row],[date]])</f>
        <v>11/2024</v>
      </c>
      <c r="D1328" s="1" t="str">
        <f>IFERROR(VLOOKUP(ТабПозиции[[#This Row],[orderNum]],ТабЗаказы[#Data],MATCH(D$7,ТабЗаказы[#Headers],0),0),"")</f>
        <v>Михаил Куприна</v>
      </c>
      <c r="E1328" s="32" t="s">
        <v>1811</v>
      </c>
      <c r="F1328" s="56" t="s">
        <v>3061</v>
      </c>
      <c r="H1328" s="34">
        <v>45628</v>
      </c>
      <c r="I1328" s="26">
        <v>1</v>
      </c>
      <c r="J1328" s="26">
        <v>1310</v>
      </c>
      <c r="K1328">
        <f>ТабПозиции[[#This Row],[discountPrice]]*ТабПозиции[[#This Row],[quantity]]</f>
        <v>1310</v>
      </c>
      <c r="L1328" s="26">
        <v>1407</v>
      </c>
      <c r="M1328">
        <f t="shared" si="25"/>
        <v>1407</v>
      </c>
      <c r="O132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Row],[orderNum]],ТабПозиции[orderSumm])&gt;1500),ABS(M1328*VLOOKUP(ТабПозиции[[#This Row],[orderNum]],ТабЗаказы[#Data],MATCH("Percent",ТабЗаказы[#Headers],0),0))/100,200/COUNTIF(ТабПозиции[orderNum],ТабПозиции[[#This Row],[orderNum]])),0),"")</f>
        <v>211</v>
      </c>
      <c r="P1328">
        <f>IF(OR(ТабПозиции[[#This Row],[item]]="По штрихкоду",ТабПозиции[[#This Row],[item]]="Посылка"),ТабПозиции[[#This Row],[deliverySumm]]+ТабПозиции[[#This Row],[deliveryPost]],SUM(M1328:O1328))</f>
        <v>1618</v>
      </c>
      <c r="Q1328" s="57">
        <v>1618</v>
      </c>
      <c r="R1328" s="62">
        <f>ТабПозиции[[#This Row],[totalSumm]]-ТабПозиции[[#This Row],[payment]]</f>
        <v>0</v>
      </c>
      <c r="S1328" s="34" t="s">
        <v>955</v>
      </c>
      <c r="T1328" s="56" t="s">
        <v>3061</v>
      </c>
      <c r="U1328" s="56" t="str">
        <f>IF(AND(ТабПозиции[[#This Row],[Остаток]]=0,ТабПозиции[[#This Row],[ord]]="true"),"true","false")</f>
        <v>true</v>
      </c>
      <c r="V1328" s="56" t="str">
        <f>IF(AND(ТабПозиции[[#This Row],[Остаток]]=0,ТабПозиции[[#This Row],[ord]]="true"),"true","false")</f>
        <v>true</v>
      </c>
      <c r="W1328" s="7"/>
      <c r="X1328"/>
    </row>
    <row r="1329" spans="1:24" x14ac:dyDescent="0.25">
      <c r="A1329" s="26">
        <v>356</v>
      </c>
      <c r="B1329" s="1">
        <f>IFERROR(VLOOKUP(ТабПозиции[[#This Row],[orderNum]],ТабЗаказы[#Data],MATCH(B$7,ТабЗаказы[#Headers],0),0),"")</f>
        <v>45622</v>
      </c>
      <c r="C1329" t="str">
        <f>MONTH(ТабПозиции[[#This Row],[date]])&amp;"/"&amp;YEAR(ТабПозиции[[#This Row],[date]])</f>
        <v>11/2024</v>
      </c>
      <c r="D1329" s="1" t="str">
        <f>IFERROR(VLOOKUP(ТабПозиции[[#This Row],[orderNum]],ТабЗаказы[#Data],MATCH(D$7,ТабЗаказы[#Headers],0),0),"")</f>
        <v>Михаил Куприна</v>
      </c>
      <c r="E1329" s="32" t="s">
        <v>1963</v>
      </c>
      <c r="F1329" s="56" t="s">
        <v>3061</v>
      </c>
      <c r="H1329" s="34">
        <v>45624</v>
      </c>
      <c r="I1329" s="26">
        <v>1</v>
      </c>
      <c r="J1329" s="26">
        <v>631</v>
      </c>
      <c r="K1329">
        <f>ТабПозиции[[#This Row],[discountPrice]]*ТабПозиции[[#This Row],[quantity]]</f>
        <v>631</v>
      </c>
      <c r="L1329" s="26">
        <v>676</v>
      </c>
      <c r="M1329">
        <f t="shared" si="25"/>
        <v>676</v>
      </c>
      <c r="O132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Row],[orderNum]],ТабПозиции[orderSumm])&gt;1500),ABS(M1329*VLOOKUP(ТабПозиции[[#This Row],[orderNum]],ТабЗаказы[#Data],MATCH("Percent",ТабЗаказы[#Headers],0),0))/100,200/COUNTIF(ТабПозиции[orderNum],ТабПозиции[[#This Row],[orderNum]])),0),"")</f>
        <v>101</v>
      </c>
      <c r="P1329">
        <f>IF(OR(ТабПозиции[[#This Row],[item]]="По штрихкоду",ТабПозиции[[#This Row],[item]]="Посылка"),ТабПозиции[[#This Row],[deliverySumm]]+ТабПозиции[[#This Row],[deliveryPost]],SUM(M1329:O1329))</f>
        <v>777</v>
      </c>
      <c r="Q1329" s="57">
        <v>777</v>
      </c>
      <c r="R1329" s="62">
        <f>ТабПозиции[[#This Row],[totalSumm]]-ТабПозиции[[#This Row],[payment]]</f>
        <v>0</v>
      </c>
      <c r="S1329" s="34" t="s">
        <v>955</v>
      </c>
      <c r="T1329" s="56" t="s">
        <v>3061</v>
      </c>
      <c r="U1329" s="56" t="str">
        <f>IF(AND(ТабПозиции[[#This Row],[Остаток]]=0,ТабПозиции[[#This Row],[ord]]="true"),"true","false")</f>
        <v>true</v>
      </c>
      <c r="V1329" s="56" t="str">
        <f>IF(AND(ТабПозиции[[#This Row],[Остаток]]=0,ТабПозиции[[#This Row],[ord]]="true"),"true","false")</f>
        <v>true</v>
      </c>
      <c r="W1329" s="7"/>
      <c r="X1329"/>
    </row>
    <row r="1330" spans="1:24" x14ac:dyDescent="0.25">
      <c r="A1330" s="26">
        <v>357</v>
      </c>
      <c r="B1330" s="1">
        <f>IFERROR(VLOOKUP(ТабПозиции[[#This Row],[orderNum]],ТабЗаказы[#Data],MATCH(B$7,ТабЗаказы[#Headers],0),0),"")</f>
        <v>45622</v>
      </c>
      <c r="C1330" t="str">
        <f>MONTH(ТабПозиции[[#This Row],[date]])&amp;"/"&amp;YEAR(ТабПозиции[[#This Row],[date]])</f>
        <v>11/2024</v>
      </c>
      <c r="D1330" s="1" t="str">
        <f>IFERROR(VLOOKUP(ТабПозиции[[#This Row],[orderNum]],ТабЗаказы[#Data],MATCH(D$7,ТабЗаказы[#Headers],0),0),"")</f>
        <v>Дронго</v>
      </c>
      <c r="E1330" s="32" t="s">
        <v>1968</v>
      </c>
      <c r="F1330" s="56" t="s">
        <v>3061</v>
      </c>
      <c r="H1330" s="34">
        <v>45624</v>
      </c>
      <c r="I1330" s="26">
        <v>1</v>
      </c>
      <c r="J1330" s="26">
        <v>25227</v>
      </c>
      <c r="K1330">
        <f>ТабПозиции[[#This Row],[discountPrice]]*ТабПозиции[[#This Row],[quantity]]</f>
        <v>25227</v>
      </c>
      <c r="L1330" s="26">
        <v>26472</v>
      </c>
      <c r="M1330">
        <f t="shared" si="25"/>
        <v>26472</v>
      </c>
      <c r="O133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Row],[orderNum]],ТабПозиции[orderSumm])&gt;1500),ABS(M1330*VLOOKUP(ТабПозиции[[#This Row],[orderNum]],ТабЗаказы[#Data],MATCH("Percent",ТабЗаказы[#Headers],0),0))/100,200/COUNTIF(ТабПозиции[orderNum],ТабПозиции[[#This Row],[orderNum]])),0),"")</f>
        <v>2647</v>
      </c>
      <c r="P1330">
        <f>IF(OR(ТабПозиции[[#This Row],[item]]="По штрихкоду",ТабПозиции[[#This Row],[item]]="Посылка"),ТабПозиции[[#This Row],[deliverySumm]]+ТабПозиции[[#This Row],[deliveryPost]],SUM(M1330:O1330))</f>
        <v>29119</v>
      </c>
      <c r="Q1330" s="57">
        <v>29119</v>
      </c>
      <c r="R1330" s="62">
        <f>ТабПозиции[[#This Row],[totalSumm]]-ТабПозиции[[#This Row],[payment]]</f>
        <v>0</v>
      </c>
      <c r="S1330" s="34" t="s">
        <v>955</v>
      </c>
      <c r="T1330" s="56" t="s">
        <v>3061</v>
      </c>
      <c r="U1330" s="56" t="str">
        <f>IF(AND(ТабПозиции[[#This Row],[Остаток]]=0,ТабПозиции[[#This Row],[ord]]="true"),"true","false")</f>
        <v>true</v>
      </c>
      <c r="V1330" s="56" t="str">
        <f>IF(AND(ТабПозиции[[#This Row],[Остаток]]=0,ТабПозиции[[#This Row],[ord]]="true"),"true","false")</f>
        <v>true</v>
      </c>
      <c r="W1330" s="7"/>
      <c r="X1330"/>
    </row>
    <row r="1331" spans="1:24" x14ac:dyDescent="0.25">
      <c r="A1331" s="26">
        <v>358</v>
      </c>
      <c r="B1331" s="1">
        <f>IFERROR(VLOOKUP(ТабПозиции[[#This Row],[orderNum]],ТабЗаказы[#Data],MATCH(B$7,ТабЗаказы[#Headers],0),0),"")</f>
        <v>45622</v>
      </c>
      <c r="C1331" t="str">
        <f>MONTH(ТабПозиции[[#This Row],[date]])&amp;"/"&amp;YEAR(ТабПозиции[[#This Row],[date]])</f>
        <v>11/2024</v>
      </c>
      <c r="D1331" s="1" t="str">
        <f>IFERROR(VLOOKUP(ТабПозиции[[#This Row],[orderNum]],ТабЗаказы[#Data],MATCH(D$7,ТабЗаказы[#Headers],0),0),"")</f>
        <v>Елена от Светланы</v>
      </c>
      <c r="E1331" s="32" t="s">
        <v>1969</v>
      </c>
      <c r="F1331" s="56" t="s">
        <v>3061</v>
      </c>
      <c r="H1331" s="34">
        <v>45624</v>
      </c>
      <c r="I1331" s="26">
        <v>1</v>
      </c>
      <c r="J1331" s="26">
        <v>538</v>
      </c>
      <c r="K1331">
        <f>ТабПозиции[[#This Row],[discountPrice]]*ТабПозиции[[#This Row],[quantity]]</f>
        <v>538</v>
      </c>
      <c r="L1331" s="26">
        <v>538</v>
      </c>
      <c r="M1331">
        <f t="shared" si="25"/>
        <v>538</v>
      </c>
      <c r="O133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Row],[orderNum]],ТабПозиции[orderSumm])&gt;1500),ABS(M1331*VLOOKUP(ТабПозиции[[#This Row],[orderNum]],ТабЗаказы[#Data],MATCH("Percent",ТабЗаказы[#Headers],0),0))/100,200/COUNTIF(ТабПозиции[orderNum],ТабПозиции[[#This Row],[orderNum]])),0),"")</f>
        <v>81</v>
      </c>
      <c r="P1331">
        <f>IF(OR(ТабПозиции[[#This Row],[item]]="По штрихкоду",ТабПозиции[[#This Row],[item]]="Посылка"),ТабПозиции[[#This Row],[deliverySumm]]+ТабПозиции[[#This Row],[deliveryPost]],SUM(M1331:O1331))</f>
        <v>619</v>
      </c>
      <c r="Q1331" s="57">
        <v>619</v>
      </c>
      <c r="R1331" s="62">
        <f>ТабПозиции[[#This Row],[totalSumm]]-ТабПозиции[[#This Row],[payment]]</f>
        <v>0</v>
      </c>
      <c r="S1331" s="34" t="s">
        <v>965</v>
      </c>
      <c r="T1331" s="56" t="s">
        <v>3061</v>
      </c>
      <c r="U1331" s="56" t="str">
        <f>IF(AND(ТабПозиции[[#This Row],[Остаток]]=0,ТабПозиции[[#This Row],[ord]]="true"),"true","false")</f>
        <v>true</v>
      </c>
      <c r="V1331" s="56" t="str">
        <f>IF(AND(ТабПозиции[[#This Row],[Остаток]]=0,ТабПозиции[[#This Row],[ord]]="true"),"true","false")</f>
        <v>true</v>
      </c>
      <c r="W1331" s="7"/>
      <c r="X1331"/>
    </row>
    <row r="1332" spans="1:24" x14ac:dyDescent="0.25">
      <c r="A1332" s="26">
        <v>358</v>
      </c>
      <c r="B1332" s="1">
        <f>IFERROR(VLOOKUP(ТабПозиции[[#This Row],[orderNum]],ТабЗаказы[#Data],MATCH(B$7,ТабЗаказы[#Headers],0),0),"")</f>
        <v>45622</v>
      </c>
      <c r="C1332" t="str">
        <f>MONTH(ТабПозиции[[#This Row],[date]])&amp;"/"&amp;YEAR(ТабПозиции[[#This Row],[date]])</f>
        <v>11/2024</v>
      </c>
      <c r="D1332" s="1" t="str">
        <f>IFERROR(VLOOKUP(ТабПозиции[[#This Row],[orderNum]],ТабЗаказы[#Data],MATCH(D$7,ТабЗаказы[#Headers],0),0),"")</f>
        <v>Елена от Светланы</v>
      </c>
      <c r="E1332" s="32" t="s">
        <v>1970</v>
      </c>
      <c r="F1332" s="56" t="s">
        <v>3061</v>
      </c>
      <c r="H1332" s="34">
        <v>45624</v>
      </c>
      <c r="I1332" s="26">
        <v>1</v>
      </c>
      <c r="J1332" s="26">
        <v>789</v>
      </c>
      <c r="K1332">
        <f>ТабПозиции[[#This Row],[discountPrice]]*ТабПозиции[[#This Row],[quantity]]</f>
        <v>789</v>
      </c>
      <c r="L1332" s="26">
        <v>789</v>
      </c>
      <c r="M1332">
        <f t="shared" si="25"/>
        <v>789</v>
      </c>
      <c r="O133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Row],[orderNum]],ТабПозиции[orderSumm])&gt;1500),ABS(M1332*VLOOKUP(ТабПозиции[[#This Row],[orderNum]],ТабЗаказы[#Data],MATCH("Percent",ТабЗаказы[#Headers],0),0))/100,200/COUNTIF(ТабПозиции[orderNum],ТабПозиции[[#This Row],[orderNum]])),0),"")</f>
        <v>118</v>
      </c>
      <c r="P1332">
        <f>IF(OR(ТабПозиции[[#This Row],[item]]="По штрихкоду",ТабПозиции[[#This Row],[item]]="Посылка"),ТабПозиции[[#This Row],[deliverySumm]]+ТабПозиции[[#This Row],[deliveryPost]],SUM(M1332:O1332))</f>
        <v>907</v>
      </c>
      <c r="Q1332" s="57">
        <v>907</v>
      </c>
      <c r="R1332" s="62">
        <f>ТабПозиции[[#This Row],[totalSumm]]-ТабПозиции[[#This Row],[payment]]</f>
        <v>0</v>
      </c>
      <c r="S1332" s="34" t="s">
        <v>965</v>
      </c>
      <c r="T1332" s="56" t="s">
        <v>3061</v>
      </c>
      <c r="U1332" s="56" t="str">
        <f>IF(AND(ТабПозиции[[#This Row],[Остаток]]=0,ТабПозиции[[#This Row],[ord]]="true"),"true","false")</f>
        <v>true</v>
      </c>
      <c r="V1332" s="56" t="str">
        <f>IF(AND(ТабПозиции[[#This Row],[Остаток]]=0,ТабПозиции[[#This Row],[ord]]="true"),"true","false")</f>
        <v>true</v>
      </c>
      <c r="W1332" s="7"/>
      <c r="X1332"/>
    </row>
    <row r="1333" spans="1:24" x14ac:dyDescent="0.25">
      <c r="A1333" s="26">
        <v>358</v>
      </c>
      <c r="B1333" s="1">
        <f>IFERROR(VLOOKUP(ТабПозиции[[#This Row],[orderNum]],ТабЗаказы[#Data],MATCH(B$7,ТабЗаказы[#Headers],0),0),"")</f>
        <v>45622</v>
      </c>
      <c r="C1333" t="str">
        <f>MONTH(ТабПозиции[[#This Row],[date]])&amp;"/"&amp;YEAR(ТабПозиции[[#This Row],[date]])</f>
        <v>11/2024</v>
      </c>
      <c r="D1333" s="1" t="str">
        <f>IFERROR(VLOOKUP(ТабПозиции[[#This Row],[orderNum]],ТабЗаказы[#Data],MATCH(D$7,ТабЗаказы[#Headers],0),0),"")</f>
        <v>Елена от Светланы</v>
      </c>
      <c r="E1333" s="32" t="s">
        <v>1971</v>
      </c>
      <c r="F1333" s="56" t="s">
        <v>3061</v>
      </c>
      <c r="H1333" s="34">
        <v>45626</v>
      </c>
      <c r="I1333" s="26">
        <v>1</v>
      </c>
      <c r="J1333" s="26">
        <v>305</v>
      </c>
      <c r="K1333">
        <f>ТабПозиции[[#This Row],[discountPrice]]*ТабПозиции[[#This Row],[quantity]]</f>
        <v>305</v>
      </c>
      <c r="L1333" s="26">
        <v>305</v>
      </c>
      <c r="M1333">
        <f t="shared" si="25"/>
        <v>305</v>
      </c>
      <c r="O133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Row],[orderNum]],ТабПозиции[orderSumm])&gt;1500),ABS(M1333*VLOOKUP(ТабПозиции[[#This Row],[orderNum]],ТабЗаказы[#Data],MATCH("Percent",ТабЗаказы[#Headers],0),0))/100,200/COUNTIF(ТабПозиции[orderNum],ТабПозиции[[#This Row],[orderNum]])),0),"")</f>
        <v>46</v>
      </c>
      <c r="P1333">
        <f>IF(OR(ТабПозиции[[#This Row],[item]]="По штрихкоду",ТабПозиции[[#This Row],[item]]="Посылка"),ТабПозиции[[#This Row],[deliverySumm]]+ТабПозиции[[#This Row],[deliveryPost]],SUM(M1333:O1333))</f>
        <v>351</v>
      </c>
      <c r="Q1333" s="57">
        <v>351</v>
      </c>
      <c r="R1333" s="62">
        <f>ТабПозиции[[#This Row],[totalSumm]]-ТабПозиции[[#This Row],[payment]]</f>
        <v>0</v>
      </c>
      <c r="S1333" s="34" t="s">
        <v>965</v>
      </c>
      <c r="T1333" s="56" t="s">
        <v>3061</v>
      </c>
      <c r="U1333" s="56" t="str">
        <f>IF(AND(ТабПозиции[[#This Row],[Остаток]]=0,ТабПозиции[[#This Row],[ord]]="true"),"true","false")</f>
        <v>true</v>
      </c>
      <c r="V1333" s="56" t="str">
        <f>IF(AND(ТабПозиции[[#This Row],[Остаток]]=0,ТабПозиции[[#This Row],[ord]]="true"),"true","false")</f>
        <v>true</v>
      </c>
      <c r="W1333" s="7"/>
      <c r="X1333"/>
    </row>
    <row r="1334" spans="1:24" x14ac:dyDescent="0.25">
      <c r="A1334" s="26">
        <v>358</v>
      </c>
      <c r="B1334" s="1">
        <f>IFERROR(VLOOKUP(ТабПозиции[[#This Row],[orderNum]],ТабЗаказы[#Data],MATCH(B$7,ТабЗаказы[#Headers],0),0),"")</f>
        <v>45622</v>
      </c>
      <c r="C1334" t="str">
        <f>MONTH(ТабПозиции[[#This Row],[date]])&amp;"/"&amp;YEAR(ТабПозиции[[#This Row],[date]])</f>
        <v>11/2024</v>
      </c>
      <c r="D1334" s="1" t="str">
        <f>IFERROR(VLOOKUP(ТабПозиции[[#This Row],[orderNum]],ТабЗаказы[#Data],MATCH(D$7,ТабЗаказы[#Headers],0),0),"")</f>
        <v>Елена от Светланы</v>
      </c>
      <c r="E1334" s="32" t="s">
        <v>1972</v>
      </c>
      <c r="F1334" s="56" t="s">
        <v>3061</v>
      </c>
      <c r="H1334" s="34">
        <v>45625</v>
      </c>
      <c r="I1334" s="26">
        <v>1</v>
      </c>
      <c r="J1334" s="26">
        <v>193</v>
      </c>
      <c r="K1334">
        <f>ТабПозиции[[#This Row],[discountPrice]]*ТабПозиции[[#This Row],[quantity]]</f>
        <v>193</v>
      </c>
      <c r="L1334" s="26">
        <v>193</v>
      </c>
      <c r="M1334">
        <f t="shared" si="25"/>
        <v>193</v>
      </c>
      <c r="O133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Row],[orderNum]],ТабПозиции[orderSumm])&gt;1500),ABS(M1334*VLOOKUP(ТабПозиции[[#This Row],[orderNum]],ТабЗаказы[#Data],MATCH("Percent",ТабЗаказы[#Headers],0),0))/100,200/COUNTIF(ТабПозиции[orderNum],ТабПозиции[[#This Row],[orderNum]])),0),"")</f>
        <v>29</v>
      </c>
      <c r="P1334">
        <f>IF(OR(ТабПозиции[[#This Row],[item]]="По штрихкоду",ТабПозиции[[#This Row],[item]]="Посылка"),ТабПозиции[[#This Row],[deliverySumm]]+ТабПозиции[[#This Row],[deliveryPost]],SUM(M1334:O1334))</f>
        <v>222</v>
      </c>
      <c r="Q1334" s="57">
        <v>222</v>
      </c>
      <c r="R1334" s="62">
        <f>ТабПозиции[[#This Row],[totalSumm]]-ТабПозиции[[#This Row],[payment]]</f>
        <v>0</v>
      </c>
      <c r="S1334" s="34" t="s">
        <v>965</v>
      </c>
      <c r="T1334" s="56" t="s">
        <v>3061</v>
      </c>
      <c r="U1334" s="56" t="str">
        <f>IF(AND(ТабПозиции[[#This Row],[Остаток]]=0,ТабПозиции[[#This Row],[ord]]="true"),"true","false")</f>
        <v>true</v>
      </c>
      <c r="V1334" s="56" t="str">
        <f>IF(AND(ТабПозиции[[#This Row],[Остаток]]=0,ТабПозиции[[#This Row],[ord]]="true"),"true","false")</f>
        <v>true</v>
      </c>
      <c r="W1334" s="7"/>
      <c r="X1334"/>
    </row>
    <row r="1335" spans="1:24" x14ac:dyDescent="0.25">
      <c r="A1335" s="26">
        <v>358</v>
      </c>
      <c r="B1335" s="1">
        <f>IFERROR(VLOOKUP(ТабПозиции[[#This Row],[orderNum]],ТабЗаказы[#Data],MATCH(B$7,ТабЗаказы[#Headers],0),0),"")</f>
        <v>45622</v>
      </c>
      <c r="C1335" t="str">
        <f>MONTH(ТабПозиции[[#This Row],[date]])&amp;"/"&amp;YEAR(ТабПозиции[[#This Row],[date]])</f>
        <v>11/2024</v>
      </c>
      <c r="D1335" s="1" t="str">
        <f>IFERROR(VLOOKUP(ТабПозиции[[#This Row],[orderNum]],ТабЗаказы[#Data],MATCH(D$7,ТабЗаказы[#Headers],0),0),"")</f>
        <v>Елена от Светланы</v>
      </c>
      <c r="E1335" s="32" t="s">
        <v>1959</v>
      </c>
      <c r="F1335" s="56" t="s">
        <v>3061</v>
      </c>
      <c r="H1335" s="34">
        <v>45624</v>
      </c>
      <c r="I1335" s="26">
        <v>1</v>
      </c>
      <c r="J1335" s="26">
        <v>463</v>
      </c>
      <c r="K1335">
        <f>ТабПозиции[[#This Row],[discountPrice]]*ТабПозиции[[#This Row],[quantity]]</f>
        <v>463</v>
      </c>
      <c r="L1335" s="26">
        <v>463</v>
      </c>
      <c r="M1335">
        <f t="shared" si="25"/>
        <v>463</v>
      </c>
      <c r="O133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Row],[orderNum]],ТабПозиции[orderSumm])&gt;1500),ABS(M1335*VLOOKUP(ТабПозиции[[#This Row],[orderNum]],ТабЗаказы[#Data],MATCH("Percent",ТабЗаказы[#Headers],0),0))/100,200/COUNTIF(ТабПозиции[orderNum],ТабПозиции[[#This Row],[orderNum]])),0),"")</f>
        <v>69</v>
      </c>
      <c r="P1335">
        <f>IF(OR(ТабПозиции[[#This Row],[item]]="По штрихкоду",ТабПозиции[[#This Row],[item]]="Посылка"),ТабПозиции[[#This Row],[deliverySumm]]+ТабПозиции[[#This Row],[deliveryPost]],SUM(M1335:O1335))</f>
        <v>532</v>
      </c>
      <c r="Q1335" s="57">
        <v>532</v>
      </c>
      <c r="R1335" s="62">
        <f>ТабПозиции[[#This Row],[totalSumm]]-ТабПозиции[[#This Row],[payment]]</f>
        <v>0</v>
      </c>
      <c r="S1335" s="34" t="s">
        <v>965</v>
      </c>
      <c r="T1335" s="56" t="s">
        <v>3061</v>
      </c>
      <c r="U1335" s="56" t="str">
        <f>IF(AND(ТабПозиции[[#This Row],[Остаток]]=0,ТабПозиции[[#This Row],[ord]]="true"),"true","false")</f>
        <v>true</v>
      </c>
      <c r="V1335" s="56" t="str">
        <f>IF(AND(ТабПозиции[[#This Row],[Остаток]]=0,ТабПозиции[[#This Row],[ord]]="true"),"true","false")</f>
        <v>true</v>
      </c>
      <c r="W1335" s="7"/>
      <c r="X1335"/>
    </row>
    <row r="1336" spans="1:24" x14ac:dyDescent="0.25">
      <c r="A1336" s="26">
        <v>358</v>
      </c>
      <c r="B1336" s="1">
        <f>IFERROR(VLOOKUP(ТабПозиции[[#This Row],[orderNum]],ТабЗаказы[#Data],MATCH(B$7,ТабЗаказы[#Headers],0),0),"")</f>
        <v>45622</v>
      </c>
      <c r="C1336" t="str">
        <f>MONTH(ТабПозиции[[#This Row],[date]])&amp;"/"&amp;YEAR(ТабПозиции[[#This Row],[date]])</f>
        <v>11/2024</v>
      </c>
      <c r="D1336" s="1" t="str">
        <f>IFERROR(VLOOKUP(ТабПозиции[[#This Row],[orderNum]],ТабЗаказы[#Data],MATCH(D$7,ТабЗаказы[#Headers],0),0),"")</f>
        <v>Елена от Светланы</v>
      </c>
      <c r="E1336" s="32" t="s">
        <v>1973</v>
      </c>
      <c r="F1336" s="56" t="s">
        <v>3061</v>
      </c>
      <c r="H1336" s="34">
        <v>45624</v>
      </c>
      <c r="I1336" s="26">
        <v>1</v>
      </c>
      <c r="J1336" s="26">
        <v>247</v>
      </c>
      <c r="K1336">
        <f>ТабПозиции[[#This Row],[discountPrice]]*ТабПозиции[[#This Row],[quantity]]</f>
        <v>247</v>
      </c>
      <c r="L1336" s="26">
        <v>247</v>
      </c>
      <c r="M1336">
        <f t="shared" si="25"/>
        <v>247</v>
      </c>
      <c r="O133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Row],[orderNum]],ТабПозиции[orderSumm])&gt;1500),ABS(M1336*VLOOKUP(ТабПозиции[[#This Row],[orderNum]],ТабЗаказы[#Data],MATCH("Percent",ТабЗаказы[#Headers],0),0))/100,200/COUNTIF(ТабПозиции[orderNum],ТабПозиции[[#This Row],[orderNum]])),0),"")</f>
        <v>37</v>
      </c>
      <c r="P1336">
        <f>IF(OR(ТабПозиции[[#This Row],[item]]="По штрихкоду",ТабПозиции[[#This Row],[item]]="Посылка"),ТабПозиции[[#This Row],[deliverySumm]]+ТабПозиции[[#This Row],[deliveryPost]],SUM(M1336:O1336))</f>
        <v>284</v>
      </c>
      <c r="Q1336" s="57">
        <v>284</v>
      </c>
      <c r="R1336" s="62">
        <f>ТабПозиции[[#This Row],[totalSumm]]-ТабПозиции[[#This Row],[payment]]</f>
        <v>0</v>
      </c>
      <c r="S1336" s="34" t="s">
        <v>965</v>
      </c>
      <c r="T1336" s="56" t="s">
        <v>3061</v>
      </c>
      <c r="U1336" s="56" t="str">
        <f>IF(AND(ТабПозиции[[#This Row],[Остаток]]=0,ТабПозиции[[#This Row],[ord]]="true"),"true","false")</f>
        <v>true</v>
      </c>
      <c r="V1336" s="56" t="str">
        <f>IF(AND(ТабПозиции[[#This Row],[Остаток]]=0,ТабПозиции[[#This Row],[ord]]="true"),"true","false")</f>
        <v>true</v>
      </c>
      <c r="W1336" s="7"/>
      <c r="X1336"/>
    </row>
    <row r="1337" spans="1:24" x14ac:dyDescent="0.25">
      <c r="A1337" s="26">
        <v>358</v>
      </c>
      <c r="B1337" s="1">
        <f>IFERROR(VLOOKUP(ТабПозиции[[#This Row],[orderNum]],ТабЗаказы[#Data],MATCH(B$7,ТабЗаказы[#Headers],0),0),"")</f>
        <v>45622</v>
      </c>
      <c r="C1337" t="str">
        <f>MONTH(ТабПозиции[[#This Row],[date]])&amp;"/"&amp;YEAR(ТабПозиции[[#This Row],[date]])</f>
        <v>11/2024</v>
      </c>
      <c r="D1337" s="1" t="str">
        <f>IFERROR(VLOOKUP(ТабПозиции[[#This Row],[orderNum]],ТабЗаказы[#Data],MATCH(D$7,ТабЗаказы[#Headers],0),0),"")</f>
        <v>Елена от Светланы</v>
      </c>
      <c r="E1337" s="32" t="s">
        <v>801</v>
      </c>
      <c r="F1337" s="56" t="s">
        <v>3061</v>
      </c>
      <c r="H1337" s="34">
        <v>45624</v>
      </c>
      <c r="I1337" s="26">
        <v>1</v>
      </c>
      <c r="J1337" s="26">
        <v>104</v>
      </c>
      <c r="K1337">
        <f>ТабПозиции[[#This Row],[discountPrice]]*ТабПозиции[[#This Row],[quantity]]</f>
        <v>104</v>
      </c>
      <c r="L1337" s="26">
        <v>104</v>
      </c>
      <c r="M1337">
        <f t="shared" si="25"/>
        <v>104</v>
      </c>
      <c r="O133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Row],[orderNum]],ТабПозиции[orderSumm])&gt;1500),ABS(M1337*VLOOKUP(ТабПозиции[[#This Row],[orderNum]],ТабЗаказы[#Data],MATCH("Percent",ТабЗаказы[#Headers],0),0))/100,200/COUNTIF(ТабПозиции[orderNum],ТабПозиции[[#This Row],[orderNum]])),0),"")</f>
        <v>16</v>
      </c>
      <c r="P1337">
        <f>IF(OR(ТабПозиции[[#This Row],[item]]="По штрихкоду",ТабПозиции[[#This Row],[item]]="Посылка"),ТабПозиции[[#This Row],[deliverySumm]]+ТабПозиции[[#This Row],[deliveryPost]],SUM(M1337:O1337))</f>
        <v>120</v>
      </c>
      <c r="Q1337" s="57">
        <v>120</v>
      </c>
      <c r="R1337" s="62">
        <f>ТабПозиции[[#This Row],[totalSumm]]-ТабПозиции[[#This Row],[payment]]</f>
        <v>0</v>
      </c>
      <c r="S1337" s="34" t="s">
        <v>965</v>
      </c>
      <c r="T1337" s="56" t="s">
        <v>3061</v>
      </c>
      <c r="U1337" s="56" t="str">
        <f>IF(AND(ТабПозиции[[#This Row],[Остаток]]=0,ТабПозиции[[#This Row],[ord]]="true"),"true","false")</f>
        <v>true</v>
      </c>
      <c r="V1337" s="56" t="str">
        <f>IF(AND(ТабПозиции[[#This Row],[Остаток]]=0,ТабПозиции[[#This Row],[ord]]="true"),"true","false")</f>
        <v>true</v>
      </c>
      <c r="W1337" s="7"/>
      <c r="X1337"/>
    </row>
    <row r="1338" spans="1:24" x14ac:dyDescent="0.25">
      <c r="A1338" s="26">
        <v>359</v>
      </c>
      <c r="B1338" s="1">
        <f>IFERROR(VLOOKUP(ТабПозиции[[#This Row],[orderNum]],ТабЗаказы[#Data],MATCH(B$7,ТабЗаказы[#Headers],0),0),"")</f>
        <v>45624</v>
      </c>
      <c r="C1338" t="str">
        <f>MONTH(ТабПозиции[[#This Row],[date]])&amp;"/"&amp;YEAR(ТабПозиции[[#This Row],[date]])</f>
        <v>11/2024</v>
      </c>
      <c r="D1338" s="1" t="str">
        <f>IFERROR(VLOOKUP(ТабПозиции[[#This Row],[orderNum]],ТабЗаказы[#Data],MATCH(D$7,ТабЗаказы[#Headers],0),0),"")</f>
        <v>Славик Чунихин</v>
      </c>
      <c r="E1338" s="32" t="s">
        <v>810</v>
      </c>
      <c r="F1338" s="56" t="s">
        <v>3061</v>
      </c>
      <c r="H1338" s="34">
        <v>45626</v>
      </c>
      <c r="I1338" s="26">
        <v>1</v>
      </c>
      <c r="J1338" s="26">
        <v>12620</v>
      </c>
      <c r="K1338">
        <f>ТабПозиции[[#This Row],[discountPrice]]*ТабПозиции[[#This Row],[quantity]]</f>
        <v>12620</v>
      </c>
      <c r="L1338" s="26">
        <v>13285</v>
      </c>
      <c r="M1338">
        <f t="shared" si="25"/>
        <v>13285</v>
      </c>
      <c r="O133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Row],[orderNum]],ТабПозиции[orderSumm])&gt;1500),ABS(M1338*VLOOKUP(ТабПозиции[[#This Row],[orderNum]],ТабЗаказы[#Data],MATCH("Percent",ТабЗаказы[#Headers],0),0))/100,200/COUNTIF(ТабПозиции[orderNum],ТабПозиции[[#This Row],[orderNum]])),0),"")</f>
        <v>1329</v>
      </c>
      <c r="P1338">
        <f>IF(OR(ТабПозиции[[#This Row],[item]]="По штрихкоду",ТабПозиции[[#This Row],[item]]="Посылка"),ТабПозиции[[#This Row],[deliverySumm]]+ТабПозиции[[#This Row],[deliveryPost]],SUM(M1338:O1338))</f>
        <v>14614</v>
      </c>
      <c r="Q1338" s="57">
        <v>14614</v>
      </c>
      <c r="R1338" s="62">
        <f>ТабПозиции[[#This Row],[totalSumm]]-ТабПозиции[[#This Row],[payment]]</f>
        <v>0</v>
      </c>
      <c r="S1338" s="34" t="s">
        <v>965</v>
      </c>
      <c r="T1338" s="56" t="s">
        <v>3061</v>
      </c>
      <c r="U1338" s="56" t="str">
        <f>IF(AND(ТабПозиции[[#This Row],[Остаток]]=0,ТабПозиции[[#This Row],[ord]]="true"),"true","false")</f>
        <v>true</v>
      </c>
      <c r="V1338" s="56" t="str">
        <f>IF(AND(ТабПозиции[[#This Row],[Остаток]]=0,ТабПозиции[[#This Row],[ord]]="true"),"true","false")</f>
        <v>true</v>
      </c>
      <c r="W1338" s="7"/>
      <c r="X1338"/>
    </row>
    <row r="1339" spans="1:24" x14ac:dyDescent="0.25">
      <c r="A1339" s="26">
        <v>360</v>
      </c>
      <c r="B1339" s="1">
        <f>IFERROR(VLOOKUP(ТабПозиции[[#This Row],[orderNum]],ТабЗаказы[#Data],MATCH(B$7,ТабЗаказы[#Headers],0),0),"")</f>
        <v>45624</v>
      </c>
      <c r="C1339" t="str">
        <f>MONTH(ТабПозиции[[#This Row],[date]])&amp;"/"&amp;YEAR(ТабПозиции[[#This Row],[date]])</f>
        <v>11/2024</v>
      </c>
      <c r="D1339" s="1" t="str">
        <f>IFERROR(VLOOKUP(ТабПозиции[[#This Row],[orderNum]],ТабЗаказы[#Data],MATCH(D$7,ТабЗаказы[#Headers],0),0),"")</f>
        <v>Елена Ларисына</v>
      </c>
      <c r="E1339" s="32" t="s">
        <v>1148</v>
      </c>
      <c r="F1339" s="56" t="s">
        <v>3061</v>
      </c>
      <c r="H1339" s="34">
        <v>45628</v>
      </c>
      <c r="I1339" s="26">
        <v>1</v>
      </c>
      <c r="J1339" s="26">
        <v>1691</v>
      </c>
      <c r="K1339">
        <f>ТабПозиции[[#This Row],[discountPrice]]*ТабПозиции[[#This Row],[quantity]]</f>
        <v>1691</v>
      </c>
      <c r="L1339" s="26">
        <v>1785</v>
      </c>
      <c r="M1339">
        <f t="shared" si="25"/>
        <v>1785</v>
      </c>
      <c r="O133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Row],[orderNum]],ТабПозиции[orderSumm])&gt;1500),ABS(M1339*VLOOKUP(ТабПозиции[[#This Row],[orderNum]],ТабЗаказы[#Data],MATCH("Percent",ТабЗаказы[#Headers],0),0))/100,200/COUNTIF(ТабПозиции[orderNum],ТабПозиции[[#This Row],[orderNum]])),0),"")</f>
        <v>179</v>
      </c>
      <c r="P1339">
        <f>IF(OR(ТабПозиции[[#This Row],[item]]="По штрихкоду",ТабПозиции[[#This Row],[item]]="Посылка"),ТабПозиции[[#This Row],[deliverySumm]]+ТабПозиции[[#This Row],[deliveryPost]],SUM(M1339:O1339))</f>
        <v>1964</v>
      </c>
      <c r="Q1339" s="57">
        <v>1964</v>
      </c>
      <c r="R1339" s="62">
        <f>ТабПозиции[[#This Row],[totalSumm]]-ТабПозиции[[#This Row],[payment]]</f>
        <v>0</v>
      </c>
      <c r="S1339" s="34" t="s">
        <v>955</v>
      </c>
      <c r="T1339" s="56" t="s">
        <v>3061</v>
      </c>
      <c r="U1339" s="56" t="str">
        <f>IF(AND(ТабПозиции[[#This Row],[Остаток]]=0,ТабПозиции[[#This Row],[ord]]="true"),"true","false")</f>
        <v>true</v>
      </c>
      <c r="V1339" s="56" t="str">
        <f>IF(AND(ТабПозиции[[#This Row],[Остаток]]=0,ТабПозиции[[#This Row],[ord]]="true"),"true","false")</f>
        <v>true</v>
      </c>
      <c r="W1339" s="7"/>
      <c r="X1339"/>
    </row>
    <row r="1340" spans="1:24" x14ac:dyDescent="0.25">
      <c r="A1340" s="26">
        <v>360</v>
      </c>
      <c r="B1340" s="1">
        <f>IFERROR(VLOOKUP(ТабПозиции[[#This Row],[orderNum]],ТабЗаказы[#Data],MATCH(B$7,ТабЗаказы[#Headers],0),0),"")</f>
        <v>45624</v>
      </c>
      <c r="C1340" t="str">
        <f>MONTH(ТабПозиции[[#This Row],[date]])&amp;"/"&amp;YEAR(ТабПозиции[[#This Row],[date]])</f>
        <v>11/2024</v>
      </c>
      <c r="D1340" s="1" t="str">
        <f>IFERROR(VLOOKUP(ТабПозиции[[#This Row],[orderNum]],ТабЗаказы[#Data],MATCH(D$7,ТабЗаказы[#Headers],0),0),"")</f>
        <v>Елена Ларисына</v>
      </c>
      <c r="E1340" s="32" t="s">
        <v>1978</v>
      </c>
      <c r="F1340" s="56" t="s">
        <v>3061</v>
      </c>
      <c r="H1340" s="34">
        <v>45626</v>
      </c>
      <c r="I1340" s="26">
        <v>2</v>
      </c>
      <c r="J1340" s="26">
        <v>224</v>
      </c>
      <c r="K1340">
        <f>ТабПозиции[[#This Row],[discountPrice]]*ТабПозиции[[#This Row],[quantity]]</f>
        <v>448</v>
      </c>
      <c r="L1340" s="26">
        <v>229</v>
      </c>
      <c r="M1340">
        <f t="shared" si="25"/>
        <v>458</v>
      </c>
      <c r="O134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Row],[orderNum]],ТабПозиции[orderSumm])&gt;1500),ABS(M1340*VLOOKUP(ТабПозиции[[#This Row],[orderNum]],ТабЗаказы[#Data],MATCH("Percent",ТабЗаказы[#Headers],0),0))/100,200/COUNTIF(ТабПозиции[orderNum],ТабПозиции[[#This Row],[orderNum]])),0),"")</f>
        <v>46</v>
      </c>
      <c r="P1340">
        <f>IF(OR(ТабПозиции[[#This Row],[item]]="По штрихкоду",ТабПозиции[[#This Row],[item]]="Посылка"),ТабПозиции[[#This Row],[deliverySumm]]+ТабПозиции[[#This Row],[deliveryPost]],SUM(M1340:O1340))</f>
        <v>504</v>
      </c>
      <c r="Q1340" s="57">
        <v>504</v>
      </c>
      <c r="R1340" s="62">
        <f>ТабПозиции[[#This Row],[totalSumm]]-ТабПозиции[[#This Row],[payment]]</f>
        <v>0</v>
      </c>
      <c r="S1340" s="34" t="s">
        <v>955</v>
      </c>
      <c r="T1340" s="56" t="s">
        <v>3061</v>
      </c>
      <c r="U1340" s="56" t="str">
        <f>IF(AND(ТабПозиции[[#This Row],[Остаток]]=0,ТабПозиции[[#This Row],[ord]]="true"),"true","false")</f>
        <v>true</v>
      </c>
      <c r="V1340" s="56" t="str">
        <f>IF(AND(ТабПозиции[[#This Row],[Остаток]]=0,ТабПозиции[[#This Row],[ord]]="true"),"true","false")</f>
        <v>true</v>
      </c>
      <c r="W1340" s="7"/>
      <c r="X1340"/>
    </row>
    <row r="1341" spans="1:24" x14ac:dyDescent="0.25">
      <c r="A1341" s="26">
        <v>360</v>
      </c>
      <c r="B1341" s="1">
        <f>IFERROR(VLOOKUP(ТабПозиции[[#This Row],[orderNum]],ТабЗаказы[#Data],MATCH(B$7,ТабЗаказы[#Headers],0),0),"")</f>
        <v>45624</v>
      </c>
      <c r="C1341" t="str">
        <f>MONTH(ТабПозиции[[#This Row],[date]])&amp;"/"&amp;YEAR(ТабПозиции[[#This Row],[date]])</f>
        <v>11/2024</v>
      </c>
      <c r="D1341" s="1" t="str">
        <f>IFERROR(VLOOKUP(ТабПозиции[[#This Row],[orderNum]],ТабЗаказы[#Data],MATCH(D$7,ТабЗаказы[#Headers],0),0),"")</f>
        <v>Елена Ларисына</v>
      </c>
      <c r="E1341" s="32" t="s">
        <v>1979</v>
      </c>
      <c r="F1341" s="56" t="s">
        <v>3061</v>
      </c>
      <c r="H1341" s="34">
        <v>45626</v>
      </c>
      <c r="I1341" s="26">
        <v>1</v>
      </c>
      <c r="J1341" s="26">
        <v>399</v>
      </c>
      <c r="K1341">
        <f>ТабПозиции[[#This Row],[discountPrice]]*ТабПозиции[[#This Row],[quantity]]</f>
        <v>399</v>
      </c>
      <c r="L1341" s="26">
        <v>423</v>
      </c>
      <c r="M1341">
        <f t="shared" si="25"/>
        <v>423</v>
      </c>
      <c r="O134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Row],[orderNum]],ТабПозиции[orderSumm])&gt;1500),ABS(M1341*VLOOKUP(ТабПозиции[[#This Row],[orderNum]],ТабЗаказы[#Data],MATCH("Percent",ТабЗаказы[#Headers],0),0))/100,200/COUNTIF(ТабПозиции[orderNum],ТабПозиции[[#This Row],[orderNum]])),0),"")</f>
        <v>42</v>
      </c>
      <c r="P1341">
        <f>IF(OR(ТабПозиции[[#This Row],[item]]="По штрихкоду",ТабПозиции[[#This Row],[item]]="Посылка"),ТабПозиции[[#This Row],[deliverySumm]]+ТабПозиции[[#This Row],[deliveryPost]],SUM(M1341:O1341))</f>
        <v>465</v>
      </c>
      <c r="Q1341" s="57">
        <v>465</v>
      </c>
      <c r="R1341" s="62">
        <f>ТабПозиции[[#This Row],[totalSumm]]-ТабПозиции[[#This Row],[payment]]</f>
        <v>0</v>
      </c>
      <c r="S1341" s="34" t="s">
        <v>955</v>
      </c>
      <c r="T1341" s="56" t="s">
        <v>3061</v>
      </c>
      <c r="U1341" s="56" t="str">
        <f>IF(AND(ТабПозиции[[#This Row],[Остаток]]=0,ТабПозиции[[#This Row],[ord]]="true"),"true","false")</f>
        <v>true</v>
      </c>
      <c r="V1341" s="56" t="str">
        <f>IF(AND(ТабПозиции[[#This Row],[Остаток]]=0,ТабПозиции[[#This Row],[ord]]="true"),"true","false")</f>
        <v>true</v>
      </c>
      <c r="W1341" s="7"/>
      <c r="X1341"/>
    </row>
    <row r="1342" spans="1:24" x14ac:dyDescent="0.25">
      <c r="A1342" s="26">
        <v>360</v>
      </c>
      <c r="B1342" s="1">
        <f>IFERROR(VLOOKUP(ТабПозиции[[#This Row],[orderNum]],ТабЗаказы[#Data],MATCH(B$7,ТабЗаказы[#Headers],0),0),"")</f>
        <v>45624</v>
      </c>
      <c r="C1342" t="str">
        <f>MONTH(ТабПозиции[[#This Row],[date]])&amp;"/"&amp;YEAR(ТабПозиции[[#This Row],[date]])</f>
        <v>11/2024</v>
      </c>
      <c r="D1342" s="1" t="str">
        <f>IFERROR(VLOOKUP(ТабПозиции[[#This Row],[orderNum]],ТабЗаказы[#Data],MATCH(D$7,ТабЗаказы[#Headers],0),0),"")</f>
        <v>Елена Ларисына</v>
      </c>
      <c r="E1342" s="32" t="s">
        <v>628</v>
      </c>
      <c r="F1342" s="56" t="s">
        <v>3061</v>
      </c>
      <c r="H1342" s="34">
        <v>45628</v>
      </c>
      <c r="I1342" s="26">
        <v>1</v>
      </c>
      <c r="J1342" s="26">
        <v>815</v>
      </c>
      <c r="K1342">
        <f>ТабПозиции[[#This Row],[discountPrice]]*ТабПозиции[[#This Row],[quantity]]</f>
        <v>815</v>
      </c>
      <c r="L1342" s="26">
        <v>861</v>
      </c>
      <c r="M1342">
        <f t="shared" si="25"/>
        <v>861</v>
      </c>
      <c r="O134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Row],[orderNum]],ТабПозиции[orderSumm])&gt;1500),ABS(M1342*VLOOKUP(ТабПозиции[[#This Row],[orderNum]],ТабЗаказы[#Data],MATCH("Percent",ТабЗаказы[#Headers],0),0))/100,200/COUNTIF(ТабПозиции[orderNum],ТабПозиции[[#This Row],[orderNum]])),0),"")</f>
        <v>86</v>
      </c>
      <c r="P1342">
        <f>IF(OR(ТабПозиции[[#This Row],[item]]="По штрихкоду",ТабПозиции[[#This Row],[item]]="Посылка"),ТабПозиции[[#This Row],[deliverySumm]]+ТабПозиции[[#This Row],[deliveryPost]],SUM(M1342:O1342))</f>
        <v>947</v>
      </c>
      <c r="Q1342" s="57">
        <v>947</v>
      </c>
      <c r="R1342" s="62">
        <f>ТабПозиции[[#This Row],[totalSumm]]-ТабПозиции[[#This Row],[payment]]</f>
        <v>0</v>
      </c>
      <c r="S1342" s="34" t="s">
        <v>955</v>
      </c>
      <c r="T1342" s="56" t="s">
        <v>3061</v>
      </c>
      <c r="U1342" s="56" t="str">
        <f>IF(AND(ТабПозиции[[#This Row],[Остаток]]=0,ТабПозиции[[#This Row],[ord]]="true"),"true","false")</f>
        <v>true</v>
      </c>
      <c r="V1342" s="56" t="str">
        <f>IF(AND(ТабПозиции[[#This Row],[Остаток]]=0,ТабПозиции[[#This Row],[ord]]="true"),"true","false")</f>
        <v>true</v>
      </c>
      <c r="W1342" s="7"/>
      <c r="X1342"/>
    </row>
    <row r="1343" spans="1:24" x14ac:dyDescent="0.25">
      <c r="A1343" s="26">
        <v>360</v>
      </c>
      <c r="B1343" s="1">
        <f>IFERROR(VLOOKUP(ТабПозиции[[#This Row],[orderNum]],ТабЗаказы[#Data],MATCH(B$7,ТабЗаказы[#Headers],0),0),"")</f>
        <v>45624</v>
      </c>
      <c r="C1343" t="str">
        <f>MONTH(ТабПозиции[[#This Row],[date]])&amp;"/"&amp;YEAR(ТабПозиции[[#This Row],[date]])</f>
        <v>11/2024</v>
      </c>
      <c r="D1343" s="1" t="str">
        <f>IFERROR(VLOOKUP(ТабПозиции[[#This Row],[orderNum]],ТабЗаказы[#Data],MATCH(D$7,ТабЗаказы[#Headers],0),0),"")</f>
        <v>Елена Ларисына</v>
      </c>
      <c r="E1343" s="32" t="s">
        <v>1980</v>
      </c>
      <c r="F1343" s="56" t="s">
        <v>3061</v>
      </c>
      <c r="H1343" s="34">
        <v>45628</v>
      </c>
      <c r="I1343" s="26">
        <v>1</v>
      </c>
      <c r="J1343" s="26">
        <v>1066</v>
      </c>
      <c r="K1343">
        <f>ТабПозиции[[#This Row],[discountPrice]]*ТабПозиции[[#This Row],[quantity]]</f>
        <v>1066</v>
      </c>
      <c r="L1343" s="26">
        <v>1099</v>
      </c>
      <c r="M1343">
        <f t="shared" si="25"/>
        <v>1099</v>
      </c>
      <c r="O134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Row],[orderNum]],ТабПозиции[orderSumm])&gt;1500),ABS(M1343*VLOOKUP(ТабПозиции[[#This Row],[orderNum]],ТабЗаказы[#Data],MATCH("Percent",ТабЗаказы[#Headers],0),0))/100,200/COUNTIF(ТабПозиции[orderNum],ТабПозиции[[#This Row],[orderNum]])),0),"")</f>
        <v>110</v>
      </c>
      <c r="P1343">
        <f>IF(OR(ТабПозиции[[#This Row],[item]]="По штрихкоду",ТабПозиции[[#This Row],[item]]="Посылка"),ТабПозиции[[#This Row],[deliverySumm]]+ТабПозиции[[#This Row],[deliveryPost]],SUM(M1343:O1343))</f>
        <v>1209</v>
      </c>
      <c r="Q1343" s="57">
        <v>1209</v>
      </c>
      <c r="R1343" s="62">
        <f>ТабПозиции[[#This Row],[totalSumm]]-ТабПозиции[[#This Row],[payment]]</f>
        <v>0</v>
      </c>
      <c r="S1343" s="34" t="s">
        <v>955</v>
      </c>
      <c r="T1343" s="56" t="s">
        <v>3061</v>
      </c>
      <c r="U1343" s="56" t="str">
        <f>IF(AND(ТабПозиции[[#This Row],[Остаток]]=0,ТабПозиции[[#This Row],[ord]]="true"),"true","false")</f>
        <v>true</v>
      </c>
      <c r="V1343" s="56" t="str">
        <f>IF(AND(ТабПозиции[[#This Row],[Остаток]]=0,ТабПозиции[[#This Row],[ord]]="true"),"true","false")</f>
        <v>true</v>
      </c>
      <c r="W1343" s="7"/>
      <c r="X1343"/>
    </row>
    <row r="1344" spans="1:24" x14ac:dyDescent="0.25">
      <c r="A1344" s="26">
        <v>360</v>
      </c>
      <c r="B1344" s="1">
        <f>IFERROR(VLOOKUP(ТабПозиции[[#This Row],[orderNum]],ТабЗаказы[#Data],MATCH(B$7,ТабЗаказы[#Headers],0),0),"")</f>
        <v>45624</v>
      </c>
      <c r="C1344" t="str">
        <f>MONTH(ТабПозиции[[#This Row],[date]])&amp;"/"&amp;YEAR(ТабПозиции[[#This Row],[date]])</f>
        <v>11/2024</v>
      </c>
      <c r="D1344" s="1" t="str">
        <f>IFERROR(VLOOKUP(ТабПозиции[[#This Row],[orderNum]],ТабЗаказы[#Data],MATCH(D$7,ТабЗаказы[#Headers],0),0),"")</f>
        <v>Елена Ларисына</v>
      </c>
      <c r="E1344" s="32" t="s">
        <v>1981</v>
      </c>
      <c r="F1344" s="56" t="s">
        <v>3061</v>
      </c>
      <c r="H1344" s="34">
        <v>45628</v>
      </c>
      <c r="I1344" s="26">
        <v>1</v>
      </c>
      <c r="J1344" s="26">
        <v>341</v>
      </c>
      <c r="K1344">
        <f>ТабПозиции[[#This Row],[discountPrice]]*ТабПозиции[[#This Row],[quantity]]</f>
        <v>341</v>
      </c>
      <c r="L1344" s="26">
        <v>348</v>
      </c>
      <c r="M1344">
        <f t="shared" si="25"/>
        <v>348</v>
      </c>
      <c r="O134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Row],[orderNum]],ТабПозиции[orderSumm])&gt;1500),ABS(M1344*VLOOKUP(ТабПозиции[[#This Row],[orderNum]],ТабЗаказы[#Data],MATCH("Percent",ТабЗаказы[#Headers],0),0))/100,200/COUNTIF(ТабПозиции[orderNum],ТабПозиции[[#This Row],[orderNum]])),0),"")</f>
        <v>35</v>
      </c>
      <c r="P1344">
        <f>IF(OR(ТабПозиции[[#This Row],[item]]="По штрихкоду",ТабПозиции[[#This Row],[item]]="Посылка"),ТабПозиции[[#This Row],[deliverySumm]]+ТабПозиции[[#This Row],[deliveryPost]],SUM(M1344:O1344))</f>
        <v>383</v>
      </c>
      <c r="Q1344" s="57">
        <v>383</v>
      </c>
      <c r="R1344" s="62">
        <f>ТабПозиции[[#This Row],[totalSumm]]-ТабПозиции[[#This Row],[payment]]</f>
        <v>0</v>
      </c>
      <c r="S1344" s="34" t="s">
        <v>955</v>
      </c>
      <c r="T1344" s="56" t="s">
        <v>3061</v>
      </c>
      <c r="U1344" s="56" t="str">
        <f>IF(AND(ТабПозиции[[#This Row],[Остаток]]=0,ТабПозиции[[#This Row],[ord]]="true"),"true","false")</f>
        <v>true</v>
      </c>
      <c r="V1344" s="56" t="str">
        <f>IF(AND(ТабПозиции[[#This Row],[Остаток]]=0,ТабПозиции[[#This Row],[ord]]="true"),"true","false")</f>
        <v>true</v>
      </c>
      <c r="W1344" s="7"/>
      <c r="X1344"/>
    </row>
    <row r="1345" spans="1:24" x14ac:dyDescent="0.25">
      <c r="A1345" s="26">
        <v>360</v>
      </c>
      <c r="B1345" s="1">
        <f>IFERROR(VLOOKUP(ТабПозиции[[#This Row],[orderNum]],ТабЗаказы[#Data],MATCH(B$7,ТабЗаказы[#Headers],0),0),"")</f>
        <v>45624</v>
      </c>
      <c r="C1345" t="str">
        <f>MONTH(ТабПозиции[[#This Row],[date]])&amp;"/"&amp;YEAR(ТабПозиции[[#This Row],[date]])</f>
        <v>11/2024</v>
      </c>
      <c r="D1345" s="1" t="str">
        <f>IFERROR(VLOOKUP(ТабПозиции[[#This Row],[orderNum]],ТабЗаказы[#Data],MATCH(D$7,ТабЗаказы[#Headers],0),0),"")</f>
        <v>Елена Ларисына</v>
      </c>
      <c r="E1345" s="32" t="s">
        <v>1982</v>
      </c>
      <c r="F1345" s="56" t="s">
        <v>3061</v>
      </c>
      <c r="H1345" s="34">
        <v>45631</v>
      </c>
      <c r="I1345" s="26">
        <v>1</v>
      </c>
      <c r="J1345" s="26">
        <v>2408</v>
      </c>
      <c r="K1345">
        <f>ТабПозиции[[#This Row],[discountPrice]]*ТабПозиции[[#This Row],[quantity]]</f>
        <v>2408</v>
      </c>
      <c r="L1345" s="26">
        <v>2581</v>
      </c>
      <c r="M1345">
        <f t="shared" si="25"/>
        <v>2581</v>
      </c>
      <c r="O134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Row],[orderNum]],ТабПозиции[orderSumm])&gt;1500),ABS(M1345*VLOOKUP(ТабПозиции[[#This Row],[orderNum]],ТабЗаказы[#Data],MATCH("Percent",ТабЗаказы[#Headers],0),0))/100,200/COUNTIF(ТабПозиции[orderNum],ТабПозиции[[#This Row],[orderNum]])),0),"")</f>
        <v>258</v>
      </c>
      <c r="P1345">
        <f>IF(OR(ТабПозиции[[#This Row],[item]]="По штрихкоду",ТабПозиции[[#This Row],[item]]="Посылка"),ТабПозиции[[#This Row],[deliverySumm]]+ТабПозиции[[#This Row],[deliveryPost]],SUM(M1345:O1345))</f>
        <v>2839</v>
      </c>
      <c r="Q1345" s="57">
        <v>2839</v>
      </c>
      <c r="R1345" s="62">
        <f>ТабПозиции[[#This Row],[totalSumm]]-ТабПозиции[[#This Row],[payment]]</f>
        <v>0</v>
      </c>
      <c r="S1345" s="34" t="s">
        <v>955</v>
      </c>
      <c r="T1345" s="56" t="s">
        <v>3061</v>
      </c>
      <c r="U1345" s="56" t="str">
        <f>IF(AND(ТабПозиции[[#This Row],[Остаток]]=0,ТабПозиции[[#This Row],[ord]]="true"),"true","false")</f>
        <v>true</v>
      </c>
      <c r="V1345" s="56" t="str">
        <f>IF(AND(ТабПозиции[[#This Row],[Остаток]]=0,ТабПозиции[[#This Row],[ord]]="true"),"true","false")</f>
        <v>true</v>
      </c>
      <c r="W1345" s="7"/>
      <c r="X1345"/>
    </row>
    <row r="1346" spans="1:24" x14ac:dyDescent="0.25">
      <c r="A1346" s="26">
        <v>360</v>
      </c>
      <c r="B1346" s="1">
        <f>IFERROR(VLOOKUP(ТабПозиции[[#This Row],[orderNum]],ТабЗаказы[#Data],MATCH(B$7,ТабЗаказы[#Headers],0),0),"")</f>
        <v>45624</v>
      </c>
      <c r="C1346" t="str">
        <f>MONTH(ТабПозиции[[#This Row],[date]])&amp;"/"&amp;YEAR(ТабПозиции[[#This Row],[date]])</f>
        <v>11/2024</v>
      </c>
      <c r="D1346" s="1" t="str">
        <f>IFERROR(VLOOKUP(ТабПозиции[[#This Row],[orderNum]],ТабЗаказы[#Data],MATCH(D$7,ТабЗаказы[#Headers],0),0),"")</f>
        <v>Елена Ларисына</v>
      </c>
      <c r="E1346" s="32" t="s">
        <v>1983</v>
      </c>
      <c r="F1346" s="56" t="s">
        <v>3061</v>
      </c>
      <c r="H1346" s="34">
        <v>45626</v>
      </c>
      <c r="I1346" s="26">
        <v>1</v>
      </c>
      <c r="J1346" s="26">
        <v>244</v>
      </c>
      <c r="K1346">
        <f>ТабПозиции[[#This Row],[discountPrice]]*ТабПозиции[[#This Row],[quantity]]</f>
        <v>244</v>
      </c>
      <c r="L1346" s="26">
        <v>249</v>
      </c>
      <c r="M1346">
        <f t="shared" si="25"/>
        <v>249</v>
      </c>
      <c r="O134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Row],[orderNum]],ТабПозиции[orderSumm])&gt;1500),ABS(M1346*VLOOKUP(ТабПозиции[[#This Row],[orderNum]],ТабЗаказы[#Data],MATCH("Percent",ТабЗаказы[#Headers],0),0))/100,200/COUNTIF(ТабПозиции[orderNum],ТабПозиции[[#This Row],[orderNum]])),0),"")</f>
        <v>25</v>
      </c>
      <c r="P1346">
        <f>IF(OR(ТабПозиции[[#This Row],[item]]="По штрихкоду",ТабПозиции[[#This Row],[item]]="Посылка"),ТабПозиции[[#This Row],[deliverySumm]]+ТабПозиции[[#This Row],[deliveryPost]],SUM(M1346:O1346))</f>
        <v>274</v>
      </c>
      <c r="Q1346" s="57">
        <v>274</v>
      </c>
      <c r="R1346" s="62">
        <f>ТабПозиции[[#This Row],[totalSumm]]-ТабПозиции[[#This Row],[payment]]</f>
        <v>0</v>
      </c>
      <c r="S1346" s="34" t="s">
        <v>955</v>
      </c>
      <c r="T1346" s="56" t="s">
        <v>3061</v>
      </c>
      <c r="U1346" s="56" t="str">
        <f>IF(AND(ТабПозиции[[#This Row],[Остаток]]=0,ТабПозиции[[#This Row],[ord]]="true"),"true","false")</f>
        <v>true</v>
      </c>
      <c r="V1346" s="56" t="str">
        <f>IF(AND(ТабПозиции[[#This Row],[Остаток]]=0,ТабПозиции[[#This Row],[ord]]="true"),"true","false")</f>
        <v>true</v>
      </c>
      <c r="W1346" s="7"/>
      <c r="X1346"/>
    </row>
    <row r="1347" spans="1:24" x14ac:dyDescent="0.25">
      <c r="A1347" s="26">
        <v>360</v>
      </c>
      <c r="B1347" s="1">
        <f>IFERROR(VLOOKUP(ТабПозиции[[#This Row],[orderNum]],ТабЗаказы[#Data],MATCH(B$7,ТабЗаказы[#Headers],0),0),"")</f>
        <v>45624</v>
      </c>
      <c r="C1347" t="str">
        <f>MONTH(ТабПозиции[[#This Row],[date]])&amp;"/"&amp;YEAR(ТабПозиции[[#This Row],[date]])</f>
        <v>11/2024</v>
      </c>
      <c r="D1347" s="1" t="str">
        <f>IFERROR(VLOOKUP(ТабПозиции[[#This Row],[orderNum]],ТабЗаказы[#Data],MATCH(D$7,ТабЗаказы[#Headers],0),0),"")</f>
        <v>Елена Ларисына</v>
      </c>
      <c r="E1347" s="32" t="s">
        <v>1984</v>
      </c>
      <c r="F1347" s="56" t="s">
        <v>3061</v>
      </c>
      <c r="H1347" s="34">
        <v>45630</v>
      </c>
      <c r="I1347" s="26">
        <v>1</v>
      </c>
      <c r="J1347" s="26">
        <v>706</v>
      </c>
      <c r="K1347">
        <f>ТабПозиции[[#This Row],[discountPrice]]*ТабПозиции[[#This Row],[quantity]]</f>
        <v>706</v>
      </c>
      <c r="L1347" s="26">
        <v>748</v>
      </c>
      <c r="M1347">
        <f t="shared" si="25"/>
        <v>748</v>
      </c>
      <c r="O134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Row],[orderNum]],ТабПозиции[orderSumm])&gt;1500),ABS(M1347*VLOOKUP(ТабПозиции[[#This Row],[orderNum]],ТабЗаказы[#Data],MATCH("Percent",ТабЗаказы[#Headers],0),0))/100,200/COUNTIF(ТабПозиции[orderNum],ТабПозиции[[#This Row],[orderNum]])),0),"")</f>
        <v>75</v>
      </c>
      <c r="P1347">
        <f>IF(OR(ТабПозиции[[#This Row],[item]]="По штрихкоду",ТабПозиции[[#This Row],[item]]="Посылка"),ТабПозиции[[#This Row],[deliverySumm]]+ТабПозиции[[#This Row],[deliveryPost]],SUM(M1347:O1347))</f>
        <v>823</v>
      </c>
      <c r="Q1347" s="57">
        <v>823</v>
      </c>
      <c r="R1347" s="62">
        <f>ТабПозиции[[#This Row],[totalSumm]]-ТабПозиции[[#This Row],[payment]]</f>
        <v>0</v>
      </c>
      <c r="S1347" s="34" t="s">
        <v>955</v>
      </c>
      <c r="T1347" s="56" t="s">
        <v>3061</v>
      </c>
      <c r="U1347" s="56" t="str">
        <f>IF(AND(ТабПозиции[[#This Row],[Остаток]]=0,ТабПозиции[[#This Row],[ord]]="true"),"true","false")</f>
        <v>true</v>
      </c>
      <c r="V1347" s="56" t="str">
        <f>IF(AND(ТабПозиции[[#This Row],[Остаток]]=0,ТабПозиции[[#This Row],[ord]]="true"),"true","false")</f>
        <v>true</v>
      </c>
      <c r="W1347" s="7"/>
      <c r="X1347"/>
    </row>
    <row r="1348" spans="1:24" x14ac:dyDescent="0.25">
      <c r="A1348" s="26">
        <v>360</v>
      </c>
      <c r="B1348" s="1">
        <f>IFERROR(VLOOKUP(ТабПозиции[[#This Row],[orderNum]],ТабЗаказы[#Data],MATCH(B$7,ТабЗаказы[#Headers],0),0),"")</f>
        <v>45624</v>
      </c>
      <c r="C1348" t="str">
        <f>MONTH(ТабПозиции[[#This Row],[date]])&amp;"/"&amp;YEAR(ТабПозиции[[#This Row],[date]])</f>
        <v>11/2024</v>
      </c>
      <c r="D1348" s="1" t="str">
        <f>IFERROR(VLOOKUP(ТабПозиции[[#This Row],[orderNum]],ТабЗаказы[#Data],MATCH(D$7,ТабЗаказы[#Headers],0),0),"")</f>
        <v>Елена Ларисына</v>
      </c>
      <c r="E1348" s="32" t="s">
        <v>1985</v>
      </c>
      <c r="F1348" s="56" t="s">
        <v>3061</v>
      </c>
      <c r="H1348" s="78">
        <v>45649</v>
      </c>
      <c r="I1348" s="26">
        <v>1</v>
      </c>
      <c r="J1348" s="26">
        <v>372</v>
      </c>
      <c r="K1348">
        <f>ТабПозиции[[#This Row],[discountPrice]]*ТабПозиции[[#This Row],[quantity]]</f>
        <v>372</v>
      </c>
      <c r="L1348" s="26">
        <v>403</v>
      </c>
      <c r="M1348">
        <f t="shared" si="25"/>
        <v>403</v>
      </c>
      <c r="O134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Row],[orderNum]],ТабПозиции[orderSumm])&gt;1500),ABS(M1348*VLOOKUP(ТабПозиции[[#This Row],[orderNum]],ТабЗаказы[#Data],MATCH("Percent",ТабЗаказы[#Headers],0),0))/100,200/COUNTIF(ТабПозиции[orderNum],ТабПозиции[[#This Row],[orderNum]])),0),"")</f>
        <v>40</v>
      </c>
      <c r="P1348">
        <f>IF(OR(ТабПозиции[[#This Row],[item]]="По штрихкоду",ТабПозиции[[#This Row],[item]]="Посылка"),ТабПозиции[[#This Row],[deliverySumm]]+ТабПозиции[[#This Row],[deliveryPost]],SUM(M1348:O1348))</f>
        <v>443</v>
      </c>
      <c r="Q1348" s="57">
        <v>443</v>
      </c>
      <c r="R1348" s="62">
        <f>ТабПозиции[[#This Row],[totalSumm]]-ТабПозиции[[#This Row],[payment]]</f>
        <v>0</v>
      </c>
      <c r="S1348" s="34" t="s">
        <v>955</v>
      </c>
      <c r="T1348" s="56" t="s">
        <v>3061</v>
      </c>
      <c r="U1348" s="56" t="str">
        <f>IF(AND(ТабПозиции[[#This Row],[Остаток]]=0,ТабПозиции[[#This Row],[ord]]="true"),"true","false")</f>
        <v>true</v>
      </c>
      <c r="V1348" s="56" t="s">
        <v>3061</v>
      </c>
      <c r="W1348" s="7"/>
      <c r="X1348"/>
    </row>
    <row r="1349" spans="1:24" x14ac:dyDescent="0.25">
      <c r="A1349" s="26">
        <v>360</v>
      </c>
      <c r="B1349" s="1">
        <f>IFERROR(VLOOKUP(ТабПозиции[[#This Row],[orderNum]],ТабЗаказы[#Data],MATCH(B$7,ТабЗаказы[#Headers],0),0),"")</f>
        <v>45624</v>
      </c>
      <c r="C1349" t="str">
        <f>MONTH(ТабПозиции[[#This Row],[date]])&amp;"/"&amp;YEAR(ТабПозиции[[#This Row],[date]])</f>
        <v>11/2024</v>
      </c>
      <c r="D1349" s="1" t="str">
        <f>IFERROR(VLOOKUP(ТабПозиции[[#This Row],[orderNum]],ТабЗаказы[#Data],MATCH(D$7,ТабЗаказы[#Headers],0),0),"")</f>
        <v>Елена Ларисына</v>
      </c>
      <c r="E1349" s="32" t="s">
        <v>1986</v>
      </c>
      <c r="F1349" s="56" t="s">
        <v>3061</v>
      </c>
      <c r="H1349" s="34">
        <v>45629</v>
      </c>
      <c r="I1349" s="26">
        <v>1</v>
      </c>
      <c r="J1349" s="26">
        <v>422</v>
      </c>
      <c r="K1349">
        <f>ТабПозиции[[#This Row],[discountPrice]]*ТабПозиции[[#This Row],[quantity]]</f>
        <v>422</v>
      </c>
      <c r="L1349" s="26">
        <v>453</v>
      </c>
      <c r="M1349">
        <f t="shared" si="25"/>
        <v>453</v>
      </c>
      <c r="O134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Row],[orderNum]],ТабПозиции[orderSumm])&gt;1500),ABS(M1349*VLOOKUP(ТабПозиции[[#This Row],[orderNum]],ТабЗаказы[#Data],MATCH("Percent",ТабЗаказы[#Headers],0),0))/100,200/COUNTIF(ТабПозиции[orderNum],ТабПозиции[[#This Row],[orderNum]])),0),"")</f>
        <v>45</v>
      </c>
      <c r="P1349">
        <f>IF(OR(ТабПозиции[[#This Row],[item]]="По штрихкоду",ТабПозиции[[#This Row],[item]]="Посылка"),ТабПозиции[[#This Row],[deliverySumm]]+ТабПозиции[[#This Row],[deliveryPost]],SUM(M1349:O1349))</f>
        <v>498</v>
      </c>
      <c r="Q1349" s="57">
        <v>498</v>
      </c>
      <c r="R1349" s="62">
        <f>ТабПозиции[[#This Row],[totalSumm]]-ТабПозиции[[#This Row],[payment]]</f>
        <v>0</v>
      </c>
      <c r="S1349" s="34" t="s">
        <v>955</v>
      </c>
      <c r="T1349" s="56" t="s">
        <v>3061</v>
      </c>
      <c r="U1349" s="56" t="str">
        <f>IF(AND(ТабПозиции[[#This Row],[Остаток]]=0,ТабПозиции[[#This Row],[ord]]="true"),"true","false")</f>
        <v>true</v>
      </c>
      <c r="V1349" s="56" t="str">
        <f>IF(AND(ТабПозиции[[#This Row],[Остаток]]=0,ТабПозиции[[#This Row],[ord]]="true"),"true","false")</f>
        <v>true</v>
      </c>
      <c r="W1349" s="7"/>
      <c r="X1349"/>
    </row>
    <row r="1350" spans="1:24" x14ac:dyDescent="0.25">
      <c r="A1350" s="26">
        <v>360</v>
      </c>
      <c r="B1350" s="1">
        <f>IFERROR(VLOOKUP(ТабПозиции[[#This Row],[orderNum]],ТабЗаказы[#Data],MATCH(B$7,ТабЗаказы[#Headers],0),0),"")</f>
        <v>45624</v>
      </c>
      <c r="C1350" t="str">
        <f>MONTH(ТабПозиции[[#This Row],[date]])&amp;"/"&amp;YEAR(ТабПозиции[[#This Row],[date]])</f>
        <v>11/2024</v>
      </c>
      <c r="D1350" s="1" t="str">
        <f>IFERROR(VLOOKUP(ТабПозиции[[#This Row],[orderNum]],ТабЗаказы[#Data],MATCH(D$7,ТабЗаказы[#Headers],0),0),"")</f>
        <v>Елена Ларисына</v>
      </c>
      <c r="E1350" s="32" t="s">
        <v>1987</v>
      </c>
      <c r="F1350" s="56" t="s">
        <v>3061</v>
      </c>
      <c r="H1350" s="34">
        <v>45626</v>
      </c>
      <c r="I1350" s="26">
        <v>1</v>
      </c>
      <c r="J1350" s="26">
        <v>624</v>
      </c>
      <c r="K1350">
        <f>ТабПозиции[[#This Row],[discountPrice]]*ТабПозиции[[#This Row],[quantity]]</f>
        <v>624</v>
      </c>
      <c r="L1350" s="26">
        <v>644</v>
      </c>
      <c r="M1350">
        <f t="shared" si="25"/>
        <v>644</v>
      </c>
      <c r="O135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Row],[orderNum]],ТабПозиции[orderSumm])&gt;1500),ABS(M1350*VLOOKUP(ТабПозиции[[#This Row],[orderNum]],ТабЗаказы[#Data],MATCH("Percent",ТабЗаказы[#Headers],0),0))/100,200/COUNTIF(ТабПозиции[orderNum],ТабПозиции[[#This Row],[orderNum]])),0),"")</f>
        <v>64</v>
      </c>
      <c r="P1350">
        <f>IF(OR(ТабПозиции[[#This Row],[item]]="По штрихкоду",ТабПозиции[[#This Row],[item]]="Посылка"),ТабПозиции[[#This Row],[deliverySumm]]+ТабПозиции[[#This Row],[deliveryPost]],SUM(M1350:O1350))</f>
        <v>708</v>
      </c>
      <c r="Q1350" s="57">
        <v>708</v>
      </c>
      <c r="R1350" s="62">
        <f>ТабПозиции[[#This Row],[totalSumm]]-ТабПозиции[[#This Row],[payment]]</f>
        <v>0</v>
      </c>
      <c r="S1350" s="34" t="s">
        <v>955</v>
      </c>
      <c r="T1350" s="56" t="s">
        <v>3061</v>
      </c>
      <c r="U1350" s="56" t="str">
        <f>IF(AND(ТабПозиции[[#This Row],[Остаток]]=0,ТабПозиции[[#This Row],[ord]]="true"),"true","false")</f>
        <v>true</v>
      </c>
      <c r="V1350" s="56" t="str">
        <f>IF(AND(ТабПозиции[[#This Row],[Остаток]]=0,ТабПозиции[[#This Row],[ord]]="true"),"true","false")</f>
        <v>true</v>
      </c>
      <c r="W1350" s="7"/>
      <c r="X1350"/>
    </row>
    <row r="1351" spans="1:24" x14ac:dyDescent="0.25">
      <c r="A1351" s="26">
        <v>361</v>
      </c>
      <c r="B1351" s="1">
        <f>IFERROR(VLOOKUP(ТабПозиции[[#This Row],[orderNum]],ТабЗаказы[#Data],MATCH(B$7,ТабЗаказы[#Headers],0),0),"")</f>
        <v>45625</v>
      </c>
      <c r="C1351" t="str">
        <f>MONTH(ТабПозиции[[#This Row],[date]])&amp;"/"&amp;YEAR(ТабПозиции[[#This Row],[date]])</f>
        <v>11/2024</v>
      </c>
      <c r="D1351" s="1" t="str">
        <f>IFERROR(VLOOKUP(ТабПозиции[[#This Row],[orderNum]],ТабЗаказы[#Data],MATCH(D$7,ТабЗаказы[#Headers],0),0),"")</f>
        <v>Дарья Урицкого</v>
      </c>
      <c r="E1351" s="26" t="s">
        <v>32</v>
      </c>
      <c r="F1351" s="56" t="s">
        <v>3061</v>
      </c>
      <c r="H1351" s="34">
        <v>45625</v>
      </c>
      <c r="I1351" s="26">
        <v>1</v>
      </c>
      <c r="J1351" s="26">
        <v>23000</v>
      </c>
      <c r="K1351">
        <f>ТабПозиции[[#This Row],[discountPrice]]*ТабПозиции[[#This Row],[quantity]]</f>
        <v>23000</v>
      </c>
      <c r="L1351" s="26">
        <v>23000</v>
      </c>
      <c r="M1351">
        <f t="shared" si="25"/>
        <v>23000</v>
      </c>
      <c r="O135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Row],[orderNum]],ТабПозиции[orderSumm])&gt;1500),ABS(M1351*VLOOKUP(ТабПозиции[[#This Row],[orderNum]],ТабЗаказы[#Data],MATCH("Percent",ТабЗаказы[#Headers],0),0))/100,200/COUNTIF(ТабПозиции[orderNum],ТабПозиции[[#This Row],[orderNum]])),0),"")</f>
        <v>2300</v>
      </c>
      <c r="P1351">
        <f>IF(OR(ТабПозиции[[#This Row],[item]]="По штрихкоду",ТабПозиции[[#This Row],[item]]="Посылка"),ТабПозиции[[#This Row],[deliverySumm]]+ТабПозиции[[#This Row],[deliveryPost]],SUM(M1351:O1351))</f>
        <v>2300</v>
      </c>
      <c r="Q1351" s="57">
        <v>2300</v>
      </c>
      <c r="R1351" s="62">
        <f>ТабПозиции[[#This Row],[totalSumm]]-ТабПозиции[[#This Row],[payment]]</f>
        <v>0</v>
      </c>
      <c r="S1351" s="34" t="s">
        <v>955</v>
      </c>
      <c r="T1351" s="56" t="s">
        <v>3061</v>
      </c>
      <c r="U1351" s="56" t="str">
        <f>IF(AND(ТабПозиции[[#This Row],[Остаток]]=0,ТабПозиции[[#This Row],[ord]]="true"),"true","false")</f>
        <v>true</v>
      </c>
      <c r="V1351" s="56" t="str">
        <f>IF(AND(ТабПозиции[[#This Row],[Остаток]]=0,ТабПозиции[[#This Row],[ord]]="true"),"true","false")</f>
        <v>true</v>
      </c>
      <c r="W1351" s="7"/>
      <c r="X1351"/>
    </row>
    <row r="1352" spans="1:24" x14ac:dyDescent="0.25">
      <c r="A1352" s="26">
        <v>362</v>
      </c>
      <c r="B1352" s="1">
        <f>IFERROR(VLOOKUP(ТабПозиции[[#This Row],[orderNum]],ТабЗаказы[#Data],MATCH(B$7,ТабЗаказы[#Headers],0),0),"")</f>
        <v>45625</v>
      </c>
      <c r="C1352" t="str">
        <f>MONTH(ТабПозиции[[#This Row],[date]])&amp;"/"&amp;YEAR(ТабПозиции[[#This Row],[date]])</f>
        <v>11/2024</v>
      </c>
      <c r="D1352" s="1" t="str">
        <f>IFERROR(VLOOKUP(ТабПозиции[[#This Row],[orderNum]],ТабЗаказы[#Data],MATCH(D$7,ТабЗаказы[#Headers],0),0),"")</f>
        <v>Алина Азовстальская</v>
      </c>
      <c r="E1352" s="26" t="s">
        <v>32</v>
      </c>
      <c r="F1352" s="56" t="s">
        <v>3061</v>
      </c>
      <c r="H1352" s="34">
        <v>45625</v>
      </c>
      <c r="I1352" s="26">
        <v>1</v>
      </c>
      <c r="J1352" s="26">
        <v>256</v>
      </c>
      <c r="K1352">
        <f>ТабПозиции[[#This Row],[discountPrice]]*ТабПозиции[[#This Row],[quantity]]</f>
        <v>256</v>
      </c>
      <c r="L1352" s="26">
        <v>256</v>
      </c>
      <c r="M1352">
        <f t="shared" si="25"/>
        <v>256</v>
      </c>
      <c r="O135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Row],[orderNum]],ТабПозиции[orderSumm])&gt;1500),ABS(M1352*VLOOKUP(ТабПозиции[[#This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352">
        <f>IF(OR(ТабПозиции[[#This Row],[item]]="По штрихкоду",ТабПозиции[[#This Row],[item]]="Посылка"),ТабПозиции[[#This Row],[deliverySumm]]+ТабПозиции[[#This Row],[deliveryPost]],SUM(M1352:O1352))</f>
        <v>200</v>
      </c>
      <c r="Q1352" s="57">
        <v>200</v>
      </c>
      <c r="R1352" s="62">
        <f>ТабПозиции[[#This Row],[totalSumm]]-ТабПозиции[[#This Row],[payment]]</f>
        <v>0</v>
      </c>
      <c r="S1352" s="34" t="s">
        <v>955</v>
      </c>
      <c r="T1352" s="56" t="s">
        <v>3061</v>
      </c>
      <c r="U1352" s="56" t="str">
        <f>IF(AND(ТабПозиции[[#This Row],[Остаток]]=0,ТабПозиции[[#This Row],[ord]]="true"),"true","false")</f>
        <v>true</v>
      </c>
      <c r="V1352" s="56" t="str">
        <f>IF(AND(ТабПозиции[[#This Row],[Остаток]]=0,ТабПозиции[[#This Row],[ord]]="true"),"true","false")</f>
        <v>true</v>
      </c>
      <c r="W1352" s="7"/>
      <c r="X1352"/>
    </row>
    <row r="1353" spans="1:24" x14ac:dyDescent="0.25">
      <c r="A1353" s="26">
        <v>363</v>
      </c>
      <c r="B1353" s="1">
        <f>IFERROR(VLOOKUP(ТабПозиции[[#This Row],[orderNum]],ТабЗаказы[#Data],MATCH(B$7,ТабЗаказы[#Headers],0),0),"")</f>
        <v>45625</v>
      </c>
      <c r="C1353" t="str">
        <f>MONTH(ТабПозиции[[#This Row],[date]])&amp;"/"&amp;YEAR(ТабПозиции[[#This Row],[date]])</f>
        <v>11/2024</v>
      </c>
      <c r="D1353" s="1" t="str">
        <f>IFERROR(VLOOKUP(ТабПозиции[[#This Row],[orderNum]],ТабЗаказы[#Data],MATCH(D$7,ТабЗаказы[#Headers],0),0),"")</f>
        <v>Ольга Родион 17</v>
      </c>
      <c r="E1353" s="26" t="s">
        <v>32</v>
      </c>
      <c r="F1353" s="56" t="s">
        <v>3061</v>
      </c>
      <c r="H1353" s="34">
        <v>45625</v>
      </c>
      <c r="I1353" s="26">
        <v>1</v>
      </c>
      <c r="J1353" s="26">
        <v>20470</v>
      </c>
      <c r="K1353">
        <f>ТабПозиции[[#This Row],[discountPrice]]*ТабПозиции[[#This Row],[quantity]]</f>
        <v>20470</v>
      </c>
      <c r="L1353" s="26">
        <v>20470</v>
      </c>
      <c r="M1353">
        <f t="shared" si="25"/>
        <v>20470</v>
      </c>
      <c r="O135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Row],[orderNum]],ТабПозиции[orderSumm])&gt;1500),ABS(M1353*VLOOKUP(ТабПозиции[[#This Row],[orderNum]],ТабЗаказы[#Data],MATCH("Percent",ТабЗаказы[#Headers],0),0))/100,200/COUNTIF(ТабПозиции[orderNum],ТабПозиции[[#This Row],[orderNum]])),0),"")</f>
        <v>2047</v>
      </c>
      <c r="P1353">
        <f>IF(OR(ТабПозиции[[#This Row],[item]]="По штрихкоду",ТабПозиции[[#This Row],[item]]="Посылка"),ТабПозиции[[#This Row],[deliverySumm]]+ТабПозиции[[#This Row],[deliveryPost]],SUM(M1353:O1353))</f>
        <v>2047</v>
      </c>
      <c r="Q1353">
        <f>IF(OR(ТабПозиции[[#This Row],[item]]="По штрихкоду",ТабПозиции[[#This Row],[item]]="Посылка"),ТабПозиции[[#This Row],[deliverySumm]]+ТабПозиции[[#This Row],[deliveryPost]],SUM(N1353:P1353))</f>
        <v>2047</v>
      </c>
      <c r="R1353" s="62">
        <f>ТабПозиции[[#This Row],[totalSumm]]-ТабПозиции[[#This Row],[payment]]</f>
        <v>0</v>
      </c>
      <c r="S1353" s="34" t="s">
        <v>955</v>
      </c>
      <c r="T1353" s="56" t="s">
        <v>3061</v>
      </c>
      <c r="U1353" s="56" t="str">
        <f>IF(AND(ТабПозиции[[#This Row],[Остаток]]=0,ТабПозиции[[#This Row],[ord]]="true"),"true","false")</f>
        <v>true</v>
      </c>
      <c r="V1353" s="56" t="str">
        <f>IF(AND(ТабПозиции[[#This Row],[Остаток]]=0,ТабПозиции[[#This Row],[ord]]="true"),"true","false")</f>
        <v>true</v>
      </c>
      <c r="W1353" s="7"/>
      <c r="X1353"/>
    </row>
    <row r="1354" spans="1:24" x14ac:dyDescent="0.25">
      <c r="A1354" s="26">
        <v>364</v>
      </c>
      <c r="B1354" s="1">
        <f>IFERROR(VLOOKUP(ТабПозиции[[#This Row],[orderNum]],ТабЗаказы[#Data],MATCH(B$7,ТабЗаказы[#Headers],0),0),"")</f>
        <v>45625</v>
      </c>
      <c r="C1354" t="str">
        <f>MONTH(ТабПозиции[[#This Row],[date]])&amp;"/"&amp;YEAR(ТабПозиции[[#This Row],[date]])</f>
        <v>11/2024</v>
      </c>
      <c r="D1354" s="1" t="str">
        <f>IFERROR(VLOOKUP(ТабПозиции[[#This Row],[orderNum]],ТабЗаказы[#Data],MATCH(D$7,ТабЗаказы[#Headers],0),0),"")</f>
        <v>SR</v>
      </c>
      <c r="E1354" s="26" t="s">
        <v>32</v>
      </c>
      <c r="F1354" s="56" t="s">
        <v>3061</v>
      </c>
      <c r="H1354" s="34">
        <v>45625</v>
      </c>
      <c r="I1354" s="26">
        <v>1</v>
      </c>
      <c r="J1354" s="26">
        <v>4158</v>
      </c>
      <c r="K1354">
        <f>ТабПозиции[[#This Row],[discountPrice]]*ТабПозиции[[#This Row],[quantity]]</f>
        <v>4158</v>
      </c>
      <c r="L1354" s="26">
        <v>4158</v>
      </c>
      <c r="M1354">
        <f t="shared" ref="M1354:M1417" si="26">L1354*I1354</f>
        <v>4158</v>
      </c>
      <c r="O135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Row],[orderNum]],ТабПозиции[orderSumm])&gt;1500),ABS(M1354*VLOOKUP(ТабПозиции[[#This Row],[orderNum]],ТабЗаказы[#Data],MATCH("Percent",ТабЗаказы[#Headers],0),0))/100,200/COUNTIF(ТабПозиции[orderNum],ТабПозиции[[#This Row],[orderNum]])),0),"")</f>
        <v>624</v>
      </c>
      <c r="P1354">
        <f>IF(OR(ТабПозиции[[#This Row],[item]]="По штрихкоду",ТабПозиции[[#This Row],[item]]="Посылка"),ТабПозиции[[#This Row],[deliverySumm]]+ТабПозиции[[#This Row],[deliveryPost]],SUM(M1354:O1354))</f>
        <v>624</v>
      </c>
      <c r="Q1354" s="57">
        <v>624</v>
      </c>
      <c r="R1354" s="62">
        <f>ТабПозиции[[#This Row],[totalSumm]]-ТабПозиции[[#This Row],[payment]]</f>
        <v>0</v>
      </c>
      <c r="S1354" s="34" t="s">
        <v>955</v>
      </c>
      <c r="T1354" s="56" t="s">
        <v>3061</v>
      </c>
      <c r="U1354" s="56" t="str">
        <f>IF(AND(ТабПозиции[[#This Row],[Остаток]]=0,ТабПозиции[[#This Row],[ord]]="true"),"true","false")</f>
        <v>true</v>
      </c>
      <c r="V1354" s="56" t="str">
        <f>IF(AND(ТабПозиции[[#This Row],[Остаток]]=0,ТабПозиции[[#This Row],[ord]]="true"),"true","false")</f>
        <v>true</v>
      </c>
      <c r="W1354" s="7"/>
      <c r="X1354"/>
    </row>
    <row r="1355" spans="1:24" x14ac:dyDescent="0.25">
      <c r="A1355" s="26">
        <v>365</v>
      </c>
      <c r="B1355" s="1">
        <f>IFERROR(VLOOKUP(ТабПозиции[[#This Row],[orderNum]],ТабЗаказы[#Data],MATCH(B$7,ТабЗаказы[#Headers],0),0),"")</f>
        <v>45625</v>
      </c>
      <c r="C1355" t="str">
        <f>MONTH(ТабПозиции[[#This Row],[date]])&amp;"/"&amp;YEAR(ТабПозиции[[#This Row],[date]])</f>
        <v>11/2024</v>
      </c>
      <c r="D1355" s="1" t="str">
        <f>IFERROR(VLOOKUP(ТабПозиции[[#This Row],[orderNum]],ТабЗаказы[#Data],MATCH(D$7,ТабЗаказы[#Headers],0),0),"")</f>
        <v>Михаил Куприна</v>
      </c>
      <c r="E1355" s="32" t="s">
        <v>2004</v>
      </c>
      <c r="F1355" s="56" t="s">
        <v>3061</v>
      </c>
      <c r="H1355" s="34">
        <v>45629</v>
      </c>
      <c r="I1355" s="26">
        <v>1</v>
      </c>
      <c r="J1355" s="26">
        <v>281</v>
      </c>
      <c r="K1355">
        <f>ТабПозиции[[#This Row],[discountPrice]]*ТабПозиции[[#This Row],[quantity]]</f>
        <v>281</v>
      </c>
      <c r="L1355" s="26">
        <v>287</v>
      </c>
      <c r="M1355">
        <f t="shared" si="26"/>
        <v>287</v>
      </c>
      <c r="O135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Row],[orderNum]],ТабПозиции[orderSumm])&gt;1500),ABS(M1355*VLOOKUP(ТабПозиции[[#This Row],[orderNum]],ТабЗаказы[#Data],MATCH("Percent",ТабЗаказы[#Headers],0),0))/100,200/COUNTIF(ТабПозиции[orderNum],ТабПозиции[[#This Row],[orderNum]])),0),"")</f>
        <v>43</v>
      </c>
      <c r="P1355">
        <f>IF(OR(ТабПозиции[[#This Row],[item]]="По штрихкоду",ТабПозиции[[#This Row],[item]]="Посылка"),ТабПозиции[[#This Row],[deliverySumm]]+ТабПозиции[[#This Row],[deliveryPost]],SUM(M1355:O1355))</f>
        <v>330</v>
      </c>
      <c r="Q1355" s="57">
        <v>330</v>
      </c>
      <c r="R1355" s="62">
        <f>ТабПозиции[[#This Row],[totalSumm]]-ТабПозиции[[#This Row],[payment]]</f>
        <v>0</v>
      </c>
      <c r="S1355" s="34" t="s">
        <v>955</v>
      </c>
      <c r="T1355" s="56" t="s">
        <v>3061</v>
      </c>
      <c r="U1355" s="56" t="str">
        <f>IF(AND(ТабПозиции[[#This Row],[Остаток]]=0,ТабПозиции[[#This Row],[ord]]="true"),"true","false")</f>
        <v>true</v>
      </c>
      <c r="V1355" s="56" t="str">
        <f>IF(AND(ТабПозиции[[#This Row],[Остаток]]=0,ТабПозиции[[#This Row],[ord]]="true"),"true","false")</f>
        <v>true</v>
      </c>
      <c r="W1355" s="7"/>
      <c r="X1355"/>
    </row>
    <row r="1356" spans="1:24" x14ac:dyDescent="0.25">
      <c r="A1356" s="26">
        <v>365</v>
      </c>
      <c r="B1356" s="1">
        <f>IFERROR(VLOOKUP(ТабПозиции[[#This Row],[orderNum]],ТабЗаказы[#Data],MATCH(B$7,ТабЗаказы[#Headers],0),0),"")</f>
        <v>45625</v>
      </c>
      <c r="C1356" t="str">
        <f>MONTH(ТабПозиции[[#This Row],[date]])&amp;"/"&amp;YEAR(ТабПозиции[[#This Row],[date]])</f>
        <v>11/2024</v>
      </c>
      <c r="D1356" s="1" t="str">
        <f>IFERROR(VLOOKUP(ТабПозиции[[#This Row],[orderNum]],ТабЗаказы[#Data],MATCH(D$7,ТабЗаказы[#Headers],0),0),"")</f>
        <v>Михаил Куприна</v>
      </c>
      <c r="E1356" s="32" t="s">
        <v>2005</v>
      </c>
      <c r="F1356" s="56" t="s">
        <v>3061</v>
      </c>
      <c r="H1356" s="34">
        <v>45629</v>
      </c>
      <c r="I1356" s="26">
        <v>1</v>
      </c>
      <c r="J1356" s="26">
        <v>350</v>
      </c>
      <c r="K1356">
        <f>ТабПозиции[[#This Row],[discountPrice]]*ТабПозиции[[#This Row],[quantity]]</f>
        <v>350</v>
      </c>
      <c r="L1356" s="26">
        <v>357</v>
      </c>
      <c r="M1356">
        <f t="shared" si="26"/>
        <v>357</v>
      </c>
      <c r="O135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Row],[orderNum]],ТабПозиции[orderSumm])&gt;1500),ABS(M1356*VLOOKUP(ТабПозиции[[#This Row],[orderNum]],ТабЗаказы[#Data],MATCH("Percent",ТабЗаказы[#Headers],0),0))/100,200/COUNTIF(ТабПозиции[orderNum],ТабПозиции[[#This Row],[orderNum]])),0),"")</f>
        <v>54</v>
      </c>
      <c r="P1356">
        <f>IF(OR(ТабПозиции[[#This Row],[item]]="По штрихкоду",ТабПозиции[[#This Row],[item]]="Посылка"),ТабПозиции[[#This Row],[deliverySumm]]+ТабПозиции[[#This Row],[deliveryPost]],SUM(M1356:O1356))</f>
        <v>411</v>
      </c>
      <c r="Q1356" s="57">
        <v>411</v>
      </c>
      <c r="R1356" s="62">
        <f>ТабПозиции[[#This Row],[totalSumm]]-ТабПозиции[[#This Row],[payment]]</f>
        <v>0</v>
      </c>
      <c r="S1356" s="34" t="s">
        <v>955</v>
      </c>
      <c r="T1356" s="56" t="s">
        <v>3061</v>
      </c>
      <c r="U1356" s="56" t="str">
        <f>IF(AND(ТабПозиции[[#This Row],[Остаток]]=0,ТабПозиции[[#This Row],[ord]]="true"),"true","false")</f>
        <v>true</v>
      </c>
      <c r="V1356" s="56" t="str">
        <f>IF(AND(ТабПозиции[[#This Row],[Остаток]]=0,ТабПозиции[[#This Row],[ord]]="true"),"true","false")</f>
        <v>true</v>
      </c>
      <c r="W1356" s="7"/>
      <c r="X1356"/>
    </row>
    <row r="1357" spans="1:24" x14ac:dyDescent="0.25">
      <c r="A1357" s="26">
        <v>365</v>
      </c>
      <c r="B1357" s="1">
        <f>IFERROR(VLOOKUP(ТабПозиции[[#This Row],[orderNum]],ТабЗаказы[#Data],MATCH(B$7,ТабЗаказы[#Headers],0),0),"")</f>
        <v>45625</v>
      </c>
      <c r="C1357" t="str">
        <f>MONTH(ТабПозиции[[#This Row],[date]])&amp;"/"&amp;YEAR(ТабПозиции[[#This Row],[date]])</f>
        <v>11/2024</v>
      </c>
      <c r="D1357" s="1" t="str">
        <f>IFERROR(VLOOKUP(ТабПозиции[[#This Row],[orderNum]],ТабЗаказы[#Data],MATCH(D$7,ТабЗаказы[#Headers],0),0),"")</f>
        <v>Михаил Куприна</v>
      </c>
      <c r="E1357" s="32" t="s">
        <v>2006</v>
      </c>
      <c r="F1357" s="56" t="s">
        <v>3061</v>
      </c>
      <c r="H1357" s="34">
        <v>45629</v>
      </c>
      <c r="I1357" s="26">
        <v>1</v>
      </c>
      <c r="J1357" s="26">
        <v>303</v>
      </c>
      <c r="K1357">
        <f>ТабПозиции[[#This Row],[discountPrice]]*ТабПозиции[[#This Row],[quantity]]</f>
        <v>303</v>
      </c>
      <c r="L1357" s="26">
        <v>309</v>
      </c>
      <c r="M1357">
        <f t="shared" si="26"/>
        <v>309</v>
      </c>
      <c r="O135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Row],[orderNum]],ТабПозиции[orderSumm])&gt;1500),ABS(M1357*VLOOKUP(ТабПозиции[[#This Row],[orderNum]],ТабЗаказы[#Data],MATCH("Percent",ТабЗаказы[#Headers],0),0))/100,200/COUNTIF(ТабПозиции[orderNum],ТабПозиции[[#This Row],[orderNum]])),0),"")</f>
        <v>46</v>
      </c>
      <c r="P1357">
        <f>IF(OR(ТабПозиции[[#This Row],[item]]="По штрихкоду",ТабПозиции[[#This Row],[item]]="Посылка"),ТабПозиции[[#This Row],[deliverySumm]]+ТабПозиции[[#This Row],[deliveryPost]],SUM(M1357:O1357))</f>
        <v>355</v>
      </c>
      <c r="Q1357" s="57">
        <v>355</v>
      </c>
      <c r="R1357" s="62">
        <f>ТабПозиции[[#This Row],[totalSumm]]-ТабПозиции[[#This Row],[payment]]</f>
        <v>0</v>
      </c>
      <c r="S1357" s="34" t="s">
        <v>955</v>
      </c>
      <c r="T1357" s="56" t="s">
        <v>3061</v>
      </c>
      <c r="U1357" s="56" t="str">
        <f>IF(AND(ТабПозиции[[#This Row],[Остаток]]=0,ТабПозиции[[#This Row],[ord]]="true"),"true","false")</f>
        <v>true</v>
      </c>
      <c r="V1357" s="56" t="str">
        <f>IF(AND(ТабПозиции[[#This Row],[Остаток]]=0,ТабПозиции[[#This Row],[ord]]="true"),"true","false")</f>
        <v>true</v>
      </c>
      <c r="W1357" s="7"/>
      <c r="X1357"/>
    </row>
    <row r="1358" spans="1:24" x14ac:dyDescent="0.25">
      <c r="A1358" s="26">
        <v>365</v>
      </c>
      <c r="B1358" s="1">
        <f>IFERROR(VLOOKUP(ТабПозиции[[#This Row],[orderNum]],ТабЗаказы[#Data],MATCH(B$7,ТабЗаказы[#Headers],0),0),"")</f>
        <v>45625</v>
      </c>
      <c r="C1358" t="str">
        <f>MONTH(ТабПозиции[[#This Row],[date]])&amp;"/"&amp;YEAR(ТабПозиции[[#This Row],[date]])</f>
        <v>11/2024</v>
      </c>
      <c r="D1358" s="1" t="str">
        <f>IFERROR(VLOOKUP(ТабПозиции[[#This Row],[orderNum]],ТабЗаказы[#Data],MATCH(D$7,ТабЗаказы[#Headers],0),0),"")</f>
        <v>Михаил Куприна</v>
      </c>
      <c r="E1358" s="32" t="s">
        <v>2007</v>
      </c>
      <c r="F1358" s="56" t="s">
        <v>3061</v>
      </c>
      <c r="H1358" s="34">
        <v>45630</v>
      </c>
      <c r="I1358" s="26">
        <v>1</v>
      </c>
      <c r="J1358" s="26">
        <v>1244</v>
      </c>
      <c r="K1358">
        <f>ТабПозиции[[#This Row],[discountPrice]]*ТабПозиции[[#This Row],[quantity]]</f>
        <v>1244</v>
      </c>
      <c r="L1358" s="26">
        <v>1335</v>
      </c>
      <c r="M1358">
        <f t="shared" si="26"/>
        <v>1335</v>
      </c>
      <c r="O135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Row],[orderNum]],ТабПозиции[orderSumm])&gt;1500),ABS(M1358*VLOOKUP(ТабПозиции[[#This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358">
        <f>IF(OR(ТабПозиции[[#This Row],[item]]="По штрихкоду",ТабПозиции[[#This Row],[item]]="Посылка"),ТабПозиции[[#This Row],[deliverySumm]]+ТабПозиции[[#This Row],[deliveryPost]],SUM(M1358:O1358))</f>
        <v>1535</v>
      </c>
      <c r="Q1358" s="57">
        <v>1535</v>
      </c>
      <c r="R1358" s="62">
        <f>ТабПозиции[[#This Row],[totalSumm]]-ТабПозиции[[#This Row],[payment]]</f>
        <v>0</v>
      </c>
      <c r="S1358" s="34" t="s">
        <v>955</v>
      </c>
      <c r="T1358" s="56" t="s">
        <v>3061</v>
      </c>
      <c r="U1358" s="56" t="str">
        <f>IF(AND(ТабПозиции[[#This Row],[Остаток]]=0,ТабПозиции[[#This Row],[ord]]="true"),"true","false")</f>
        <v>true</v>
      </c>
      <c r="V1358" s="56" t="str">
        <f>IF(AND(ТабПозиции[[#This Row],[Остаток]]=0,ТабПозиции[[#This Row],[ord]]="true"),"true","false")</f>
        <v>true</v>
      </c>
      <c r="W1358" s="7"/>
      <c r="X1358"/>
    </row>
    <row r="1359" spans="1:24" x14ac:dyDescent="0.25">
      <c r="A1359" s="26">
        <v>365</v>
      </c>
      <c r="B1359" s="1">
        <f>IFERROR(VLOOKUP(ТабПозиции[[#This Row],[orderNum]],ТабЗаказы[#Data],MATCH(B$7,ТабЗаказы[#Headers],0),0),"")</f>
        <v>45625</v>
      </c>
      <c r="C1359" t="str">
        <f>MONTH(ТабПозиции[[#This Row],[date]])&amp;"/"&amp;YEAR(ТабПозиции[[#This Row],[date]])</f>
        <v>11/2024</v>
      </c>
      <c r="D1359" s="1" t="str">
        <f>IFERROR(VLOOKUP(ТабПозиции[[#This Row],[orderNum]],ТабЗаказы[#Data],MATCH(D$7,ТабЗаказы[#Headers],0),0),"")</f>
        <v>Михаил Куприна</v>
      </c>
      <c r="E1359" s="32" t="s">
        <v>2008</v>
      </c>
      <c r="F1359" s="56" t="s">
        <v>3061</v>
      </c>
      <c r="H1359" s="34">
        <v>45629</v>
      </c>
      <c r="I1359" s="26">
        <v>1</v>
      </c>
      <c r="J1359" s="26">
        <v>800</v>
      </c>
      <c r="K1359">
        <f>ТабПозиции[[#This Row],[discountPrice]]*ТабПозиции[[#This Row],[quantity]]</f>
        <v>800</v>
      </c>
      <c r="L1359" s="26">
        <v>858</v>
      </c>
      <c r="M1359">
        <f t="shared" si="26"/>
        <v>858</v>
      </c>
      <c r="O135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Row],[orderNum]],ТабПозиции[orderSumm])&gt;1500),ABS(M1359*VLOOKUP(ТабПозиции[[#This Row],[orderNum]],ТабЗаказы[#Data],MATCH("Percent",ТабЗаказы[#Headers],0),0))/100,200/COUNTIF(ТабПозиции[orderNum],ТабПозиции[[#This Row],[orderNum]])),0),"")</f>
        <v>129</v>
      </c>
      <c r="P1359">
        <f>IF(OR(ТабПозиции[[#This Row],[item]]="По штрихкоду",ТабПозиции[[#This Row],[item]]="Посылка"),ТабПозиции[[#This Row],[deliverySumm]]+ТабПозиции[[#This Row],[deliveryPost]],SUM(M1359:O1359))</f>
        <v>987</v>
      </c>
      <c r="Q1359" s="57">
        <v>987</v>
      </c>
      <c r="R1359" s="62">
        <f>ТабПозиции[[#This Row],[totalSumm]]-ТабПозиции[[#This Row],[payment]]</f>
        <v>0</v>
      </c>
      <c r="S1359" s="34" t="s">
        <v>955</v>
      </c>
      <c r="T1359" s="56" t="s">
        <v>3061</v>
      </c>
      <c r="U1359" s="56" t="str">
        <f>IF(AND(ТабПозиции[[#This Row],[Остаток]]=0,ТабПозиции[[#This Row],[ord]]="true"),"true","false")</f>
        <v>true</v>
      </c>
      <c r="V1359" s="56" t="str">
        <f>IF(AND(ТабПозиции[[#This Row],[Остаток]]=0,ТабПозиции[[#This Row],[ord]]="true"),"true","false")</f>
        <v>true</v>
      </c>
      <c r="W1359" s="7"/>
      <c r="X1359"/>
    </row>
    <row r="1360" spans="1:24" x14ac:dyDescent="0.25">
      <c r="A1360" s="26">
        <v>365</v>
      </c>
      <c r="B1360" s="1">
        <f>IFERROR(VLOOKUP(ТабПозиции[[#This Row],[orderNum]],ТабЗаказы[#Data],MATCH(B$7,ТабЗаказы[#Headers],0),0),"")</f>
        <v>45625</v>
      </c>
      <c r="C1360" t="str">
        <f>MONTH(ТабПозиции[[#This Row],[date]])&amp;"/"&amp;YEAR(ТабПозиции[[#This Row],[date]])</f>
        <v>11/2024</v>
      </c>
      <c r="D1360" s="1" t="str">
        <f>IFERROR(VLOOKUP(ТабПозиции[[#This Row],[orderNum]],ТабЗаказы[#Data],MATCH(D$7,ТабЗаказы[#Headers],0),0),"")</f>
        <v>Михаил Куприна</v>
      </c>
      <c r="E1360" s="32" t="s">
        <v>1816</v>
      </c>
      <c r="F1360" s="56" t="s">
        <v>3061</v>
      </c>
      <c r="H1360" s="34">
        <v>45628</v>
      </c>
      <c r="I1360" s="26">
        <v>1</v>
      </c>
      <c r="J1360" s="26">
        <v>2852</v>
      </c>
      <c r="K1360">
        <f>ТабПозиции[[#This Row],[discountPrice]]*ТабПозиции[[#This Row],[quantity]]</f>
        <v>2852</v>
      </c>
      <c r="L1360" s="26">
        <v>3059</v>
      </c>
      <c r="M1360">
        <f t="shared" si="26"/>
        <v>3059</v>
      </c>
      <c r="O136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Row],[orderNum]],ТабПозиции[orderSumm])&gt;1500),ABS(M1360*VLOOKUP(ТабПозиции[[#This Row],[orderNum]],ТабЗаказы[#Data],MATCH("Percent",ТабЗаказы[#Headers],0),0))/100,200/COUNTIF(ТабПозиции[orderNum],ТабПозиции[[#This Row],[orderNum]])),0),"")</f>
        <v>459</v>
      </c>
      <c r="P1360">
        <f>IF(OR(ТабПозиции[[#This Row],[item]]="По штрихкоду",ТабПозиции[[#This Row],[item]]="Посылка"),ТабПозиции[[#This Row],[deliverySumm]]+ТабПозиции[[#This Row],[deliveryPost]],SUM(M1360:O1360))</f>
        <v>3518</v>
      </c>
      <c r="Q1360" s="57">
        <v>3518</v>
      </c>
      <c r="R1360" s="62">
        <f>ТабПозиции[[#This Row],[totalSumm]]-ТабПозиции[[#This Row],[payment]]</f>
        <v>0</v>
      </c>
      <c r="S1360" s="34" t="s">
        <v>955</v>
      </c>
      <c r="T1360" s="56" t="s">
        <v>3061</v>
      </c>
      <c r="U1360" s="56" t="str">
        <f>IF(AND(ТабПозиции[[#This Row],[Остаток]]=0,ТабПозиции[[#This Row],[ord]]="true"),"true","false")</f>
        <v>true</v>
      </c>
      <c r="V1360" s="56" t="str">
        <f>IF(AND(ТабПозиции[[#This Row],[Остаток]]=0,ТабПозиции[[#This Row],[ord]]="true"),"true","false")</f>
        <v>true</v>
      </c>
      <c r="W1360" s="7"/>
      <c r="X1360"/>
    </row>
    <row r="1361" spans="1:24" x14ac:dyDescent="0.25">
      <c r="A1361" s="26">
        <v>366</v>
      </c>
      <c r="B1361" s="1">
        <f>IFERROR(VLOOKUP(ТабПозиции[[#This Row],[orderNum]],ТабЗаказы[#Data],MATCH(B$7,ТабЗаказы[#Headers],0),0),"")</f>
        <v>45625</v>
      </c>
      <c r="C1361" t="str">
        <f>MONTH(ТабПозиции[[#This Row],[date]])&amp;"/"&amp;YEAR(ТабПозиции[[#This Row],[date]])</f>
        <v>11/2024</v>
      </c>
      <c r="D1361" s="1" t="str">
        <f>IFERROR(VLOOKUP(ТабПозиции[[#This Row],[orderNum]],ТабЗаказы[#Data],MATCH(D$7,ТабЗаказы[#Headers],0),0),"")</f>
        <v>Светлана от Александра</v>
      </c>
      <c r="E1361" s="32" t="s">
        <v>2009</v>
      </c>
      <c r="F1361" s="56" t="s">
        <v>3061</v>
      </c>
      <c r="H1361" s="34">
        <v>45629</v>
      </c>
      <c r="I1361" s="26">
        <v>1</v>
      </c>
      <c r="J1361" s="26">
        <v>1381</v>
      </c>
      <c r="K1361">
        <f>ТабПозиции[[#This Row],[discountPrice]]*ТабПозиции[[#This Row],[quantity]]</f>
        <v>1381</v>
      </c>
      <c r="L1361" s="26">
        <v>1454</v>
      </c>
      <c r="M1361">
        <f t="shared" si="26"/>
        <v>1454</v>
      </c>
      <c r="O136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Row],[orderNum]],ТабПозиции[orderSumm])&gt;1500),ABS(M1361*VLOOKUP(ТабПозиции[[#This Row],[orderNum]],ТабЗаказы[#Data],MATCH("Percent",ТабЗаказы[#Headers],0),0))/100,200/COUNTIF(ТабПозиции[orderNum],ТабПозиции[[#This Row],[orderNum]])),0),"")</f>
        <v>145</v>
      </c>
      <c r="P1361">
        <f>IF(OR(ТабПозиции[[#This Row],[item]]="По штрихкоду",ТабПозиции[[#This Row],[item]]="Посылка"),ТабПозиции[[#This Row],[deliverySumm]]+ТабПозиции[[#This Row],[deliveryPost]],SUM(M1361:O1361))</f>
        <v>1599</v>
      </c>
      <c r="Q1361" s="57">
        <v>1599</v>
      </c>
      <c r="R1361" s="62">
        <f>ТабПозиции[[#This Row],[totalSumm]]-ТабПозиции[[#This Row],[payment]]</f>
        <v>0</v>
      </c>
      <c r="S1361" s="34" t="s">
        <v>965</v>
      </c>
      <c r="T1361" s="56" t="s">
        <v>3061</v>
      </c>
      <c r="U1361" s="56" t="str">
        <f>IF(AND(ТабПозиции[[#This Row],[Остаток]]=0,ТабПозиции[[#This Row],[ord]]="true"),"true","false")</f>
        <v>true</v>
      </c>
      <c r="V1361" s="56" t="str">
        <f>IF(AND(ТабПозиции[[#This Row],[Остаток]]=0,ТабПозиции[[#This Row],[ord]]="true"),"true","false")</f>
        <v>true</v>
      </c>
      <c r="W1361" s="7"/>
      <c r="X1361"/>
    </row>
    <row r="1362" spans="1:24" x14ac:dyDescent="0.25">
      <c r="A1362" s="26">
        <v>366</v>
      </c>
      <c r="B1362" s="1">
        <f>IFERROR(VLOOKUP(ТабПозиции[[#This Row],[orderNum]],ТабЗаказы[#Data],MATCH(B$7,ТабЗаказы[#Headers],0),0),"")</f>
        <v>45625</v>
      </c>
      <c r="C1362" t="str">
        <f>MONTH(ТабПозиции[[#This Row],[date]])&amp;"/"&amp;YEAR(ТабПозиции[[#This Row],[date]])</f>
        <v>11/2024</v>
      </c>
      <c r="D1362" s="1" t="str">
        <f>IFERROR(VLOOKUP(ТабПозиции[[#This Row],[orderNum]],ТабЗаказы[#Data],MATCH(D$7,ТабЗаказы[#Headers],0),0),"")</f>
        <v>Светлана от Александра</v>
      </c>
      <c r="E1362" s="32" t="s">
        <v>771</v>
      </c>
      <c r="F1362" s="56" t="s">
        <v>3061</v>
      </c>
      <c r="H1362" s="34">
        <v>45627</v>
      </c>
      <c r="I1362" s="26">
        <v>1</v>
      </c>
      <c r="J1362" s="26">
        <v>598</v>
      </c>
      <c r="K1362">
        <f>ТабПозиции[[#This Row],[discountPrice]]*ТабПозиции[[#This Row],[quantity]]</f>
        <v>598</v>
      </c>
      <c r="L1362" s="26">
        <v>630</v>
      </c>
      <c r="M1362">
        <f t="shared" si="26"/>
        <v>630</v>
      </c>
      <c r="O136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Row],[orderNum]],ТабПозиции[orderSumm])&gt;1500),ABS(M1362*VLOOKUP(ТабПозиции[[#This Row],[orderNum]],ТабЗаказы[#Data],MATCH("Percent",ТабЗаказы[#Headers],0),0))/100,200/COUNTIF(ТабПозиции[orderNum],ТабПозиции[[#This Row],[orderNum]])),0),"")</f>
        <v>63</v>
      </c>
      <c r="P1362">
        <f>IF(OR(ТабПозиции[[#This Row],[item]]="По штрихкоду",ТабПозиции[[#This Row],[item]]="Посылка"),ТабПозиции[[#This Row],[deliverySumm]]+ТабПозиции[[#This Row],[deliveryPost]],SUM(M1362:O1362))</f>
        <v>693</v>
      </c>
      <c r="Q1362" s="57">
        <v>693</v>
      </c>
      <c r="R1362" s="62">
        <f>ТабПозиции[[#This Row],[totalSumm]]-ТабПозиции[[#This Row],[payment]]</f>
        <v>0</v>
      </c>
      <c r="S1362" s="34" t="s">
        <v>965</v>
      </c>
      <c r="T1362" s="56" t="s">
        <v>3061</v>
      </c>
      <c r="U1362" s="56" t="str">
        <f>IF(AND(ТабПозиции[[#This Row],[Остаток]]=0,ТабПозиции[[#This Row],[ord]]="true"),"true","false")</f>
        <v>true</v>
      </c>
      <c r="V1362" s="56" t="str">
        <f>IF(AND(ТабПозиции[[#This Row],[Остаток]]=0,ТабПозиции[[#This Row],[ord]]="true"),"true","false")</f>
        <v>true</v>
      </c>
      <c r="W1362" s="7"/>
      <c r="X1362"/>
    </row>
    <row r="1363" spans="1:24" x14ac:dyDescent="0.25">
      <c r="A1363" s="26">
        <v>366</v>
      </c>
      <c r="B1363" s="1">
        <f>IFERROR(VLOOKUP(ТабПозиции[[#This Row],[orderNum]],ТабЗаказы[#Data],MATCH(B$7,ТабЗаказы[#Headers],0),0),"")</f>
        <v>45625</v>
      </c>
      <c r="C1363" t="str">
        <f>MONTH(ТабПозиции[[#This Row],[date]])&amp;"/"&amp;YEAR(ТабПозиции[[#This Row],[date]])</f>
        <v>11/2024</v>
      </c>
      <c r="D1363" s="1" t="str">
        <f>IFERROR(VLOOKUP(ТабПозиции[[#This Row],[orderNum]],ТабЗаказы[#Data],MATCH(D$7,ТабЗаказы[#Headers],0),0),"")</f>
        <v>Светлана от Александра</v>
      </c>
      <c r="E1363" s="32" t="s">
        <v>2010</v>
      </c>
      <c r="F1363" s="56" t="s">
        <v>3061</v>
      </c>
      <c r="H1363" s="34">
        <v>45638</v>
      </c>
      <c r="I1363" s="26">
        <v>1</v>
      </c>
      <c r="J1363" s="26">
        <v>907</v>
      </c>
      <c r="K1363">
        <f>ТабПозиции[[#This Row],[discountPrice]]*ТабПозиции[[#This Row],[quantity]]</f>
        <v>907</v>
      </c>
      <c r="L1363" s="26">
        <v>955</v>
      </c>
      <c r="M1363">
        <f t="shared" si="26"/>
        <v>955</v>
      </c>
      <c r="O136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Row],[orderNum]],ТабПозиции[orderSumm])&gt;1500),ABS(M1363*VLOOKUP(ТабПозиции[[#This Row],[orderNum]],ТабЗаказы[#Data],MATCH("Percent",ТабЗаказы[#Headers],0),0))/100,200/COUNTIF(ТабПозиции[orderNum],ТабПозиции[[#This Row],[orderNum]])),0),"")</f>
        <v>96</v>
      </c>
      <c r="P1363">
        <f>IF(OR(ТабПозиции[[#This Row],[item]]="По штрихкоду",ТабПозиции[[#This Row],[item]]="Посылка"),ТабПозиции[[#This Row],[deliverySumm]]+ТабПозиции[[#This Row],[deliveryPost]],SUM(M1363:O1363))</f>
        <v>1051</v>
      </c>
      <c r="Q1363" s="57">
        <v>1051</v>
      </c>
      <c r="R1363" s="62">
        <f>ТабПозиции[[#This Row],[totalSumm]]-ТабПозиции[[#This Row],[payment]]</f>
        <v>0</v>
      </c>
      <c r="S1363" s="34" t="s">
        <v>965</v>
      </c>
      <c r="T1363" s="56" t="s">
        <v>3061</v>
      </c>
      <c r="U1363" s="56" t="str">
        <f>IF(AND(ТабПозиции[[#This Row],[Остаток]]=0,ТабПозиции[[#This Row],[ord]]="true"),"true","false")</f>
        <v>true</v>
      </c>
      <c r="V1363" s="56" t="str">
        <f>IF(AND(ТабПозиции[[#This Row],[Остаток]]=0,ТабПозиции[[#This Row],[ord]]="true"),"true","false")</f>
        <v>true</v>
      </c>
      <c r="W1363" s="7"/>
      <c r="X1363"/>
    </row>
    <row r="1364" spans="1:24" x14ac:dyDescent="0.25">
      <c r="A1364" s="26">
        <v>366</v>
      </c>
      <c r="B1364" s="1">
        <f>IFERROR(VLOOKUP(ТабПозиции[[#This Row],[orderNum]],ТабЗаказы[#Data],MATCH(B$7,ТабЗаказы[#Headers],0),0),"")</f>
        <v>45625</v>
      </c>
      <c r="C1364" t="str">
        <f>MONTH(ТабПозиции[[#This Row],[date]])&amp;"/"&amp;YEAR(ТабПозиции[[#This Row],[date]])</f>
        <v>11/2024</v>
      </c>
      <c r="D1364" s="1" t="str">
        <f>IFERROR(VLOOKUP(ТабПозиции[[#This Row],[orderNum]],ТабЗаказы[#Data],MATCH(D$7,ТабЗаказы[#Headers],0),0),"")</f>
        <v>Светлана от Александра</v>
      </c>
      <c r="E1364" s="32" t="s">
        <v>2011</v>
      </c>
      <c r="F1364" s="56" t="s">
        <v>3061</v>
      </c>
      <c r="H1364" s="34">
        <v>45627</v>
      </c>
      <c r="I1364" s="26">
        <v>1</v>
      </c>
      <c r="J1364" s="26">
        <v>508</v>
      </c>
      <c r="K1364">
        <f>ТабПозиции[[#This Row],[discountPrice]]*ТабПозиции[[#This Row],[quantity]]</f>
        <v>508</v>
      </c>
      <c r="L1364" s="26">
        <v>535</v>
      </c>
      <c r="M1364">
        <f t="shared" si="26"/>
        <v>535</v>
      </c>
      <c r="O136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Row],[orderNum]],ТабПозиции[orderSumm])&gt;1500),ABS(M1364*VLOOKUP(ТабПозиции[[#This Row],[orderNum]],ТабЗаказы[#Data],MATCH("Percent",ТабЗаказы[#Headers],0),0))/100,200/COUNTIF(ТабПозиции[orderNum],ТабПозиции[[#This Row],[orderNum]])),0),"")</f>
        <v>54</v>
      </c>
      <c r="P1364">
        <f>IF(OR(ТабПозиции[[#This Row],[item]]="По штрихкоду",ТабПозиции[[#This Row],[item]]="Посылка"),ТабПозиции[[#This Row],[deliverySumm]]+ТабПозиции[[#This Row],[deliveryPost]],SUM(M1364:O1364))</f>
        <v>589</v>
      </c>
      <c r="Q1364" s="57">
        <v>589</v>
      </c>
      <c r="R1364" s="62">
        <f>ТабПозиции[[#This Row],[totalSumm]]-ТабПозиции[[#This Row],[payment]]</f>
        <v>0</v>
      </c>
      <c r="S1364" s="34" t="s">
        <v>965</v>
      </c>
      <c r="T1364" s="56" t="s">
        <v>3061</v>
      </c>
      <c r="U1364" s="56" t="str">
        <f>IF(AND(ТабПозиции[[#This Row],[Остаток]]=0,ТабПозиции[[#This Row],[ord]]="true"),"true","false")</f>
        <v>true</v>
      </c>
      <c r="V1364" s="56" t="str">
        <f>IF(AND(ТабПозиции[[#This Row],[Остаток]]=0,ТабПозиции[[#This Row],[ord]]="true"),"true","false")</f>
        <v>true</v>
      </c>
      <c r="W1364" s="7"/>
      <c r="X1364"/>
    </row>
    <row r="1365" spans="1:24" x14ac:dyDescent="0.25">
      <c r="A1365" s="26">
        <v>366</v>
      </c>
      <c r="B1365" s="1">
        <f>IFERROR(VLOOKUP(ТабПозиции[[#This Row],[orderNum]],ТабЗаказы[#Data],MATCH(B$7,ТабЗаказы[#Headers],0),0),"")</f>
        <v>45625</v>
      </c>
      <c r="C1365" t="str">
        <f>MONTH(ТабПозиции[[#This Row],[date]])&amp;"/"&amp;YEAR(ТабПозиции[[#This Row],[date]])</f>
        <v>11/2024</v>
      </c>
      <c r="D1365" s="1" t="str">
        <f>IFERROR(VLOOKUP(ТабПозиции[[#This Row],[orderNum]],ТабЗаказы[#Data],MATCH(D$7,ТабЗаказы[#Headers],0),0),"")</f>
        <v>Светлана от Александра</v>
      </c>
      <c r="E1365" s="32" t="s">
        <v>2012</v>
      </c>
      <c r="F1365" s="56" t="s">
        <v>3061</v>
      </c>
      <c r="H1365" s="34">
        <v>45630</v>
      </c>
      <c r="I1365" s="26">
        <v>1</v>
      </c>
      <c r="J1365" s="26">
        <v>230</v>
      </c>
      <c r="K1365">
        <f>ТабПозиции[[#This Row],[discountPrice]]*ТабПозиции[[#This Row],[quantity]]</f>
        <v>230</v>
      </c>
      <c r="L1365" s="26">
        <v>243</v>
      </c>
      <c r="M1365">
        <f t="shared" si="26"/>
        <v>243</v>
      </c>
      <c r="O136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Row],[orderNum]],ТабПозиции[orderSumm])&gt;1500),ABS(M1365*VLOOKUP(ТабПозиции[[#This Row],[orderNum]],ТабЗаказы[#Data],MATCH("Percent",ТабЗаказы[#Headers],0),0))/100,200/COUNTIF(ТабПозиции[orderNum],ТабПозиции[[#This Row],[orderNum]])),0),"")</f>
        <v>24</v>
      </c>
      <c r="P1365">
        <f>IF(OR(ТабПозиции[[#This Row],[item]]="По штрихкоду",ТабПозиции[[#This Row],[item]]="Посылка"),ТабПозиции[[#This Row],[deliverySumm]]+ТабПозиции[[#This Row],[deliveryPost]],SUM(M1365:O1365))</f>
        <v>267</v>
      </c>
      <c r="Q1365" s="57">
        <v>267</v>
      </c>
      <c r="R1365" s="62">
        <f>ТабПозиции[[#This Row],[totalSumm]]-ТабПозиции[[#This Row],[payment]]</f>
        <v>0</v>
      </c>
      <c r="S1365" s="34" t="s">
        <v>965</v>
      </c>
      <c r="T1365" s="56" t="s">
        <v>3061</v>
      </c>
      <c r="U1365" s="56" t="str">
        <f>IF(AND(ТабПозиции[[#This Row],[Остаток]]=0,ТабПозиции[[#This Row],[ord]]="true"),"true","false")</f>
        <v>true</v>
      </c>
      <c r="V1365" s="56" t="str">
        <f>IF(AND(ТабПозиции[[#This Row],[Остаток]]=0,ТабПозиции[[#This Row],[ord]]="true"),"true","false")</f>
        <v>true</v>
      </c>
      <c r="W1365" s="7"/>
      <c r="X1365"/>
    </row>
    <row r="1366" spans="1:24" x14ac:dyDescent="0.25">
      <c r="A1366" s="26">
        <v>366</v>
      </c>
      <c r="B1366" s="1">
        <f>IFERROR(VLOOKUP(ТабПозиции[[#This Row],[orderNum]],ТабЗаказы[#Data],MATCH(B$7,ТабЗаказы[#Headers],0),0),"")</f>
        <v>45625</v>
      </c>
      <c r="C1366" t="str">
        <f>MONTH(ТабПозиции[[#This Row],[date]])&amp;"/"&amp;YEAR(ТабПозиции[[#This Row],[date]])</f>
        <v>11/2024</v>
      </c>
      <c r="D1366" s="1" t="str">
        <f>IFERROR(VLOOKUP(ТабПозиции[[#This Row],[orderNum]],ТабЗаказы[#Data],MATCH(D$7,ТабЗаказы[#Headers],0),0),"")</f>
        <v>Светлана от Александра</v>
      </c>
      <c r="E1366" s="32" t="s">
        <v>2013</v>
      </c>
      <c r="F1366" s="56" t="s">
        <v>3061</v>
      </c>
      <c r="H1366" s="34">
        <v>45628</v>
      </c>
      <c r="I1366" s="26">
        <v>1</v>
      </c>
      <c r="J1366" s="26">
        <v>835</v>
      </c>
      <c r="K1366">
        <f>ТабПозиции[[#This Row],[discountPrice]]*ТабПозиции[[#This Row],[quantity]]</f>
        <v>835</v>
      </c>
      <c r="L1366" s="26">
        <v>879</v>
      </c>
      <c r="M1366">
        <f t="shared" si="26"/>
        <v>879</v>
      </c>
      <c r="O136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Row],[orderNum]],ТабПозиции[orderSumm])&gt;1500),ABS(M1366*VLOOKUP(ТабПозиции[[#This Row],[orderNum]],ТабЗаказы[#Data],MATCH("Percent",ТабЗаказы[#Headers],0),0))/100,200/COUNTIF(ТабПозиции[orderNum],ТабПозиции[[#This Row],[orderNum]])),0),"")</f>
        <v>88</v>
      </c>
      <c r="P1366">
        <f>IF(OR(ТабПозиции[[#This Row],[item]]="По штрихкоду",ТабПозиции[[#This Row],[item]]="Посылка"),ТабПозиции[[#This Row],[deliverySumm]]+ТабПозиции[[#This Row],[deliveryPost]],SUM(M1366:O1366))</f>
        <v>967</v>
      </c>
      <c r="Q1366" s="57">
        <v>967</v>
      </c>
      <c r="R1366" s="62">
        <f>ТабПозиции[[#This Row],[totalSumm]]-ТабПозиции[[#This Row],[payment]]</f>
        <v>0</v>
      </c>
      <c r="S1366" s="34" t="s">
        <v>965</v>
      </c>
      <c r="T1366" s="56" t="s">
        <v>3061</v>
      </c>
      <c r="U1366" s="56" t="str">
        <f>IF(AND(ТабПозиции[[#This Row],[Остаток]]=0,ТабПозиции[[#This Row],[ord]]="true"),"true","false")</f>
        <v>true</v>
      </c>
      <c r="V1366" s="56" t="str">
        <f>IF(AND(ТабПозиции[[#This Row],[Остаток]]=0,ТабПозиции[[#This Row],[ord]]="true"),"true","false")</f>
        <v>true</v>
      </c>
      <c r="W1366" s="7"/>
      <c r="X1366"/>
    </row>
    <row r="1367" spans="1:24" x14ac:dyDescent="0.25">
      <c r="A1367" s="26">
        <v>366</v>
      </c>
      <c r="B1367" s="1">
        <f>IFERROR(VLOOKUP(ТабПозиции[[#This Row],[orderNum]],ТабЗаказы[#Data],MATCH(B$7,ТабЗаказы[#Headers],0),0),"")</f>
        <v>45625</v>
      </c>
      <c r="C1367" t="str">
        <f>MONTH(ТабПозиции[[#This Row],[date]])&amp;"/"&amp;YEAR(ТабПозиции[[#This Row],[date]])</f>
        <v>11/2024</v>
      </c>
      <c r="D1367" s="1" t="str">
        <f>IFERROR(VLOOKUP(ТабПозиции[[#This Row],[orderNum]],ТабЗаказы[#Data],MATCH(D$7,ТабЗаказы[#Headers],0),0),"")</f>
        <v>Светлана от Александра</v>
      </c>
      <c r="E1367" s="32" t="s">
        <v>2014</v>
      </c>
      <c r="F1367" s="56" t="s">
        <v>3061</v>
      </c>
      <c r="H1367" s="34">
        <v>45627</v>
      </c>
      <c r="I1367" s="26">
        <v>1</v>
      </c>
      <c r="J1367" s="26">
        <v>284</v>
      </c>
      <c r="K1367">
        <f>ТабПозиции[[#This Row],[discountPrice]]*ТабПозиции[[#This Row],[quantity]]</f>
        <v>284</v>
      </c>
      <c r="L1367" s="26">
        <v>299</v>
      </c>
      <c r="M1367">
        <f t="shared" si="26"/>
        <v>299</v>
      </c>
      <c r="O136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Row],[orderNum]],ТабПозиции[orderSumm])&gt;1500),ABS(M1367*VLOOKUP(ТабПозиции[[#This Row],[orderNum]],ТабЗаказы[#Data],MATCH("Percent",ТабЗаказы[#Headers],0),0))/100,200/COUNTIF(ТабПозиции[orderNum],ТабПозиции[[#This Row],[orderNum]])),0),"")</f>
        <v>30</v>
      </c>
      <c r="P1367">
        <f>IF(OR(ТабПозиции[[#This Row],[item]]="По штрихкоду",ТабПозиции[[#This Row],[item]]="Посылка"),ТабПозиции[[#This Row],[deliverySumm]]+ТабПозиции[[#This Row],[deliveryPost]],SUM(M1367:O1367))</f>
        <v>329</v>
      </c>
      <c r="Q1367" s="57">
        <v>329</v>
      </c>
      <c r="R1367" s="62">
        <f>ТабПозиции[[#This Row],[totalSumm]]-ТабПозиции[[#This Row],[payment]]</f>
        <v>0</v>
      </c>
      <c r="S1367" s="34" t="s">
        <v>965</v>
      </c>
      <c r="T1367" s="56" t="s">
        <v>3061</v>
      </c>
      <c r="U1367" s="56" t="str">
        <f>IF(AND(ТабПозиции[[#This Row],[Остаток]]=0,ТабПозиции[[#This Row],[ord]]="true"),"true","false")</f>
        <v>true</v>
      </c>
      <c r="V1367" s="56" t="str">
        <f>IF(AND(ТабПозиции[[#This Row],[Остаток]]=0,ТабПозиции[[#This Row],[ord]]="true"),"true","false")</f>
        <v>true</v>
      </c>
      <c r="W1367" s="7"/>
      <c r="X1367"/>
    </row>
    <row r="1368" spans="1:24" x14ac:dyDescent="0.25">
      <c r="A1368" s="26">
        <v>366</v>
      </c>
      <c r="B1368" s="1">
        <f>IFERROR(VLOOKUP(ТабПозиции[[#This Row],[orderNum]],ТабЗаказы[#Data],MATCH(B$7,ТабЗаказы[#Headers],0),0),"")</f>
        <v>45625</v>
      </c>
      <c r="C1368" t="str">
        <f>MONTH(ТабПозиции[[#This Row],[date]])&amp;"/"&amp;YEAR(ТабПозиции[[#This Row],[date]])</f>
        <v>11/2024</v>
      </c>
      <c r="D1368" s="1" t="str">
        <f>IFERROR(VLOOKUP(ТабПозиции[[#This Row],[orderNum]],ТабЗаказы[#Data],MATCH(D$7,ТабЗаказы[#Headers],0),0),"")</f>
        <v>Светлана от Александра</v>
      </c>
      <c r="E1368" s="32" t="s">
        <v>2015</v>
      </c>
      <c r="F1368" s="56" t="s">
        <v>3061</v>
      </c>
      <c r="H1368" s="34">
        <v>45627</v>
      </c>
      <c r="I1368" s="26">
        <v>1</v>
      </c>
      <c r="J1368" s="26">
        <v>133</v>
      </c>
      <c r="K1368">
        <f>ТабПозиции[[#This Row],[discountPrice]]*ТабПозиции[[#This Row],[quantity]]</f>
        <v>133</v>
      </c>
      <c r="L1368" s="26">
        <v>140</v>
      </c>
      <c r="M1368">
        <f t="shared" si="26"/>
        <v>140</v>
      </c>
      <c r="O136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Row],[orderNum]],ТабПозиции[orderSumm])&gt;1500),ABS(M1368*VLOOKUP(ТабПозиции[[#This Row],[orderNum]],ТабЗаказы[#Data],MATCH("Percent",ТабЗаказы[#Headers],0),0))/100,200/COUNTIF(ТабПозиции[orderNum],ТабПозиции[[#This Row],[orderNum]])),0),"")</f>
        <v>14</v>
      </c>
      <c r="P1368">
        <f>IF(OR(ТабПозиции[[#This Row],[item]]="По штрихкоду",ТабПозиции[[#This Row],[item]]="Посылка"),ТабПозиции[[#This Row],[deliverySumm]]+ТабПозиции[[#This Row],[deliveryPost]],SUM(M1368:O1368))</f>
        <v>154</v>
      </c>
      <c r="Q1368" s="57">
        <v>154</v>
      </c>
      <c r="R1368" s="62">
        <f>ТабПозиции[[#This Row],[totalSumm]]-ТабПозиции[[#This Row],[payment]]</f>
        <v>0</v>
      </c>
      <c r="S1368" s="34" t="s">
        <v>965</v>
      </c>
      <c r="T1368" s="56" t="s">
        <v>3061</v>
      </c>
      <c r="U1368" s="56" t="str">
        <f>IF(AND(ТабПозиции[[#This Row],[Остаток]]=0,ТабПозиции[[#This Row],[ord]]="true"),"true","false")</f>
        <v>true</v>
      </c>
      <c r="V1368" s="56" t="str">
        <f>IF(AND(ТабПозиции[[#This Row],[Остаток]]=0,ТабПозиции[[#This Row],[ord]]="true"),"true","false")</f>
        <v>true</v>
      </c>
      <c r="W1368" s="7"/>
      <c r="X1368"/>
    </row>
    <row r="1369" spans="1:24" x14ac:dyDescent="0.25">
      <c r="A1369" s="26">
        <v>366</v>
      </c>
      <c r="B1369" s="1">
        <f>IFERROR(VLOOKUP(ТабПозиции[[#This Row],[orderNum]],ТабЗаказы[#Data],MATCH(B$7,ТабЗаказы[#Headers],0),0),"")</f>
        <v>45625</v>
      </c>
      <c r="C1369" t="str">
        <f>MONTH(ТабПозиции[[#This Row],[date]])&amp;"/"&amp;YEAR(ТабПозиции[[#This Row],[date]])</f>
        <v>11/2024</v>
      </c>
      <c r="D1369" s="1" t="str">
        <f>IFERROR(VLOOKUP(ТабПозиции[[#This Row],[orderNum]],ТабЗаказы[#Data],MATCH(D$7,ТабЗаказы[#Headers],0),0),"")</f>
        <v>Светлана от Александра</v>
      </c>
      <c r="E1369" s="32" t="s">
        <v>2015</v>
      </c>
      <c r="F1369" s="56" t="s">
        <v>3061</v>
      </c>
      <c r="H1369" s="34">
        <v>45627</v>
      </c>
      <c r="I1369" s="26">
        <v>1</v>
      </c>
      <c r="J1369" s="26">
        <v>149</v>
      </c>
      <c r="K1369">
        <f>ТабПозиции[[#This Row],[discountPrice]]*ТабПозиции[[#This Row],[quantity]]</f>
        <v>149</v>
      </c>
      <c r="L1369" s="26">
        <v>157</v>
      </c>
      <c r="M1369">
        <f t="shared" si="26"/>
        <v>157</v>
      </c>
      <c r="O136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Row],[orderNum]],ТабПозиции[orderSumm])&gt;1500),ABS(M1369*VLOOKUP(ТабПозиции[[#This Row],[orderNum]],ТабЗаказы[#Data],MATCH("Percent",ТабЗаказы[#Headers],0),0))/100,200/COUNTIF(ТабПозиции[orderNum],ТабПозиции[[#This Row],[orderNum]])),0),"")</f>
        <v>16</v>
      </c>
      <c r="P1369">
        <f>IF(OR(ТабПозиции[[#This Row],[item]]="По штрихкоду",ТабПозиции[[#This Row],[item]]="Посылка"),ТабПозиции[[#This Row],[deliverySumm]]+ТабПозиции[[#This Row],[deliveryPost]],SUM(M1369:O1369))</f>
        <v>173</v>
      </c>
      <c r="Q1369" s="57">
        <v>173</v>
      </c>
      <c r="R1369" s="62">
        <f>ТабПозиции[[#This Row],[totalSumm]]-ТабПозиции[[#This Row],[payment]]</f>
        <v>0</v>
      </c>
      <c r="S1369" s="34" t="s">
        <v>965</v>
      </c>
      <c r="T1369" s="56" t="s">
        <v>3061</v>
      </c>
      <c r="U1369" s="56" t="str">
        <f>IF(AND(ТабПозиции[[#This Row],[Остаток]]=0,ТабПозиции[[#This Row],[ord]]="true"),"true","false")</f>
        <v>true</v>
      </c>
      <c r="V1369" s="56" t="str">
        <f>IF(AND(ТабПозиции[[#This Row],[Остаток]]=0,ТабПозиции[[#This Row],[ord]]="true"),"true","false")</f>
        <v>true</v>
      </c>
      <c r="W1369" s="7"/>
      <c r="X1369"/>
    </row>
    <row r="1370" spans="1:24" x14ac:dyDescent="0.25">
      <c r="A1370" s="26">
        <v>366</v>
      </c>
      <c r="B1370" s="1">
        <f>IFERROR(VLOOKUP(ТабПозиции[[#This Row],[orderNum]],ТабЗаказы[#Data],MATCH(B$7,ТабЗаказы[#Headers],0),0),"")</f>
        <v>45625</v>
      </c>
      <c r="C1370" t="str">
        <f>MONTH(ТабПозиции[[#This Row],[date]])&amp;"/"&amp;YEAR(ТабПозиции[[#This Row],[date]])</f>
        <v>11/2024</v>
      </c>
      <c r="D1370" s="1" t="str">
        <f>IFERROR(VLOOKUP(ТабПозиции[[#This Row],[orderNum]],ТабЗаказы[#Data],MATCH(D$7,ТабЗаказы[#Headers],0),0),"")</f>
        <v>Светлана от Александра</v>
      </c>
      <c r="E1370" s="32" t="s">
        <v>2016</v>
      </c>
      <c r="F1370" s="56" t="s">
        <v>3061</v>
      </c>
      <c r="H1370" s="34">
        <v>45630</v>
      </c>
      <c r="I1370" s="26">
        <v>1</v>
      </c>
      <c r="J1370" s="26">
        <v>475</v>
      </c>
      <c r="K1370">
        <f>ТабПозиции[[#This Row],[discountPrice]]*ТабПозиции[[#This Row],[quantity]]</f>
        <v>475</v>
      </c>
      <c r="L1370" s="26">
        <v>501</v>
      </c>
      <c r="M1370">
        <f t="shared" si="26"/>
        <v>501</v>
      </c>
      <c r="O137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Row],[orderNum]],ТабПозиции[orderSumm])&gt;1500),ABS(M1370*VLOOKUP(ТабПозиции[[#This Row],[orderNum]],ТабЗаказы[#Data],MATCH("Percent",ТабЗаказы[#Headers],0),0))/100,200/COUNTIF(ТабПозиции[orderNum],ТабПозиции[[#This Row],[orderNum]])),0),"")</f>
        <v>50</v>
      </c>
      <c r="P1370">
        <f>IF(OR(ТабПозиции[[#This Row],[item]]="По штрихкоду",ТабПозиции[[#This Row],[item]]="Посылка"),ТабПозиции[[#This Row],[deliverySumm]]+ТабПозиции[[#This Row],[deliveryPost]],SUM(M1370:O1370))</f>
        <v>551</v>
      </c>
      <c r="Q1370" s="57">
        <v>551</v>
      </c>
      <c r="R1370" s="62">
        <f>ТабПозиции[[#This Row],[totalSumm]]-ТабПозиции[[#This Row],[payment]]</f>
        <v>0</v>
      </c>
      <c r="S1370" s="34" t="s">
        <v>965</v>
      </c>
      <c r="T1370" s="56" t="s">
        <v>3061</v>
      </c>
      <c r="U1370" s="56" t="str">
        <f>IF(AND(ТабПозиции[[#This Row],[Остаток]]=0,ТабПозиции[[#This Row],[ord]]="true"),"true","false")</f>
        <v>true</v>
      </c>
      <c r="V1370" s="56" t="str">
        <f>IF(AND(ТабПозиции[[#This Row],[Остаток]]=0,ТабПозиции[[#This Row],[ord]]="true"),"true","false")</f>
        <v>true</v>
      </c>
      <c r="W1370" s="7"/>
      <c r="X1370"/>
    </row>
    <row r="1371" spans="1:24" x14ac:dyDescent="0.25">
      <c r="A1371" s="26">
        <v>366</v>
      </c>
      <c r="B1371" s="1">
        <f>IFERROR(VLOOKUP(ТабПозиции[[#This Row],[orderNum]],ТабЗаказы[#Data],MATCH(B$7,ТабЗаказы[#Headers],0),0),"")</f>
        <v>45625</v>
      </c>
      <c r="C1371" t="str">
        <f>MONTH(ТабПозиции[[#This Row],[date]])&amp;"/"&amp;YEAR(ТабПозиции[[#This Row],[date]])</f>
        <v>11/2024</v>
      </c>
      <c r="D1371" s="1" t="str">
        <f>IFERROR(VLOOKUP(ТабПозиции[[#This Row],[orderNum]],ТабЗаказы[#Data],MATCH(D$7,ТабЗаказы[#Headers],0),0),"")</f>
        <v>Светлана от Александра</v>
      </c>
      <c r="E1371" s="32" t="s">
        <v>2017</v>
      </c>
      <c r="F1371" s="56" t="s">
        <v>3061</v>
      </c>
      <c r="H1371" s="34">
        <v>45627</v>
      </c>
      <c r="I1371" s="26">
        <v>1</v>
      </c>
      <c r="J1371" s="26">
        <v>1522</v>
      </c>
      <c r="K1371">
        <f>ТабПозиции[[#This Row],[discountPrice]]*ТабПозиции[[#This Row],[quantity]]</f>
        <v>1522</v>
      </c>
      <c r="L1371" s="26">
        <v>1603</v>
      </c>
      <c r="M1371">
        <f t="shared" si="26"/>
        <v>1603</v>
      </c>
      <c r="O137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Row],[orderNum]],ТабПозиции[orderSumm])&gt;1500),ABS(M1371*VLOOKUP(ТабПозиции[[#This Row],[orderNum]],ТабЗаказы[#Data],MATCH("Percent",ТабЗаказы[#Headers],0),0))/100,200/COUNTIF(ТабПозиции[orderNum],ТабПозиции[[#This Row],[orderNum]])),0),"")</f>
        <v>160</v>
      </c>
      <c r="P1371">
        <f>IF(OR(ТабПозиции[[#This Row],[item]]="По штрихкоду",ТабПозиции[[#This Row],[item]]="Посылка"),ТабПозиции[[#This Row],[deliverySumm]]+ТабПозиции[[#This Row],[deliveryPost]],SUM(M1371:O1371))</f>
        <v>1763</v>
      </c>
      <c r="Q1371" s="57">
        <v>1763</v>
      </c>
      <c r="R1371" s="62">
        <f>ТабПозиции[[#This Row],[totalSumm]]-ТабПозиции[[#This Row],[payment]]</f>
        <v>0</v>
      </c>
      <c r="S1371" s="34" t="s">
        <v>965</v>
      </c>
      <c r="T1371" s="56" t="s">
        <v>3061</v>
      </c>
      <c r="U1371" s="56" t="str">
        <f>IF(AND(ТабПозиции[[#This Row],[Остаток]]=0,ТабПозиции[[#This Row],[ord]]="true"),"true","false")</f>
        <v>true</v>
      </c>
      <c r="V1371" s="56" t="str">
        <f>IF(AND(ТабПозиции[[#This Row],[Остаток]]=0,ТабПозиции[[#This Row],[ord]]="true"),"true","false")</f>
        <v>true</v>
      </c>
      <c r="W1371" s="7"/>
      <c r="X1371"/>
    </row>
    <row r="1372" spans="1:24" x14ac:dyDescent="0.25">
      <c r="A1372" s="26">
        <v>366</v>
      </c>
      <c r="B1372" s="1">
        <f>IFERROR(VLOOKUP(ТабПозиции[[#This Row],[orderNum]],ТабЗаказы[#Data],MATCH(B$7,ТабЗаказы[#Headers],0),0),"")</f>
        <v>45625</v>
      </c>
      <c r="C1372" t="str">
        <f>MONTH(ТабПозиции[[#This Row],[date]])&amp;"/"&amp;YEAR(ТабПозиции[[#This Row],[date]])</f>
        <v>11/2024</v>
      </c>
      <c r="D1372" s="1" t="str">
        <f>IFERROR(VLOOKUP(ТабПозиции[[#This Row],[orderNum]],ТабЗаказы[#Data],MATCH(D$7,ТабЗаказы[#Headers],0),0),"")</f>
        <v>Светлана от Александра</v>
      </c>
      <c r="E1372" s="32" t="s">
        <v>2018</v>
      </c>
      <c r="F1372" s="56" t="s">
        <v>3061</v>
      </c>
      <c r="H1372" s="34">
        <v>45627</v>
      </c>
      <c r="I1372" s="26">
        <v>1</v>
      </c>
      <c r="J1372" s="26">
        <v>849</v>
      </c>
      <c r="K1372">
        <f>ТабПозиции[[#This Row],[discountPrice]]*ТабПозиции[[#This Row],[quantity]]</f>
        <v>849</v>
      </c>
      <c r="L1372" s="26">
        <v>894</v>
      </c>
      <c r="M1372">
        <f t="shared" si="26"/>
        <v>894</v>
      </c>
      <c r="O137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Row],[orderNum]],ТабПозиции[orderSumm])&gt;1500),ABS(M1372*VLOOKUP(ТабПозиции[[#This Row],[orderNum]],ТабЗаказы[#Data],MATCH("Percent",ТабЗаказы[#Headers],0),0))/100,200/COUNTIF(ТабПозиции[orderNum],ТабПозиции[[#This Row],[orderNum]])),0),"")</f>
        <v>89</v>
      </c>
      <c r="P1372">
        <f>IF(OR(ТабПозиции[[#This Row],[item]]="По штрихкоду",ТабПозиции[[#This Row],[item]]="Посылка"),ТабПозиции[[#This Row],[deliverySumm]]+ТабПозиции[[#This Row],[deliveryPost]],SUM(M1372:O1372))</f>
        <v>983</v>
      </c>
      <c r="Q1372" s="57">
        <v>983</v>
      </c>
      <c r="R1372" s="62">
        <f>ТабПозиции[[#This Row],[totalSumm]]-ТабПозиции[[#This Row],[payment]]</f>
        <v>0</v>
      </c>
      <c r="S1372" s="34" t="s">
        <v>965</v>
      </c>
      <c r="T1372" s="56" t="s">
        <v>3061</v>
      </c>
      <c r="U1372" s="56" t="str">
        <f>IF(AND(ТабПозиции[[#This Row],[Остаток]]=0,ТабПозиции[[#This Row],[ord]]="true"),"true","false")</f>
        <v>true</v>
      </c>
      <c r="V1372" s="56" t="str">
        <f>IF(AND(ТабПозиции[[#This Row],[Остаток]]=0,ТабПозиции[[#This Row],[ord]]="true"),"true","false")</f>
        <v>true</v>
      </c>
      <c r="W1372" s="7"/>
      <c r="X1372"/>
    </row>
    <row r="1373" spans="1:24" x14ac:dyDescent="0.25">
      <c r="A1373" s="26">
        <v>366</v>
      </c>
      <c r="B1373" s="1">
        <f>IFERROR(VLOOKUP(ТабПозиции[[#This Row],[orderNum]],ТабЗаказы[#Data],MATCH(B$7,ТабЗаказы[#Headers],0),0),"")</f>
        <v>45625</v>
      </c>
      <c r="C1373" t="str">
        <f>MONTH(ТабПозиции[[#This Row],[date]])&amp;"/"&amp;YEAR(ТабПозиции[[#This Row],[date]])</f>
        <v>11/2024</v>
      </c>
      <c r="D1373" s="1" t="str">
        <f>IFERROR(VLOOKUP(ТабПозиции[[#This Row],[orderNum]],ТабЗаказы[#Data],MATCH(D$7,ТабЗаказы[#Headers],0),0),"")</f>
        <v>Светлана от Александра</v>
      </c>
      <c r="E1373" s="32" t="s">
        <v>2019</v>
      </c>
      <c r="F1373" s="56" t="s">
        <v>3061</v>
      </c>
      <c r="H1373" s="34">
        <v>45627</v>
      </c>
      <c r="I1373" s="26">
        <v>1</v>
      </c>
      <c r="J1373" s="26">
        <v>1799</v>
      </c>
      <c r="K1373">
        <f>ТабПозиции[[#This Row],[discountPrice]]*ТабПозиции[[#This Row],[quantity]]</f>
        <v>1799</v>
      </c>
      <c r="L1373" s="26">
        <v>1894</v>
      </c>
      <c r="M1373">
        <f t="shared" si="26"/>
        <v>1894</v>
      </c>
      <c r="O137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Row],[orderNum]],ТабПозиции[orderSumm])&gt;1500),ABS(M1373*VLOOKUP(ТабПозиции[[#This Row],[orderNum]],ТабЗаказы[#Data],MATCH("Percent",ТабЗаказы[#Headers],0),0))/100,200/COUNTIF(ТабПозиции[orderNum],ТабПозиции[[#This Row],[orderNum]])),0),"")</f>
        <v>189</v>
      </c>
      <c r="P1373">
        <f>IF(OR(ТабПозиции[[#This Row],[item]]="По штрихкоду",ТабПозиции[[#This Row],[item]]="Посылка"),ТабПозиции[[#This Row],[deliverySumm]]+ТабПозиции[[#This Row],[deliveryPost]],SUM(M1373:O1373))</f>
        <v>2083</v>
      </c>
      <c r="Q1373" s="57">
        <v>2083</v>
      </c>
      <c r="R1373" s="62">
        <f>ТабПозиции[[#This Row],[totalSumm]]-ТабПозиции[[#This Row],[payment]]</f>
        <v>0</v>
      </c>
      <c r="S1373" s="34" t="s">
        <v>965</v>
      </c>
      <c r="T1373" s="56" t="s">
        <v>3061</v>
      </c>
      <c r="U1373" s="56" t="str">
        <f>IF(AND(ТабПозиции[[#This Row],[Остаток]]=0,ТабПозиции[[#This Row],[ord]]="true"),"true","false")</f>
        <v>true</v>
      </c>
      <c r="V1373" s="56" t="str">
        <f>IF(AND(ТабПозиции[[#This Row],[Остаток]]=0,ТабПозиции[[#This Row],[ord]]="true"),"true","false")</f>
        <v>true</v>
      </c>
      <c r="W1373" s="7"/>
      <c r="X1373"/>
    </row>
    <row r="1374" spans="1:24" x14ac:dyDescent="0.25">
      <c r="A1374" s="26">
        <v>366</v>
      </c>
      <c r="B1374" s="1">
        <f>IFERROR(VLOOKUP(ТабПозиции[[#This Row],[orderNum]],ТабЗаказы[#Data],MATCH(B$7,ТабЗаказы[#Headers],0),0),"")</f>
        <v>45625</v>
      </c>
      <c r="C1374" t="str">
        <f>MONTH(ТабПозиции[[#This Row],[date]])&amp;"/"&amp;YEAR(ТабПозиции[[#This Row],[date]])</f>
        <v>11/2024</v>
      </c>
      <c r="D1374" s="1" t="str">
        <f>IFERROR(VLOOKUP(ТабПозиции[[#This Row],[orderNum]],ТабЗаказы[#Data],MATCH(D$7,ТабЗаказы[#Headers],0),0),"")</f>
        <v>Светлана от Александра</v>
      </c>
      <c r="E1374" s="32" t="s">
        <v>2020</v>
      </c>
      <c r="F1374" s="56" t="s">
        <v>3061</v>
      </c>
      <c r="H1374" s="34">
        <v>45632</v>
      </c>
      <c r="I1374" s="26">
        <v>1</v>
      </c>
      <c r="J1374" s="26">
        <v>203</v>
      </c>
      <c r="K1374">
        <f>ТабПозиции[[#This Row],[discountPrice]]*ТабПозиции[[#This Row],[quantity]]</f>
        <v>203</v>
      </c>
      <c r="L1374" s="26">
        <v>214</v>
      </c>
      <c r="M1374">
        <f t="shared" si="26"/>
        <v>214</v>
      </c>
      <c r="O137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Row],[orderNum]],ТабПозиции[orderSumm])&gt;1500),ABS(M1374*VLOOKUP(ТабПозиции[[#This Row],[orderNum]],ТабЗаказы[#Data],MATCH("Percent",ТабЗаказы[#Headers],0),0))/100,200/COUNTIF(ТабПозиции[orderNum],ТабПозиции[[#This Row],[orderNum]])),0),"")</f>
        <v>21</v>
      </c>
      <c r="P1374">
        <f>IF(OR(ТабПозиции[[#This Row],[item]]="По штрихкоду",ТабПозиции[[#This Row],[item]]="Посылка"),ТабПозиции[[#This Row],[deliverySumm]]+ТабПозиции[[#This Row],[deliveryPost]],SUM(M1374:O1374))</f>
        <v>235</v>
      </c>
      <c r="Q1374" s="57">
        <v>235</v>
      </c>
      <c r="R1374" s="62">
        <f>ТабПозиции[[#This Row],[totalSumm]]-ТабПозиции[[#This Row],[payment]]</f>
        <v>0</v>
      </c>
      <c r="S1374" s="34" t="s">
        <v>965</v>
      </c>
      <c r="T1374" s="56" t="s">
        <v>3061</v>
      </c>
      <c r="U1374" s="56" t="str">
        <f>IF(AND(ТабПозиции[[#This Row],[Остаток]]=0,ТабПозиции[[#This Row],[ord]]="true"),"true","false")</f>
        <v>true</v>
      </c>
      <c r="V1374" s="56" t="str">
        <f>IF(AND(ТабПозиции[[#This Row],[Остаток]]=0,ТабПозиции[[#This Row],[ord]]="true"),"true","false")</f>
        <v>true</v>
      </c>
      <c r="W1374" s="7"/>
      <c r="X1374"/>
    </row>
    <row r="1375" spans="1:24" x14ac:dyDescent="0.25">
      <c r="A1375" s="26">
        <v>366</v>
      </c>
      <c r="B1375" s="1">
        <f>IFERROR(VLOOKUP(ТабПозиции[[#This Row],[orderNum]],ТабЗаказы[#Data],MATCH(B$7,ТабЗаказы[#Headers],0),0),"")</f>
        <v>45625</v>
      </c>
      <c r="C1375" t="str">
        <f>MONTH(ТабПозиции[[#This Row],[date]])&amp;"/"&amp;YEAR(ТабПозиции[[#This Row],[date]])</f>
        <v>11/2024</v>
      </c>
      <c r="D1375" s="1" t="str">
        <f>IFERROR(VLOOKUP(ТабПозиции[[#This Row],[orderNum]],ТабЗаказы[#Data],MATCH(D$7,ТабЗаказы[#Headers],0),0),"")</f>
        <v>Светлана от Александра</v>
      </c>
      <c r="E1375" s="32" t="s">
        <v>2021</v>
      </c>
      <c r="F1375" s="56" t="s">
        <v>3061</v>
      </c>
      <c r="H1375" s="34">
        <v>45631</v>
      </c>
      <c r="I1375" s="26">
        <v>1</v>
      </c>
      <c r="J1375" s="26">
        <v>73</v>
      </c>
      <c r="K1375">
        <f>ТабПозиции[[#This Row],[discountPrice]]*ТабПозиции[[#This Row],[quantity]]</f>
        <v>73</v>
      </c>
      <c r="L1375" s="26">
        <v>77</v>
      </c>
      <c r="M1375">
        <f t="shared" si="26"/>
        <v>77</v>
      </c>
      <c r="O137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Row],[orderNum]],ТабПозиции[orderSumm])&gt;1500),ABS(M1375*VLOOKUP(ТабПозиции[[#This Row],[orderNum]],ТабЗаказы[#Data],MATCH("Percent",ТабЗаказы[#Headers],0),0))/100,200/COUNTIF(ТабПозиции[orderNum],ТабПозиции[[#This Row],[orderNum]])),0),"")</f>
        <v>8</v>
      </c>
      <c r="P1375">
        <f>IF(OR(ТабПозиции[[#This Row],[item]]="По штрихкоду",ТабПозиции[[#This Row],[item]]="Посылка"),ТабПозиции[[#This Row],[deliverySumm]]+ТабПозиции[[#This Row],[deliveryPost]],SUM(M1375:O1375))</f>
        <v>85</v>
      </c>
      <c r="Q1375" s="57">
        <v>85</v>
      </c>
      <c r="R1375" s="62">
        <f>ТабПозиции[[#This Row],[totalSumm]]-ТабПозиции[[#This Row],[payment]]</f>
        <v>0</v>
      </c>
      <c r="S1375" s="34" t="s">
        <v>965</v>
      </c>
      <c r="T1375" s="56" t="s">
        <v>3061</v>
      </c>
      <c r="U1375" s="56" t="str">
        <f>IF(AND(ТабПозиции[[#This Row],[Остаток]]=0,ТабПозиции[[#This Row],[ord]]="true"),"true","false")</f>
        <v>true</v>
      </c>
      <c r="V1375" s="56" t="str">
        <f>IF(AND(ТабПозиции[[#This Row],[Остаток]]=0,ТабПозиции[[#This Row],[ord]]="true"),"true","false")</f>
        <v>true</v>
      </c>
      <c r="W1375" s="7"/>
      <c r="X1375"/>
    </row>
    <row r="1376" spans="1:24" x14ac:dyDescent="0.25">
      <c r="A1376" s="26">
        <v>366</v>
      </c>
      <c r="B1376" s="1">
        <f>IFERROR(VLOOKUP(ТабПозиции[[#This Row],[orderNum]],ТабЗаказы[#Data],MATCH(B$7,ТабЗаказы[#Headers],0),0),"")</f>
        <v>45625</v>
      </c>
      <c r="C1376" t="str">
        <f>MONTH(ТабПозиции[[#This Row],[date]])&amp;"/"&amp;YEAR(ТабПозиции[[#This Row],[date]])</f>
        <v>11/2024</v>
      </c>
      <c r="D1376" s="1" t="str">
        <f>IFERROR(VLOOKUP(ТабПозиции[[#This Row],[orderNum]],ТабЗаказы[#Data],MATCH(D$7,ТабЗаказы[#Headers],0),0),"")</f>
        <v>Светлана от Александра</v>
      </c>
      <c r="E1376" s="32" t="s">
        <v>2022</v>
      </c>
      <c r="F1376" s="56" t="s">
        <v>3061</v>
      </c>
      <c r="H1376" s="34">
        <v>45631</v>
      </c>
      <c r="I1376" s="26">
        <v>1</v>
      </c>
      <c r="J1376" s="26">
        <v>185</v>
      </c>
      <c r="K1376">
        <f>ТабПозиции[[#This Row],[discountPrice]]*ТабПозиции[[#This Row],[quantity]]</f>
        <v>185</v>
      </c>
      <c r="L1376" s="26">
        <v>195</v>
      </c>
      <c r="M1376">
        <f t="shared" si="26"/>
        <v>195</v>
      </c>
      <c r="O137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Row],[orderNum]],ТабПозиции[orderSumm])&gt;1500),ABS(M1376*VLOOKUP(ТабПозиции[[#This Row],[orderNum]],ТабЗаказы[#Data],MATCH("Percent",ТабЗаказы[#Headers],0),0))/100,200/COUNTIF(ТабПозиции[orderNum],ТабПозиции[[#This Row],[orderNum]])),0),"")</f>
        <v>20</v>
      </c>
      <c r="P1376">
        <f>IF(OR(ТабПозиции[[#This Row],[item]]="По штрихкоду",ТабПозиции[[#This Row],[item]]="Посылка"),ТабПозиции[[#This Row],[deliverySumm]]+ТабПозиции[[#This Row],[deliveryPost]],SUM(M1376:O1376))</f>
        <v>215</v>
      </c>
      <c r="Q1376" s="57">
        <v>215</v>
      </c>
      <c r="R1376" s="62">
        <f>ТабПозиции[[#This Row],[totalSumm]]-ТабПозиции[[#This Row],[payment]]</f>
        <v>0</v>
      </c>
      <c r="S1376" s="34" t="s">
        <v>965</v>
      </c>
      <c r="T1376" s="56" t="s">
        <v>3061</v>
      </c>
      <c r="U1376" s="56" t="str">
        <f>IF(AND(ТабПозиции[[#This Row],[Остаток]]=0,ТабПозиции[[#This Row],[ord]]="true"),"true","false")</f>
        <v>true</v>
      </c>
      <c r="V1376" s="56" t="str">
        <f>IF(AND(ТабПозиции[[#This Row],[Остаток]]=0,ТабПозиции[[#This Row],[ord]]="true"),"true","false")</f>
        <v>true</v>
      </c>
      <c r="W1376" s="7"/>
      <c r="X1376"/>
    </row>
    <row r="1377" spans="1:24" x14ac:dyDescent="0.25">
      <c r="A1377" s="26">
        <v>366</v>
      </c>
      <c r="B1377" s="1">
        <f>IFERROR(VLOOKUP(ТабПозиции[[#This Row],[orderNum]],ТабЗаказы[#Data],MATCH(B$7,ТабЗаказы[#Headers],0),0),"")</f>
        <v>45625</v>
      </c>
      <c r="C1377" t="str">
        <f>MONTH(ТабПозиции[[#This Row],[date]])&amp;"/"&amp;YEAR(ТабПозиции[[#This Row],[date]])</f>
        <v>11/2024</v>
      </c>
      <c r="D1377" s="1" t="str">
        <f>IFERROR(VLOOKUP(ТабПозиции[[#This Row],[orderNum]],ТабЗаказы[#Data],MATCH(D$7,ТабЗаказы[#Headers],0),0),"")</f>
        <v>Светлана от Александра</v>
      </c>
      <c r="E1377" s="32" t="s">
        <v>2023</v>
      </c>
      <c r="F1377" s="56" t="s">
        <v>3061</v>
      </c>
      <c r="H1377" s="34">
        <v>45635</v>
      </c>
      <c r="I1377" s="26">
        <v>2</v>
      </c>
      <c r="J1377" s="26">
        <v>551</v>
      </c>
      <c r="K1377">
        <f>ТабПозиции[[#This Row],[discountPrice]]*ТабПозиции[[#This Row],[quantity]]</f>
        <v>1102</v>
      </c>
      <c r="L1377" s="26">
        <v>581</v>
      </c>
      <c r="M1377">
        <f t="shared" si="26"/>
        <v>1162</v>
      </c>
      <c r="O137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Row],[orderNum]],ТабПозиции[orderSumm])&gt;1500),ABS(M1377*VLOOKUP(ТабПозиции[[#This Row],[orderNum]],ТабЗаказы[#Data],MATCH("Percent",ТабЗаказы[#Headers],0),0))/100,200/COUNTIF(ТабПозиции[orderNum],ТабПозиции[[#This Row],[orderNum]])),0),"")</f>
        <v>116</v>
      </c>
      <c r="P1377">
        <f>IF(OR(ТабПозиции[[#This Row],[item]]="По штрихкоду",ТабПозиции[[#This Row],[item]]="Посылка"),ТабПозиции[[#This Row],[deliverySumm]]+ТабПозиции[[#This Row],[deliveryPost]],SUM(M1377:O1377))</f>
        <v>1278</v>
      </c>
      <c r="Q1377" s="57">
        <v>1278</v>
      </c>
      <c r="R1377" s="62">
        <f>ТабПозиции[[#This Row],[totalSumm]]-ТабПозиции[[#This Row],[payment]]</f>
        <v>0</v>
      </c>
      <c r="S1377" s="34" t="s">
        <v>965</v>
      </c>
      <c r="T1377" s="56" t="s">
        <v>3061</v>
      </c>
      <c r="U1377" s="56" t="str">
        <f>IF(AND(ТабПозиции[[#This Row],[Остаток]]=0,ТабПозиции[[#This Row],[ord]]="true"),"true","false")</f>
        <v>true</v>
      </c>
      <c r="V1377" s="56" t="str">
        <f>IF(AND(ТабПозиции[[#This Row],[Остаток]]=0,ТабПозиции[[#This Row],[ord]]="true"),"true","false")</f>
        <v>true</v>
      </c>
      <c r="W1377" s="7"/>
      <c r="X1377"/>
    </row>
    <row r="1378" spans="1:24" x14ac:dyDescent="0.25">
      <c r="A1378" s="26">
        <v>367</v>
      </c>
      <c r="B1378" s="1">
        <f>IFERROR(VLOOKUP(ТабПозиции[[#This Row],[orderNum]],ТабЗаказы[#Data],MATCH(B$7,ТабЗаказы[#Headers],0),0),"")</f>
        <v>45629</v>
      </c>
      <c r="C1378" t="str">
        <f>MONTH(ТабПозиции[[#This Row],[date]])&amp;"/"&amp;YEAR(ТабПозиции[[#This Row],[date]])</f>
        <v>12/2024</v>
      </c>
      <c r="D1378" s="1" t="str">
        <f>IFERROR(VLOOKUP(ТабПозиции[[#This Row],[orderNum]],ТабЗаказы[#Data],MATCH(D$7,ТабЗаказы[#Headers],0),0),"")</f>
        <v>Елена от Светланы</v>
      </c>
      <c r="E1378" s="32" t="s">
        <v>2024</v>
      </c>
      <c r="F1378" s="56" t="s">
        <v>3061</v>
      </c>
      <c r="H1378" s="34">
        <v>45631</v>
      </c>
      <c r="I1378" s="26">
        <v>1</v>
      </c>
      <c r="J1378" s="26">
        <v>1424</v>
      </c>
      <c r="K1378">
        <f>ТабПозиции[[#This Row],[discountPrice]]*ТабПозиции[[#This Row],[quantity]]</f>
        <v>1424</v>
      </c>
      <c r="L1378" s="26">
        <v>1499</v>
      </c>
      <c r="M1378">
        <f t="shared" si="26"/>
        <v>1499</v>
      </c>
      <c r="O137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Row],[orderNum]],ТабПозиции[orderSumm])&gt;1500),ABS(M1378*VLOOKUP(ТабПозиции[[#This Row],[orderNum]],ТабЗаказы[#Data],MATCH("Percent",ТабЗаказы[#Headers],0),0))/100,200/COUNTIF(ТабПозиции[orderNum],ТабПозиции[[#This Row],[orderNum]])),0),"")</f>
        <v>225</v>
      </c>
      <c r="P1378">
        <f>IF(OR(ТабПозиции[[#This Row],[item]]="По штрихкоду",ТабПозиции[[#This Row],[item]]="Посылка"),ТабПозиции[[#This Row],[deliverySumm]]+ТабПозиции[[#This Row],[deliveryPost]],SUM(M1378:O1378))</f>
        <v>1724</v>
      </c>
      <c r="Q1378" s="57">
        <v>1724</v>
      </c>
      <c r="R1378" s="62">
        <f>ТабПозиции[[#This Row],[totalSumm]]-ТабПозиции[[#This Row],[payment]]</f>
        <v>0</v>
      </c>
      <c r="S1378" s="34" t="s">
        <v>965</v>
      </c>
      <c r="T1378" s="56" t="s">
        <v>3061</v>
      </c>
      <c r="U1378" s="56" t="str">
        <f>IF(AND(ТабПозиции[[#This Row],[Остаток]]=0,ТабПозиции[[#This Row],[ord]]="true"),"true","false")</f>
        <v>true</v>
      </c>
      <c r="V1378" s="56" t="str">
        <f>IF(AND(ТабПозиции[[#This Row],[Остаток]]=0,ТабПозиции[[#This Row],[ord]]="true"),"true","false")</f>
        <v>true</v>
      </c>
      <c r="W1378" s="7"/>
      <c r="X1378"/>
    </row>
    <row r="1379" spans="1:24" x14ac:dyDescent="0.25">
      <c r="A1379" s="26">
        <v>367</v>
      </c>
      <c r="B1379" s="1">
        <f>IFERROR(VLOOKUP(ТабПозиции[[#This Row],[orderNum]],ТабЗаказы[#Data],MATCH(B$7,ТабЗаказы[#Headers],0),0),"")</f>
        <v>45629</v>
      </c>
      <c r="C1379" t="str">
        <f>MONTH(ТабПозиции[[#This Row],[date]])&amp;"/"&amp;YEAR(ТабПозиции[[#This Row],[date]])</f>
        <v>12/2024</v>
      </c>
      <c r="D1379" s="1" t="str">
        <f>IFERROR(VLOOKUP(ТабПозиции[[#This Row],[orderNum]],ТабЗаказы[#Data],MATCH(D$7,ТабЗаказы[#Headers],0),0),"")</f>
        <v>Елена от Светланы</v>
      </c>
      <c r="E1379" s="32" t="s">
        <v>1979</v>
      </c>
      <c r="F1379" s="56" t="s">
        <v>3061</v>
      </c>
      <c r="H1379" s="34">
        <v>45631</v>
      </c>
      <c r="I1379" s="26">
        <v>1</v>
      </c>
      <c r="J1379" s="26">
        <v>382</v>
      </c>
      <c r="K1379">
        <f>ТабПозиции[[#This Row],[discountPrice]]*ТабПозиции[[#This Row],[quantity]]</f>
        <v>382</v>
      </c>
      <c r="L1379" s="26">
        <v>403</v>
      </c>
      <c r="M1379">
        <f t="shared" si="26"/>
        <v>403</v>
      </c>
      <c r="O137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Row],[orderNum]],ТабПозиции[orderSumm])&gt;1500),ABS(M1379*VLOOKUP(ТабПозиции[[#This Row],[orderNum]],ТабЗаказы[#Data],MATCH("Percent",ТабЗаказы[#Headers],0),0))/100,200/COUNTIF(ТабПозиции[orderNum],ТабПозиции[[#This Row],[orderNum]])),0),"")</f>
        <v>60</v>
      </c>
      <c r="P1379">
        <f>IF(OR(ТабПозиции[[#This Row],[item]]="По штрихкоду",ТабПозиции[[#This Row],[item]]="Посылка"),ТабПозиции[[#This Row],[deliverySumm]]+ТабПозиции[[#This Row],[deliveryPost]],SUM(M1379:O1379))</f>
        <v>463</v>
      </c>
      <c r="Q1379" s="57">
        <v>463</v>
      </c>
      <c r="R1379" s="62">
        <f>ТабПозиции[[#This Row],[totalSumm]]-ТабПозиции[[#This Row],[payment]]</f>
        <v>0</v>
      </c>
      <c r="S1379" s="34" t="s">
        <v>965</v>
      </c>
      <c r="T1379" s="56" t="s">
        <v>3061</v>
      </c>
      <c r="U1379" s="56" t="str">
        <f>IF(AND(ТабПозиции[[#This Row],[Остаток]]=0,ТабПозиции[[#This Row],[ord]]="true"),"true","false")</f>
        <v>true</v>
      </c>
      <c r="V1379" s="56" t="str">
        <f>IF(AND(ТабПозиции[[#This Row],[Остаток]]=0,ТабПозиции[[#This Row],[ord]]="true"),"true","false")</f>
        <v>true</v>
      </c>
      <c r="W1379" s="7"/>
      <c r="X1379"/>
    </row>
    <row r="1380" spans="1:24" x14ac:dyDescent="0.25">
      <c r="A1380" s="26">
        <v>367</v>
      </c>
      <c r="B1380" s="1">
        <f>IFERROR(VLOOKUP(ТабПозиции[[#This Row],[orderNum]],ТабЗаказы[#Data],MATCH(B$7,ТабЗаказы[#Headers],0),0),"")</f>
        <v>45629</v>
      </c>
      <c r="C1380" t="str">
        <f>MONTH(ТабПозиции[[#This Row],[date]])&amp;"/"&amp;YEAR(ТабПозиции[[#This Row],[date]])</f>
        <v>12/2024</v>
      </c>
      <c r="D1380" s="1" t="str">
        <f>IFERROR(VLOOKUP(ТабПозиции[[#This Row],[orderNum]],ТабЗаказы[#Data],MATCH(D$7,ТабЗаказы[#Headers],0),0),"")</f>
        <v>Елена от Светланы</v>
      </c>
      <c r="E1380" s="32" t="s">
        <v>1773</v>
      </c>
      <c r="F1380" s="56" t="s">
        <v>3061</v>
      </c>
      <c r="H1380" s="34">
        <v>45631</v>
      </c>
      <c r="I1380" s="26">
        <v>1</v>
      </c>
      <c r="J1380" s="26">
        <v>464</v>
      </c>
      <c r="K1380">
        <f>ТабПозиции[[#This Row],[discountPrice]]*ТабПозиции[[#This Row],[quantity]]</f>
        <v>464</v>
      </c>
      <c r="L1380" s="26">
        <v>489</v>
      </c>
      <c r="M1380">
        <f t="shared" si="26"/>
        <v>489</v>
      </c>
      <c r="O138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Row],[orderNum]],ТабПозиции[orderSumm])&gt;1500),ABS(M1380*VLOOKUP(ТабПозиции[[#This Row],[orderNum]],ТабЗаказы[#Data],MATCH("Percent",ТабЗаказы[#Headers],0),0))/100,200/COUNTIF(ТабПозиции[orderNum],ТабПозиции[[#This Row],[orderNum]])),0),"")</f>
        <v>73</v>
      </c>
      <c r="P1380">
        <f>IF(OR(ТабПозиции[[#This Row],[item]]="По штрихкоду",ТабПозиции[[#This Row],[item]]="Посылка"),ТабПозиции[[#This Row],[deliverySumm]]+ТабПозиции[[#This Row],[deliveryPost]],SUM(M1380:O1380))</f>
        <v>562</v>
      </c>
      <c r="Q1380" s="57">
        <v>562</v>
      </c>
      <c r="R1380" s="62">
        <f>ТабПозиции[[#This Row],[totalSumm]]-ТабПозиции[[#This Row],[payment]]</f>
        <v>0</v>
      </c>
      <c r="S1380" s="34" t="s">
        <v>965</v>
      </c>
      <c r="T1380" s="56" t="s">
        <v>3061</v>
      </c>
      <c r="U1380" s="56" t="str">
        <f>IF(AND(ТабПозиции[[#This Row],[Остаток]]=0,ТабПозиции[[#This Row],[ord]]="true"),"true","false")</f>
        <v>true</v>
      </c>
      <c r="V1380" s="56" t="str">
        <f>IF(AND(ТабПозиции[[#This Row],[Остаток]]=0,ТабПозиции[[#This Row],[ord]]="true"),"true","false")</f>
        <v>true</v>
      </c>
      <c r="W1380" s="7"/>
      <c r="X1380"/>
    </row>
    <row r="1381" spans="1:24" x14ac:dyDescent="0.25">
      <c r="A1381" s="26">
        <v>367</v>
      </c>
      <c r="B1381" s="1">
        <f>IFERROR(VLOOKUP(ТабПозиции[[#This Row],[orderNum]],ТабЗаказы[#Data],MATCH(B$7,ТабЗаказы[#Headers],0),0),"")</f>
        <v>45629</v>
      </c>
      <c r="C1381" t="str">
        <f>MONTH(ТабПозиции[[#This Row],[date]])&amp;"/"&amp;YEAR(ТабПозиции[[#This Row],[date]])</f>
        <v>12/2024</v>
      </c>
      <c r="D1381" s="1" t="str">
        <f>IFERROR(VLOOKUP(ТабПозиции[[#This Row],[orderNum]],ТабЗаказы[#Data],MATCH(D$7,ТабЗаказы[#Headers],0),0),"")</f>
        <v>Елена от Светланы</v>
      </c>
      <c r="E1381" s="67" t="s">
        <v>2025</v>
      </c>
      <c r="F1381" s="56" t="s">
        <v>3061</v>
      </c>
      <c r="H1381" s="34">
        <v>45631</v>
      </c>
      <c r="I1381" s="26">
        <v>1</v>
      </c>
      <c r="J1381" s="26">
        <v>178</v>
      </c>
      <c r="K1381">
        <f>ТабПозиции[[#This Row],[discountPrice]]*ТабПозиции[[#This Row],[quantity]]</f>
        <v>178</v>
      </c>
      <c r="L1381" s="26">
        <v>182</v>
      </c>
      <c r="M1381">
        <f t="shared" si="26"/>
        <v>182</v>
      </c>
      <c r="O138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Row],[orderNum]],ТабПозиции[orderSumm])&gt;1500),ABS(M1381*VLOOKUP(ТабПозиции[[#This Row],[orderNum]],ТабЗаказы[#Data],MATCH("Percent",ТабЗаказы[#Headers],0),0))/100,200/COUNTIF(ТабПозиции[orderNum],ТабПозиции[[#This Row],[orderNum]])),0),"")</f>
        <v>27</v>
      </c>
      <c r="P1381">
        <f>IF(OR(ТабПозиции[[#This Row],[item]]="По штрихкоду",ТабПозиции[[#This Row],[item]]="Посылка"),ТабПозиции[[#This Row],[deliverySumm]]+ТабПозиции[[#This Row],[deliveryPost]],SUM(M1381:O1381))</f>
        <v>209</v>
      </c>
      <c r="Q1381" s="57">
        <v>209</v>
      </c>
      <c r="R1381" s="62">
        <f>ТабПозиции[[#This Row],[totalSumm]]-ТабПозиции[[#This Row],[payment]]</f>
        <v>0</v>
      </c>
      <c r="S1381" s="34" t="s">
        <v>955</v>
      </c>
      <c r="T1381" s="56" t="s">
        <v>3061</v>
      </c>
      <c r="U1381" s="56" t="str">
        <f>IF(AND(ТабПозиции[[#This Row],[Остаток]]=0,ТабПозиции[[#This Row],[ord]]="true"),"true","false")</f>
        <v>true</v>
      </c>
      <c r="V1381" s="56" t="str">
        <f>IF(AND(ТабПозиции[[#This Row],[Остаток]]=0,ТабПозиции[[#This Row],[ord]]="true"),"true","false")</f>
        <v>true</v>
      </c>
      <c r="W1381" s="7"/>
      <c r="X1381"/>
    </row>
    <row r="1382" spans="1:24" x14ac:dyDescent="0.25">
      <c r="A1382" s="26">
        <v>367</v>
      </c>
      <c r="B1382" s="1">
        <f>IFERROR(VLOOKUP(ТабПозиции[[#This Row],[orderNum]],ТабЗаказы[#Data],MATCH(B$7,ТабЗаказы[#Headers],0),0),"")</f>
        <v>45629</v>
      </c>
      <c r="C1382" t="str">
        <f>MONTH(ТабПозиции[[#This Row],[date]])&amp;"/"&amp;YEAR(ТабПозиции[[#This Row],[date]])</f>
        <v>12/2024</v>
      </c>
      <c r="D1382" s="1" t="str">
        <f>IFERROR(VLOOKUP(ТабПозиции[[#This Row],[orderNum]],ТабЗаказы[#Data],MATCH(D$7,ТабЗаказы[#Headers],0),0),"")</f>
        <v>Елена от Светланы</v>
      </c>
      <c r="E1382" s="32" t="s">
        <v>2026</v>
      </c>
      <c r="F1382" s="56" t="s">
        <v>3061</v>
      </c>
      <c r="H1382" s="34">
        <v>45631</v>
      </c>
      <c r="I1382" s="26">
        <v>1</v>
      </c>
      <c r="J1382" s="26">
        <v>151</v>
      </c>
      <c r="K1382">
        <f>ТабПозиции[[#This Row],[discountPrice]]*ТабПозиции[[#This Row],[quantity]]</f>
        <v>151</v>
      </c>
      <c r="L1382" s="26">
        <v>159</v>
      </c>
      <c r="M1382">
        <f t="shared" si="26"/>
        <v>159</v>
      </c>
      <c r="O138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Row],[orderNum]],ТабПозиции[orderSumm])&gt;1500),ABS(M1382*VLOOKUP(ТабПозиции[[#This Row],[orderNum]],ТабЗаказы[#Data],MATCH("Percent",ТабЗаказы[#Headers],0),0))/100,200/COUNTIF(ТабПозиции[orderNum],ТабПозиции[[#This Row],[orderNum]])),0),"")</f>
        <v>24</v>
      </c>
      <c r="P1382">
        <f>IF(OR(ТабПозиции[[#This Row],[item]]="По штрихкоду",ТабПозиции[[#This Row],[item]]="Посылка"),ТабПозиции[[#This Row],[deliverySumm]]+ТабПозиции[[#This Row],[deliveryPost]],SUM(M1382:O1382))</f>
        <v>183</v>
      </c>
      <c r="Q1382" s="57">
        <v>183</v>
      </c>
      <c r="R1382" s="62">
        <f>ТабПозиции[[#This Row],[totalSumm]]-ТабПозиции[[#This Row],[payment]]</f>
        <v>0</v>
      </c>
      <c r="S1382" s="34" t="s">
        <v>965</v>
      </c>
      <c r="T1382" s="56" t="s">
        <v>3061</v>
      </c>
      <c r="U1382" s="56" t="str">
        <f>IF(AND(ТабПозиции[[#This Row],[Остаток]]=0,ТабПозиции[[#This Row],[ord]]="true"),"true","false")</f>
        <v>true</v>
      </c>
      <c r="V1382" s="56" t="str">
        <f>IF(AND(ТабПозиции[[#This Row],[Остаток]]=0,ТабПозиции[[#This Row],[ord]]="true"),"true","false")</f>
        <v>true</v>
      </c>
      <c r="W1382" s="7"/>
      <c r="X1382"/>
    </row>
    <row r="1383" spans="1:24" x14ac:dyDescent="0.25">
      <c r="A1383" s="26">
        <v>367</v>
      </c>
      <c r="B1383" s="1">
        <f>IFERROR(VLOOKUP(ТабПозиции[[#This Row],[orderNum]],ТабЗаказы[#Data],MATCH(B$7,ТабЗаказы[#Headers],0),0),"")</f>
        <v>45629</v>
      </c>
      <c r="C1383" t="str">
        <f>MONTH(ТабПозиции[[#This Row],[date]])&amp;"/"&amp;YEAR(ТабПозиции[[#This Row],[date]])</f>
        <v>12/2024</v>
      </c>
      <c r="D1383" s="1" t="str">
        <f>IFERROR(VLOOKUP(ТабПозиции[[#This Row],[orderNum]],ТабЗаказы[#Data],MATCH(D$7,ТабЗаказы[#Headers],0),0),"")</f>
        <v>Елена от Светланы</v>
      </c>
      <c r="E1383" s="32" t="s">
        <v>2027</v>
      </c>
      <c r="F1383" s="56" t="s">
        <v>3061</v>
      </c>
      <c r="H1383" s="34">
        <v>45633</v>
      </c>
      <c r="I1383" s="26">
        <v>1</v>
      </c>
      <c r="J1383" s="26">
        <v>183</v>
      </c>
      <c r="K1383">
        <f>ТабПозиции[[#This Row],[discountPrice]]*ТабПозиции[[#This Row],[quantity]]</f>
        <v>183</v>
      </c>
      <c r="L1383" s="26">
        <v>187</v>
      </c>
      <c r="M1383">
        <f t="shared" si="26"/>
        <v>187</v>
      </c>
      <c r="O138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Row],[orderNum]],ТабПозиции[orderSumm])&gt;1500),ABS(M1383*VLOOKUP(ТабПозиции[[#This Row],[orderNum]],ТабЗаказы[#Data],MATCH("Percent",ТабЗаказы[#Headers],0),0))/100,200/COUNTIF(ТабПозиции[orderNum],ТабПозиции[[#This Row],[orderNum]])),0),"")</f>
        <v>28</v>
      </c>
      <c r="P1383">
        <f>IF(OR(ТабПозиции[[#This Row],[item]]="По штрихкоду",ТабПозиции[[#This Row],[item]]="Посылка"),ТабПозиции[[#This Row],[deliverySumm]]+ТабПозиции[[#This Row],[deliveryPost]],SUM(M1383:O1383))</f>
        <v>215</v>
      </c>
      <c r="Q1383" s="57">
        <v>215</v>
      </c>
      <c r="R1383" s="62">
        <f>ТабПозиции[[#This Row],[totalSumm]]-ТабПозиции[[#This Row],[payment]]</f>
        <v>0</v>
      </c>
      <c r="S1383" s="34" t="s">
        <v>955</v>
      </c>
      <c r="T1383" s="56" t="s">
        <v>3061</v>
      </c>
      <c r="U1383" s="56" t="str">
        <f>IF(AND(ТабПозиции[[#This Row],[Остаток]]=0,ТабПозиции[[#This Row],[ord]]="true"),"true","false")</f>
        <v>true</v>
      </c>
      <c r="V1383" s="56" t="str">
        <f>IF(AND(ТабПозиции[[#This Row],[Остаток]]=0,ТабПозиции[[#This Row],[ord]]="true"),"true","false")</f>
        <v>true</v>
      </c>
      <c r="W1383" s="7"/>
      <c r="X1383"/>
    </row>
    <row r="1384" spans="1:24" x14ac:dyDescent="0.25">
      <c r="A1384" s="26">
        <v>367</v>
      </c>
      <c r="B1384" s="1">
        <f>IFERROR(VLOOKUP(ТабПозиции[[#This Row],[orderNum]],ТабЗаказы[#Data],MATCH(B$7,ТабЗаказы[#Headers],0),0),"")</f>
        <v>45629</v>
      </c>
      <c r="C1384" t="str">
        <f>MONTH(ТабПозиции[[#This Row],[date]])&amp;"/"&amp;YEAR(ТабПозиции[[#This Row],[date]])</f>
        <v>12/2024</v>
      </c>
      <c r="D1384" s="1" t="str">
        <f>IFERROR(VLOOKUP(ТабПозиции[[#This Row],[orderNum]],ТабЗаказы[#Data],MATCH(D$7,ТабЗаказы[#Headers],0),0),"")</f>
        <v>Елена от Светланы</v>
      </c>
      <c r="E1384" s="32" t="s">
        <v>2028</v>
      </c>
      <c r="F1384" s="56" t="s">
        <v>3061</v>
      </c>
      <c r="H1384" s="34">
        <v>45633</v>
      </c>
      <c r="I1384" s="26">
        <v>1</v>
      </c>
      <c r="J1384" s="26">
        <v>282</v>
      </c>
      <c r="K1384">
        <f>ТабПозиции[[#This Row],[discountPrice]]*ТабПозиции[[#This Row],[quantity]]</f>
        <v>282</v>
      </c>
      <c r="L1384" s="26">
        <v>297</v>
      </c>
      <c r="M1384">
        <f t="shared" si="26"/>
        <v>297</v>
      </c>
      <c r="O138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Row],[orderNum]],ТабПозиции[orderSumm])&gt;1500),ABS(M1384*VLOOKUP(ТабПозиции[[#This Row],[orderNum]],ТабЗаказы[#Data],MATCH("Percent",ТабЗаказы[#Headers],0),0))/100,200/COUNTIF(ТабПозиции[orderNum],ТабПозиции[[#This Row],[orderNum]])),0),"")</f>
        <v>45</v>
      </c>
      <c r="P1384">
        <f>IF(OR(ТабПозиции[[#This Row],[item]]="По штрихкоду",ТабПозиции[[#This Row],[item]]="Посылка"),ТабПозиции[[#This Row],[deliverySumm]]+ТабПозиции[[#This Row],[deliveryPost]],SUM(M1384:O1384))</f>
        <v>342</v>
      </c>
      <c r="Q1384" s="57">
        <v>342</v>
      </c>
      <c r="R1384" s="62">
        <f>ТабПозиции[[#This Row],[totalSumm]]-ТабПозиции[[#This Row],[payment]]</f>
        <v>0</v>
      </c>
      <c r="S1384" s="34" t="s">
        <v>965</v>
      </c>
      <c r="T1384" s="56" t="s">
        <v>3061</v>
      </c>
      <c r="U1384" s="56" t="str">
        <f>IF(AND(ТабПозиции[[#This Row],[Остаток]]=0,ТабПозиции[[#This Row],[ord]]="true"),"true","false")</f>
        <v>true</v>
      </c>
      <c r="V1384" s="56" t="str">
        <f>IF(AND(ТабПозиции[[#This Row],[Остаток]]=0,ТабПозиции[[#This Row],[ord]]="true"),"true","false")</f>
        <v>true</v>
      </c>
      <c r="W1384" s="7"/>
      <c r="X1384"/>
    </row>
    <row r="1385" spans="1:24" x14ac:dyDescent="0.25">
      <c r="A1385" s="26">
        <v>367</v>
      </c>
      <c r="B1385" s="1">
        <f>IFERROR(VLOOKUP(ТабПозиции[[#This Row],[orderNum]],ТабЗаказы[#Data],MATCH(B$7,ТабЗаказы[#Headers],0),0),"")</f>
        <v>45629</v>
      </c>
      <c r="C1385" t="str">
        <f>MONTH(ТабПозиции[[#This Row],[date]])&amp;"/"&amp;YEAR(ТабПозиции[[#This Row],[date]])</f>
        <v>12/2024</v>
      </c>
      <c r="D1385" s="1" t="str">
        <f>IFERROR(VLOOKUP(ТабПозиции[[#This Row],[orderNum]],ТабЗаказы[#Data],MATCH(D$7,ТабЗаказы[#Headers],0),0),"")</f>
        <v>Елена от Светланы</v>
      </c>
      <c r="E1385" s="32" t="s">
        <v>2029</v>
      </c>
      <c r="F1385" s="56" t="s">
        <v>3061</v>
      </c>
      <c r="H1385" s="34">
        <v>45631</v>
      </c>
      <c r="I1385" s="26">
        <v>1</v>
      </c>
      <c r="J1385" s="26">
        <v>330</v>
      </c>
      <c r="K1385">
        <f>ТабПозиции[[#This Row],[discountPrice]]*ТабПозиции[[#This Row],[quantity]]</f>
        <v>330</v>
      </c>
      <c r="L1385" s="26">
        <v>348</v>
      </c>
      <c r="M1385">
        <f t="shared" si="26"/>
        <v>348</v>
      </c>
      <c r="O138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Row],[orderNum]],ТабПозиции[orderSumm])&gt;1500),ABS(M1385*VLOOKUP(ТабПозиции[[#This Row],[orderNum]],ТабЗаказы[#Data],MATCH("Percent",ТабЗаказы[#Headers],0),0))/100,200/COUNTIF(ТабПозиции[orderNum],ТабПозиции[[#This Row],[orderNum]])),0),"")</f>
        <v>52</v>
      </c>
      <c r="P1385">
        <f>IF(OR(ТабПозиции[[#This Row],[item]]="По штрихкоду",ТабПозиции[[#This Row],[item]]="Посылка"),ТабПозиции[[#This Row],[deliverySumm]]+ТабПозиции[[#This Row],[deliveryPost]],SUM(M1385:O1385))</f>
        <v>400</v>
      </c>
      <c r="Q1385" s="57">
        <v>400</v>
      </c>
      <c r="R1385" s="62">
        <f>ТабПозиции[[#This Row],[totalSumm]]-ТабПозиции[[#This Row],[payment]]</f>
        <v>0</v>
      </c>
      <c r="S1385" s="34" t="s">
        <v>965</v>
      </c>
      <c r="T1385" s="56" t="s">
        <v>3061</v>
      </c>
      <c r="U1385" s="56" t="str">
        <f>IF(AND(ТабПозиции[[#This Row],[Остаток]]=0,ТабПозиции[[#This Row],[ord]]="true"),"true","false")</f>
        <v>true</v>
      </c>
      <c r="V1385" s="56" t="str">
        <f>IF(AND(ТабПозиции[[#This Row],[Остаток]]=0,ТабПозиции[[#This Row],[ord]]="true"),"true","false")</f>
        <v>true</v>
      </c>
      <c r="W1385" s="7"/>
      <c r="X1385"/>
    </row>
    <row r="1386" spans="1:24" x14ac:dyDescent="0.25">
      <c r="A1386" s="26">
        <v>368</v>
      </c>
      <c r="B1386" s="1">
        <f>IFERROR(VLOOKUP(ТабПозиции[[#This Row],[orderNum]],ТабЗаказы[#Data],MATCH(B$7,ТабЗаказы[#Headers],0),0),"")</f>
        <v>45629</v>
      </c>
      <c r="C1386" t="str">
        <f>MONTH(ТабПозиции[[#This Row],[date]])&amp;"/"&amp;YEAR(ТабПозиции[[#This Row],[date]])</f>
        <v>12/2024</v>
      </c>
      <c r="D1386" s="1" t="str">
        <f>IFERROR(VLOOKUP(ТабПозиции[[#This Row],[orderNum]],ТабЗаказы[#Data],MATCH(D$7,ТабЗаказы[#Headers],0),0),"")</f>
        <v>Лидия Цысь</v>
      </c>
      <c r="E1386" s="32" t="s">
        <v>2030</v>
      </c>
      <c r="F1386" s="56" t="s">
        <v>3061</v>
      </c>
      <c r="H1386" s="34">
        <v>45631</v>
      </c>
      <c r="I1386" s="26">
        <v>1</v>
      </c>
      <c r="J1386" s="26">
        <v>1210</v>
      </c>
      <c r="K1386">
        <f>ТабПозиции[[#This Row],[discountPrice]]*ТабПозиции[[#This Row],[quantity]]</f>
        <v>1210</v>
      </c>
      <c r="L1386" s="26">
        <v>1261</v>
      </c>
      <c r="M1386">
        <f t="shared" si="26"/>
        <v>1261</v>
      </c>
      <c r="O138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Row],[orderNum]],ТабПозиции[orderSumm])&gt;1500),ABS(M1386*VLOOKUP(ТабПозиции[[#This Row],[orderNum]],ТабЗаказы[#Data],MATCH("Percent",ТабЗаказы[#Headers],0),0))/100,200/COUNTIF(ТабПозиции[orderNum],ТабПозиции[[#This Row],[orderNum]])),0),"")</f>
        <v>189</v>
      </c>
      <c r="P1386">
        <f>IF(OR(ТабПозиции[[#This Row],[item]]="По штрихкоду",ТабПозиции[[#This Row],[item]]="Посылка"),ТабПозиции[[#This Row],[deliverySumm]]+ТабПозиции[[#This Row],[deliveryPost]],SUM(M1386:O1386))</f>
        <v>1450</v>
      </c>
      <c r="Q1386" s="57">
        <v>1450</v>
      </c>
      <c r="R1386" s="62">
        <f>ТабПозиции[[#This Row],[totalSumm]]-ТабПозиции[[#This Row],[payment]]</f>
        <v>0</v>
      </c>
      <c r="S1386" s="34" t="s">
        <v>955</v>
      </c>
      <c r="T1386" s="56" t="s">
        <v>3061</v>
      </c>
      <c r="U1386" s="56" t="str">
        <f>IF(AND(ТабПозиции[[#This Row],[Остаток]]=0,ТабПозиции[[#This Row],[ord]]="true"),"true","false")</f>
        <v>true</v>
      </c>
      <c r="V1386" s="56" t="str">
        <f>IF(AND(ТабПозиции[[#This Row],[Остаток]]=0,ТабПозиции[[#This Row],[ord]]="true"),"true","false")</f>
        <v>true</v>
      </c>
      <c r="W1386" s="7"/>
      <c r="X1386"/>
    </row>
    <row r="1387" spans="1:24" x14ac:dyDescent="0.25">
      <c r="A1387" s="26">
        <v>368</v>
      </c>
      <c r="B1387" s="1">
        <f>IFERROR(VLOOKUP(ТабПозиции[[#This Row],[orderNum]],ТабЗаказы[#Data],MATCH(B$7,ТабЗаказы[#Headers],0),0),"")</f>
        <v>45629</v>
      </c>
      <c r="C1387" t="str">
        <f>MONTH(ТабПозиции[[#This Row],[date]])&amp;"/"&amp;YEAR(ТабПозиции[[#This Row],[date]])</f>
        <v>12/2024</v>
      </c>
      <c r="D1387" s="1" t="str">
        <f>IFERROR(VLOOKUP(ТабПозиции[[#This Row],[orderNum]],ТабЗаказы[#Data],MATCH(D$7,ТабЗаказы[#Headers],0),0),"")</f>
        <v>Лидия Цысь</v>
      </c>
      <c r="E1387" s="32" t="s">
        <v>2031</v>
      </c>
      <c r="F1387" s="56" t="s">
        <v>3061</v>
      </c>
      <c r="H1387" s="34">
        <v>45633</v>
      </c>
      <c r="I1387" s="26">
        <v>1</v>
      </c>
      <c r="J1387" s="26">
        <v>1418</v>
      </c>
      <c r="K1387">
        <f>ТабПозиции[[#This Row],[discountPrice]]*ТабПозиции[[#This Row],[quantity]]</f>
        <v>1418</v>
      </c>
      <c r="L1387" s="26">
        <v>1477</v>
      </c>
      <c r="M1387">
        <f t="shared" si="26"/>
        <v>1477</v>
      </c>
      <c r="O138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Row],[orderNum]],ТабПозиции[orderSumm])&gt;1500),ABS(M1387*VLOOKUP(ТабПозиции[[#This Row],[orderNum]],ТабЗаказы[#Data],MATCH("Percent",ТабЗаказы[#Headers],0),0))/100,200/COUNTIF(ТабПозиции[orderNum],ТабПозиции[[#This Row],[orderNum]])),0),"")</f>
        <v>222</v>
      </c>
      <c r="P1387">
        <f>IF(OR(ТабПозиции[[#This Row],[item]]="По штрихкоду",ТабПозиции[[#This Row],[item]]="Посылка"),ТабПозиции[[#This Row],[deliverySumm]]+ТабПозиции[[#This Row],[deliveryPost]],SUM(M1387:O1387))</f>
        <v>1699</v>
      </c>
      <c r="Q1387" s="57">
        <v>1699</v>
      </c>
      <c r="R1387" s="62">
        <f>ТабПозиции[[#This Row],[totalSumm]]-ТабПозиции[[#This Row],[payment]]</f>
        <v>0</v>
      </c>
      <c r="S1387" s="34" t="s">
        <v>955</v>
      </c>
      <c r="T1387" s="56" t="s">
        <v>3061</v>
      </c>
      <c r="U1387" s="56" t="str">
        <f>IF(AND(ТабПозиции[[#This Row],[Остаток]]=0,ТабПозиции[[#This Row],[ord]]="true"),"true","false")</f>
        <v>true</v>
      </c>
      <c r="V1387" s="56" t="str">
        <f>IF(AND(ТабПозиции[[#This Row],[Остаток]]=0,ТабПозиции[[#This Row],[ord]]="true"),"true","false")</f>
        <v>true</v>
      </c>
      <c r="W1387" s="7"/>
      <c r="X1387"/>
    </row>
    <row r="1388" spans="1:24" x14ac:dyDescent="0.25">
      <c r="A1388" s="26">
        <v>368</v>
      </c>
      <c r="B1388" s="1">
        <f>IFERROR(VLOOKUP(ТабПозиции[[#This Row],[orderNum]],ТабЗаказы[#Data],MATCH(B$7,ТабЗаказы[#Headers],0),0),"")</f>
        <v>45629</v>
      </c>
      <c r="C1388" t="str">
        <f>MONTH(ТабПозиции[[#This Row],[date]])&amp;"/"&amp;YEAR(ТабПозиции[[#This Row],[date]])</f>
        <v>12/2024</v>
      </c>
      <c r="D1388" s="1" t="str">
        <f>IFERROR(VLOOKUP(ТабПозиции[[#This Row],[orderNum]],ТабЗаказы[#Data],MATCH(D$7,ТабЗаказы[#Headers],0),0),"")</f>
        <v>Лидия Цысь</v>
      </c>
      <c r="E1388" s="32" t="s">
        <v>2032</v>
      </c>
      <c r="F1388" s="56" t="s">
        <v>3061</v>
      </c>
      <c r="H1388" s="34">
        <v>45631</v>
      </c>
      <c r="I1388" s="26">
        <v>1</v>
      </c>
      <c r="J1388" s="26">
        <v>1342</v>
      </c>
      <c r="K1388">
        <f>ТабПозиции[[#This Row],[discountPrice]]*ТабПозиции[[#This Row],[quantity]]</f>
        <v>1342</v>
      </c>
      <c r="L1388" s="26">
        <v>1398</v>
      </c>
      <c r="M1388">
        <f t="shared" si="26"/>
        <v>1398</v>
      </c>
      <c r="O138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Row],[orderNum]],ТабПозиции[orderSumm])&gt;1500),ABS(M1388*VLOOKUP(ТабПозиции[[#This Row],[orderNum]],ТабЗаказы[#Data],MATCH("Percent",ТабЗаказы[#Headers],0),0))/100,200/COUNTIF(ТабПозиции[orderNum],ТабПозиции[[#This Row],[orderNum]])),0),"")</f>
        <v>210</v>
      </c>
      <c r="P1388">
        <f>IF(OR(ТабПозиции[[#This Row],[item]]="По штрихкоду",ТабПозиции[[#This Row],[item]]="Посылка"),ТабПозиции[[#This Row],[deliverySumm]]+ТабПозиции[[#This Row],[deliveryPost]],SUM(M1388:O1388))</f>
        <v>1608</v>
      </c>
      <c r="Q1388" s="57">
        <v>1608</v>
      </c>
      <c r="R1388" s="62">
        <f>ТабПозиции[[#This Row],[totalSumm]]-ТабПозиции[[#This Row],[payment]]</f>
        <v>0</v>
      </c>
      <c r="S1388" s="34" t="s">
        <v>955</v>
      </c>
      <c r="T1388" s="56" t="s">
        <v>3061</v>
      </c>
      <c r="U1388" s="56" t="str">
        <f>IF(AND(ТабПозиции[[#This Row],[Остаток]]=0,ТабПозиции[[#This Row],[ord]]="true"),"true","false")</f>
        <v>true</v>
      </c>
      <c r="V1388" s="56" t="str">
        <f>IF(AND(ТабПозиции[[#This Row],[Остаток]]=0,ТабПозиции[[#This Row],[ord]]="true"),"true","false")</f>
        <v>true</v>
      </c>
      <c r="W1388" s="7"/>
      <c r="X1388"/>
    </row>
    <row r="1389" spans="1:24" x14ac:dyDescent="0.25">
      <c r="A1389" s="26">
        <v>366</v>
      </c>
      <c r="B1389" s="1">
        <f>IFERROR(VLOOKUP(ТабПозиции[[#This Row],[orderNum]],ТабЗаказы[#Data],MATCH(B$7,ТабЗаказы[#Headers],0),0),"")</f>
        <v>45625</v>
      </c>
      <c r="C1389" t="str">
        <f>MONTH(ТабПозиции[[#This Row],[date]])&amp;"/"&amp;YEAR(ТабПозиции[[#This Row],[date]])</f>
        <v>11/2024</v>
      </c>
      <c r="D1389" s="1" t="str">
        <f>IFERROR(VLOOKUP(ТабПозиции[[#This Row],[orderNum]],ТабЗаказы[#Data],MATCH(D$7,ТабЗаказы[#Headers],0),0),"")</f>
        <v>Светлана от Александра</v>
      </c>
      <c r="E1389" s="32" t="s">
        <v>1230</v>
      </c>
      <c r="F1389" s="56" t="s">
        <v>3061</v>
      </c>
      <c r="H1389" s="34">
        <v>45631</v>
      </c>
      <c r="I1389" s="26">
        <v>1</v>
      </c>
      <c r="J1389" s="26">
        <v>676</v>
      </c>
      <c r="K1389">
        <f>ТабПозиции[[#This Row],[discountPrice]]*ТабПозиции[[#This Row],[quantity]]</f>
        <v>676</v>
      </c>
      <c r="L1389" s="26">
        <v>712</v>
      </c>
      <c r="M1389">
        <f t="shared" si="26"/>
        <v>712</v>
      </c>
      <c r="O138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Row],[orderNum]],ТабПозиции[orderSumm])&gt;1500),ABS(M1389*VLOOKUP(ТабПозиции[[#This Row],[orderNum]],ТабЗаказы[#Data],MATCH("Percent",ТабЗаказы[#Headers],0),0))/100,200/COUNTIF(ТабПозиции[orderNum],ТабПозиции[[#This Row],[orderNum]])),0),"")</f>
        <v>71</v>
      </c>
      <c r="P1389">
        <f>IF(OR(ТабПозиции[[#This Row],[item]]="По штрихкоду",ТабПозиции[[#This Row],[item]]="Посылка"),ТабПозиции[[#This Row],[deliverySumm]]+ТабПозиции[[#This Row],[deliveryPost]],SUM(M1389:O1389))</f>
        <v>783</v>
      </c>
      <c r="Q1389" s="57">
        <v>783</v>
      </c>
      <c r="R1389" s="62">
        <f>ТабПозиции[[#This Row],[totalSumm]]-ТабПозиции[[#This Row],[payment]]</f>
        <v>0</v>
      </c>
      <c r="S1389" s="34" t="s">
        <v>965</v>
      </c>
      <c r="T1389" s="56" t="s">
        <v>3061</v>
      </c>
      <c r="U1389" s="56" t="str">
        <f>IF(AND(ТабПозиции[[#This Row],[Остаток]]=0,ТабПозиции[[#This Row],[ord]]="true"),"true","false")</f>
        <v>true</v>
      </c>
      <c r="V1389" s="56" t="str">
        <f>IF(AND(ТабПозиции[[#This Row],[Остаток]]=0,ТабПозиции[[#This Row],[ord]]="true"),"true","false")</f>
        <v>true</v>
      </c>
      <c r="W1389" s="7"/>
      <c r="X1389"/>
    </row>
    <row r="1390" spans="1:24" x14ac:dyDescent="0.25">
      <c r="A1390" s="26">
        <v>366</v>
      </c>
      <c r="B1390" s="1">
        <f>IFERROR(VLOOKUP(ТабПозиции[[#This Row],[orderNum]],ТабЗаказы[#Data],MATCH(B$7,ТабЗаказы[#Headers],0),0),"")</f>
        <v>45625</v>
      </c>
      <c r="C1390" t="str">
        <f>MONTH(ТабПозиции[[#This Row],[date]])&amp;"/"&amp;YEAR(ТабПозиции[[#This Row],[date]])</f>
        <v>11/2024</v>
      </c>
      <c r="D1390" s="1" t="str">
        <f>IFERROR(VLOOKUP(ТабПозиции[[#This Row],[orderNum]],ТабЗаказы[#Data],MATCH(D$7,ТабЗаказы[#Headers],0),0),"")</f>
        <v>Светлана от Александра</v>
      </c>
      <c r="E1390" s="32" t="s">
        <v>2033</v>
      </c>
      <c r="F1390" s="56" t="s">
        <v>3061</v>
      </c>
      <c r="H1390" s="34">
        <v>45632</v>
      </c>
      <c r="I1390" s="26">
        <v>1</v>
      </c>
      <c r="J1390" s="26">
        <v>173</v>
      </c>
      <c r="K1390">
        <f>ТабПозиции[[#This Row],[discountPrice]]*ТабПозиции[[#This Row],[quantity]]</f>
        <v>173</v>
      </c>
      <c r="L1390" s="26">
        <v>183</v>
      </c>
      <c r="M1390">
        <f t="shared" si="26"/>
        <v>183</v>
      </c>
      <c r="O139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Row],[orderNum]],ТабПозиции[orderSumm])&gt;1500),ABS(M1390*VLOOKUP(ТабПозиции[[#This Row],[orderNum]],ТабЗаказы[#Data],MATCH("Percent",ТабЗаказы[#Headers],0),0))/100,200/COUNTIF(ТабПозиции[orderNum],ТабПозиции[[#This Row],[orderNum]])),0),"")</f>
        <v>18</v>
      </c>
      <c r="P1390">
        <f>IF(OR(ТабПозиции[[#This Row],[item]]="По штрихкоду",ТабПозиции[[#This Row],[item]]="Посылка"),ТабПозиции[[#This Row],[deliverySumm]]+ТабПозиции[[#This Row],[deliveryPost]],SUM(M1390:O1390))</f>
        <v>201</v>
      </c>
      <c r="Q1390" s="57">
        <v>201</v>
      </c>
      <c r="R1390" s="62">
        <f>ТабПозиции[[#This Row],[totalSumm]]-ТабПозиции[[#This Row],[payment]]</f>
        <v>0</v>
      </c>
      <c r="S1390" s="34" t="s">
        <v>965</v>
      </c>
      <c r="T1390" s="56" t="s">
        <v>3061</v>
      </c>
      <c r="U1390" s="56" t="str">
        <f>IF(AND(ТабПозиции[[#This Row],[Остаток]]=0,ТабПозиции[[#This Row],[ord]]="true"),"true","false")</f>
        <v>true</v>
      </c>
      <c r="V1390" s="56" t="str">
        <f>IF(AND(ТабПозиции[[#This Row],[Остаток]]=0,ТабПозиции[[#This Row],[ord]]="true"),"true","false")</f>
        <v>true</v>
      </c>
      <c r="W1390" s="7"/>
      <c r="X1390"/>
    </row>
    <row r="1391" spans="1:24" x14ac:dyDescent="0.25">
      <c r="A1391" s="26">
        <v>366</v>
      </c>
      <c r="B1391" s="1">
        <f>IFERROR(VLOOKUP(ТабПозиции[[#This Row],[orderNum]],ТабЗаказы[#Data],MATCH(B$7,ТабЗаказы[#Headers],0),0),"")</f>
        <v>45625</v>
      </c>
      <c r="C1391" t="str">
        <f>MONTH(ТабПозиции[[#This Row],[date]])&amp;"/"&amp;YEAR(ТабПозиции[[#This Row],[date]])</f>
        <v>11/2024</v>
      </c>
      <c r="D1391" s="1" t="str">
        <f>IFERROR(VLOOKUP(ТабПозиции[[#This Row],[orderNum]],ТабЗаказы[#Data],MATCH(D$7,ТабЗаказы[#Headers],0),0),"")</f>
        <v>Светлана от Александра</v>
      </c>
      <c r="E1391" s="32" t="s">
        <v>2034</v>
      </c>
      <c r="F1391" s="56" t="s">
        <v>3061</v>
      </c>
      <c r="H1391" s="34">
        <v>45631</v>
      </c>
      <c r="I1391" s="26">
        <v>1</v>
      </c>
      <c r="J1391" s="26">
        <v>670</v>
      </c>
      <c r="K1391">
        <f>ТабПозиции[[#This Row],[discountPrice]]*ТабПозиции[[#This Row],[quantity]]</f>
        <v>670</v>
      </c>
      <c r="L1391" s="26">
        <v>706</v>
      </c>
      <c r="M1391">
        <f t="shared" si="26"/>
        <v>706</v>
      </c>
      <c r="O139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Row],[orderNum]],ТабПозиции[orderSumm])&gt;1500),ABS(M1391*VLOOKUP(ТабПозиции[[#This Row],[orderNum]],ТабЗаказы[#Data],MATCH("Percent",ТабЗаказы[#Headers],0),0))/100,200/COUNTIF(ТабПозиции[orderNum],ТабПозиции[[#This Row],[orderNum]])),0),"")</f>
        <v>71</v>
      </c>
      <c r="P1391">
        <f>IF(OR(ТабПозиции[[#This Row],[item]]="По штрихкоду",ТабПозиции[[#This Row],[item]]="Посылка"),ТабПозиции[[#This Row],[deliverySumm]]+ТабПозиции[[#This Row],[deliveryPost]],SUM(M1391:O1391))</f>
        <v>777</v>
      </c>
      <c r="Q1391" s="57">
        <v>777</v>
      </c>
      <c r="R1391" s="62">
        <f>ТабПозиции[[#This Row],[totalSumm]]-ТабПозиции[[#This Row],[payment]]</f>
        <v>0</v>
      </c>
      <c r="S1391" s="34" t="s">
        <v>965</v>
      </c>
      <c r="T1391" s="56" t="s">
        <v>3061</v>
      </c>
      <c r="U1391" s="56" t="str">
        <f>IF(AND(ТабПозиции[[#This Row],[Остаток]]=0,ТабПозиции[[#This Row],[ord]]="true"),"true","false")</f>
        <v>true</v>
      </c>
      <c r="V1391" s="56" t="str">
        <f>IF(AND(ТабПозиции[[#This Row],[Остаток]]=0,ТабПозиции[[#This Row],[ord]]="true"),"true","false")</f>
        <v>true</v>
      </c>
      <c r="W1391" s="7"/>
      <c r="X1391"/>
    </row>
    <row r="1392" spans="1:24" x14ac:dyDescent="0.25">
      <c r="A1392" s="26">
        <v>366</v>
      </c>
      <c r="B1392" s="1">
        <f>IFERROR(VLOOKUP(ТабПозиции[[#This Row],[orderNum]],ТабЗаказы[#Data],MATCH(B$7,ТабЗаказы[#Headers],0),0),"")</f>
        <v>45625</v>
      </c>
      <c r="C1392" t="str">
        <f>MONTH(ТабПозиции[[#This Row],[date]])&amp;"/"&amp;YEAR(ТабПозиции[[#This Row],[date]])</f>
        <v>11/2024</v>
      </c>
      <c r="D1392" s="1" t="str">
        <f>IFERROR(VLOOKUP(ТабПозиции[[#This Row],[orderNum]],ТабЗаказы[#Data],MATCH(D$7,ТабЗаказы[#Headers],0),0),"")</f>
        <v>Светлана от Александра</v>
      </c>
      <c r="E1392" s="32" t="s">
        <v>2035</v>
      </c>
      <c r="F1392" s="56" t="s">
        <v>3061</v>
      </c>
      <c r="H1392" s="34">
        <v>45632</v>
      </c>
      <c r="I1392" s="26">
        <v>1</v>
      </c>
      <c r="J1392" s="26">
        <v>1466</v>
      </c>
      <c r="K1392">
        <f>ТабПозиции[[#This Row],[discountPrice]]*ТабПозиции[[#This Row],[quantity]]</f>
        <v>1466</v>
      </c>
      <c r="L1392" s="26">
        <v>1544</v>
      </c>
      <c r="M1392">
        <f t="shared" si="26"/>
        <v>1544</v>
      </c>
      <c r="O139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Row],[orderNum]],ТабПозиции[orderSumm])&gt;1500),ABS(M1392*VLOOKUP(ТабПозиции[[#This Row],[orderNum]],ТабЗаказы[#Data],MATCH("Percent",ТабЗаказы[#Headers],0),0))/100,200/COUNTIF(ТабПозиции[orderNum],ТабПозиции[[#This Row],[orderNum]])),0),"")</f>
        <v>154</v>
      </c>
      <c r="P1392">
        <f>IF(OR(ТабПозиции[[#This Row],[item]]="По штрихкоду",ТабПозиции[[#This Row],[item]]="Посылка"),ТабПозиции[[#This Row],[deliverySumm]]+ТабПозиции[[#This Row],[deliveryPost]],SUM(M1392:O1392))</f>
        <v>1698</v>
      </c>
      <c r="Q1392" s="57">
        <v>1698</v>
      </c>
      <c r="R1392" s="62">
        <f>ТабПозиции[[#This Row],[totalSumm]]-ТабПозиции[[#This Row],[payment]]</f>
        <v>0</v>
      </c>
      <c r="S1392" s="34" t="s">
        <v>965</v>
      </c>
      <c r="T1392" s="56" t="s">
        <v>3061</v>
      </c>
      <c r="U1392" s="56" t="str">
        <f>IF(AND(ТабПозиции[[#This Row],[Остаток]]=0,ТабПозиции[[#This Row],[ord]]="true"),"true","false")</f>
        <v>true</v>
      </c>
      <c r="V1392" s="56" t="str">
        <f>IF(AND(ТабПозиции[[#This Row],[Остаток]]=0,ТабПозиции[[#This Row],[ord]]="true"),"true","false")</f>
        <v>true</v>
      </c>
      <c r="W1392" s="7"/>
      <c r="X1392"/>
    </row>
    <row r="1393" spans="1:24" x14ac:dyDescent="0.25">
      <c r="A1393" s="26">
        <v>366</v>
      </c>
      <c r="B1393" s="1">
        <f>IFERROR(VLOOKUP(ТабПозиции[[#This Row],[orderNum]],ТабЗаказы[#Data],MATCH(B$7,ТабЗаказы[#Headers],0),0),"")</f>
        <v>45625</v>
      </c>
      <c r="C1393" t="str">
        <f>MONTH(ТабПозиции[[#This Row],[date]])&amp;"/"&amp;YEAR(ТабПозиции[[#This Row],[date]])</f>
        <v>11/2024</v>
      </c>
      <c r="D1393" s="1" t="str">
        <f>IFERROR(VLOOKUP(ТабПозиции[[#This Row],[orderNum]],ТабЗаказы[#Data],MATCH(D$7,ТабЗаказы[#Headers],0),0),"")</f>
        <v>Светлана от Александра</v>
      </c>
      <c r="E1393" s="32" t="s">
        <v>2036</v>
      </c>
      <c r="F1393" s="56" t="s">
        <v>3061</v>
      </c>
      <c r="H1393" s="34">
        <v>45632</v>
      </c>
      <c r="I1393" s="26">
        <v>1</v>
      </c>
      <c r="J1393" s="26">
        <v>434</v>
      </c>
      <c r="K1393">
        <f>ТабПозиции[[#This Row],[discountPrice]]*ТабПозиции[[#This Row],[quantity]]</f>
        <v>434</v>
      </c>
      <c r="L1393" s="26">
        <v>457</v>
      </c>
      <c r="M1393">
        <f t="shared" si="26"/>
        <v>457</v>
      </c>
      <c r="O139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Row],[orderNum]],ТабПозиции[orderSumm])&gt;1500),ABS(M1393*VLOOKUP(ТабПозиции[[#This Row],[orderNum]],ТабЗаказы[#Data],MATCH("Percent",ТабЗаказы[#Headers],0),0))/100,200/COUNTIF(ТабПозиции[orderNum],ТабПозиции[[#This Row],[orderNum]])),0),"")</f>
        <v>46</v>
      </c>
      <c r="P1393">
        <f>IF(OR(ТабПозиции[[#This Row],[item]]="По штрихкоду",ТабПозиции[[#This Row],[item]]="Посылка"),ТабПозиции[[#This Row],[deliverySumm]]+ТабПозиции[[#This Row],[deliveryPost]],SUM(M1393:O1393))</f>
        <v>503</v>
      </c>
      <c r="Q1393" s="57">
        <v>503</v>
      </c>
      <c r="R1393" s="62">
        <f>ТабПозиции[[#This Row],[totalSumm]]-ТабПозиции[[#This Row],[payment]]</f>
        <v>0</v>
      </c>
      <c r="S1393" s="34" t="s">
        <v>965</v>
      </c>
      <c r="T1393" s="56" t="s">
        <v>3061</v>
      </c>
      <c r="U1393" s="56" t="str">
        <f>IF(AND(ТабПозиции[[#This Row],[Остаток]]=0,ТабПозиции[[#This Row],[ord]]="true"),"true","false")</f>
        <v>true</v>
      </c>
      <c r="V1393" s="56" t="str">
        <f>IF(AND(ТабПозиции[[#This Row],[Остаток]]=0,ТабПозиции[[#This Row],[ord]]="true"),"true","false")</f>
        <v>true</v>
      </c>
      <c r="W1393" s="7"/>
      <c r="X1393"/>
    </row>
    <row r="1394" spans="1:24" x14ac:dyDescent="0.25">
      <c r="A1394" s="26">
        <v>366</v>
      </c>
      <c r="B1394" s="1">
        <f>IFERROR(VLOOKUP(ТабПозиции[[#This Row],[orderNum]],ТабЗаказы[#Data],MATCH(B$7,ТабЗаказы[#Headers],0),0),"")</f>
        <v>45625</v>
      </c>
      <c r="C1394" t="str">
        <f>MONTH(ТабПозиции[[#This Row],[date]])&amp;"/"&amp;YEAR(ТабПозиции[[#This Row],[date]])</f>
        <v>11/2024</v>
      </c>
      <c r="D1394" s="1" t="str">
        <f>IFERROR(VLOOKUP(ТабПозиции[[#This Row],[orderNum]],ТабЗаказы[#Data],MATCH(D$7,ТабЗаказы[#Headers],0),0),"")</f>
        <v>Светлана от Александра</v>
      </c>
      <c r="E1394" s="32" t="s">
        <v>2037</v>
      </c>
      <c r="F1394" s="56" t="s">
        <v>3061</v>
      </c>
      <c r="H1394" s="34">
        <v>45633</v>
      </c>
      <c r="I1394" s="26">
        <v>1</v>
      </c>
      <c r="J1394" s="26">
        <v>142</v>
      </c>
      <c r="K1394">
        <f>ТабПозиции[[#This Row],[discountPrice]]*ТабПозиции[[#This Row],[quantity]]</f>
        <v>142</v>
      </c>
      <c r="L1394" s="26">
        <v>150</v>
      </c>
      <c r="M1394">
        <f t="shared" si="26"/>
        <v>150</v>
      </c>
      <c r="O139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Row],[orderNum]],ТабПозиции[orderSumm])&gt;1500),ABS(M1394*VLOOKUP(ТабПозиции[[#This Row],[orderNum]],ТабЗаказы[#Data],MATCH("Percent",ТабЗаказы[#Headers],0),0))/100,200/COUNTIF(ТабПозиции[orderNum],ТабПозиции[[#This Row],[orderNum]])),0),"")</f>
        <v>15</v>
      </c>
      <c r="P1394">
        <f>IF(OR(ТабПозиции[[#This Row],[item]]="По штрихкоду",ТабПозиции[[#This Row],[item]]="Посылка"),ТабПозиции[[#This Row],[deliverySumm]]+ТабПозиции[[#This Row],[deliveryPost]],SUM(M1394:O1394))</f>
        <v>165</v>
      </c>
      <c r="Q1394" s="57">
        <v>165</v>
      </c>
      <c r="R1394" s="62">
        <f>ТабПозиции[[#This Row],[totalSumm]]-ТабПозиции[[#This Row],[payment]]</f>
        <v>0</v>
      </c>
      <c r="S1394" s="34" t="s">
        <v>965</v>
      </c>
      <c r="T1394" s="56" t="s">
        <v>3061</v>
      </c>
      <c r="U1394" s="56" t="str">
        <f>IF(AND(ТабПозиции[[#This Row],[Остаток]]=0,ТабПозиции[[#This Row],[ord]]="true"),"true","false")</f>
        <v>true</v>
      </c>
      <c r="V1394" s="56" t="str">
        <f>IF(AND(ТабПозиции[[#This Row],[Остаток]]=0,ТабПозиции[[#This Row],[ord]]="true"),"true","false")</f>
        <v>true</v>
      </c>
      <c r="W1394" s="7"/>
      <c r="X1394"/>
    </row>
    <row r="1395" spans="1:24" x14ac:dyDescent="0.25">
      <c r="A1395" s="26">
        <v>366</v>
      </c>
      <c r="B1395" s="1">
        <f>IFERROR(VLOOKUP(ТабПозиции[[#This Row],[orderNum]],ТабЗаказы[#Data],MATCH(B$7,ТабЗаказы[#Headers],0),0),"")</f>
        <v>45625</v>
      </c>
      <c r="C1395" t="str">
        <f>MONTH(ТабПозиции[[#This Row],[date]])&amp;"/"&amp;YEAR(ТабПозиции[[#This Row],[date]])</f>
        <v>11/2024</v>
      </c>
      <c r="D1395" s="1" t="str">
        <f>IFERROR(VLOOKUP(ТабПозиции[[#This Row],[orderNum]],ТабЗаказы[#Data],MATCH(D$7,ТабЗаказы[#Headers],0),0),"")</f>
        <v>Светлана от Александра</v>
      </c>
      <c r="E1395" s="32" t="s">
        <v>2038</v>
      </c>
      <c r="F1395" s="56" t="s">
        <v>3061</v>
      </c>
      <c r="H1395" s="34">
        <v>45631</v>
      </c>
      <c r="I1395" s="26">
        <v>1</v>
      </c>
      <c r="J1395" s="26">
        <v>769</v>
      </c>
      <c r="K1395">
        <f>ТабПозиции[[#This Row],[discountPrice]]*ТабПозиции[[#This Row],[quantity]]</f>
        <v>769</v>
      </c>
      <c r="L1395" s="26">
        <v>810</v>
      </c>
      <c r="M1395">
        <f t="shared" si="26"/>
        <v>810</v>
      </c>
      <c r="O139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Row],[orderNum]],ТабПозиции[orderSumm])&gt;1500),ABS(M1395*VLOOKUP(ТабПозиции[[#This Row],[orderNum]],ТабЗаказы[#Data],MATCH("Percent",ТабЗаказы[#Headers],0),0))/100,200/COUNTIF(ТабПозиции[orderNum],ТабПозиции[[#This Row],[orderNum]])),0),"")</f>
        <v>81</v>
      </c>
      <c r="P1395">
        <f>IF(OR(ТабПозиции[[#This Row],[item]]="По штрихкоду",ТабПозиции[[#This Row],[item]]="Посылка"),ТабПозиции[[#This Row],[deliverySumm]]+ТабПозиции[[#This Row],[deliveryPost]],SUM(M1395:O1395))</f>
        <v>891</v>
      </c>
      <c r="Q1395" s="57">
        <v>891</v>
      </c>
      <c r="R1395" s="62">
        <f>ТабПозиции[[#This Row],[totalSumm]]-ТабПозиции[[#This Row],[payment]]</f>
        <v>0</v>
      </c>
      <c r="S1395" s="34" t="s">
        <v>965</v>
      </c>
      <c r="T1395" s="56" t="s">
        <v>3061</v>
      </c>
      <c r="U1395" s="56" t="str">
        <f>IF(AND(ТабПозиции[[#This Row],[Остаток]]=0,ТабПозиции[[#This Row],[ord]]="true"),"true","false")</f>
        <v>true</v>
      </c>
      <c r="V1395" s="56" t="str">
        <f>IF(AND(ТабПозиции[[#This Row],[Остаток]]=0,ТабПозиции[[#This Row],[ord]]="true"),"true","false")</f>
        <v>true</v>
      </c>
      <c r="W1395" s="7"/>
      <c r="X1395"/>
    </row>
    <row r="1396" spans="1:24" x14ac:dyDescent="0.25">
      <c r="A1396" s="26">
        <v>369</v>
      </c>
      <c r="B1396" s="1">
        <f>IFERROR(VLOOKUP(ТабПозиции[[#This Row],[orderNum]],ТабЗаказы[#Data],MATCH(B$7,ТабЗаказы[#Headers],0),0),"")</f>
        <v>45630</v>
      </c>
      <c r="C1396" t="str">
        <f>MONTH(ТабПозиции[[#This Row],[date]])&amp;"/"&amp;YEAR(ТабПозиции[[#This Row],[date]])</f>
        <v>12/2024</v>
      </c>
      <c r="D1396" s="1" t="str">
        <f>IFERROR(VLOOKUP(ТабПозиции[[#This Row],[orderNum]],ТабЗаказы[#Data],MATCH(D$7,ТабЗаказы[#Headers],0),0),"")</f>
        <v>Руденко Юля</v>
      </c>
      <c r="E1396" s="32" t="s">
        <v>1148</v>
      </c>
      <c r="F1396" s="56" t="s">
        <v>3061</v>
      </c>
      <c r="H1396" s="34">
        <v>45632</v>
      </c>
      <c r="I1396" s="26">
        <v>1</v>
      </c>
      <c r="J1396" s="26">
        <v>1852</v>
      </c>
      <c r="K1396">
        <f>ТабПозиции[[#This Row],[discountPrice]]*ТабПозиции[[#This Row],[quantity]]</f>
        <v>1852</v>
      </c>
      <c r="L1396" s="26">
        <v>1950</v>
      </c>
      <c r="M1396">
        <f t="shared" si="26"/>
        <v>1950</v>
      </c>
      <c r="O139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Row],[orderNum]],ТабПозиции[orderSumm])&gt;1500),ABS(M1396*VLOOKUP(ТабПозиции[[#This Row],[orderNum]],ТабЗаказы[#Data],MATCH("Percent",ТабЗаказы[#Headers],0),0))/100,200/COUNTIF(ТабПозиции[orderNum],ТабПозиции[[#This Row],[orderNum]])),0),"")</f>
        <v>195</v>
      </c>
      <c r="P1396">
        <f>IF(OR(ТабПозиции[[#This Row],[item]]="По штрихкоду",ТабПозиции[[#This Row],[item]]="Посылка"),ТабПозиции[[#This Row],[deliverySumm]]+ТабПозиции[[#This Row],[deliveryPost]],SUM(M1396:O1396))</f>
        <v>2145</v>
      </c>
      <c r="Q1396" s="57">
        <v>2145</v>
      </c>
      <c r="R1396" s="62">
        <f>ТабПозиции[[#This Row],[totalSumm]]-ТабПозиции[[#This Row],[payment]]</f>
        <v>0</v>
      </c>
      <c r="S1396" s="34" t="s">
        <v>965</v>
      </c>
      <c r="T1396" s="56" t="s">
        <v>3061</v>
      </c>
      <c r="U1396" s="56" t="str">
        <f>IF(AND(ТабПозиции[[#This Row],[Остаток]]=0,ТабПозиции[[#This Row],[ord]]="true"),"true","false")</f>
        <v>true</v>
      </c>
      <c r="V1396" s="56" t="str">
        <f>IF(AND(ТабПозиции[[#This Row],[Остаток]]=0,ТабПозиции[[#This Row],[ord]]="true"),"true","false")</f>
        <v>true</v>
      </c>
      <c r="W1396" s="7"/>
      <c r="X1396"/>
    </row>
    <row r="1397" spans="1:24" x14ac:dyDescent="0.25">
      <c r="A1397" s="26">
        <v>369</v>
      </c>
      <c r="B1397" s="1">
        <f>IFERROR(VLOOKUP(ТабПозиции[[#This Row],[orderNum]],ТабЗаказы[#Data],MATCH(B$7,ТабЗаказы[#Headers],0),0),"")</f>
        <v>45630</v>
      </c>
      <c r="C1397" t="str">
        <f>MONTH(ТабПозиции[[#This Row],[date]])&amp;"/"&amp;YEAR(ТабПозиции[[#This Row],[date]])</f>
        <v>12/2024</v>
      </c>
      <c r="D1397" s="1" t="str">
        <f>IFERROR(VLOOKUP(ТабПозиции[[#This Row],[orderNum]],ТабЗаказы[#Data],MATCH(D$7,ТабЗаказы[#Headers],0),0),"")</f>
        <v>Руденко Юля</v>
      </c>
      <c r="E1397" s="32" t="s">
        <v>1671</v>
      </c>
      <c r="F1397" s="56" t="s">
        <v>3061</v>
      </c>
      <c r="H1397" s="34">
        <v>45632</v>
      </c>
      <c r="I1397" s="26">
        <v>1</v>
      </c>
      <c r="J1397" s="26">
        <v>744</v>
      </c>
      <c r="K1397">
        <f>ТабПозиции[[#This Row],[discountPrice]]*ТабПозиции[[#This Row],[quantity]]</f>
        <v>744</v>
      </c>
      <c r="L1397" s="26">
        <v>784</v>
      </c>
      <c r="M1397">
        <f t="shared" si="26"/>
        <v>784</v>
      </c>
      <c r="O139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Row],[orderNum]],ТабПозиции[orderSumm])&gt;1500),ABS(M1397*VLOOKUP(ТабПозиции[[#This Row],[orderNum]],ТабЗаказы[#Data],MATCH("Percent",ТабЗаказы[#Headers],0),0))/100,200/COUNTIF(ТабПозиции[orderNum],ТабПозиции[[#This Row],[orderNum]])),0),"")</f>
        <v>78</v>
      </c>
      <c r="P1397">
        <f>IF(OR(ТабПозиции[[#This Row],[item]]="По штрихкоду",ТабПозиции[[#This Row],[item]]="Посылка"),ТабПозиции[[#This Row],[deliverySumm]]+ТабПозиции[[#This Row],[deliveryPost]],SUM(M1397:O1397))</f>
        <v>862</v>
      </c>
      <c r="Q1397" s="57">
        <v>862</v>
      </c>
      <c r="R1397" s="62">
        <f>ТабПозиции[[#This Row],[totalSumm]]-ТабПозиции[[#This Row],[payment]]</f>
        <v>0</v>
      </c>
      <c r="S1397" s="34" t="s">
        <v>965</v>
      </c>
      <c r="T1397" s="56" t="s">
        <v>3061</v>
      </c>
      <c r="U1397" s="56" t="str">
        <f>IF(AND(ТабПозиции[[#This Row],[Остаток]]=0,ТабПозиции[[#This Row],[ord]]="true"),"true","false")</f>
        <v>true</v>
      </c>
      <c r="V1397" s="56" t="str">
        <f>IF(AND(ТабПозиции[[#This Row],[Остаток]]=0,ТабПозиции[[#This Row],[ord]]="true"),"true","false")</f>
        <v>true</v>
      </c>
      <c r="W1397" s="7"/>
      <c r="X1397"/>
    </row>
    <row r="1398" spans="1:24" x14ac:dyDescent="0.25">
      <c r="A1398" s="26">
        <v>369</v>
      </c>
      <c r="B1398" s="1">
        <f>IFERROR(VLOOKUP(ТабПозиции[[#This Row],[orderNum]],ТабЗаказы[#Data],MATCH(B$7,ТабЗаказы[#Headers],0),0),"")</f>
        <v>45630</v>
      </c>
      <c r="C1398" t="str">
        <f>MONTH(ТабПозиции[[#This Row],[date]])&amp;"/"&amp;YEAR(ТабПозиции[[#This Row],[date]])</f>
        <v>12/2024</v>
      </c>
      <c r="D1398" s="1" t="str">
        <f>IFERROR(VLOOKUP(ТабПозиции[[#This Row],[orderNum]],ТабЗаказы[#Data],MATCH(D$7,ТабЗаказы[#Headers],0),0),"")</f>
        <v>Руденко Юля</v>
      </c>
      <c r="E1398" s="32" t="s">
        <v>1987</v>
      </c>
      <c r="F1398" s="56" t="s">
        <v>3061</v>
      </c>
      <c r="H1398" s="34">
        <v>45632</v>
      </c>
      <c r="I1398" s="26">
        <v>1</v>
      </c>
      <c r="J1398" s="26">
        <v>940</v>
      </c>
      <c r="K1398">
        <f>ТабПозиции[[#This Row],[discountPrice]]*ТабПозиции[[#This Row],[quantity]]</f>
        <v>940</v>
      </c>
      <c r="L1398" s="26">
        <v>990</v>
      </c>
      <c r="M1398">
        <f t="shared" si="26"/>
        <v>990</v>
      </c>
      <c r="O139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Row],[orderNum]],ТабПозиции[orderSumm])&gt;1500),ABS(M1398*VLOOKUP(ТабПозиции[[#This Row],[orderNum]],ТабЗаказы[#Data],MATCH("Percent",ТабЗаказы[#Headers],0),0))/100,200/COUNTIF(ТабПозиции[orderNum],ТабПозиции[[#This Row],[orderNum]])),0),"")</f>
        <v>99</v>
      </c>
      <c r="P1398">
        <f>IF(OR(ТабПозиции[[#This Row],[item]]="По штрихкоду",ТабПозиции[[#This Row],[item]]="Посылка"),ТабПозиции[[#This Row],[deliverySumm]]+ТабПозиции[[#This Row],[deliveryPost]],SUM(M1398:O1398))</f>
        <v>1089</v>
      </c>
      <c r="Q1398" s="57">
        <v>1089</v>
      </c>
      <c r="R1398" s="62">
        <f>ТабПозиции[[#This Row],[totalSumm]]-ТабПозиции[[#This Row],[payment]]</f>
        <v>0</v>
      </c>
      <c r="S1398" s="34" t="s">
        <v>965</v>
      </c>
      <c r="T1398" s="56" t="s">
        <v>3061</v>
      </c>
      <c r="U1398" s="56" t="str">
        <f>IF(AND(ТабПозиции[[#This Row],[Остаток]]=0,ТабПозиции[[#This Row],[ord]]="true"),"true","false")</f>
        <v>true</v>
      </c>
      <c r="V1398" s="56" t="str">
        <f>IF(AND(ТабПозиции[[#This Row],[Остаток]]=0,ТабПозиции[[#This Row],[ord]]="true"),"true","false")</f>
        <v>true</v>
      </c>
      <c r="W1398" s="7"/>
      <c r="X1398"/>
    </row>
    <row r="1399" spans="1:24" x14ac:dyDescent="0.25">
      <c r="A1399" s="26">
        <v>369</v>
      </c>
      <c r="B1399" s="1">
        <f>IFERROR(VLOOKUP(ТабПозиции[[#This Row],[orderNum]],ТабЗаказы[#Data],MATCH(B$7,ТабЗаказы[#Headers],0),0),"")</f>
        <v>45630</v>
      </c>
      <c r="C1399" t="str">
        <f>MONTH(ТабПозиции[[#This Row],[date]])&amp;"/"&amp;YEAR(ТабПозиции[[#This Row],[date]])</f>
        <v>12/2024</v>
      </c>
      <c r="D1399" s="1" t="str">
        <f>IFERROR(VLOOKUP(ТабПозиции[[#This Row],[orderNum]],ТабЗаказы[#Data],MATCH(D$7,ТабЗаказы[#Headers],0),0),"")</f>
        <v>Руденко Юля</v>
      </c>
      <c r="E1399" s="32" t="s">
        <v>2039</v>
      </c>
      <c r="F1399" s="56" t="s">
        <v>3061</v>
      </c>
      <c r="H1399" s="34">
        <v>45632</v>
      </c>
      <c r="I1399" s="26">
        <v>1</v>
      </c>
      <c r="J1399" s="26">
        <v>342</v>
      </c>
      <c r="K1399">
        <f>ТабПозиции[[#This Row],[discountPrice]]*ТабПозиции[[#This Row],[quantity]]</f>
        <v>342</v>
      </c>
      <c r="L1399" s="26">
        <v>360</v>
      </c>
      <c r="M1399">
        <f t="shared" si="26"/>
        <v>360</v>
      </c>
      <c r="O139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Row],[orderNum]],ТабПозиции[orderSumm])&gt;1500),ABS(M1399*VLOOKUP(ТабПозиции[[#This Row],[orderNum]],ТабЗаказы[#Data],MATCH("Percent",ТабЗаказы[#Headers],0),0))/100,200/COUNTIF(ТабПозиции[orderNum],ТабПозиции[[#This Row],[orderNum]])),0),"")</f>
        <v>36</v>
      </c>
      <c r="P1399">
        <f>IF(OR(ТабПозиции[[#This Row],[item]]="По штрихкоду",ТабПозиции[[#This Row],[item]]="Посылка"),ТабПозиции[[#This Row],[deliverySumm]]+ТабПозиции[[#This Row],[deliveryPost]],SUM(M1399:O1399))</f>
        <v>396</v>
      </c>
      <c r="Q1399" s="57">
        <v>396</v>
      </c>
      <c r="R1399" s="62">
        <f>ТабПозиции[[#This Row],[totalSumm]]-ТабПозиции[[#This Row],[payment]]</f>
        <v>0</v>
      </c>
      <c r="S1399" s="34" t="s">
        <v>965</v>
      </c>
      <c r="T1399" s="56" t="s">
        <v>3061</v>
      </c>
      <c r="U1399" s="56" t="str">
        <f>IF(AND(ТабПозиции[[#This Row],[Остаток]]=0,ТабПозиции[[#This Row],[ord]]="true"),"true","false")</f>
        <v>true</v>
      </c>
      <c r="V1399" s="56" t="str">
        <f>IF(AND(ТабПозиции[[#This Row],[Остаток]]=0,ТабПозиции[[#This Row],[ord]]="true"),"true","false")</f>
        <v>true</v>
      </c>
      <c r="W1399" s="7"/>
      <c r="X1399"/>
    </row>
    <row r="1400" spans="1:24" x14ac:dyDescent="0.25">
      <c r="A1400" s="26">
        <v>369</v>
      </c>
      <c r="B1400" s="1">
        <f>IFERROR(VLOOKUP(ТабПозиции[[#This Row],[orderNum]],ТабЗаказы[#Data],MATCH(B$7,ТабЗаказы[#Headers],0),0),"")</f>
        <v>45630</v>
      </c>
      <c r="C1400" t="str">
        <f>MONTH(ТабПозиции[[#This Row],[date]])&amp;"/"&amp;YEAR(ТабПозиции[[#This Row],[date]])</f>
        <v>12/2024</v>
      </c>
      <c r="D1400" s="1" t="str">
        <f>IFERROR(VLOOKUP(ТабПозиции[[#This Row],[orderNum]],ТабЗаказы[#Data],MATCH(D$7,ТабЗаказы[#Headers],0),0),"")</f>
        <v>Руденко Юля</v>
      </c>
      <c r="E1400" s="32" t="s">
        <v>2040</v>
      </c>
      <c r="F1400" s="56" t="s">
        <v>3061</v>
      </c>
      <c r="H1400" s="34">
        <v>45632</v>
      </c>
      <c r="I1400" s="26">
        <v>1</v>
      </c>
      <c r="J1400" s="26">
        <v>768</v>
      </c>
      <c r="K1400">
        <f>ТабПозиции[[#This Row],[discountPrice]]*ТабПозиции[[#This Row],[quantity]]</f>
        <v>768</v>
      </c>
      <c r="L1400" s="26">
        <v>809</v>
      </c>
      <c r="M1400">
        <f t="shared" si="26"/>
        <v>809</v>
      </c>
      <c r="O140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Row],[orderNum]],ТабПозиции[orderSumm])&gt;1500),ABS(M1400*VLOOKUP(ТабПозиции[[#This Row],[orderNum]],ТабЗаказы[#Data],MATCH("Percent",ТабЗаказы[#Headers],0),0))/100,200/COUNTIF(ТабПозиции[orderNum],ТабПозиции[[#This Row],[orderNum]])),0),"")</f>
        <v>81</v>
      </c>
      <c r="P1400">
        <f>IF(OR(ТабПозиции[[#This Row],[item]]="По штрихкоду",ТабПозиции[[#This Row],[item]]="Посылка"),ТабПозиции[[#This Row],[deliverySumm]]+ТабПозиции[[#This Row],[deliveryPost]],SUM(M1400:O1400))</f>
        <v>890</v>
      </c>
      <c r="Q1400" s="57">
        <v>890</v>
      </c>
      <c r="R1400" s="62">
        <f>ТабПозиции[[#This Row],[totalSumm]]-ТабПозиции[[#This Row],[payment]]</f>
        <v>0</v>
      </c>
      <c r="S1400" s="34" t="s">
        <v>965</v>
      </c>
      <c r="T1400" s="56" t="s">
        <v>3061</v>
      </c>
      <c r="U1400" s="56" t="str">
        <f>IF(AND(ТабПозиции[[#This Row],[Остаток]]=0,ТабПозиции[[#This Row],[ord]]="true"),"true","false")</f>
        <v>true</v>
      </c>
      <c r="V1400" s="56" t="str">
        <f>IF(AND(ТабПозиции[[#This Row],[Остаток]]=0,ТабПозиции[[#This Row],[ord]]="true"),"true","false")</f>
        <v>true</v>
      </c>
      <c r="W1400" s="7"/>
      <c r="X1400"/>
    </row>
    <row r="1401" spans="1:24" x14ac:dyDescent="0.25">
      <c r="A1401" s="26">
        <v>369</v>
      </c>
      <c r="B1401" s="1">
        <f>IFERROR(VLOOKUP(ТабПозиции[[#This Row],[orderNum]],ТабЗаказы[#Data],MATCH(B$7,ТабЗаказы[#Headers],0),0),"")</f>
        <v>45630</v>
      </c>
      <c r="C1401" t="str">
        <f>MONTH(ТабПозиции[[#This Row],[date]])&amp;"/"&amp;YEAR(ТабПозиции[[#This Row],[date]])</f>
        <v>12/2024</v>
      </c>
      <c r="D1401" s="1" t="str">
        <f>IFERROR(VLOOKUP(ТабПозиции[[#This Row],[orderNum]],ТабЗаказы[#Data],MATCH(D$7,ТабЗаказы[#Headers],0),0),"")</f>
        <v>Руденко Юля</v>
      </c>
      <c r="E1401" s="32" t="s">
        <v>2041</v>
      </c>
      <c r="F1401" s="56" t="s">
        <v>3061</v>
      </c>
      <c r="H1401" s="34">
        <v>45632</v>
      </c>
      <c r="I1401" s="26">
        <v>1</v>
      </c>
      <c r="J1401" s="26">
        <v>2881</v>
      </c>
      <c r="K1401">
        <f>ТабПозиции[[#This Row],[discountPrice]]*ТабПозиции[[#This Row],[quantity]]</f>
        <v>2881</v>
      </c>
      <c r="L1401" s="26">
        <v>3033</v>
      </c>
      <c r="M1401">
        <f t="shared" si="26"/>
        <v>3033</v>
      </c>
      <c r="O140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Row],[orderNum]],ТабПозиции[orderSumm])&gt;1500),ABS(M1401*VLOOKUP(ТабПозиции[[#This Row],[orderNum]],ТабЗаказы[#Data],MATCH("Percent",ТабЗаказы[#Headers],0),0))/100,200/COUNTIF(ТабПозиции[orderNum],ТабПозиции[[#This Row],[orderNum]])),0),"")</f>
        <v>303</v>
      </c>
      <c r="P1401">
        <f>IF(OR(ТабПозиции[[#This Row],[item]]="По штрихкоду",ТабПозиции[[#This Row],[item]]="Посылка"),ТабПозиции[[#This Row],[deliverySumm]]+ТабПозиции[[#This Row],[deliveryPost]],SUM(M1401:O1401))</f>
        <v>3336</v>
      </c>
      <c r="Q1401" s="57">
        <v>3336</v>
      </c>
      <c r="R1401" s="62">
        <f>ТабПозиции[[#This Row],[totalSumm]]-ТабПозиции[[#This Row],[payment]]</f>
        <v>0</v>
      </c>
      <c r="S1401" s="34" t="s">
        <v>965</v>
      </c>
      <c r="T1401" s="56" t="s">
        <v>3061</v>
      </c>
      <c r="U1401" s="56" t="str">
        <f>IF(AND(ТабПозиции[[#This Row],[Остаток]]=0,ТабПозиции[[#This Row],[ord]]="true"),"true","false")</f>
        <v>true</v>
      </c>
      <c r="V1401" s="56" t="str">
        <f>IF(AND(ТабПозиции[[#This Row],[Остаток]]=0,ТабПозиции[[#This Row],[ord]]="true"),"true","false")</f>
        <v>true</v>
      </c>
      <c r="W1401" s="7"/>
      <c r="X1401"/>
    </row>
    <row r="1402" spans="1:24" x14ac:dyDescent="0.25">
      <c r="A1402" s="26">
        <v>370</v>
      </c>
      <c r="B1402" s="1">
        <f>IFERROR(VLOOKUP(ТабПозиции[[#This Row],[orderNum]],ТабЗаказы[#Data],MATCH(B$7,ТабЗаказы[#Headers],0),0),"")</f>
        <v>45630</v>
      </c>
      <c r="C1402" t="str">
        <f>MONTH(ТабПозиции[[#This Row],[date]])&amp;"/"&amp;YEAR(ТабПозиции[[#This Row],[date]])</f>
        <v>12/2024</v>
      </c>
      <c r="D1402" s="1" t="str">
        <f>IFERROR(VLOOKUP(ТабПозиции[[#This Row],[orderNum]],ТабЗаказы[#Data],MATCH(D$7,ТабЗаказы[#Headers],0),0),"")</f>
        <v>Александр Каскад</v>
      </c>
      <c r="E1402" s="32" t="s">
        <v>2042</v>
      </c>
      <c r="F1402" s="56" t="s">
        <v>3061</v>
      </c>
      <c r="H1402" s="34">
        <v>45632</v>
      </c>
      <c r="I1402" s="26">
        <v>2</v>
      </c>
      <c r="J1402" s="26">
        <v>1553</v>
      </c>
      <c r="K1402">
        <f>ТабПозиции[[#This Row],[discountPrice]]*ТабПозиции[[#This Row],[quantity]]</f>
        <v>3106</v>
      </c>
      <c r="L1402" s="26">
        <v>1665</v>
      </c>
      <c r="M1402">
        <f t="shared" si="26"/>
        <v>3330</v>
      </c>
      <c r="O140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Row],[orderNum]],ТабПозиции[orderSumm])&gt;1500),ABS(M1402*VLOOKUP(ТабПозиции[[#This Row],[orderNum]],ТабЗаказы[#Data],MATCH("Percent",ТабЗаказы[#Headers],0),0))/100,200/COUNTIF(ТабПозиции[orderNum],ТабПозиции[[#This Row],[orderNum]])),0),"")</f>
        <v>500</v>
      </c>
      <c r="P1402">
        <f>IF(OR(ТабПозиции[[#This Row],[item]]="По штрихкоду",ТабПозиции[[#This Row],[item]]="Посылка"),ТабПозиции[[#This Row],[deliverySumm]]+ТабПозиции[[#This Row],[deliveryPost]],SUM(M1402:O1402))</f>
        <v>3830</v>
      </c>
      <c r="Q1402" s="57">
        <v>3830</v>
      </c>
      <c r="R1402" s="62">
        <f>ТабПозиции[[#This Row],[totalSumm]]-ТабПозиции[[#This Row],[payment]]</f>
        <v>0</v>
      </c>
      <c r="S1402" s="34" t="s">
        <v>955</v>
      </c>
      <c r="T1402" s="56" t="s">
        <v>3061</v>
      </c>
      <c r="U1402" s="56" t="str">
        <f>IF(AND(ТабПозиции[[#This Row],[Остаток]]=0,ТабПозиции[[#This Row],[ord]]="true"),"true","false")</f>
        <v>true</v>
      </c>
      <c r="V1402" s="56" t="str">
        <f>IF(AND(ТабПозиции[[#This Row],[Остаток]]=0,ТабПозиции[[#This Row],[ord]]="true"),"true","false")</f>
        <v>true</v>
      </c>
      <c r="W1402" s="7"/>
      <c r="X1402"/>
    </row>
    <row r="1403" spans="1:24" x14ac:dyDescent="0.25">
      <c r="A1403" s="26">
        <v>370</v>
      </c>
      <c r="B1403" s="1">
        <f>IFERROR(VLOOKUP(ТабПозиции[[#This Row],[orderNum]],ТабЗаказы[#Data],MATCH(B$7,ТабЗаказы[#Headers],0),0),"")</f>
        <v>45630</v>
      </c>
      <c r="C1403" t="str">
        <f>MONTH(ТабПозиции[[#This Row],[date]])&amp;"/"&amp;YEAR(ТабПозиции[[#This Row],[date]])</f>
        <v>12/2024</v>
      </c>
      <c r="D1403" s="1" t="str">
        <f>IFERROR(VLOOKUP(ТабПозиции[[#This Row],[orderNum]],ТабЗаказы[#Data],MATCH(D$7,ТабЗаказы[#Headers],0),0),"")</f>
        <v>Александр Каскад</v>
      </c>
      <c r="E1403" s="32" t="s">
        <v>2043</v>
      </c>
      <c r="F1403" s="56" t="s">
        <v>3061</v>
      </c>
      <c r="H1403" s="34">
        <v>45635</v>
      </c>
      <c r="I1403" s="26">
        <v>2</v>
      </c>
      <c r="J1403" s="26">
        <v>262</v>
      </c>
      <c r="K1403">
        <f>ТабПозиции[[#This Row],[discountPrice]]*ТабПозиции[[#This Row],[quantity]]</f>
        <v>524</v>
      </c>
      <c r="L1403" s="26">
        <v>267</v>
      </c>
      <c r="M1403">
        <f t="shared" si="26"/>
        <v>534</v>
      </c>
      <c r="O140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Row],[orderNum]],ТабПозиции[orderSumm])&gt;1500),ABS(M1403*VLOOKUP(ТабПозиции[[#This Row],[orderNum]],ТабЗаказы[#Data],MATCH("Percent",ТабЗаказы[#Headers],0),0))/100,200/COUNTIF(ТабПозиции[orderNum],ТабПозиции[[#This Row],[orderNum]])),0),"")</f>
        <v>80</v>
      </c>
      <c r="P1403">
        <f>IF(OR(ТабПозиции[[#This Row],[item]]="По штрихкоду",ТабПозиции[[#This Row],[item]]="Посылка"),ТабПозиции[[#This Row],[deliverySumm]]+ТабПозиции[[#This Row],[deliveryPost]],SUM(M1403:O1403))</f>
        <v>614</v>
      </c>
      <c r="Q1403" s="57">
        <v>614</v>
      </c>
      <c r="R1403" s="62">
        <f>ТабПозиции[[#This Row],[totalSumm]]-ТабПозиции[[#This Row],[payment]]</f>
        <v>0</v>
      </c>
      <c r="S1403" s="34" t="s">
        <v>955</v>
      </c>
      <c r="T1403" s="56" t="s">
        <v>3061</v>
      </c>
      <c r="U1403" s="56" t="str">
        <f>IF(AND(ТабПозиции[[#This Row],[Остаток]]=0,ТабПозиции[[#This Row],[ord]]="true"),"true","false")</f>
        <v>true</v>
      </c>
      <c r="V1403" s="56" t="str">
        <f>IF(AND(ТабПозиции[[#This Row],[Остаток]]=0,ТабПозиции[[#This Row],[ord]]="true"),"true","false")</f>
        <v>true</v>
      </c>
      <c r="W1403" s="7"/>
      <c r="X1403"/>
    </row>
    <row r="1404" spans="1:24" x14ac:dyDescent="0.25">
      <c r="A1404" s="26">
        <v>370</v>
      </c>
      <c r="B1404" s="1">
        <f>IFERROR(VLOOKUP(ТабПозиции[[#This Row],[orderNum]],ТабЗаказы[#Data],MATCH(B$7,ТабЗаказы[#Headers],0),0),"")</f>
        <v>45630</v>
      </c>
      <c r="C1404" t="str">
        <f>MONTH(ТабПозиции[[#This Row],[date]])&amp;"/"&amp;YEAR(ТабПозиции[[#This Row],[date]])</f>
        <v>12/2024</v>
      </c>
      <c r="D1404" s="1" t="str">
        <f>IFERROR(VLOOKUP(ТабПозиции[[#This Row],[orderNum]],ТабЗаказы[#Data],MATCH(D$7,ТабЗаказы[#Headers],0),0),"")</f>
        <v>Александр Каскад</v>
      </c>
      <c r="E1404" s="32" t="s">
        <v>2044</v>
      </c>
      <c r="F1404" s="56" t="s">
        <v>3061</v>
      </c>
      <c r="H1404" s="34">
        <v>45633</v>
      </c>
      <c r="I1404" s="26">
        <v>1</v>
      </c>
      <c r="J1404" s="26">
        <v>839</v>
      </c>
      <c r="K1404">
        <f>ТабПозиции[[#This Row],[discountPrice]]*ТабПозиции[[#This Row],[quantity]]</f>
        <v>839</v>
      </c>
      <c r="L1404" s="26">
        <v>882</v>
      </c>
      <c r="M1404">
        <f t="shared" si="26"/>
        <v>882</v>
      </c>
      <c r="O140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Row],[orderNum]],ТабПозиции[orderSumm])&gt;1500),ABS(M1404*VLOOKUP(ТабПозиции[[#This Row],[orderNum]],ТабЗаказы[#Data],MATCH("Percent",ТабЗаказы[#Headers],0),0))/100,200/COUNTIF(ТабПозиции[orderNum],ТабПозиции[[#This Row],[orderNum]])),0),"")</f>
        <v>132</v>
      </c>
      <c r="P1404">
        <f>IF(OR(ТабПозиции[[#This Row],[item]]="По штрихкоду",ТабПозиции[[#This Row],[item]]="Посылка"),ТабПозиции[[#This Row],[deliverySumm]]+ТабПозиции[[#This Row],[deliveryPost]],SUM(M1404:O1404))</f>
        <v>1014</v>
      </c>
      <c r="Q1404" s="57">
        <v>1014</v>
      </c>
      <c r="R1404" s="62">
        <f>ТабПозиции[[#This Row],[totalSumm]]-ТабПозиции[[#This Row],[payment]]</f>
        <v>0</v>
      </c>
      <c r="S1404" s="34" t="s">
        <v>955</v>
      </c>
      <c r="T1404" s="56" t="s">
        <v>3061</v>
      </c>
      <c r="U1404" s="56" t="str">
        <f>IF(AND(ТабПозиции[[#This Row],[Остаток]]=0,ТабПозиции[[#This Row],[ord]]="true"),"true","false")</f>
        <v>true</v>
      </c>
      <c r="V1404" s="56" t="str">
        <f>IF(AND(ТабПозиции[[#This Row],[Остаток]]=0,ТабПозиции[[#This Row],[ord]]="true"),"true","false")</f>
        <v>true</v>
      </c>
      <c r="W1404" s="7"/>
      <c r="X1404"/>
    </row>
    <row r="1405" spans="1:24" x14ac:dyDescent="0.25">
      <c r="A1405" s="26">
        <v>371</v>
      </c>
      <c r="B1405" s="1">
        <f>IFERROR(VLOOKUP(ТабПозиции[[#This Row],[orderNum]],ТабЗаказы[#Data],MATCH(B$7,ТабЗаказы[#Headers],0),0),"")</f>
        <v>45632</v>
      </c>
      <c r="C1405" t="str">
        <f>MONTH(ТабПозиции[[#This Row],[date]])&amp;"/"&amp;YEAR(ТабПозиции[[#This Row],[date]])</f>
        <v>12/2024</v>
      </c>
      <c r="D1405" s="1" t="str">
        <f>IFERROR(VLOOKUP(ТабПозиции[[#This Row],[orderNum]],ТабЗаказы[#Data],MATCH(D$7,ТабЗаказы[#Headers],0),0),"")</f>
        <v>Дронго</v>
      </c>
      <c r="E1405" s="32" t="s">
        <v>2045</v>
      </c>
      <c r="F1405" s="56" t="s">
        <v>3061</v>
      </c>
      <c r="H1405" s="34">
        <v>45635</v>
      </c>
      <c r="I1405" s="26">
        <v>1</v>
      </c>
      <c r="J1405" s="26">
        <v>21321</v>
      </c>
      <c r="K1405">
        <f>ТабПозиции[[#This Row],[discountPrice]]*ТабПозиции[[#This Row],[quantity]]</f>
        <v>21321</v>
      </c>
      <c r="L1405" s="26">
        <v>22789</v>
      </c>
      <c r="M1405">
        <f t="shared" si="26"/>
        <v>22789</v>
      </c>
      <c r="O140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Row],[orderNum]],ТабПозиции[orderSumm])&gt;1500),ABS(M1405*VLOOKUP(ТабПозиции[[#This Row],[orderNum]],ТабЗаказы[#Data],MATCH("Percent",ТабЗаказы[#Headers],0),0))/100,200/COUNTIF(ТабПозиции[orderNum],ТабПозиции[[#This Row],[orderNum]])),0),"")</f>
        <v>2279</v>
      </c>
      <c r="P1405">
        <f>IF(OR(ТабПозиции[[#This Row],[item]]="По штрихкоду",ТабПозиции[[#This Row],[item]]="Посылка"),ТабПозиции[[#This Row],[deliverySumm]]+ТабПозиции[[#This Row],[deliveryPost]],SUM(M1405:O1405))</f>
        <v>25068</v>
      </c>
      <c r="Q1405" s="57">
        <v>25068</v>
      </c>
      <c r="R1405" s="62">
        <f>ТабПозиции[[#This Row],[totalSumm]]-ТабПозиции[[#This Row],[payment]]</f>
        <v>0</v>
      </c>
      <c r="S1405" s="34" t="s">
        <v>955</v>
      </c>
      <c r="T1405" s="56" t="s">
        <v>3061</v>
      </c>
      <c r="U1405" s="56" t="str">
        <f>IF(AND(ТабПозиции[[#This Row],[Остаток]]=0,ТабПозиции[[#This Row],[ord]]="true"),"true","false")</f>
        <v>true</v>
      </c>
      <c r="V1405" s="56" t="s">
        <v>3061</v>
      </c>
      <c r="W1405" s="7"/>
      <c r="X1405"/>
    </row>
    <row r="1406" spans="1:24" x14ac:dyDescent="0.25">
      <c r="A1406" s="26">
        <v>372</v>
      </c>
      <c r="B1406" s="1">
        <f>IFERROR(VLOOKUP(ТабПозиции[[#This Row],[orderNum]],ТабЗаказы[#Data],MATCH(B$7,ТабЗаказы[#Headers],0),0),"")</f>
        <v>45632</v>
      </c>
      <c r="C1406" t="str">
        <f>MONTH(ТабПозиции[[#This Row],[date]])&amp;"/"&amp;YEAR(ТабПозиции[[#This Row],[date]])</f>
        <v>12/2024</v>
      </c>
      <c r="D1406" s="1" t="str">
        <f>IFERROR(VLOOKUP(ТабПозиции[[#This Row],[orderNum]],ТабЗаказы[#Data],MATCH(D$7,ТабЗаказы[#Headers],0),0),"")</f>
        <v>Аннет</v>
      </c>
      <c r="E1406" s="26" t="s">
        <v>32</v>
      </c>
      <c r="F1406" s="56" t="s">
        <v>3061</v>
      </c>
      <c r="H1406" s="34">
        <v>45632</v>
      </c>
      <c r="I1406" s="26">
        <v>1</v>
      </c>
      <c r="J1406" s="26">
        <v>54592</v>
      </c>
      <c r="K1406">
        <f>ТабПозиции[[#This Row],[discountPrice]]*ТабПозиции[[#This Row],[quantity]]</f>
        <v>54592</v>
      </c>
      <c r="L1406" s="26">
        <v>54592</v>
      </c>
      <c r="M1406">
        <f t="shared" si="26"/>
        <v>54592</v>
      </c>
      <c r="O140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Row],[orderNum]],ТабПозиции[orderSumm])&gt;1500),ABS(M1406*VLOOKUP(ТабПозиции[[#This Row],[orderNum]],ТабЗаказы[#Data],MATCH("Percent",ТабЗаказы[#Headers],0),0))/100,200/COUNTIF(ТабПозиции[orderNum],ТабПозиции[[#This Row],[orderNum]])),0),"")</f>
        <v>5459</v>
      </c>
      <c r="P1406">
        <f>IF(OR(ТабПозиции[[#This Row],[item]]="По штрихкоду",ТабПозиции[[#This Row],[item]]="Посылка"),ТабПозиции[[#This Row],[deliverySumm]]+ТабПозиции[[#This Row],[deliveryPost]],SUM(M1406:O1406))</f>
        <v>5459</v>
      </c>
      <c r="Q1406" s="57">
        <v>5459</v>
      </c>
      <c r="R1406" s="62">
        <f>ТабПозиции[[#This Row],[totalSumm]]-ТабПозиции[[#This Row],[payment]]</f>
        <v>0</v>
      </c>
      <c r="S1406" s="34" t="s">
        <v>955</v>
      </c>
      <c r="T1406" s="56" t="s">
        <v>3061</v>
      </c>
      <c r="U1406" s="56" t="str">
        <f>IF(AND(ТабПозиции[[#This Row],[Остаток]]=0,ТабПозиции[[#This Row],[ord]]="true"),"true","false")</f>
        <v>true</v>
      </c>
      <c r="V1406" s="56" t="str">
        <f>IF(AND(ТабПозиции[[#This Row],[Остаток]]=0,ТабПозиции[[#This Row],[ord]]="true"),"true","false")</f>
        <v>true</v>
      </c>
      <c r="W1406" s="7"/>
      <c r="X1406"/>
    </row>
    <row r="1407" spans="1:24" x14ac:dyDescent="0.25">
      <c r="A1407" s="26">
        <v>373</v>
      </c>
      <c r="B1407" s="1">
        <f>IFERROR(VLOOKUP(ТабПозиции[[#This Row],[orderNum]],ТабЗаказы[#Data],MATCH(B$7,ТабЗаказы[#Headers],0),0),"")</f>
        <v>45632</v>
      </c>
      <c r="C1407" t="str">
        <f>MONTH(ТабПозиции[[#This Row],[date]])&amp;"/"&amp;YEAR(ТабПозиции[[#This Row],[date]])</f>
        <v>12/2024</v>
      </c>
      <c r="D1407" s="1" t="str">
        <f>IFERROR(VLOOKUP(ТабПозиции[[#This Row],[orderNum]],ТабЗаказы[#Data],MATCH(D$7,ТабЗаказы[#Headers],0),0),"")</f>
        <v>Лана</v>
      </c>
      <c r="E1407" s="26" t="s">
        <v>32</v>
      </c>
      <c r="F1407" s="56" t="s">
        <v>3061</v>
      </c>
      <c r="H1407" s="34">
        <v>45632</v>
      </c>
      <c r="I1407" s="26">
        <v>1</v>
      </c>
      <c r="J1407" s="26">
        <v>2752</v>
      </c>
      <c r="K1407">
        <f>ТабПозиции[[#This Row],[discountPrice]]*ТабПозиции[[#This Row],[quantity]]</f>
        <v>2752</v>
      </c>
      <c r="L1407" s="26">
        <v>2752</v>
      </c>
      <c r="M1407">
        <f t="shared" si="26"/>
        <v>2752</v>
      </c>
      <c r="O140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Row],[orderNum]],ТабПозиции[orderSumm])&gt;1500),ABS(M1407*VLOOKUP(ТабПозиции[[#This Row],[orderNum]],ТабЗаказы[#Data],MATCH("Percent",ТабЗаказы[#Headers],0),0))/100,200/COUNTIF(ТабПозиции[orderNum],ТабПозиции[[#This Row],[orderNum]])),0),"")</f>
        <v>413</v>
      </c>
      <c r="P1407">
        <f>IF(OR(ТабПозиции[[#This Row],[item]]="По штрихкоду",ТабПозиции[[#This Row],[item]]="Посылка"),ТабПозиции[[#This Row],[deliverySumm]]+ТабПозиции[[#This Row],[deliveryPost]],SUM(M1407:O1407))</f>
        <v>413</v>
      </c>
      <c r="Q1407" s="57">
        <v>413</v>
      </c>
      <c r="R1407" s="62">
        <f>ТабПозиции[[#This Row],[totalSumm]]-ТабПозиции[[#This Row],[payment]]</f>
        <v>0</v>
      </c>
      <c r="S1407" s="34" t="s">
        <v>955</v>
      </c>
      <c r="T1407" s="56" t="s">
        <v>3061</v>
      </c>
      <c r="U1407" s="56" t="str">
        <f>IF(AND(ТабПозиции[[#This Row],[Остаток]]=0,ТабПозиции[[#This Row],[ord]]="true"),"true","false")</f>
        <v>true</v>
      </c>
      <c r="V1407" s="56" t="s">
        <v>3061</v>
      </c>
      <c r="W1407" s="7"/>
      <c r="X1407"/>
    </row>
    <row r="1408" spans="1:24" x14ac:dyDescent="0.25">
      <c r="A1408" s="26">
        <v>374</v>
      </c>
      <c r="B1408" s="1">
        <f>IFERROR(VLOOKUP(ТабПозиции[[#This Row],[orderNum]],ТабЗаказы[#Data],MATCH(B$7,ТабЗаказы[#Headers],0),0),"")</f>
        <v>45632</v>
      </c>
      <c r="C1408" t="str">
        <f>MONTH(ТабПозиции[[#This Row],[date]])&amp;"/"&amp;YEAR(ТабПозиции[[#This Row],[date]])</f>
        <v>12/2024</v>
      </c>
      <c r="D1408" s="1" t="str">
        <f>IFERROR(VLOOKUP(ТабПозиции[[#This Row],[orderNum]],ТабЗаказы[#Data],MATCH(D$7,ТабЗаказы[#Headers],0),0),"")</f>
        <v>Дарья Урицкого</v>
      </c>
      <c r="E1408" s="26" t="s">
        <v>32</v>
      </c>
      <c r="F1408" s="56" t="s">
        <v>3061</v>
      </c>
      <c r="H1408" s="34">
        <v>45632</v>
      </c>
      <c r="I1408" s="26">
        <v>1</v>
      </c>
      <c r="J1408" s="26">
        <f>1281+1927+3406</f>
        <v>6614</v>
      </c>
      <c r="K1408">
        <f>ТабПозиции[[#This Row],[discountPrice]]*ТабПозиции[[#This Row],[quantity]]</f>
        <v>6614</v>
      </c>
      <c r="L1408" s="26">
        <v>6614</v>
      </c>
      <c r="M1408">
        <f t="shared" si="26"/>
        <v>6614</v>
      </c>
      <c r="N1408" s="26">
        <v>200</v>
      </c>
      <c r="O140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Row],[orderNum]],ТабПозиции[orderSumm])&gt;1500),ABS(M1408*VLOOKUP(ТабПозиции[[#This Row],[orderNum]],ТабЗаказы[#Data],MATCH("Percent",ТабЗаказы[#Headers],0),0))/100,200/COUNTIF(ТабПозиции[orderNum],ТабПозиции[[#This Row],[orderNum]])),0),"")</f>
        <v>992</v>
      </c>
      <c r="P1408">
        <f>IF(OR(ТабПозиции[[#This Row],[item]]="По штрихкоду",ТабПозиции[[#This Row],[item]]="Посылка"),ТабПозиции[[#This Row],[deliverySumm]]+ТабПозиции[[#This Row],[deliveryPost]],SUM(M1408:O1408))</f>
        <v>1192</v>
      </c>
      <c r="Q1408" s="57">
        <v>1192</v>
      </c>
      <c r="R1408" s="62">
        <f>ТабПозиции[[#This Row],[totalSumm]]-ТабПозиции[[#This Row],[payment]]</f>
        <v>0</v>
      </c>
      <c r="S1408" s="34" t="s">
        <v>955</v>
      </c>
      <c r="T1408" s="56" t="s">
        <v>3061</v>
      </c>
      <c r="U1408" s="56" t="s">
        <v>3061</v>
      </c>
      <c r="V1408" s="56" t="s">
        <v>3061</v>
      </c>
      <c r="W1408" s="7"/>
      <c r="X1408"/>
    </row>
    <row r="1409" spans="1:24" x14ac:dyDescent="0.25">
      <c r="A1409" s="26">
        <v>375</v>
      </c>
      <c r="B1409" s="1">
        <f>IFERROR(VLOOKUP(ТабПозиции[[#This Row],[orderNum]],ТабЗаказы[#Data],MATCH(B$7,ТабЗаказы[#Headers],0),0),"")</f>
        <v>45632</v>
      </c>
      <c r="C1409" t="str">
        <f>MONTH(ТабПозиции[[#This Row],[date]])&amp;"/"&amp;YEAR(ТабПозиции[[#This Row],[date]])</f>
        <v>12/2024</v>
      </c>
      <c r="D1409" s="1" t="str">
        <f>IFERROR(VLOOKUP(ТабПозиции[[#This Row],[orderNum]],ТабЗаказы[#Data],MATCH(D$7,ТабЗаказы[#Headers],0),0),"")</f>
        <v>SR</v>
      </c>
      <c r="E1409" s="26" t="s">
        <v>32</v>
      </c>
      <c r="F1409" s="56" t="s">
        <v>3061</v>
      </c>
      <c r="H1409" s="34">
        <v>45632</v>
      </c>
      <c r="I1409" s="26">
        <v>1</v>
      </c>
      <c r="J1409" s="26">
        <v>3084</v>
      </c>
      <c r="K1409">
        <f>ТабПозиции[[#This Row],[discountPrice]]*ТабПозиции[[#This Row],[quantity]]</f>
        <v>3084</v>
      </c>
      <c r="L1409" s="26">
        <v>3084</v>
      </c>
      <c r="M1409">
        <f t="shared" si="26"/>
        <v>3084</v>
      </c>
      <c r="O140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Row],[orderNum]],ТабПозиции[orderSumm])&gt;1500),ABS(M1409*VLOOKUP(ТабПозиции[[#This Row],[orderNum]],ТабЗаказы[#Data],MATCH("Percent",ТабЗаказы[#Headers],0),0))/100,200/COUNTIF(ТабПозиции[orderNum],ТабПозиции[[#This Row],[orderNum]])),0),"")</f>
        <v>463</v>
      </c>
      <c r="P1409">
        <f>IF(OR(ТабПозиции[[#This Row],[item]]="По штрихкоду",ТабПозиции[[#This Row],[item]]="Посылка"),ТабПозиции[[#This Row],[deliverySumm]]+ТабПозиции[[#This Row],[deliveryPost]],SUM(M1409:O1409))</f>
        <v>463</v>
      </c>
      <c r="Q1409" s="57">
        <v>463</v>
      </c>
      <c r="R1409" s="62">
        <f>ТабПозиции[[#This Row],[totalSumm]]-ТабПозиции[[#This Row],[payment]]</f>
        <v>0</v>
      </c>
      <c r="S1409" s="34" t="s">
        <v>955</v>
      </c>
      <c r="T1409" s="56" t="s">
        <v>3061</v>
      </c>
      <c r="U1409" s="56" t="str">
        <f>IF(AND(ТабПозиции[[#This Row],[Остаток]]=0,ТабПозиции[[#This Row],[ord]]="true"),"true","false")</f>
        <v>true</v>
      </c>
      <c r="V1409" s="56" t="s">
        <v>3061</v>
      </c>
      <c r="W1409" s="7"/>
      <c r="X1409"/>
    </row>
    <row r="1410" spans="1:24" x14ac:dyDescent="0.25">
      <c r="A1410" s="26">
        <v>376</v>
      </c>
      <c r="B1410" s="1">
        <f>IFERROR(VLOOKUP(ТабПозиции[[#This Row],[orderNum]],ТабЗаказы[#Data],MATCH(B$7,ТабЗаказы[#Headers],0),0),"")</f>
        <v>45632</v>
      </c>
      <c r="C1410" t="str">
        <f>MONTH(ТабПозиции[[#This Row],[date]])&amp;"/"&amp;YEAR(ТабПозиции[[#This Row],[date]])</f>
        <v>12/2024</v>
      </c>
      <c r="D1410" s="1" t="str">
        <f>IFERROR(VLOOKUP(ТабПозиции[[#This Row],[orderNum]],ТабЗаказы[#Data],MATCH(D$7,ТабЗаказы[#Headers],0),0),"")</f>
        <v>Александр Каскад</v>
      </c>
      <c r="E1410" s="67" t="s">
        <v>2046</v>
      </c>
      <c r="F1410" s="56" t="s">
        <v>3061</v>
      </c>
      <c r="H1410" s="34">
        <v>45641</v>
      </c>
      <c r="I1410" s="26">
        <v>1</v>
      </c>
      <c r="J1410" s="26">
        <v>1810</v>
      </c>
      <c r="K1410">
        <f>ТабПозиции[[#This Row],[discountPrice]]*ТабПозиции[[#This Row],[quantity]]</f>
        <v>1810</v>
      </c>
      <c r="L1410" s="26">
        <v>1945</v>
      </c>
      <c r="M1410">
        <f t="shared" si="26"/>
        <v>1945</v>
      </c>
      <c r="O141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Row],[orderNum]],ТабПозиции[orderSumm])&gt;1500),ABS(M1410*VLOOKUP(ТабПозиции[[#This Row],[orderNum]],ТабЗаказы[#Data],MATCH("Percent",ТабЗаказы[#Headers],0),0))/100,200/COUNTIF(ТабПозиции[orderNum],ТабПозиции[[#This Row],[orderNum]])),0),"")</f>
        <v>292</v>
      </c>
      <c r="P1410">
        <f>IF(OR(ТабПозиции[[#This Row],[item]]="По штрихкоду",ТабПозиции[[#This Row],[item]]="Посылка"),ТабПозиции[[#This Row],[deliverySumm]]+ТабПозиции[[#This Row],[deliveryPost]],SUM(M1410:O1410))</f>
        <v>2237</v>
      </c>
      <c r="Q1410" s="57">
        <v>2237</v>
      </c>
      <c r="R1410" s="62">
        <f>ТабПозиции[[#This Row],[totalSumm]]-ТабПозиции[[#This Row],[payment]]</f>
        <v>0</v>
      </c>
      <c r="S1410" s="34" t="s">
        <v>955</v>
      </c>
      <c r="T1410" s="56" t="s">
        <v>3061</v>
      </c>
      <c r="U1410" s="56" t="str">
        <f>IF(AND(ТабПозиции[[#This Row],[Остаток]]=0,ТабПозиции[[#This Row],[ord]]="true"),"true","false")</f>
        <v>true</v>
      </c>
      <c r="V1410" s="56" t="s">
        <v>3061</v>
      </c>
      <c r="W1410" s="7"/>
      <c r="X1410"/>
    </row>
    <row r="1411" spans="1:24" x14ac:dyDescent="0.25">
      <c r="A1411" s="26">
        <v>377</v>
      </c>
      <c r="B1411" s="1">
        <f>IFERROR(VLOOKUP(ТабПозиции[[#This Row],[orderNum]],ТабЗаказы[#Data],MATCH(B$7,ТабЗаказы[#Headers],0),0),"")</f>
        <v>45632</v>
      </c>
      <c r="C1411" t="str">
        <f>MONTH(ТабПозиции[[#This Row],[date]])&amp;"/"&amp;YEAR(ТабПозиции[[#This Row],[date]])</f>
        <v>12/2024</v>
      </c>
      <c r="D1411" s="1" t="str">
        <f>IFERROR(VLOOKUP(ТабПозиции[[#This Row],[orderNum]],ТабЗаказы[#Data],MATCH(D$7,ТабЗаказы[#Headers],0),0),"")</f>
        <v>Вадим</v>
      </c>
      <c r="E1411" s="32" t="s">
        <v>2047</v>
      </c>
      <c r="F1411" s="56" t="s">
        <v>3061</v>
      </c>
      <c r="G1411" s="28" t="s">
        <v>2049</v>
      </c>
      <c r="H1411" s="34">
        <v>45639</v>
      </c>
      <c r="I1411" s="26">
        <v>1</v>
      </c>
      <c r="J1411" s="26">
        <v>1500</v>
      </c>
      <c r="K1411">
        <f>ТабПозиции[[#This Row],[discountPrice]]*ТабПозиции[[#This Row],[quantity]]</f>
        <v>1500</v>
      </c>
      <c r="L1411" s="26">
        <v>1500</v>
      </c>
      <c r="M1411">
        <f t="shared" si="26"/>
        <v>1500</v>
      </c>
      <c r="N1411" s="26">
        <v>1494</v>
      </c>
      <c r="O141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Row],[orderNum]],ТабПозиции[orderSumm])&gt;1500),ABS(M1411*VLOOKUP(ТабПозиции[[#This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411">
        <f>IF(OR(ТабПозиции[[#This Row],[item]]="По штрихкоду",ТабПозиции[[#This Row],[item]]="Посылка"),ТабПозиции[[#This Row],[deliverySumm]]+ТабПозиции[[#This Row],[deliveryPost]],SUM(M1411:O1411))</f>
        <v>3194</v>
      </c>
      <c r="Q1411" s="57">
        <v>3194</v>
      </c>
      <c r="R1411" s="62">
        <f>ТабПозиции[[#This Row],[totalSumm]]-ТабПозиции[[#This Row],[payment]]</f>
        <v>0</v>
      </c>
      <c r="S1411" s="34" t="s">
        <v>1016</v>
      </c>
      <c r="T1411" s="56" t="s">
        <v>3061</v>
      </c>
      <c r="U1411" s="56" t="str">
        <f>IF(AND(ТабПозиции[[#This Row],[Остаток]]=0,ТабПозиции[[#This Row],[ord]]="true"),"true","false")</f>
        <v>true</v>
      </c>
      <c r="V1411" s="56" t="str">
        <f>IF(AND(ТабПозиции[[#This Row],[Остаток]]=0,ТабПозиции[[#This Row],[ord]]="true"),"true","false")</f>
        <v>true</v>
      </c>
      <c r="W1411" s="7"/>
      <c r="X1411"/>
    </row>
    <row r="1412" spans="1:24" x14ac:dyDescent="0.25">
      <c r="A1412" s="26">
        <v>378</v>
      </c>
      <c r="B1412" s="1">
        <f>IFERROR(VLOOKUP(ТабПозиции[[#This Row],[orderNum]],ТабЗаказы[#Data],MATCH(B$7,ТабЗаказы[#Headers],0),0),"")</f>
        <v>45632</v>
      </c>
      <c r="C1412" t="str">
        <f>MONTH(ТабПозиции[[#This Row],[date]])&amp;"/"&amp;YEAR(ТабПозиции[[#This Row],[date]])</f>
        <v>12/2024</v>
      </c>
      <c r="D1412" s="1" t="str">
        <f>IFERROR(VLOOKUP(ТабПозиции[[#This Row],[orderNum]],ТабЗаказы[#Data],MATCH(D$7,ТабЗаказы[#Headers],0),0),"")</f>
        <v>Оксана Максима Рюкзак</v>
      </c>
      <c r="E1412" s="32" t="s">
        <v>2021</v>
      </c>
      <c r="F1412" s="56" t="s">
        <v>3061</v>
      </c>
      <c r="H1412" s="34">
        <v>45634</v>
      </c>
      <c r="I1412" s="26">
        <v>1</v>
      </c>
      <c r="J1412" s="26">
        <v>409</v>
      </c>
      <c r="K1412">
        <f>ТабПозиции[[#This Row],[discountPrice]]*ТабПозиции[[#This Row],[quantity]]</f>
        <v>409</v>
      </c>
      <c r="L1412" s="26">
        <v>439</v>
      </c>
      <c r="M1412">
        <f t="shared" si="26"/>
        <v>439</v>
      </c>
      <c r="O141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Row],[orderNum]],ТабПозиции[orderSumm])&gt;1500),ABS(M1412*VLOOKUP(ТабПозиции[[#This Row],[orderNum]],ТабЗаказы[#Data],MATCH("Percent",ТабЗаказы[#Headers],0),0))/100,200/COUNTIF(ТабПозиции[orderNum],ТабПозиции[[#This Row],[orderNum]])),0),"")</f>
        <v>66</v>
      </c>
      <c r="P1412">
        <f>IF(OR(ТабПозиции[[#This Row],[item]]="По штрихкоду",ТабПозиции[[#This Row],[item]]="Посылка"),ТабПозиции[[#This Row],[deliverySumm]]+ТабПозиции[[#This Row],[deliveryPost]],SUM(M1412:O1412))</f>
        <v>505</v>
      </c>
      <c r="Q1412" s="57">
        <v>505</v>
      </c>
      <c r="R1412" s="62">
        <f>ТабПозиции[[#This Row],[totalSumm]]-ТабПозиции[[#This Row],[payment]]</f>
        <v>0</v>
      </c>
      <c r="S1412" s="34" t="s">
        <v>955</v>
      </c>
      <c r="T1412" s="56" t="s">
        <v>3061</v>
      </c>
      <c r="U1412" s="56" t="str">
        <f>IF(AND(ТабПозиции[[#This Row],[Остаток]]=0,ТабПозиции[[#This Row],[ord]]="true"),"true","false")</f>
        <v>true</v>
      </c>
      <c r="V1412" s="56" t="str">
        <f>IF(AND(ТабПозиции[[#This Row],[Остаток]]=0,ТабПозиции[[#This Row],[ord]]="true"),"true","false")</f>
        <v>true</v>
      </c>
      <c r="W1412" s="7"/>
      <c r="X1412"/>
    </row>
    <row r="1413" spans="1:24" x14ac:dyDescent="0.25">
      <c r="A1413" s="26">
        <v>378</v>
      </c>
      <c r="B1413" s="1">
        <f>IFERROR(VLOOKUP(ТабПозиции[[#This Row],[orderNum]],ТабЗаказы[#Data],MATCH(B$7,ТабЗаказы[#Headers],0),0),"")</f>
        <v>45632</v>
      </c>
      <c r="C1413" t="str">
        <f>MONTH(ТабПозиции[[#This Row],[date]])&amp;"/"&amp;YEAR(ТабПозиции[[#This Row],[date]])</f>
        <v>12/2024</v>
      </c>
      <c r="D1413" s="1" t="str">
        <f>IFERROR(VLOOKUP(ТабПозиции[[#This Row],[orderNum]],ТабЗаказы[#Data],MATCH(D$7,ТабЗаказы[#Headers],0),0),"")</f>
        <v>Оксана Максима Рюкзак</v>
      </c>
      <c r="E1413" s="32" t="s">
        <v>1816</v>
      </c>
      <c r="F1413" s="56" t="s">
        <v>3061</v>
      </c>
      <c r="H1413" s="34">
        <v>45633</v>
      </c>
      <c r="I1413" s="26">
        <v>1</v>
      </c>
      <c r="J1413" s="26">
        <v>998</v>
      </c>
      <c r="K1413">
        <f>ТабПозиции[[#This Row],[discountPrice]]*ТабПозиции[[#This Row],[quantity]]</f>
        <v>998</v>
      </c>
      <c r="L1413" s="26">
        <v>1039</v>
      </c>
      <c r="M1413">
        <f t="shared" si="26"/>
        <v>1039</v>
      </c>
      <c r="O141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Row],[orderNum]],ТабПозиции[orderSumm])&gt;1500),ABS(M1413*VLOOKUP(ТабПозиции[[#This Row],[orderNum]],ТабЗаказы[#Data],MATCH("Percent",ТабЗаказы[#Headers],0),0))/100,200/COUNTIF(ТабПозиции[orderNum],ТабПозиции[[#This Row],[orderNum]])),0),"")</f>
        <v>156</v>
      </c>
      <c r="P1413">
        <f>IF(OR(ТабПозиции[[#This Row],[item]]="По штрихкоду",ТабПозиции[[#This Row],[item]]="Посылка"),ТабПозиции[[#This Row],[deliverySumm]]+ТабПозиции[[#This Row],[deliveryPost]],SUM(M1413:O1413))</f>
        <v>1195</v>
      </c>
      <c r="Q1413" s="57">
        <v>1195</v>
      </c>
      <c r="R1413" s="62">
        <f>ТабПозиции[[#This Row],[totalSumm]]-ТабПозиции[[#This Row],[payment]]</f>
        <v>0</v>
      </c>
      <c r="S1413" s="34" t="s">
        <v>955</v>
      </c>
      <c r="T1413" s="56" t="s">
        <v>3061</v>
      </c>
      <c r="U1413" s="56" t="str">
        <f>IF(AND(ТабПозиции[[#This Row],[Остаток]]=0,ТабПозиции[[#This Row],[ord]]="true"),"true","false")</f>
        <v>true</v>
      </c>
      <c r="V1413" s="56" t="str">
        <f>IF(AND(ТабПозиции[[#This Row],[Остаток]]=0,ТабПозиции[[#This Row],[ord]]="true"),"true","false")</f>
        <v>true</v>
      </c>
      <c r="W1413" s="7"/>
      <c r="X1413"/>
    </row>
    <row r="1414" spans="1:24" x14ac:dyDescent="0.25">
      <c r="A1414" s="26">
        <v>378</v>
      </c>
      <c r="B1414" s="1">
        <f>IFERROR(VLOOKUP(ТабПозиции[[#This Row],[orderNum]],ТабЗаказы[#Data],MATCH(B$7,ТабЗаказы[#Headers],0),0),"")</f>
        <v>45632</v>
      </c>
      <c r="C1414" t="str">
        <f>MONTH(ТабПозиции[[#This Row],[date]])&amp;"/"&amp;YEAR(ТабПозиции[[#This Row],[date]])</f>
        <v>12/2024</v>
      </c>
      <c r="D1414" s="1" t="str">
        <f>IFERROR(VLOOKUP(ТабПозиции[[#This Row],[orderNum]],ТабЗаказы[#Data],MATCH(D$7,ТабЗаказы[#Headers],0),0),"")</f>
        <v>Оксана Максима Рюкзак</v>
      </c>
      <c r="E1414" s="32" t="s">
        <v>2053</v>
      </c>
      <c r="F1414" s="56" t="s">
        <v>3061</v>
      </c>
      <c r="H1414" s="34">
        <v>45633</v>
      </c>
      <c r="I1414" s="26">
        <v>1</v>
      </c>
      <c r="J1414" s="26">
        <v>379</v>
      </c>
      <c r="K1414">
        <f>ТабПозиции[[#This Row],[discountPrice]]*ТабПозиции[[#This Row],[quantity]]</f>
        <v>379</v>
      </c>
      <c r="L1414" s="26">
        <v>406</v>
      </c>
      <c r="M1414">
        <f t="shared" si="26"/>
        <v>406</v>
      </c>
      <c r="O141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Row],[orderNum]],ТабПозиции[orderSumm])&gt;1500),ABS(M1414*VLOOKUP(ТабПозиции[[#This Row],[orderNum]],ТабЗаказы[#Data],MATCH("Percent",ТабЗаказы[#Headers],0),0))/100,200/COUNTIF(ТабПозиции[orderNum],ТабПозиции[[#This Row],[orderNum]])),0),"")</f>
        <v>61</v>
      </c>
      <c r="P1414">
        <f>IF(OR(ТабПозиции[[#This Row],[item]]="По штрихкоду",ТабПозиции[[#This Row],[item]]="Посылка"),ТабПозиции[[#This Row],[deliverySumm]]+ТабПозиции[[#This Row],[deliveryPost]],SUM(M1414:O1414))</f>
        <v>467</v>
      </c>
      <c r="Q1414" s="57">
        <v>467</v>
      </c>
      <c r="R1414" s="62">
        <f>ТабПозиции[[#This Row],[totalSumm]]-ТабПозиции[[#This Row],[payment]]</f>
        <v>0</v>
      </c>
      <c r="S1414" s="34" t="s">
        <v>955</v>
      </c>
      <c r="T1414" s="56" t="s">
        <v>3061</v>
      </c>
      <c r="U1414" s="56" t="str">
        <f>IF(AND(ТабПозиции[[#This Row],[Остаток]]=0,ТабПозиции[[#This Row],[ord]]="true"),"true","false")</f>
        <v>true</v>
      </c>
      <c r="V1414" s="56" t="str">
        <f>IF(AND(ТабПозиции[[#This Row],[Остаток]]=0,ТабПозиции[[#This Row],[ord]]="true"),"true","false")</f>
        <v>true</v>
      </c>
      <c r="W1414" s="7"/>
      <c r="X1414"/>
    </row>
    <row r="1415" spans="1:24" x14ac:dyDescent="0.25">
      <c r="A1415" s="26">
        <v>378</v>
      </c>
      <c r="B1415" s="1">
        <f>IFERROR(VLOOKUP(ТабПозиции[[#This Row],[orderNum]],ТабЗаказы[#Data],MATCH(B$7,ТабЗаказы[#Headers],0),0),"")</f>
        <v>45632</v>
      </c>
      <c r="C1415" t="str">
        <f>MONTH(ТабПозиции[[#This Row],[date]])&amp;"/"&amp;YEAR(ТабПозиции[[#This Row],[date]])</f>
        <v>12/2024</v>
      </c>
      <c r="D1415" s="1" t="str">
        <f>IFERROR(VLOOKUP(ТабПозиции[[#This Row],[orderNum]],ТабЗаказы[#Data],MATCH(D$7,ТабЗаказы[#Headers],0),0),"")</f>
        <v>Оксана Максима Рюкзак</v>
      </c>
      <c r="E1415" s="32" t="s">
        <v>2054</v>
      </c>
      <c r="F1415" s="56" t="s">
        <v>3061</v>
      </c>
      <c r="H1415" s="34">
        <v>45634</v>
      </c>
      <c r="I1415" s="26">
        <v>1</v>
      </c>
      <c r="J1415" s="26">
        <v>290</v>
      </c>
      <c r="K1415">
        <f>ТабПозиции[[#This Row],[discountPrice]]*ТабПозиции[[#This Row],[quantity]]</f>
        <v>290</v>
      </c>
      <c r="L1415" s="26">
        <v>296</v>
      </c>
      <c r="M1415">
        <f t="shared" si="26"/>
        <v>296</v>
      </c>
      <c r="O141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Row],[orderNum]],ТабПозиции[orderSumm])&gt;1500),ABS(M1415*VLOOKUP(ТабПозиции[[#This Row],[orderNum]],ТабЗаказы[#Data],MATCH("Percent",ТабЗаказы[#Headers],0),0))/100,200/COUNTIF(ТабПозиции[orderNum],ТабПозиции[[#This Row],[orderNum]])),0),"")</f>
        <v>44</v>
      </c>
      <c r="P1415">
        <f>IF(OR(ТабПозиции[[#This Row],[item]]="По штрихкоду",ТабПозиции[[#This Row],[item]]="Посылка"),ТабПозиции[[#This Row],[deliverySumm]]+ТабПозиции[[#This Row],[deliveryPost]],SUM(M1415:O1415))</f>
        <v>340</v>
      </c>
      <c r="Q1415" s="57">
        <v>340</v>
      </c>
      <c r="R1415" s="62">
        <f>ТабПозиции[[#This Row],[totalSumm]]-ТабПозиции[[#This Row],[payment]]</f>
        <v>0</v>
      </c>
      <c r="S1415" s="34" t="s">
        <v>955</v>
      </c>
      <c r="T1415" s="56" t="s">
        <v>3061</v>
      </c>
      <c r="U1415" s="56" t="str">
        <f>IF(AND(ТабПозиции[[#This Row],[Остаток]]=0,ТабПозиции[[#This Row],[ord]]="true"),"true","false")</f>
        <v>true</v>
      </c>
      <c r="V1415" s="56" t="str">
        <f>IF(AND(ТабПозиции[[#This Row],[Остаток]]=0,ТабПозиции[[#This Row],[ord]]="true"),"true","false")</f>
        <v>true</v>
      </c>
      <c r="W1415" s="7"/>
      <c r="X1415"/>
    </row>
    <row r="1416" spans="1:24" x14ac:dyDescent="0.25">
      <c r="A1416" s="26">
        <v>378</v>
      </c>
      <c r="B1416" s="1">
        <f>IFERROR(VLOOKUP(ТабПозиции[[#This Row],[orderNum]],ТабЗаказы[#Data],MATCH(B$7,ТабЗаказы[#Headers],0),0),"")</f>
        <v>45632</v>
      </c>
      <c r="C1416" t="str">
        <f>MONTH(ТабПозиции[[#This Row],[date]])&amp;"/"&amp;YEAR(ТабПозиции[[#This Row],[date]])</f>
        <v>12/2024</v>
      </c>
      <c r="D1416" s="1" t="str">
        <f>IFERROR(VLOOKUP(ТабПозиции[[#This Row],[orderNum]],ТабЗаказы[#Data],MATCH(D$7,ТабЗаказы[#Headers],0),0),"")</f>
        <v>Оксана Максима Рюкзак</v>
      </c>
      <c r="E1416" s="32" t="s">
        <v>2055</v>
      </c>
      <c r="F1416" s="56" t="s">
        <v>3061</v>
      </c>
      <c r="H1416" s="34">
        <v>45633</v>
      </c>
      <c r="I1416" s="26">
        <v>1</v>
      </c>
      <c r="J1416" s="26">
        <v>792</v>
      </c>
      <c r="K1416">
        <f>ТабПозиции[[#This Row],[discountPrice]]*ТабПозиции[[#This Row],[quantity]]</f>
        <v>792</v>
      </c>
      <c r="L1416" s="26">
        <v>835</v>
      </c>
      <c r="M1416">
        <f t="shared" si="26"/>
        <v>835</v>
      </c>
      <c r="O141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Row],[orderNum]],ТабПозиции[orderSumm])&gt;1500),ABS(M1416*VLOOKUP(ТабПозиции[[#This Row],[orderNum]],ТабЗаказы[#Data],MATCH("Percent",ТабЗаказы[#Headers],0),0))/100,200/COUNTIF(ТабПозиции[orderNum],ТабПозиции[[#This Row],[orderNum]])),0),"")</f>
        <v>125</v>
      </c>
      <c r="P1416">
        <f>IF(OR(ТабПозиции[[#This Row],[item]]="По штрихкоду",ТабПозиции[[#This Row],[item]]="Посылка"),ТабПозиции[[#This Row],[deliverySumm]]+ТабПозиции[[#This Row],[deliveryPost]],SUM(M1416:O1416))</f>
        <v>960</v>
      </c>
      <c r="Q1416" s="57">
        <v>960</v>
      </c>
      <c r="R1416" s="62">
        <f>ТабПозиции[[#This Row],[totalSumm]]-ТабПозиции[[#This Row],[payment]]</f>
        <v>0</v>
      </c>
      <c r="S1416" s="34" t="s">
        <v>955</v>
      </c>
      <c r="T1416" s="56" t="s">
        <v>3061</v>
      </c>
      <c r="U1416" s="56" t="str">
        <f>IF(AND(ТабПозиции[[#This Row],[Остаток]]=0,ТабПозиции[[#This Row],[ord]]="true"),"true","false")</f>
        <v>true</v>
      </c>
      <c r="V1416" s="56" t="str">
        <f>IF(AND(ТабПозиции[[#This Row],[Остаток]]=0,ТабПозиции[[#This Row],[ord]]="true"),"true","false")</f>
        <v>true</v>
      </c>
      <c r="W1416" s="7"/>
      <c r="X1416"/>
    </row>
    <row r="1417" spans="1:24" x14ac:dyDescent="0.25">
      <c r="A1417" s="26">
        <v>379</v>
      </c>
      <c r="B1417" s="1">
        <f>IFERROR(VLOOKUP(ТабПозиции[[#This Row],[orderNum]],ТабЗаказы[#Data],MATCH(B$7,ТабЗаказы[#Headers],0),0),"")</f>
        <v>45632</v>
      </c>
      <c r="C1417" t="str">
        <f>MONTH(ТабПозиции[[#This Row],[date]])&amp;"/"&amp;YEAR(ТабПозиции[[#This Row],[date]])</f>
        <v>12/2024</v>
      </c>
      <c r="D1417" s="1" t="str">
        <f>IFERROR(VLOOKUP(ТабПозиции[[#This Row],[orderNum]],ТабЗаказы[#Data],MATCH(D$7,ТабЗаказы[#Headers],0),0),"")</f>
        <v>Светлана от Александра</v>
      </c>
      <c r="E1417" s="32" t="s">
        <v>2034</v>
      </c>
      <c r="F1417" s="56" t="s">
        <v>3061</v>
      </c>
      <c r="H1417" s="34">
        <v>45635</v>
      </c>
      <c r="I1417" s="26">
        <v>1</v>
      </c>
      <c r="J1417" s="26">
        <v>710</v>
      </c>
      <c r="K1417">
        <f>ТабПозиции[[#This Row],[discountPrice]]*ТабПозиции[[#This Row],[quantity]]</f>
        <v>710</v>
      </c>
      <c r="L1417" s="26">
        <v>748</v>
      </c>
      <c r="M1417">
        <f t="shared" si="26"/>
        <v>748</v>
      </c>
      <c r="O141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Row],[orderNum]],ТабПозиции[orderSumm])&gt;1500),ABS(M1417*VLOOKUP(ТабПозиции[[#This Row],[orderNum]],ТабЗаказы[#Data],MATCH("Percent",ТабЗаказы[#Headers],0),0))/100,200/COUNTIF(ТабПозиции[orderNum],ТабПозиции[[#This Row],[orderNum]])),0),"")</f>
        <v>112</v>
      </c>
      <c r="P1417">
        <f>IF(OR(ТабПозиции[[#This Row],[item]]="По штрихкоду",ТабПозиции[[#This Row],[item]]="Посылка"),ТабПозиции[[#This Row],[deliverySumm]]+ТабПозиции[[#This Row],[deliveryPost]],SUM(M1417:O1417))</f>
        <v>860</v>
      </c>
      <c r="Q1417" s="57">
        <v>860</v>
      </c>
      <c r="R1417" s="62">
        <f>ТабПозиции[[#This Row],[totalSumm]]-ТабПозиции[[#This Row],[payment]]</f>
        <v>0</v>
      </c>
      <c r="S1417" s="34" t="s">
        <v>965</v>
      </c>
      <c r="T1417" s="56" t="s">
        <v>3061</v>
      </c>
      <c r="U1417" s="56" t="str">
        <f>IF(AND(ТабПозиции[[#This Row],[Остаток]]=0,ТабПозиции[[#This Row],[ord]]="true"),"true","false")</f>
        <v>true</v>
      </c>
      <c r="V1417" s="56" t="str">
        <f>IF(AND(ТабПозиции[[#This Row],[Остаток]]=0,ТабПозиции[[#This Row],[ord]]="true"),"true","false")</f>
        <v>true</v>
      </c>
      <c r="W1417" s="7"/>
      <c r="X1417"/>
    </row>
    <row r="1418" spans="1:24" x14ac:dyDescent="0.25">
      <c r="A1418" s="26">
        <v>379</v>
      </c>
      <c r="B1418" s="1">
        <f>IFERROR(VLOOKUP(ТабПозиции[[#This Row],[orderNum]],ТабЗаказы[#Data],MATCH(B$7,ТабЗаказы[#Headers],0),0),"")</f>
        <v>45632</v>
      </c>
      <c r="C1418" t="str">
        <f>MONTH(ТабПозиции[[#This Row],[date]])&amp;"/"&amp;YEAR(ТабПозиции[[#This Row],[date]])</f>
        <v>12/2024</v>
      </c>
      <c r="D1418" s="1" t="str">
        <f>IFERROR(VLOOKUP(ТабПозиции[[#This Row],[orderNum]],ТабЗаказы[#Data],MATCH(D$7,ТабЗаказы[#Headers],0),0),"")</f>
        <v>Светлана от Александра</v>
      </c>
      <c r="E1418" s="32" t="s">
        <v>2056</v>
      </c>
      <c r="F1418" s="56" t="s">
        <v>3061</v>
      </c>
      <c r="H1418" s="34">
        <v>45637</v>
      </c>
      <c r="I1418" s="26">
        <v>1</v>
      </c>
      <c r="J1418" s="26">
        <v>441</v>
      </c>
      <c r="K1418">
        <f>ТабПозиции[[#This Row],[discountPrice]]*ТабПозиции[[#This Row],[quantity]]</f>
        <v>441</v>
      </c>
      <c r="L1418" s="26">
        <v>465</v>
      </c>
      <c r="M1418">
        <f t="shared" ref="M1418:M1480" si="27">L1418*I1418</f>
        <v>465</v>
      </c>
      <c r="O141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Row],[orderNum]],ТабПозиции[orderSumm])&gt;1500),ABS(M1418*VLOOKUP(ТабПозиции[[#This Row],[orderNum]],ТабЗаказы[#Data],MATCH("Percent",ТабЗаказы[#Headers],0),0))/100,200/COUNTIF(ТабПозиции[orderNum],ТабПозиции[[#This Row],[orderNum]])),0),"")</f>
        <v>70</v>
      </c>
      <c r="P1418">
        <f>IF(OR(ТабПозиции[[#This Row],[item]]="По штрихкоду",ТабПозиции[[#This Row],[item]]="Посылка"),ТабПозиции[[#This Row],[deliverySumm]]+ТабПозиции[[#This Row],[deliveryPost]],SUM(M1418:O1418))</f>
        <v>535</v>
      </c>
      <c r="Q1418" s="57">
        <v>535</v>
      </c>
      <c r="R1418" s="62">
        <f>ТабПозиции[[#This Row],[totalSumm]]-ТабПозиции[[#This Row],[payment]]</f>
        <v>0</v>
      </c>
      <c r="S1418" s="34" t="s">
        <v>965</v>
      </c>
      <c r="T1418" s="56" t="s">
        <v>3061</v>
      </c>
      <c r="U1418" s="56" t="str">
        <f>IF(AND(ТабПозиции[[#This Row],[Остаток]]=0,ТабПозиции[[#This Row],[ord]]="true"),"true","false")</f>
        <v>true</v>
      </c>
      <c r="V1418" s="56" t="str">
        <f>IF(AND(ТабПозиции[[#This Row],[Остаток]]=0,ТабПозиции[[#This Row],[ord]]="true"),"true","false")</f>
        <v>true</v>
      </c>
      <c r="W1418" s="7"/>
      <c r="X1418"/>
    </row>
    <row r="1419" spans="1:24" x14ac:dyDescent="0.25">
      <c r="A1419" s="26">
        <v>379</v>
      </c>
      <c r="B1419" s="1">
        <f>IFERROR(VLOOKUP(ТабПозиции[[#This Row],[orderNum]],ТабЗаказы[#Data],MATCH(B$7,ТабЗаказы[#Headers],0),0),"")</f>
        <v>45632</v>
      </c>
      <c r="C1419" t="str">
        <f>MONTH(ТабПозиции[[#This Row],[date]])&amp;"/"&amp;YEAR(ТабПозиции[[#This Row],[date]])</f>
        <v>12/2024</v>
      </c>
      <c r="D1419" s="1" t="str">
        <f>IFERROR(VLOOKUP(ТабПозиции[[#This Row],[orderNum]],ТабЗаказы[#Data],MATCH(D$7,ТабЗаказы[#Headers],0),0),"")</f>
        <v>Светлана от Александра</v>
      </c>
      <c r="E1419" s="32" t="s">
        <v>2059</v>
      </c>
      <c r="F1419" s="56" t="s">
        <v>3061</v>
      </c>
      <c r="H1419" s="34">
        <v>45636</v>
      </c>
      <c r="I1419" s="26">
        <v>1</v>
      </c>
      <c r="J1419" s="26">
        <v>335</v>
      </c>
      <c r="K1419">
        <f>ТабПозиции[[#This Row],[discountPrice]]*ТабПозиции[[#This Row],[quantity]]</f>
        <v>335</v>
      </c>
      <c r="L1419" s="26">
        <v>353</v>
      </c>
      <c r="M1419">
        <f t="shared" si="27"/>
        <v>353</v>
      </c>
      <c r="O141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Row],[orderNum]],ТабПозиции[orderSumm])&gt;1500),ABS(M1419*VLOOKUP(ТабПозиции[[#This Row],[orderNum]],ТабЗаказы[#Data],MATCH("Percent",ТабЗаказы[#Headers],0),0))/100,200/COUNTIF(ТабПозиции[orderNum],ТабПозиции[[#This Row],[orderNum]])),0),"")</f>
        <v>53</v>
      </c>
      <c r="P1419">
        <f>IF(OR(ТабПозиции[[#This Row],[item]]="По штрихкоду",ТабПозиции[[#This Row],[item]]="Посылка"),ТабПозиции[[#This Row],[deliverySumm]]+ТабПозиции[[#This Row],[deliveryPost]],SUM(M1419:O1419))</f>
        <v>406</v>
      </c>
      <c r="Q1419" s="57">
        <v>406</v>
      </c>
      <c r="R1419" s="62">
        <f>ТабПозиции[[#This Row],[totalSumm]]-ТабПозиции[[#This Row],[payment]]</f>
        <v>0</v>
      </c>
      <c r="S1419" s="34" t="s">
        <v>965</v>
      </c>
      <c r="T1419" s="56" t="s">
        <v>3061</v>
      </c>
      <c r="U1419" s="56" t="str">
        <f>IF(AND(ТабПозиции[[#This Row],[Остаток]]=0,ТабПозиции[[#This Row],[ord]]="true"),"true","false")</f>
        <v>true</v>
      </c>
      <c r="V1419" s="56" t="str">
        <f>IF(AND(ТабПозиции[[#This Row],[Остаток]]=0,ТабПозиции[[#This Row],[ord]]="true"),"true","false")</f>
        <v>true</v>
      </c>
      <c r="W1419" s="7"/>
      <c r="X1419"/>
    </row>
    <row r="1420" spans="1:24" x14ac:dyDescent="0.25">
      <c r="A1420" s="26">
        <v>379</v>
      </c>
      <c r="B1420" s="1">
        <f>IFERROR(VLOOKUP(ТабПозиции[[#This Row],[orderNum]],ТабЗаказы[#Data],MATCH(B$7,ТабЗаказы[#Headers],0),0),"")</f>
        <v>45632</v>
      </c>
      <c r="C1420" t="str">
        <f>MONTH(ТабПозиции[[#This Row],[date]])&amp;"/"&amp;YEAR(ТабПозиции[[#This Row],[date]])</f>
        <v>12/2024</v>
      </c>
      <c r="D1420" s="1" t="str">
        <f>IFERROR(VLOOKUP(ТабПозиции[[#This Row],[orderNum]],ТабЗаказы[#Data],MATCH(D$7,ТабЗаказы[#Headers],0),0),"")</f>
        <v>Светлана от Александра</v>
      </c>
      <c r="E1420" s="32" t="s">
        <v>2058</v>
      </c>
      <c r="F1420" s="56" t="s">
        <v>3061</v>
      </c>
      <c r="H1420" s="34">
        <v>45635</v>
      </c>
      <c r="I1420" s="26">
        <v>1</v>
      </c>
      <c r="J1420" s="26">
        <v>418</v>
      </c>
      <c r="K1420">
        <f>ТабПозиции[[#This Row],[discountPrice]]*ТабПозиции[[#This Row],[quantity]]</f>
        <v>418</v>
      </c>
      <c r="L1420" s="26">
        <v>441</v>
      </c>
      <c r="M1420">
        <f t="shared" si="27"/>
        <v>441</v>
      </c>
      <c r="O142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Row],[orderNum]],ТабПозиции[orderSumm])&gt;1500),ABS(M1420*VLOOKUP(ТабПозиции[[#This Row],[orderNum]],ТабЗаказы[#Data],MATCH("Percent",ТабЗаказы[#Headers],0),0))/100,200/COUNTIF(ТабПозиции[orderNum],ТабПозиции[[#This Row],[orderNum]])),0),"")</f>
        <v>66</v>
      </c>
      <c r="P1420">
        <f>IF(OR(ТабПозиции[[#This Row],[item]]="По штрихкоду",ТабПозиции[[#This Row],[item]]="Посылка"),ТабПозиции[[#This Row],[deliverySumm]]+ТабПозиции[[#This Row],[deliveryPost]],SUM(M1420:O1420))</f>
        <v>507</v>
      </c>
      <c r="Q1420" s="57">
        <v>507</v>
      </c>
      <c r="R1420" s="62">
        <f>ТабПозиции[[#This Row],[totalSumm]]-ТабПозиции[[#This Row],[payment]]</f>
        <v>0</v>
      </c>
      <c r="S1420" s="34" t="s">
        <v>965</v>
      </c>
      <c r="T1420" s="56" t="s">
        <v>3061</v>
      </c>
      <c r="U1420" s="56" t="str">
        <f>IF(AND(ТабПозиции[[#This Row],[Остаток]]=0,ТабПозиции[[#This Row],[ord]]="true"),"true","false")</f>
        <v>true</v>
      </c>
      <c r="V1420" s="56" t="str">
        <f>IF(AND(ТабПозиции[[#This Row],[Остаток]]=0,ТабПозиции[[#This Row],[ord]]="true"),"true","false")</f>
        <v>true</v>
      </c>
      <c r="W1420" s="7"/>
      <c r="X1420"/>
    </row>
    <row r="1421" spans="1:24" x14ac:dyDescent="0.25">
      <c r="A1421" s="26">
        <v>379</v>
      </c>
      <c r="B1421" s="1">
        <f>IFERROR(VLOOKUP(ТабПозиции[[#This Row],[orderNum]],ТабЗаказы[#Data],MATCH(B$7,ТабЗаказы[#Headers],0),0),"")</f>
        <v>45632</v>
      </c>
      <c r="C1421" t="str">
        <f>MONTH(ТабПозиции[[#This Row],[date]])&amp;"/"&amp;YEAR(ТабПозиции[[#This Row],[date]])</f>
        <v>12/2024</v>
      </c>
      <c r="D1421" s="1" t="str">
        <f>IFERROR(VLOOKUP(ТабПозиции[[#This Row],[orderNum]],ТабЗаказы[#Data],MATCH(D$7,ТабЗаказы[#Headers],0),0),"")</f>
        <v>Светлана от Александра</v>
      </c>
      <c r="E1421" s="32" t="s">
        <v>2057</v>
      </c>
      <c r="F1421" s="56" t="s">
        <v>3061</v>
      </c>
      <c r="H1421" s="34">
        <v>45638</v>
      </c>
      <c r="I1421" s="26">
        <v>1</v>
      </c>
      <c r="J1421" s="26">
        <v>353</v>
      </c>
      <c r="K1421">
        <f>ТабПозиции[[#This Row],[discountPrice]]*ТабПозиции[[#This Row],[quantity]]</f>
        <v>353</v>
      </c>
      <c r="L1421" s="26">
        <v>372</v>
      </c>
      <c r="M1421">
        <f t="shared" si="27"/>
        <v>372</v>
      </c>
      <c r="O142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Row],[orderNum]],ТабПозиции[orderSumm])&gt;1500),ABS(M1421*VLOOKUP(ТабПозиции[[#This Row],[orderNum]],ТабЗаказы[#Data],MATCH("Percent",ТабЗаказы[#Headers],0),0))/100,200/COUNTIF(ТабПозиции[orderNum],ТабПозиции[[#This Row],[orderNum]])),0),"")</f>
        <v>56</v>
      </c>
      <c r="P1421">
        <f>IF(OR(ТабПозиции[[#This Row],[item]]="По штрихкоду",ТабПозиции[[#This Row],[item]]="Посылка"),ТабПозиции[[#This Row],[deliverySumm]]+ТабПозиции[[#This Row],[deliveryPost]],SUM(M1421:O1421))</f>
        <v>428</v>
      </c>
      <c r="Q1421" s="57">
        <v>428</v>
      </c>
      <c r="R1421" s="62">
        <f>ТабПозиции[[#This Row],[totalSumm]]-ТабПозиции[[#This Row],[payment]]</f>
        <v>0</v>
      </c>
      <c r="S1421" s="34" t="s">
        <v>965</v>
      </c>
      <c r="T1421" s="56" t="s">
        <v>3061</v>
      </c>
      <c r="U1421" s="56" t="str">
        <f>IF(AND(ТабПозиции[[#This Row],[Остаток]]=0,ТабПозиции[[#This Row],[ord]]="true"),"true","false")</f>
        <v>true</v>
      </c>
      <c r="V1421" s="56" t="str">
        <f>IF(AND(ТабПозиции[[#This Row],[Остаток]]=0,ТабПозиции[[#This Row],[ord]]="true"),"true","false")</f>
        <v>true</v>
      </c>
      <c r="W1421" s="7"/>
      <c r="X1421"/>
    </row>
    <row r="1422" spans="1:24" x14ac:dyDescent="0.25">
      <c r="A1422" s="26">
        <v>380</v>
      </c>
      <c r="B1422" s="1">
        <f>IFERROR(VLOOKUP(ТабПозиции[[#This Row],[orderNum]],ТабЗаказы[#Data],MATCH(B$7,ТабЗаказы[#Headers],0),0),"")</f>
        <v>45634</v>
      </c>
      <c r="C1422" t="str">
        <f>MONTH(ТабПозиции[[#This Row],[date]])&amp;"/"&amp;YEAR(ТабПозиции[[#This Row],[date]])</f>
        <v>12/2024</v>
      </c>
      <c r="D1422" s="1" t="str">
        <f>IFERROR(VLOOKUP(ТабПозиции[[#This Row],[orderNum]],ТабЗаказы[#Data],MATCH(D$7,ТабЗаказы[#Headers],0),0),"")</f>
        <v>Юля Ларисына</v>
      </c>
      <c r="E1422" s="32" t="s">
        <v>2060</v>
      </c>
      <c r="F1422" s="56" t="s">
        <v>3061</v>
      </c>
      <c r="H1422" s="34">
        <v>45638</v>
      </c>
      <c r="I1422" s="26">
        <v>1</v>
      </c>
      <c r="J1422" s="26">
        <v>234</v>
      </c>
      <c r="K1422">
        <f>ТабПозиции[[#This Row],[discountPrice]]*ТабПозиции[[#This Row],[quantity]]</f>
        <v>234</v>
      </c>
      <c r="L1422" s="26">
        <v>247</v>
      </c>
      <c r="M1422">
        <f t="shared" si="27"/>
        <v>247</v>
      </c>
      <c r="O142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Row],[orderNum]],ТабПозиции[orderSumm])&gt;1500),ABS(M1422*VLOOKUP(ТабПозиции[[#This Row],[orderNum]],ТабЗаказы[#Data],MATCH("Percent",ТабЗаказы[#Headers],0),0))/100,200/COUNTIF(ТабПозиции[orderNum],ТабПозиции[[#This Row],[orderNum]])),0),"")</f>
        <v>37</v>
      </c>
      <c r="P1422">
        <f>IF(OR(ТабПозиции[[#This Row],[item]]="По штрихкоду",ТабПозиции[[#This Row],[item]]="Посылка"),ТабПозиции[[#This Row],[deliverySumm]]+ТабПозиции[[#This Row],[deliveryPost]],SUM(M1422:O1422))</f>
        <v>284</v>
      </c>
      <c r="Q1422" s="57">
        <v>284</v>
      </c>
      <c r="R1422" s="62">
        <f>ТабПозиции[[#This Row],[totalSumm]]-ТабПозиции[[#This Row],[payment]]</f>
        <v>0</v>
      </c>
      <c r="S1422" s="34" t="s">
        <v>965</v>
      </c>
      <c r="T1422" s="56" t="s">
        <v>3061</v>
      </c>
      <c r="U1422" s="56" t="str">
        <f>IF(AND(ТабПозиции[[#This Row],[Остаток]]=0,ТабПозиции[[#This Row],[ord]]="true"),"true","false")</f>
        <v>true</v>
      </c>
      <c r="V1422" s="56" t="str">
        <f>IF(AND(ТабПозиции[[#This Row],[Остаток]]=0,ТабПозиции[[#This Row],[ord]]="true"),"true","false")</f>
        <v>true</v>
      </c>
      <c r="W1422" s="7"/>
      <c r="X1422"/>
    </row>
    <row r="1423" spans="1:24" x14ac:dyDescent="0.25">
      <c r="A1423" s="26">
        <v>380</v>
      </c>
      <c r="B1423" s="1">
        <f>IFERROR(VLOOKUP(ТабПозиции[[#This Row],[orderNum]],ТабЗаказы[#Data],MATCH(B$7,ТабЗаказы[#Headers],0),0),"")</f>
        <v>45634</v>
      </c>
      <c r="C1423" t="str">
        <f>MONTH(ТабПозиции[[#This Row],[date]])&amp;"/"&amp;YEAR(ТабПозиции[[#This Row],[date]])</f>
        <v>12/2024</v>
      </c>
      <c r="D1423" s="1" t="str">
        <f>IFERROR(VLOOKUP(ТабПозиции[[#This Row],[orderNum]],ТабЗаказы[#Data],MATCH(D$7,ТабЗаказы[#Headers],0),0),"")</f>
        <v>Юля Ларисына</v>
      </c>
      <c r="E1423" s="32" t="s">
        <v>2061</v>
      </c>
      <c r="F1423" s="56" t="s">
        <v>3061</v>
      </c>
      <c r="H1423" s="34">
        <v>45636</v>
      </c>
      <c r="I1423" s="26">
        <v>1</v>
      </c>
      <c r="J1423" s="26">
        <v>305</v>
      </c>
      <c r="K1423">
        <f>ТабПозиции[[#This Row],[discountPrice]]*ТабПозиции[[#This Row],[quantity]]</f>
        <v>305</v>
      </c>
      <c r="L1423" s="26">
        <v>322</v>
      </c>
      <c r="M1423">
        <f t="shared" si="27"/>
        <v>322</v>
      </c>
      <c r="O142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Row],[orderNum]],ТабПозиции[orderSumm])&gt;1500),ABS(M1423*VLOOKUP(ТабПозиции[[#This Row],[orderNum]],ТабЗаказы[#Data],MATCH("Percent",ТабЗаказы[#Headers],0),0))/100,200/COUNTIF(ТабПозиции[orderNum],ТабПозиции[[#This Row],[orderNum]])),0),"")</f>
        <v>48</v>
      </c>
      <c r="P1423">
        <f>IF(OR(ТабПозиции[[#This Row],[item]]="По штрихкоду",ТабПозиции[[#This Row],[item]]="Посылка"),ТабПозиции[[#This Row],[deliverySumm]]+ТабПозиции[[#This Row],[deliveryPost]],SUM(M1423:O1423))</f>
        <v>370</v>
      </c>
      <c r="Q1423" s="57">
        <v>370</v>
      </c>
      <c r="R1423" s="62">
        <f>ТабПозиции[[#This Row],[totalSumm]]-ТабПозиции[[#This Row],[payment]]</f>
        <v>0</v>
      </c>
      <c r="S1423" s="34" t="s">
        <v>965</v>
      </c>
      <c r="T1423" s="56" t="s">
        <v>3061</v>
      </c>
      <c r="U1423" s="56" t="str">
        <f>IF(AND(ТабПозиции[[#This Row],[Остаток]]=0,ТабПозиции[[#This Row],[ord]]="true"),"true","false")</f>
        <v>true</v>
      </c>
      <c r="V1423" s="56" t="str">
        <f>IF(AND(ТабПозиции[[#This Row],[Остаток]]=0,ТабПозиции[[#This Row],[ord]]="true"),"true","false")</f>
        <v>true</v>
      </c>
      <c r="W1423" s="7"/>
      <c r="X1423"/>
    </row>
    <row r="1424" spans="1:24" x14ac:dyDescent="0.25">
      <c r="A1424" s="26">
        <v>380</v>
      </c>
      <c r="B1424" s="1">
        <f>IFERROR(VLOOKUP(ТабПозиции[[#This Row],[orderNum]],ТабЗаказы[#Data],MATCH(B$7,ТабЗаказы[#Headers],0),0),"")</f>
        <v>45634</v>
      </c>
      <c r="C1424" t="str">
        <f>MONTH(ТабПозиции[[#This Row],[date]])&amp;"/"&amp;YEAR(ТабПозиции[[#This Row],[date]])</f>
        <v>12/2024</v>
      </c>
      <c r="D1424" s="1" t="str">
        <f>IFERROR(VLOOKUP(ТабПозиции[[#This Row],[orderNum]],ТабЗаказы[#Data],MATCH(D$7,ТабЗаказы[#Headers],0),0),"")</f>
        <v>Юля Ларисына</v>
      </c>
      <c r="E1424" s="32" t="s">
        <v>2062</v>
      </c>
      <c r="F1424" s="56" t="s">
        <v>3061</v>
      </c>
      <c r="H1424" s="34">
        <v>45637</v>
      </c>
      <c r="I1424" s="26">
        <v>1</v>
      </c>
      <c r="J1424" s="26">
        <v>169</v>
      </c>
      <c r="K1424">
        <f>ТабПозиции[[#This Row],[discountPrice]]*ТабПозиции[[#This Row],[quantity]]</f>
        <v>169</v>
      </c>
      <c r="L1424" s="26">
        <v>172</v>
      </c>
      <c r="M1424">
        <f t="shared" si="27"/>
        <v>172</v>
      </c>
      <c r="O142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Row],[orderNum]],ТабПозиции[orderSumm])&gt;1500),ABS(M1424*VLOOKUP(ТабПозиции[[#This Row],[orderNum]],ТабЗаказы[#Data],MATCH("Percent",ТабЗаказы[#Headers],0),0))/100,200/COUNTIF(ТабПозиции[orderNum],ТабПозиции[[#This Row],[orderNum]])),0),"")</f>
        <v>26</v>
      </c>
      <c r="P1424">
        <f>IF(OR(ТабПозиции[[#This Row],[item]]="По штрихкоду",ТабПозиции[[#This Row],[item]]="Посылка"),ТабПозиции[[#This Row],[deliverySumm]]+ТабПозиции[[#This Row],[deliveryPost]],SUM(M1424:O1424))</f>
        <v>198</v>
      </c>
      <c r="Q1424" s="57">
        <v>198</v>
      </c>
      <c r="R1424" s="62">
        <f>ТабПозиции[[#This Row],[totalSumm]]-ТабПозиции[[#This Row],[payment]]</f>
        <v>0</v>
      </c>
      <c r="S1424" s="34" t="s">
        <v>955</v>
      </c>
      <c r="T1424" s="56" t="s">
        <v>3061</v>
      </c>
      <c r="U1424" s="56" t="str">
        <f>IF(AND(ТабПозиции[[#This Row],[Остаток]]=0,ТабПозиции[[#This Row],[ord]]="true"),"true","false")</f>
        <v>true</v>
      </c>
      <c r="V1424" s="56" t="str">
        <f>IF(AND(ТабПозиции[[#This Row],[Остаток]]=0,ТабПозиции[[#This Row],[ord]]="true"),"true","false")</f>
        <v>true</v>
      </c>
      <c r="W1424" s="7"/>
      <c r="X1424"/>
    </row>
    <row r="1425" spans="1:24" x14ac:dyDescent="0.25">
      <c r="A1425" s="26">
        <v>380</v>
      </c>
      <c r="B1425" s="1">
        <f>IFERROR(VLOOKUP(ТабПозиции[[#This Row],[orderNum]],ТабЗаказы[#Data],MATCH(B$7,ТабЗаказы[#Headers],0),0),"")</f>
        <v>45634</v>
      </c>
      <c r="C1425" t="str">
        <f>MONTH(ТабПозиции[[#This Row],[date]])&amp;"/"&amp;YEAR(ТабПозиции[[#This Row],[date]])</f>
        <v>12/2024</v>
      </c>
      <c r="D1425" s="1" t="str">
        <f>IFERROR(VLOOKUP(ТабПозиции[[#This Row],[orderNum]],ТабЗаказы[#Data],MATCH(D$7,ТабЗаказы[#Headers],0),0),"")</f>
        <v>Юля Ларисына</v>
      </c>
      <c r="E1425" s="32" t="s">
        <v>2063</v>
      </c>
      <c r="F1425" s="56" t="s">
        <v>3061</v>
      </c>
      <c r="H1425" s="34">
        <v>45636</v>
      </c>
      <c r="I1425" s="26">
        <v>1</v>
      </c>
      <c r="J1425" s="26">
        <v>145</v>
      </c>
      <c r="K1425">
        <f>ТабПозиции[[#This Row],[discountPrice]]*ТабПозиции[[#This Row],[quantity]]</f>
        <v>145</v>
      </c>
      <c r="L1425" s="26">
        <v>148</v>
      </c>
      <c r="M1425">
        <f t="shared" si="27"/>
        <v>148</v>
      </c>
      <c r="O142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Row],[orderNum]],ТабПозиции[orderSumm])&gt;1500),ABS(M1425*VLOOKUP(ТабПозиции[[#This Row],[orderNum]],ТабЗаказы[#Data],MATCH("Percent",ТабЗаказы[#Headers],0),0))/100,200/COUNTIF(ТабПозиции[orderNum],ТабПозиции[[#This Row],[orderNum]])),0),"")</f>
        <v>22</v>
      </c>
      <c r="P1425">
        <f>IF(OR(ТабПозиции[[#This Row],[item]]="По штрихкоду",ТабПозиции[[#This Row],[item]]="Посылка"),ТабПозиции[[#This Row],[deliverySumm]]+ТабПозиции[[#This Row],[deliveryPost]],SUM(M1425:O1425))</f>
        <v>170</v>
      </c>
      <c r="Q1425" s="57">
        <v>170</v>
      </c>
      <c r="R1425" s="62">
        <f>ТабПозиции[[#This Row],[totalSumm]]-ТабПозиции[[#This Row],[payment]]</f>
        <v>0</v>
      </c>
      <c r="S1425" s="34" t="s">
        <v>955</v>
      </c>
      <c r="T1425" s="56" t="s">
        <v>3061</v>
      </c>
      <c r="U1425" s="56" t="str">
        <f>IF(AND(ТабПозиции[[#This Row],[Остаток]]=0,ТабПозиции[[#This Row],[ord]]="true"),"true","false")</f>
        <v>true</v>
      </c>
      <c r="V1425" s="56" t="str">
        <f>IF(AND(ТабПозиции[[#This Row],[Остаток]]=0,ТабПозиции[[#This Row],[ord]]="true"),"true","false")</f>
        <v>true</v>
      </c>
      <c r="W1425" s="7"/>
      <c r="X1425"/>
    </row>
    <row r="1426" spans="1:24" x14ac:dyDescent="0.25">
      <c r="A1426" s="26">
        <v>380</v>
      </c>
      <c r="B1426" s="1">
        <f>IFERROR(VLOOKUP(ТабПозиции[[#This Row],[orderNum]],ТабЗаказы[#Data],MATCH(B$7,ТабЗаказы[#Headers],0),0),"")</f>
        <v>45634</v>
      </c>
      <c r="C1426" t="str">
        <f>MONTH(ТабПозиции[[#This Row],[date]])&amp;"/"&amp;YEAR(ТабПозиции[[#This Row],[date]])</f>
        <v>12/2024</v>
      </c>
      <c r="D1426" s="1" t="str">
        <f>IFERROR(VLOOKUP(ТабПозиции[[#This Row],[orderNum]],ТабЗаказы[#Data],MATCH(D$7,ТабЗаказы[#Headers],0),0),"")</f>
        <v>Юля Ларисына</v>
      </c>
      <c r="E1426" s="32" t="s">
        <v>618</v>
      </c>
      <c r="F1426" s="56" t="s">
        <v>3061</v>
      </c>
      <c r="H1426" s="34">
        <v>45638</v>
      </c>
      <c r="I1426" s="26">
        <v>1</v>
      </c>
      <c r="J1426" s="26">
        <v>159</v>
      </c>
      <c r="K1426">
        <f>ТабПозиции[[#This Row],[discountPrice]]*ТабПозиции[[#This Row],[quantity]]</f>
        <v>159</v>
      </c>
      <c r="L1426" s="26">
        <v>162</v>
      </c>
      <c r="M1426">
        <f t="shared" si="27"/>
        <v>162</v>
      </c>
      <c r="O142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Row],[orderNum]],ТабПозиции[orderSumm])&gt;1500),ABS(M1426*VLOOKUP(ТабПозиции[[#This Row],[orderNum]],ТабЗаказы[#Data],MATCH("Percent",ТабЗаказы[#Headers],0),0))/100,200/COUNTIF(ТабПозиции[orderNum],ТабПозиции[[#This Row],[orderNum]])),0),"")</f>
        <v>24</v>
      </c>
      <c r="P1426">
        <f>IF(OR(ТабПозиции[[#This Row],[item]]="По штрихкоду",ТабПозиции[[#This Row],[item]]="Посылка"),ТабПозиции[[#This Row],[deliverySumm]]+ТабПозиции[[#This Row],[deliveryPost]],SUM(M1426:O1426))</f>
        <v>186</v>
      </c>
      <c r="Q1426" s="57">
        <v>186</v>
      </c>
      <c r="R1426" s="62">
        <f>ТабПозиции[[#This Row],[totalSumm]]-ТабПозиции[[#This Row],[payment]]</f>
        <v>0</v>
      </c>
      <c r="S1426" s="34" t="s">
        <v>955</v>
      </c>
      <c r="T1426" s="56" t="s">
        <v>3061</v>
      </c>
      <c r="U1426" s="56" t="str">
        <f>IF(AND(ТабПозиции[[#This Row],[Остаток]]=0,ТабПозиции[[#This Row],[ord]]="true"),"true","false")</f>
        <v>true</v>
      </c>
      <c r="V1426" s="56" t="str">
        <f>IF(AND(ТабПозиции[[#This Row],[Остаток]]=0,ТабПозиции[[#This Row],[ord]]="true"),"true","false")</f>
        <v>true</v>
      </c>
      <c r="W1426" s="7"/>
      <c r="X1426"/>
    </row>
    <row r="1427" spans="1:24" x14ac:dyDescent="0.25">
      <c r="A1427" s="26">
        <v>380</v>
      </c>
      <c r="B1427" s="1">
        <f>IFERROR(VLOOKUP(ТабПозиции[[#This Row],[orderNum]],ТабЗаказы[#Data],MATCH(B$7,ТабЗаказы[#Headers],0),0),"")</f>
        <v>45634</v>
      </c>
      <c r="C1427" t="str">
        <f>MONTH(ТабПозиции[[#This Row],[date]])&amp;"/"&amp;YEAR(ТабПозиции[[#This Row],[date]])</f>
        <v>12/2024</v>
      </c>
      <c r="D1427" s="1" t="str">
        <f>IFERROR(VLOOKUP(ТабПозиции[[#This Row],[orderNum]],ТабЗаказы[#Data],MATCH(D$7,ТабЗаказы[#Headers],0),0),"")</f>
        <v>Юля Ларисына</v>
      </c>
      <c r="E1427" s="32" t="s">
        <v>2064</v>
      </c>
      <c r="F1427" s="56" t="s">
        <v>3061</v>
      </c>
      <c r="H1427" s="34">
        <v>45651</v>
      </c>
      <c r="I1427" s="26">
        <v>1</v>
      </c>
      <c r="J1427" s="26">
        <v>97</v>
      </c>
      <c r="K1427">
        <f>ТабПозиции[[#This Row],[discountPrice]]*ТабПозиции[[#This Row],[quantity]]</f>
        <v>97</v>
      </c>
      <c r="L1427" s="26">
        <v>100</v>
      </c>
      <c r="M1427">
        <f t="shared" si="27"/>
        <v>100</v>
      </c>
      <c r="O142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Row],[orderNum]],ТабПозиции[orderSumm])&gt;1500),ABS(M1427*VLOOKUP(ТабПозиции[[#This Row],[orderNum]],ТабЗаказы[#Data],MATCH("Percent",ТабЗаказы[#Headers],0),0))/100,200/COUNTIF(ТабПозиции[orderNum],ТабПозиции[[#This Row],[orderNum]])),0),"")</f>
        <v>15</v>
      </c>
      <c r="P1427">
        <f>IF(OR(ТабПозиции[[#This Row],[item]]="По штрихкоду",ТабПозиции[[#This Row],[item]]="Посылка"),ТабПозиции[[#This Row],[deliverySumm]]+ТабПозиции[[#This Row],[deliveryPost]],SUM(M1427:O1427))</f>
        <v>115</v>
      </c>
      <c r="Q1427" s="57">
        <v>115</v>
      </c>
      <c r="R1427" s="62">
        <f>ТабПозиции[[#This Row],[totalSumm]]-ТабПозиции[[#This Row],[payment]]</f>
        <v>0</v>
      </c>
      <c r="S1427" s="34" t="s">
        <v>955</v>
      </c>
      <c r="T1427" s="56" t="s">
        <v>3061</v>
      </c>
      <c r="U1427" s="56" t="str">
        <f>IF(AND(ТабПозиции[[#This Row],[Остаток]]=0,ТабПозиции[[#This Row],[ord]]="true"),"true","false")</f>
        <v>true</v>
      </c>
      <c r="V1427" s="56" t="s">
        <v>3061</v>
      </c>
      <c r="W1427" s="7"/>
      <c r="X1427"/>
    </row>
    <row r="1428" spans="1:24" x14ac:dyDescent="0.25">
      <c r="A1428" s="26">
        <v>380</v>
      </c>
      <c r="B1428" s="1">
        <f>IFERROR(VLOOKUP(ТабПозиции[[#This Row],[orderNum]],ТабЗаказы[#Data],MATCH(B$7,ТабЗаказы[#Headers],0),0),"")</f>
        <v>45634</v>
      </c>
      <c r="C1428" t="str">
        <f>MONTH(ТабПозиции[[#This Row],[date]])&amp;"/"&amp;YEAR(ТабПозиции[[#This Row],[date]])</f>
        <v>12/2024</v>
      </c>
      <c r="D1428" s="1" t="str">
        <f>IFERROR(VLOOKUP(ТабПозиции[[#This Row],[orderNum]],ТабЗаказы[#Data],MATCH(D$7,ТабЗаказы[#Headers],0),0),"")</f>
        <v>Юля Ларисына</v>
      </c>
      <c r="E1428" s="32" t="s">
        <v>2065</v>
      </c>
      <c r="F1428" s="56" t="s">
        <v>3061</v>
      </c>
      <c r="H1428" s="34">
        <v>45638</v>
      </c>
      <c r="I1428" s="26">
        <v>1</v>
      </c>
      <c r="J1428" s="26">
        <v>259</v>
      </c>
      <c r="K1428">
        <f>ТабПозиции[[#This Row],[discountPrice]]*ТабПозиции[[#This Row],[quantity]]</f>
        <v>259</v>
      </c>
      <c r="L1428" s="26">
        <v>273</v>
      </c>
      <c r="M1428">
        <f t="shared" si="27"/>
        <v>273</v>
      </c>
      <c r="O142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Row],[orderNum]],ТабПозиции[orderSumm])&gt;1500),ABS(M1428*VLOOKUP(ТабПозиции[[#This Row],[orderNum]],ТабЗаказы[#Data],MATCH("Percent",ТабЗаказы[#Headers],0),0))/100,200/COUNTIF(ТабПозиции[orderNum],ТабПозиции[[#This Row],[orderNum]])),0),"")</f>
        <v>41</v>
      </c>
      <c r="P1428">
        <f>IF(OR(ТабПозиции[[#This Row],[item]]="По штрихкоду",ТабПозиции[[#This Row],[item]]="Посылка"),ТабПозиции[[#This Row],[deliverySumm]]+ТабПозиции[[#This Row],[deliveryPost]],SUM(M1428:O1428))</f>
        <v>314</v>
      </c>
      <c r="Q1428" s="57">
        <v>314</v>
      </c>
      <c r="R1428" s="62">
        <f>ТабПозиции[[#This Row],[totalSumm]]-ТабПозиции[[#This Row],[payment]]</f>
        <v>0</v>
      </c>
      <c r="S1428" s="34" t="s">
        <v>965</v>
      </c>
      <c r="T1428" s="56" t="s">
        <v>3061</v>
      </c>
      <c r="U1428" s="56" t="str">
        <f>IF(AND(ТабПозиции[[#This Row],[Остаток]]=0,ТабПозиции[[#This Row],[ord]]="true"),"true","false")</f>
        <v>true</v>
      </c>
      <c r="V1428" s="56" t="str">
        <f>IF(AND(ТабПозиции[[#This Row],[Остаток]]=0,ТабПозиции[[#This Row],[ord]]="true"),"true","false")</f>
        <v>true</v>
      </c>
      <c r="W1428" s="7"/>
      <c r="X1428"/>
    </row>
    <row r="1429" spans="1:24" x14ac:dyDescent="0.25">
      <c r="A1429" s="26">
        <v>380</v>
      </c>
      <c r="B1429" s="1">
        <f>IFERROR(VLOOKUP(ТабПозиции[[#This Row],[orderNum]],ТабЗаказы[#Data],MATCH(B$7,ТабЗаказы[#Headers],0),0),"")</f>
        <v>45634</v>
      </c>
      <c r="C1429" t="str">
        <f>MONTH(ТабПозиции[[#This Row],[date]])&amp;"/"&amp;YEAR(ТабПозиции[[#This Row],[date]])</f>
        <v>12/2024</v>
      </c>
      <c r="D1429" s="1" t="str">
        <f>IFERROR(VLOOKUP(ТабПозиции[[#This Row],[orderNum]],ТабЗаказы[#Data],MATCH(D$7,ТабЗаказы[#Headers],0),0),"")</f>
        <v>Юля Ларисына</v>
      </c>
      <c r="E1429" s="32" t="s">
        <v>2066</v>
      </c>
      <c r="F1429" s="56" t="s">
        <v>3061</v>
      </c>
      <c r="H1429" s="34">
        <v>45637</v>
      </c>
      <c r="I1429" s="26">
        <v>1</v>
      </c>
      <c r="J1429" s="26">
        <v>162</v>
      </c>
      <c r="K1429">
        <f>ТабПозиции[[#This Row],[discountPrice]]*ТабПозиции[[#This Row],[quantity]]</f>
        <v>162</v>
      </c>
      <c r="L1429" s="26">
        <v>171</v>
      </c>
      <c r="M1429">
        <f t="shared" si="27"/>
        <v>171</v>
      </c>
      <c r="O142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Row],[orderNum]],ТабПозиции[orderSumm])&gt;1500),ABS(M1429*VLOOKUP(ТабПозиции[[#This Row],[orderNum]],ТабЗаказы[#Data],MATCH("Percent",ТабЗаказы[#Headers],0),0))/100,200/COUNTIF(ТабПозиции[orderNum],ТабПозиции[[#This Row],[orderNum]])),0),"")</f>
        <v>26</v>
      </c>
      <c r="P1429">
        <f>IF(OR(ТабПозиции[[#This Row],[item]]="По штрихкоду",ТабПозиции[[#This Row],[item]]="Посылка"),ТабПозиции[[#This Row],[deliverySumm]]+ТабПозиции[[#This Row],[deliveryPost]],SUM(M1429:O1429))</f>
        <v>197</v>
      </c>
      <c r="Q1429" s="57">
        <v>197</v>
      </c>
      <c r="R1429" s="62">
        <f>ТабПозиции[[#This Row],[totalSumm]]-ТабПозиции[[#This Row],[payment]]</f>
        <v>0</v>
      </c>
      <c r="S1429" s="34" t="s">
        <v>965</v>
      </c>
      <c r="T1429" s="56" t="s">
        <v>3061</v>
      </c>
      <c r="U1429" s="56" t="str">
        <f>IF(AND(ТабПозиции[[#This Row],[Остаток]]=0,ТабПозиции[[#This Row],[ord]]="true"),"true","false")</f>
        <v>true</v>
      </c>
      <c r="V1429" s="56" t="str">
        <f>IF(AND(ТабПозиции[[#This Row],[Остаток]]=0,ТабПозиции[[#This Row],[ord]]="true"),"true","false")</f>
        <v>true</v>
      </c>
      <c r="W1429" s="7"/>
      <c r="X1429"/>
    </row>
    <row r="1430" spans="1:24" x14ac:dyDescent="0.25">
      <c r="A1430" s="26">
        <v>380</v>
      </c>
      <c r="B1430" s="1">
        <f>IFERROR(VLOOKUP(ТабПозиции[[#This Row],[orderNum]],ТабЗаказы[#Data],MATCH(B$7,ТабЗаказы[#Headers],0),0),"")</f>
        <v>45634</v>
      </c>
      <c r="C1430" t="str">
        <f>MONTH(ТабПозиции[[#This Row],[date]])&amp;"/"&amp;YEAR(ТабПозиции[[#This Row],[date]])</f>
        <v>12/2024</v>
      </c>
      <c r="D1430" s="1" t="str">
        <f>IFERROR(VLOOKUP(ТабПозиции[[#This Row],[orderNum]],ТабЗаказы[#Data],MATCH(D$7,ТабЗаказы[#Headers],0),0),"")</f>
        <v>Юля Ларисына</v>
      </c>
      <c r="E1430" s="32" t="s">
        <v>2067</v>
      </c>
      <c r="F1430" s="56" t="s">
        <v>3061</v>
      </c>
      <c r="H1430" s="34">
        <v>45636</v>
      </c>
      <c r="I1430" s="26">
        <v>1</v>
      </c>
      <c r="J1430" s="26">
        <v>693</v>
      </c>
      <c r="K1430">
        <f>ТабПозиции[[#This Row],[discountPrice]]*ТабПозиции[[#This Row],[quantity]]</f>
        <v>693</v>
      </c>
      <c r="L1430" s="26">
        <v>730</v>
      </c>
      <c r="M1430">
        <f t="shared" si="27"/>
        <v>730</v>
      </c>
      <c r="O143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Row],[orderNum]],ТабПозиции[orderSumm])&gt;1500),ABS(M1430*VLOOKUP(ТабПозиции[[#This Row],[orderNum]],ТабЗаказы[#Data],MATCH("Percent",ТабЗаказы[#Headers],0),0))/100,200/COUNTIF(ТабПозиции[orderNum],ТабПозиции[[#This Row],[orderNum]])),0),"")</f>
        <v>110</v>
      </c>
      <c r="P1430">
        <f>IF(OR(ТабПозиции[[#This Row],[item]]="По штрихкоду",ТабПозиции[[#This Row],[item]]="Посылка"),ТабПозиции[[#This Row],[deliverySumm]]+ТабПозиции[[#This Row],[deliveryPost]],SUM(M1430:O1430))</f>
        <v>840</v>
      </c>
      <c r="Q1430" s="57">
        <v>840</v>
      </c>
      <c r="R1430" s="62">
        <f>ТабПозиции[[#This Row],[totalSumm]]-ТабПозиции[[#This Row],[payment]]</f>
        <v>0</v>
      </c>
      <c r="S1430" s="34" t="s">
        <v>965</v>
      </c>
      <c r="T1430" s="56" t="s">
        <v>3061</v>
      </c>
      <c r="U1430" s="56" t="str">
        <f>IF(AND(ТабПозиции[[#This Row],[Остаток]]=0,ТабПозиции[[#This Row],[ord]]="true"),"true","false")</f>
        <v>true</v>
      </c>
      <c r="V1430" s="56" t="str">
        <f>IF(AND(ТабПозиции[[#This Row],[Остаток]]=0,ТабПозиции[[#This Row],[ord]]="true"),"true","false")</f>
        <v>true</v>
      </c>
      <c r="W1430" s="7"/>
      <c r="X1430"/>
    </row>
    <row r="1431" spans="1:24" x14ac:dyDescent="0.25">
      <c r="A1431" s="26">
        <v>380</v>
      </c>
      <c r="B1431" s="1">
        <f>IFERROR(VLOOKUP(ТабПозиции[[#This Row],[orderNum]],ТабЗаказы[#Data],MATCH(B$7,ТабЗаказы[#Headers],0),0),"")</f>
        <v>45634</v>
      </c>
      <c r="C1431" t="str">
        <f>MONTH(ТабПозиции[[#This Row],[date]])&amp;"/"&amp;YEAR(ТабПозиции[[#This Row],[date]])</f>
        <v>12/2024</v>
      </c>
      <c r="D1431" s="1" t="str">
        <f>IFERROR(VLOOKUP(ТабПозиции[[#This Row],[orderNum]],ТабЗаказы[#Data],MATCH(D$7,ТабЗаказы[#Headers],0),0),"")</f>
        <v>Юля Ларисына</v>
      </c>
      <c r="E1431" s="32" t="s">
        <v>1493</v>
      </c>
      <c r="F1431" s="56" t="s">
        <v>3061</v>
      </c>
      <c r="H1431" s="34">
        <v>45637</v>
      </c>
      <c r="I1431" s="26">
        <v>1</v>
      </c>
      <c r="J1431" s="26">
        <v>331</v>
      </c>
      <c r="K1431">
        <f>ТабПозиции[[#This Row],[discountPrice]]*ТабПозиции[[#This Row],[quantity]]</f>
        <v>331</v>
      </c>
      <c r="L1431" s="26">
        <v>349</v>
      </c>
      <c r="M1431">
        <f t="shared" si="27"/>
        <v>349</v>
      </c>
      <c r="O143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Row],[orderNum]],ТабПозиции[orderSumm])&gt;1500),ABS(M1431*VLOOKUP(ТабПозиции[[#This Row],[orderNum]],ТабЗаказы[#Data],MATCH("Percent",ТабЗаказы[#Headers],0),0))/100,200/COUNTIF(ТабПозиции[orderNum],ТабПозиции[[#This Row],[orderNum]])),0),"")</f>
        <v>52</v>
      </c>
      <c r="P1431">
        <f>IF(OR(ТабПозиции[[#This Row],[item]]="По штрихкоду",ТабПозиции[[#This Row],[item]]="Посылка"),ТабПозиции[[#This Row],[deliverySumm]]+ТабПозиции[[#This Row],[deliveryPost]],SUM(M1431:O1431))</f>
        <v>401</v>
      </c>
      <c r="Q1431" s="57">
        <v>401</v>
      </c>
      <c r="R1431" s="62">
        <f>ТабПозиции[[#This Row],[totalSumm]]-ТабПозиции[[#This Row],[payment]]</f>
        <v>0</v>
      </c>
      <c r="S1431" s="34" t="s">
        <v>965</v>
      </c>
      <c r="T1431" s="56" t="s">
        <v>3061</v>
      </c>
      <c r="U1431" s="56" t="str">
        <f>IF(AND(ТабПозиции[[#This Row],[Остаток]]=0,ТабПозиции[[#This Row],[ord]]="true"),"true","false")</f>
        <v>true</v>
      </c>
      <c r="V1431" s="56" t="str">
        <f>IF(AND(ТабПозиции[[#This Row],[Остаток]]=0,ТабПозиции[[#This Row],[ord]]="true"),"true","false")</f>
        <v>true</v>
      </c>
      <c r="W1431" s="7"/>
      <c r="X1431"/>
    </row>
    <row r="1432" spans="1:24" x14ac:dyDescent="0.25">
      <c r="A1432" s="26">
        <v>380</v>
      </c>
      <c r="B1432" s="1">
        <f>IFERROR(VLOOKUP(ТабПозиции[[#This Row],[orderNum]],ТабЗаказы[#Data],MATCH(B$7,ТабЗаказы[#Headers],0),0),"")</f>
        <v>45634</v>
      </c>
      <c r="C1432" t="str">
        <f>MONTH(ТабПозиции[[#This Row],[date]])&amp;"/"&amp;YEAR(ТабПозиции[[#This Row],[date]])</f>
        <v>12/2024</v>
      </c>
      <c r="D1432" s="1" t="str">
        <f>IFERROR(VLOOKUP(ТабПозиции[[#This Row],[orderNum]],ТабЗаказы[#Data],MATCH(D$7,ТабЗаказы[#Headers],0),0),"")</f>
        <v>Юля Ларисына</v>
      </c>
      <c r="E1432" s="32" t="s">
        <v>2068</v>
      </c>
      <c r="F1432" s="56" t="s">
        <v>3061</v>
      </c>
      <c r="H1432" s="34">
        <v>45636</v>
      </c>
      <c r="I1432" s="26">
        <v>1</v>
      </c>
      <c r="J1432" s="26">
        <v>128</v>
      </c>
      <c r="K1432">
        <f>ТабПозиции[[#This Row],[discountPrice]]*ТабПозиции[[#This Row],[quantity]]</f>
        <v>128</v>
      </c>
      <c r="L1432" s="26">
        <v>135</v>
      </c>
      <c r="M1432">
        <f t="shared" si="27"/>
        <v>135</v>
      </c>
      <c r="O143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Row],[orderNum]],ТабПозиции[orderSumm])&gt;1500),ABS(M1432*VLOOKUP(ТабПозиции[[#This Row],[orderNum]],ТабЗаказы[#Data],MATCH("Percent",ТабЗаказы[#Headers],0),0))/100,200/COUNTIF(ТабПозиции[orderNum],ТабПозиции[[#This Row],[orderNum]])),0),"")</f>
        <v>20</v>
      </c>
      <c r="P1432">
        <f>IF(OR(ТабПозиции[[#This Row],[item]]="По штрихкоду",ТабПозиции[[#This Row],[item]]="Посылка"),ТабПозиции[[#This Row],[deliverySumm]]+ТабПозиции[[#This Row],[deliveryPost]],SUM(M1432:O1432))</f>
        <v>155</v>
      </c>
      <c r="Q1432" s="57">
        <v>155</v>
      </c>
      <c r="R1432" s="62">
        <f>ТабПозиции[[#This Row],[totalSumm]]-ТабПозиции[[#This Row],[payment]]</f>
        <v>0</v>
      </c>
      <c r="S1432" s="34" t="s">
        <v>965</v>
      </c>
      <c r="T1432" s="56" t="s">
        <v>3061</v>
      </c>
      <c r="U1432" s="56" t="str">
        <f>IF(AND(ТабПозиции[[#This Row],[Остаток]]=0,ТабПозиции[[#This Row],[ord]]="true"),"true","false")</f>
        <v>true</v>
      </c>
      <c r="V1432" s="56" t="str">
        <f>IF(AND(ТабПозиции[[#This Row],[Остаток]]=0,ТабПозиции[[#This Row],[ord]]="true"),"true","false")</f>
        <v>true</v>
      </c>
      <c r="W1432" s="7"/>
      <c r="X1432"/>
    </row>
    <row r="1433" spans="1:24" x14ac:dyDescent="0.25">
      <c r="A1433" s="26">
        <v>380</v>
      </c>
      <c r="B1433" s="1">
        <f>IFERROR(VLOOKUP(ТабПозиции[[#This Row],[orderNum]],ТабЗаказы[#Data],MATCH(B$7,ТабЗаказы[#Headers],0),0),"")</f>
        <v>45634</v>
      </c>
      <c r="C1433" t="str">
        <f>MONTH(ТабПозиции[[#This Row],[date]])&amp;"/"&amp;YEAR(ТабПозиции[[#This Row],[date]])</f>
        <v>12/2024</v>
      </c>
      <c r="D1433" s="1" t="str">
        <f>IFERROR(VLOOKUP(ТабПозиции[[#This Row],[orderNum]],ТабЗаказы[#Data],MATCH(D$7,ТабЗаказы[#Headers],0),0),"")</f>
        <v>Юля Ларисына</v>
      </c>
      <c r="E1433" s="32" t="s">
        <v>634</v>
      </c>
      <c r="F1433" s="56" t="s">
        <v>3061</v>
      </c>
      <c r="H1433" s="34">
        <v>45637</v>
      </c>
      <c r="I1433" s="26">
        <v>1</v>
      </c>
      <c r="J1433" s="26">
        <v>435</v>
      </c>
      <c r="K1433">
        <f>ТабПозиции[[#This Row],[discountPrice]]*ТабПозиции[[#This Row],[quantity]]</f>
        <v>435</v>
      </c>
      <c r="L1433" s="26">
        <v>458</v>
      </c>
      <c r="M1433">
        <f t="shared" si="27"/>
        <v>458</v>
      </c>
      <c r="O143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Row],[orderNum]],ТабПозиции[orderSumm])&gt;1500),ABS(M1433*VLOOKUP(ТабПозиции[[#This Row],[orderNum]],ТабЗаказы[#Data],MATCH("Percent",ТабЗаказы[#Headers],0),0))/100,200/COUNTIF(ТабПозиции[orderNum],ТабПозиции[[#This Row],[orderNum]])),0),"")</f>
        <v>69</v>
      </c>
      <c r="P1433">
        <f>IF(OR(ТабПозиции[[#This Row],[item]]="По штрихкоду",ТабПозиции[[#This Row],[item]]="Посылка"),ТабПозиции[[#This Row],[deliverySumm]]+ТабПозиции[[#This Row],[deliveryPost]],SUM(M1433:O1433))</f>
        <v>527</v>
      </c>
      <c r="Q1433" s="57">
        <v>527</v>
      </c>
      <c r="R1433" s="62">
        <f>ТабПозиции[[#This Row],[totalSumm]]-ТабПозиции[[#This Row],[payment]]</f>
        <v>0</v>
      </c>
      <c r="S1433" s="34" t="s">
        <v>965</v>
      </c>
      <c r="T1433" s="56" t="s">
        <v>3061</v>
      </c>
      <c r="U1433" s="56" t="str">
        <f>IF(AND(ТабПозиции[[#This Row],[Остаток]]=0,ТабПозиции[[#This Row],[ord]]="true"),"true","false")</f>
        <v>true</v>
      </c>
      <c r="V1433" s="56" t="str">
        <f>IF(AND(ТабПозиции[[#This Row],[Остаток]]=0,ТабПозиции[[#This Row],[ord]]="true"),"true","false")</f>
        <v>true</v>
      </c>
      <c r="W1433" s="7"/>
      <c r="X1433"/>
    </row>
    <row r="1434" spans="1:24" x14ac:dyDescent="0.25">
      <c r="A1434" s="26">
        <v>380</v>
      </c>
      <c r="B1434" s="1">
        <f>IFERROR(VLOOKUP(ТабПозиции[[#This Row],[orderNum]],ТабЗаказы[#Data],MATCH(B$7,ТабЗаказы[#Headers],0),0),"")</f>
        <v>45634</v>
      </c>
      <c r="C1434" t="str">
        <f>MONTH(ТабПозиции[[#This Row],[date]])&amp;"/"&amp;YEAR(ТабПозиции[[#This Row],[date]])</f>
        <v>12/2024</v>
      </c>
      <c r="D1434" s="1" t="str">
        <f>IFERROR(VLOOKUP(ТабПозиции[[#This Row],[orderNum]],ТабЗаказы[#Data],MATCH(D$7,ТабЗаказы[#Headers],0),0),"")</f>
        <v>Юля Ларисына</v>
      </c>
      <c r="E1434" s="32" t="s">
        <v>2069</v>
      </c>
      <c r="F1434" s="56" t="s">
        <v>3061</v>
      </c>
      <c r="H1434" s="34">
        <v>45638</v>
      </c>
      <c r="I1434" s="26">
        <v>1</v>
      </c>
      <c r="J1434" s="26">
        <v>191</v>
      </c>
      <c r="K1434">
        <f>ТабПозиции[[#This Row],[discountPrice]]*ТабПозиции[[#This Row],[quantity]]</f>
        <v>191</v>
      </c>
      <c r="L1434" s="26">
        <v>202</v>
      </c>
      <c r="M1434">
        <f t="shared" si="27"/>
        <v>202</v>
      </c>
      <c r="O143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Row],[orderNum]],ТабПозиции[orderSumm])&gt;1500),ABS(M1434*VLOOKUP(ТабПозиции[[#This Row],[orderNum]],ТабЗаказы[#Data],MATCH("Percent",ТабЗаказы[#Headers],0),0))/100,200/COUNTIF(ТабПозиции[orderNum],ТабПозиции[[#This Row],[orderNum]])),0),"")</f>
        <v>30</v>
      </c>
      <c r="P1434">
        <f>IF(OR(ТабПозиции[[#This Row],[item]]="По штрихкоду",ТабПозиции[[#This Row],[item]]="Посылка"),ТабПозиции[[#This Row],[deliverySumm]]+ТабПозиции[[#This Row],[deliveryPost]],SUM(M1434:O1434))</f>
        <v>232</v>
      </c>
      <c r="Q1434" s="57">
        <v>232</v>
      </c>
      <c r="R1434" s="62">
        <f>ТабПозиции[[#This Row],[totalSumm]]-ТабПозиции[[#This Row],[payment]]</f>
        <v>0</v>
      </c>
      <c r="S1434" s="34" t="s">
        <v>965</v>
      </c>
      <c r="T1434" s="56" t="s">
        <v>3061</v>
      </c>
      <c r="U1434" s="56" t="str">
        <f>IF(AND(ТабПозиции[[#This Row],[Остаток]]=0,ТабПозиции[[#This Row],[ord]]="true"),"true","false")</f>
        <v>true</v>
      </c>
      <c r="V1434" s="56" t="str">
        <f>IF(AND(ТабПозиции[[#This Row],[Остаток]]=0,ТабПозиции[[#This Row],[ord]]="true"),"true","false")</f>
        <v>true</v>
      </c>
      <c r="W1434" s="7"/>
      <c r="X1434"/>
    </row>
    <row r="1435" spans="1:24" x14ac:dyDescent="0.25">
      <c r="A1435" s="26">
        <v>380</v>
      </c>
      <c r="B1435" s="1">
        <f>IFERROR(VLOOKUP(ТабПозиции[[#This Row],[orderNum]],ТабЗаказы[#Data],MATCH(B$7,ТабЗаказы[#Headers],0),0),"")</f>
        <v>45634</v>
      </c>
      <c r="C1435" t="str">
        <f>MONTH(ТабПозиции[[#This Row],[date]])&amp;"/"&amp;YEAR(ТабПозиции[[#This Row],[date]])</f>
        <v>12/2024</v>
      </c>
      <c r="D1435" s="1" t="str">
        <f>IFERROR(VLOOKUP(ТабПозиции[[#This Row],[orderNum]],ТабЗаказы[#Data],MATCH(D$7,ТабЗаказы[#Headers],0),0),"")</f>
        <v>Юля Ларисына</v>
      </c>
      <c r="E1435" s="32" t="s">
        <v>2070</v>
      </c>
      <c r="F1435" s="56" t="s">
        <v>3061</v>
      </c>
      <c r="H1435" s="34">
        <v>45646</v>
      </c>
      <c r="I1435" s="26">
        <v>1</v>
      </c>
      <c r="J1435" s="26">
        <v>342</v>
      </c>
      <c r="K1435">
        <f>ТабПозиции[[#This Row],[discountPrice]]*ТабПозиции[[#This Row],[quantity]]</f>
        <v>342</v>
      </c>
      <c r="L1435" s="26">
        <v>360</v>
      </c>
      <c r="M1435">
        <f t="shared" si="27"/>
        <v>360</v>
      </c>
      <c r="O143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Row],[orderNum]],ТабПозиции[orderSumm])&gt;1500),ABS(M1435*VLOOKUP(ТабПозиции[[#This Row],[orderNum]],ТабЗаказы[#Data],MATCH("Percent",ТабЗаказы[#Headers],0),0))/100,200/COUNTIF(ТабПозиции[orderNum],ТабПозиции[[#This Row],[orderNum]])),0),"")</f>
        <v>54</v>
      </c>
      <c r="P1435">
        <f>IF(OR(ТабПозиции[[#This Row],[item]]="По штрихкоду",ТабПозиции[[#This Row],[item]]="Посылка"),ТабПозиции[[#This Row],[deliverySumm]]+ТабПозиции[[#This Row],[deliveryPost]],SUM(M1435:O1435))</f>
        <v>414</v>
      </c>
      <c r="Q1435" s="57">
        <v>414</v>
      </c>
      <c r="R1435" s="62">
        <f>ТабПозиции[[#This Row],[totalSumm]]-ТабПозиции[[#This Row],[payment]]</f>
        <v>0</v>
      </c>
      <c r="S1435" s="34" t="s">
        <v>965</v>
      </c>
      <c r="T1435" s="56" t="s">
        <v>3061</v>
      </c>
      <c r="U1435" s="56" t="str">
        <f>IF(AND(ТабПозиции[[#This Row],[Остаток]]=0,ТабПозиции[[#This Row],[ord]]="true"),"true","false")</f>
        <v>true</v>
      </c>
      <c r="V1435" s="56" t="s">
        <v>3061</v>
      </c>
      <c r="W1435" s="7"/>
      <c r="X1435"/>
    </row>
    <row r="1436" spans="1:24" x14ac:dyDescent="0.25">
      <c r="A1436" s="26">
        <v>380</v>
      </c>
      <c r="B1436" s="1">
        <f>IFERROR(VLOOKUP(ТабПозиции[[#This Row],[orderNum]],ТабЗаказы[#Data],MATCH(B$7,ТабЗаказы[#Headers],0),0),"")</f>
        <v>45634</v>
      </c>
      <c r="C1436" t="str">
        <f>MONTH(ТабПозиции[[#This Row],[date]])&amp;"/"&amp;YEAR(ТабПозиции[[#This Row],[date]])</f>
        <v>12/2024</v>
      </c>
      <c r="D1436" s="1" t="str">
        <f>IFERROR(VLOOKUP(ТабПозиции[[#This Row],[orderNum]],ТабЗаказы[#Data],MATCH(D$7,ТабЗаказы[#Headers],0),0),"")</f>
        <v>Юля Ларисына</v>
      </c>
      <c r="E1436" s="32" t="s">
        <v>2071</v>
      </c>
      <c r="F1436" s="56" t="s">
        <v>3061</v>
      </c>
      <c r="H1436" s="34">
        <v>45639</v>
      </c>
      <c r="I1436" s="26">
        <v>1</v>
      </c>
      <c r="J1436" s="26">
        <v>288</v>
      </c>
      <c r="K1436">
        <f>ТабПозиции[[#This Row],[discountPrice]]*ТабПозиции[[#This Row],[quantity]]</f>
        <v>288</v>
      </c>
      <c r="L1436" s="26">
        <v>304</v>
      </c>
      <c r="M1436">
        <f t="shared" si="27"/>
        <v>304</v>
      </c>
      <c r="O143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Row],[orderNum]],ТабПозиции[orderSumm])&gt;1500),ABS(M1436*VLOOKUP(ТабПозиции[[#This Row],[orderNum]],ТабЗаказы[#Data],MATCH("Percent",ТабЗаказы[#Headers],0),0))/100,200/COUNTIF(ТабПозиции[orderNum],ТабПозиции[[#This Row],[orderNum]])),0),"")</f>
        <v>46</v>
      </c>
      <c r="P1436">
        <f>IF(OR(ТабПозиции[[#This Row],[item]]="По штрихкоду",ТабПозиции[[#This Row],[item]]="Посылка"),ТабПозиции[[#This Row],[deliverySumm]]+ТабПозиции[[#This Row],[deliveryPost]],SUM(M1436:O1436))</f>
        <v>350</v>
      </c>
      <c r="Q1436" s="57">
        <v>350</v>
      </c>
      <c r="R1436" s="62">
        <f>ТабПозиции[[#This Row],[totalSumm]]-ТабПозиции[[#This Row],[payment]]</f>
        <v>0</v>
      </c>
      <c r="S1436" s="34" t="s">
        <v>965</v>
      </c>
      <c r="T1436" s="56" t="s">
        <v>3061</v>
      </c>
      <c r="U1436" s="56" t="str">
        <f>IF(AND(ТабПозиции[[#This Row],[Остаток]]=0,ТабПозиции[[#This Row],[ord]]="true"),"true","false")</f>
        <v>true</v>
      </c>
      <c r="V1436" s="56" t="s">
        <v>3061</v>
      </c>
      <c r="W1436" s="7"/>
      <c r="X1436"/>
    </row>
    <row r="1437" spans="1:24" x14ac:dyDescent="0.25">
      <c r="A1437" s="26">
        <v>380</v>
      </c>
      <c r="B1437" s="1">
        <f>IFERROR(VLOOKUP(ТабПозиции[[#This Row],[orderNum]],ТабЗаказы[#Data],MATCH(B$7,ТабЗаказы[#Headers],0),0),"")</f>
        <v>45634</v>
      </c>
      <c r="C1437" t="str">
        <f>MONTH(ТабПозиции[[#This Row],[date]])&amp;"/"&amp;YEAR(ТабПозиции[[#This Row],[date]])</f>
        <v>12/2024</v>
      </c>
      <c r="D1437" s="1" t="str">
        <f>IFERROR(VLOOKUP(ТабПозиции[[#This Row],[orderNum]],ТабЗаказы[#Data],MATCH(D$7,ТабЗаказы[#Headers],0),0),"")</f>
        <v>Юля Ларисына</v>
      </c>
      <c r="E1437" s="32" t="s">
        <v>2072</v>
      </c>
      <c r="F1437" s="56" t="s">
        <v>3061</v>
      </c>
      <c r="H1437" s="34">
        <v>45636</v>
      </c>
      <c r="I1437" s="26">
        <v>1</v>
      </c>
      <c r="J1437" s="26">
        <v>634</v>
      </c>
      <c r="K1437">
        <f>ТабПозиции[[#This Row],[discountPrice]]*ТабПозиции[[#This Row],[quantity]]</f>
        <v>634</v>
      </c>
      <c r="L1437" s="26">
        <v>668</v>
      </c>
      <c r="M1437">
        <f t="shared" si="27"/>
        <v>668</v>
      </c>
      <c r="O143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Row],[orderNum]],ТабПозиции[orderSumm])&gt;1500),ABS(M1437*VLOOKUP(ТабПозиции[[#This Row],[orderNum]],ТабЗаказы[#Data],MATCH("Percent",ТабЗаказы[#Headers],0),0))/100,200/COUNTIF(ТабПозиции[orderNum],ТабПозиции[[#This Row],[orderNum]])),0),"")</f>
        <v>100</v>
      </c>
      <c r="P1437">
        <f>IF(OR(ТабПозиции[[#This Row],[item]]="По штрихкоду",ТабПозиции[[#This Row],[item]]="Посылка"),ТабПозиции[[#This Row],[deliverySumm]]+ТабПозиции[[#This Row],[deliveryPost]],SUM(M1437:O1437))</f>
        <v>768</v>
      </c>
      <c r="Q1437" s="57">
        <v>768</v>
      </c>
      <c r="R1437" s="62">
        <f>ТабПозиции[[#This Row],[totalSumm]]-ТабПозиции[[#This Row],[payment]]</f>
        <v>0</v>
      </c>
      <c r="S1437" s="34" t="s">
        <v>965</v>
      </c>
      <c r="T1437" s="56" t="s">
        <v>3061</v>
      </c>
      <c r="U1437" s="56" t="str">
        <f>IF(AND(ТабПозиции[[#This Row],[Остаток]]=0,ТабПозиции[[#This Row],[ord]]="true"),"true","false")</f>
        <v>true</v>
      </c>
      <c r="V1437" s="56" t="str">
        <f>IF(AND(ТабПозиции[[#This Row],[Остаток]]=0,ТабПозиции[[#This Row],[ord]]="true"),"true","false")</f>
        <v>true</v>
      </c>
      <c r="W1437" s="7"/>
      <c r="X1437"/>
    </row>
    <row r="1438" spans="1:24" x14ac:dyDescent="0.25">
      <c r="A1438" s="26">
        <v>379</v>
      </c>
      <c r="B1438" s="1">
        <f>IFERROR(VLOOKUP(ТабПозиции[[#This Row],[orderNum]],ТабЗаказы[#Data],MATCH(B$7,ТабЗаказы[#Headers],0),0),"")</f>
        <v>45632</v>
      </c>
      <c r="C1438" t="str">
        <f>MONTH(ТабПозиции[[#This Row],[date]])&amp;"/"&amp;YEAR(ТабПозиции[[#This Row],[date]])</f>
        <v>12/2024</v>
      </c>
      <c r="D1438" s="1" t="str">
        <f>IFERROR(VLOOKUP(ТабПозиции[[#This Row],[orderNum]],ТабЗаказы[#Data],MATCH(D$7,ТабЗаказы[#Headers],0),0),"")</f>
        <v>Светлана от Александра</v>
      </c>
      <c r="E1438" s="32" t="s">
        <v>2073</v>
      </c>
      <c r="F1438" s="56" t="s">
        <v>3061</v>
      </c>
      <c r="H1438" s="34">
        <v>45636</v>
      </c>
      <c r="I1438" s="26">
        <v>1</v>
      </c>
      <c r="J1438" s="26">
        <v>243</v>
      </c>
      <c r="K1438">
        <f>ТабПозиции[[#This Row],[discountPrice]]*ТабПозиции[[#This Row],[quantity]]</f>
        <v>243</v>
      </c>
      <c r="L1438" s="26">
        <v>256</v>
      </c>
      <c r="M1438">
        <f t="shared" si="27"/>
        <v>256</v>
      </c>
      <c r="O143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Row],[orderNum]],ТабПозиции[orderSumm])&gt;1500),ABS(M1438*VLOOKUP(ТабПозиции[[#This Row],[orderNum]],ТабЗаказы[#Data],MATCH("Percent",ТабЗаказы[#Headers],0),0))/100,200/COUNTIF(ТабПозиции[orderNum],ТабПозиции[[#This Row],[orderNum]])),0),"")</f>
        <v>38</v>
      </c>
      <c r="P1438">
        <f>IF(OR(ТабПозиции[[#This Row],[item]]="По штрихкоду",ТабПозиции[[#This Row],[item]]="Посылка"),ТабПозиции[[#This Row],[deliverySumm]]+ТабПозиции[[#This Row],[deliveryPost]],SUM(M1438:O1438))</f>
        <v>294</v>
      </c>
      <c r="Q1438" s="57">
        <v>294</v>
      </c>
      <c r="R1438" s="62">
        <f>ТабПозиции[[#This Row],[totalSumm]]-ТабПозиции[[#This Row],[payment]]</f>
        <v>0</v>
      </c>
      <c r="S1438" s="34" t="s">
        <v>965</v>
      </c>
      <c r="T1438" s="56" t="s">
        <v>3061</v>
      </c>
      <c r="U1438" s="56" t="str">
        <f>IF(AND(ТабПозиции[[#This Row],[Остаток]]=0,ТабПозиции[[#This Row],[ord]]="true"),"true","false")</f>
        <v>true</v>
      </c>
      <c r="V1438" s="56" t="str">
        <f>IF(AND(ТабПозиции[[#This Row],[Остаток]]=0,ТабПозиции[[#This Row],[ord]]="true"),"true","false")</f>
        <v>true</v>
      </c>
      <c r="W1438" s="7"/>
      <c r="X1438"/>
    </row>
    <row r="1439" spans="1:24" x14ac:dyDescent="0.25">
      <c r="A1439" s="26">
        <v>379</v>
      </c>
      <c r="B1439" s="1">
        <f>IFERROR(VLOOKUP(ТабПозиции[[#This Row],[orderNum]],ТабЗаказы[#Data],MATCH(B$7,ТабЗаказы[#Headers],0),0),"")</f>
        <v>45632</v>
      </c>
      <c r="C1439" t="str">
        <f>MONTH(ТабПозиции[[#This Row],[date]])&amp;"/"&amp;YEAR(ТабПозиции[[#This Row],[date]])</f>
        <v>12/2024</v>
      </c>
      <c r="D1439" s="1" t="str">
        <f>IFERROR(VLOOKUP(ТабПозиции[[#This Row],[orderNum]],ТабЗаказы[#Data],MATCH(D$7,ТабЗаказы[#Headers],0),0),"")</f>
        <v>Светлана от Александра</v>
      </c>
      <c r="E1439" s="32" t="s">
        <v>2074</v>
      </c>
      <c r="F1439" s="56" t="s">
        <v>3061</v>
      </c>
      <c r="H1439" s="34">
        <v>45639</v>
      </c>
      <c r="I1439" s="26">
        <v>1</v>
      </c>
      <c r="J1439" s="26">
        <v>188</v>
      </c>
      <c r="K1439">
        <f>ТабПозиции[[#This Row],[discountPrice]]*ТабПозиции[[#This Row],[quantity]]</f>
        <v>188</v>
      </c>
      <c r="L1439" s="26">
        <v>198</v>
      </c>
      <c r="M1439">
        <f t="shared" si="27"/>
        <v>198</v>
      </c>
      <c r="O143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Row],[orderNum]],ТабПозиции[orderSumm])&gt;1500),ABS(M1439*VLOOKUP(ТабПозиции[[#This Row],[orderNum]],ТабЗаказы[#Data],MATCH("Percent",ТабЗаказы[#Headers],0),0))/100,200/COUNTIF(ТабПозиции[orderNum],ТабПозиции[[#This Row],[orderNum]])),0),"")</f>
        <v>30</v>
      </c>
      <c r="P1439">
        <f>IF(OR(ТабПозиции[[#This Row],[item]]="По штрихкоду",ТабПозиции[[#This Row],[item]]="Посылка"),ТабПозиции[[#This Row],[deliverySumm]]+ТабПозиции[[#This Row],[deliveryPost]],SUM(M1439:O1439))</f>
        <v>228</v>
      </c>
      <c r="Q1439" s="57">
        <v>228</v>
      </c>
      <c r="R1439" s="62">
        <f>ТабПозиции[[#This Row],[totalSumm]]-ТабПозиции[[#This Row],[payment]]</f>
        <v>0</v>
      </c>
      <c r="S1439" s="34" t="s">
        <v>965</v>
      </c>
      <c r="T1439" s="56" t="s">
        <v>3061</v>
      </c>
      <c r="U1439" s="56" t="str">
        <f>IF(AND(ТабПозиции[[#This Row],[Остаток]]=0,ТабПозиции[[#This Row],[ord]]="true"),"true","false")</f>
        <v>true</v>
      </c>
      <c r="V1439" s="56" t="str">
        <f>IF(AND(ТабПозиции[[#This Row],[Остаток]]=0,ТабПозиции[[#This Row],[ord]]="true"),"true","false")</f>
        <v>true</v>
      </c>
      <c r="W1439" s="7"/>
      <c r="X1439"/>
    </row>
    <row r="1440" spans="1:24" x14ac:dyDescent="0.25">
      <c r="A1440" s="26">
        <v>381</v>
      </c>
      <c r="B1440" s="1">
        <f>IFERROR(VLOOKUP(ТабПозиции[[#This Row],[orderNum]],ТабЗаказы[#Data],MATCH(B$7,ТабЗаказы[#Headers],0),0),"")</f>
        <v>45634</v>
      </c>
      <c r="C1440" t="str">
        <f>MONTH(ТабПозиции[[#This Row],[date]])&amp;"/"&amp;YEAR(ТабПозиции[[#This Row],[date]])</f>
        <v>12/2024</v>
      </c>
      <c r="D1440" s="1" t="str">
        <f>IFERROR(VLOOKUP(ТабПозиции[[#This Row],[orderNum]],ТабЗаказы[#Data],MATCH(D$7,ТабЗаказы[#Headers],0),0),"")</f>
        <v>Руденко Юля</v>
      </c>
      <c r="E1440" s="32" t="s">
        <v>1667</v>
      </c>
      <c r="F1440" s="56" t="s">
        <v>3061</v>
      </c>
      <c r="H1440" s="34">
        <v>45636</v>
      </c>
      <c r="I1440" s="26">
        <v>1</v>
      </c>
      <c r="J1440" s="26">
        <v>433</v>
      </c>
      <c r="K1440">
        <f>ТабПозиции[[#This Row],[discountPrice]]*ТабПозиции[[#This Row],[quantity]]</f>
        <v>433</v>
      </c>
      <c r="L1440" s="26">
        <v>456</v>
      </c>
      <c r="M1440">
        <f t="shared" si="27"/>
        <v>456</v>
      </c>
      <c r="O144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Row],[orderNum]],ТабПозиции[orderSumm])&gt;1500),ABS(M1440*VLOOKUP(ТабПозиции[[#This Row],[orderNum]],ТабЗаказы[#Data],MATCH("Percent",ТабЗаказы[#Headers],0),0))/100,200/COUNTIF(ТабПозиции[orderNum],ТабПозиции[[#This Row],[orderNum]])),0),"")</f>
        <v>46</v>
      </c>
      <c r="P1440">
        <f>IF(OR(ТабПозиции[[#This Row],[item]]="По штрихкоду",ТабПозиции[[#This Row],[item]]="Посылка"),ТабПозиции[[#This Row],[deliverySumm]]+ТабПозиции[[#This Row],[deliveryPost]],SUM(M1440:O1440))</f>
        <v>502</v>
      </c>
      <c r="Q1440" s="57">
        <v>502</v>
      </c>
      <c r="R1440" s="62">
        <f>ТабПозиции[[#This Row],[totalSumm]]-ТабПозиции[[#This Row],[payment]]</f>
        <v>0</v>
      </c>
      <c r="S1440" s="34" t="s">
        <v>965</v>
      </c>
      <c r="T1440" s="56" t="s">
        <v>3061</v>
      </c>
      <c r="U1440" s="56" t="str">
        <f>IF(AND(ТабПозиции[[#This Row],[Остаток]]=0,ТабПозиции[[#This Row],[ord]]="true"),"true","false")</f>
        <v>true</v>
      </c>
      <c r="V1440" s="56" t="s">
        <v>3061</v>
      </c>
      <c r="W1440" s="7"/>
      <c r="X1440"/>
    </row>
    <row r="1441" spans="1:24" x14ac:dyDescent="0.25">
      <c r="A1441" s="26">
        <v>381</v>
      </c>
      <c r="B1441" s="1">
        <f>IFERROR(VLOOKUP(ТабПозиции[[#This Row],[orderNum]],ТабЗаказы[#Data],MATCH(B$7,ТабЗаказы[#Headers],0),0),"")</f>
        <v>45634</v>
      </c>
      <c r="C1441" t="str">
        <f>MONTH(ТабПозиции[[#This Row],[date]])&amp;"/"&amp;YEAR(ТабПозиции[[#This Row],[date]])</f>
        <v>12/2024</v>
      </c>
      <c r="D1441" s="1" t="str">
        <f>IFERROR(VLOOKUP(ТабПозиции[[#This Row],[orderNum]],ТабЗаказы[#Data],MATCH(D$7,ТабЗаказы[#Headers],0),0),"")</f>
        <v>Руденко Юля</v>
      </c>
      <c r="E1441" s="32" t="s">
        <v>1667</v>
      </c>
      <c r="F1441" s="56" t="s">
        <v>3061</v>
      </c>
      <c r="H1441" s="34">
        <v>45637</v>
      </c>
      <c r="I1441" s="26">
        <v>1</v>
      </c>
      <c r="J1441" s="26">
        <v>413</v>
      </c>
      <c r="K1441">
        <f>ТабПозиции[[#This Row],[discountPrice]]*ТабПозиции[[#This Row],[quantity]]</f>
        <v>413</v>
      </c>
      <c r="L1441" s="26">
        <v>435</v>
      </c>
      <c r="M1441">
        <f t="shared" si="27"/>
        <v>435</v>
      </c>
      <c r="O144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Row],[orderNum]],ТабПозиции[orderSumm])&gt;1500),ABS(M1441*VLOOKUP(ТабПозиции[[#This Row],[orderNum]],ТабЗаказы[#Data],MATCH("Percent",ТабЗаказы[#Headers],0),0))/100,200/COUNTIF(ТабПозиции[orderNum],ТабПозиции[[#This Row],[orderNum]])),0),"")</f>
        <v>44</v>
      </c>
      <c r="P1441">
        <f>IF(OR(ТабПозиции[[#This Row],[item]]="По штрихкоду",ТабПозиции[[#This Row],[item]]="Посылка"),ТабПозиции[[#This Row],[deliverySumm]]+ТабПозиции[[#This Row],[deliveryPost]],SUM(M1441:O1441))</f>
        <v>479</v>
      </c>
      <c r="Q1441" s="57">
        <v>479</v>
      </c>
      <c r="R1441" s="62">
        <f>ТабПозиции[[#This Row],[totalSumm]]-ТабПозиции[[#This Row],[payment]]</f>
        <v>0</v>
      </c>
      <c r="S1441" s="34" t="s">
        <v>965</v>
      </c>
      <c r="T1441" s="56" t="s">
        <v>3061</v>
      </c>
      <c r="U1441" s="56" t="str">
        <f>IF(AND(ТабПозиции[[#This Row],[Остаток]]=0,ТабПозиции[[#This Row],[ord]]="true"),"true","false")</f>
        <v>true</v>
      </c>
      <c r="V1441" s="56" t="s">
        <v>3061</v>
      </c>
      <c r="W1441" s="7"/>
      <c r="X1441"/>
    </row>
    <row r="1442" spans="1:24" x14ac:dyDescent="0.25">
      <c r="A1442" s="26">
        <v>381</v>
      </c>
      <c r="B1442" s="1">
        <f>IFERROR(VLOOKUP(ТабПозиции[[#This Row],[orderNum]],ТабЗаказы[#Data],MATCH(B$7,ТабЗаказы[#Headers],0),0),"")</f>
        <v>45634</v>
      </c>
      <c r="C1442" t="str">
        <f>MONTH(ТабПозиции[[#This Row],[date]])&amp;"/"&amp;YEAR(ТабПозиции[[#This Row],[date]])</f>
        <v>12/2024</v>
      </c>
      <c r="D1442" s="1" t="str">
        <f>IFERROR(VLOOKUP(ТабПозиции[[#This Row],[orderNum]],ТабЗаказы[#Data],MATCH(D$7,ТабЗаказы[#Headers],0),0),"")</f>
        <v>Руденко Юля</v>
      </c>
      <c r="E1442" s="32" t="s">
        <v>1667</v>
      </c>
      <c r="F1442" s="56" t="s">
        <v>3061</v>
      </c>
      <c r="H1442" s="34">
        <v>45637</v>
      </c>
      <c r="I1442" s="26">
        <v>1</v>
      </c>
      <c r="J1442" s="26">
        <v>413</v>
      </c>
      <c r="K1442">
        <f>ТабПозиции[[#This Row],[discountPrice]]*ТабПозиции[[#This Row],[quantity]]</f>
        <v>413</v>
      </c>
      <c r="L1442" s="26">
        <v>435</v>
      </c>
      <c r="M1442">
        <f t="shared" si="27"/>
        <v>435</v>
      </c>
      <c r="O144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Row],[orderNum]],ТабПозиции[orderSumm])&gt;1500),ABS(M1442*VLOOKUP(ТабПозиции[[#This Row],[orderNum]],ТабЗаказы[#Data],MATCH("Percent",ТабЗаказы[#Headers],0),0))/100,200/COUNTIF(ТабПозиции[orderNum],ТабПозиции[[#This Row],[orderNum]])),0),"")</f>
        <v>44</v>
      </c>
      <c r="P1442">
        <f>IF(OR(ТабПозиции[[#This Row],[item]]="По штрихкоду",ТабПозиции[[#This Row],[item]]="Посылка"),ТабПозиции[[#This Row],[deliverySumm]]+ТабПозиции[[#This Row],[deliveryPost]],SUM(M1442:O1442))</f>
        <v>479</v>
      </c>
      <c r="Q1442" s="57">
        <v>479</v>
      </c>
      <c r="R1442" s="62">
        <f>ТабПозиции[[#This Row],[totalSumm]]-ТабПозиции[[#This Row],[payment]]</f>
        <v>0</v>
      </c>
      <c r="S1442" s="34" t="s">
        <v>965</v>
      </c>
      <c r="T1442" s="56" t="s">
        <v>3061</v>
      </c>
      <c r="U1442" s="56" t="str">
        <f>IF(AND(ТабПозиции[[#This Row],[Остаток]]=0,ТабПозиции[[#This Row],[ord]]="true"),"true","false")</f>
        <v>true</v>
      </c>
      <c r="V1442" s="56" t="s">
        <v>3061</v>
      </c>
      <c r="W1442" s="7"/>
      <c r="X1442"/>
    </row>
    <row r="1443" spans="1:24" x14ac:dyDescent="0.25">
      <c r="A1443" s="26">
        <v>381</v>
      </c>
      <c r="B1443" s="1">
        <f>IFERROR(VLOOKUP(ТабПозиции[[#This Row],[orderNum]],ТабЗаказы[#Data],MATCH(B$7,ТабЗаказы[#Headers],0),0),"")</f>
        <v>45634</v>
      </c>
      <c r="C1443" t="str">
        <f>MONTH(ТабПозиции[[#This Row],[date]])&amp;"/"&amp;YEAR(ТабПозиции[[#This Row],[date]])</f>
        <v>12/2024</v>
      </c>
      <c r="D1443" s="1" t="str">
        <f>IFERROR(VLOOKUP(ТабПозиции[[#This Row],[orderNum]],ТабЗаказы[#Data],MATCH(D$7,ТабЗаказы[#Headers],0),0),"")</f>
        <v>Руденко Юля</v>
      </c>
      <c r="E1443" s="32" t="s">
        <v>1853</v>
      </c>
      <c r="F1443" s="56" t="s">
        <v>3061</v>
      </c>
      <c r="H1443" s="34">
        <v>45637</v>
      </c>
      <c r="I1443" s="26">
        <v>1</v>
      </c>
      <c r="J1443" s="26">
        <v>247</v>
      </c>
      <c r="K1443">
        <f>ТабПозиции[[#This Row],[discountPrice]]*ТабПозиции[[#This Row],[quantity]]</f>
        <v>247</v>
      </c>
      <c r="L1443" s="26">
        <v>261</v>
      </c>
      <c r="M1443">
        <f t="shared" si="27"/>
        <v>261</v>
      </c>
      <c r="O144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Row],[orderNum]],ТабПозиции[orderSumm])&gt;1500),ABS(M1443*VLOOKUP(ТабПозиции[[#This Row],[orderNum]],ТабЗаказы[#Data],MATCH("Percent",ТабЗаказы[#Headers],0),0))/100,200/COUNTIF(ТабПозиции[orderNum],ТабПозиции[[#This Row],[orderNum]])),0),"")</f>
        <v>26</v>
      </c>
      <c r="P1443">
        <f>IF(OR(ТабПозиции[[#This Row],[item]]="По штрихкоду",ТабПозиции[[#This Row],[item]]="Посылка"),ТабПозиции[[#This Row],[deliverySumm]]+ТабПозиции[[#This Row],[deliveryPost]],SUM(M1443:O1443))</f>
        <v>287</v>
      </c>
      <c r="Q1443" s="57">
        <v>287</v>
      </c>
      <c r="R1443" s="62">
        <f>ТабПозиции[[#This Row],[totalSumm]]-ТабПозиции[[#This Row],[payment]]</f>
        <v>0</v>
      </c>
      <c r="S1443" s="34" t="s">
        <v>965</v>
      </c>
      <c r="T1443" s="56" t="s">
        <v>3061</v>
      </c>
      <c r="U1443" s="56" t="str">
        <f>IF(AND(ТабПозиции[[#This Row],[Остаток]]=0,ТабПозиции[[#This Row],[ord]]="true"),"true","false")</f>
        <v>true</v>
      </c>
      <c r="V1443" s="56" t="s">
        <v>3061</v>
      </c>
      <c r="W1443" s="7"/>
      <c r="X1443"/>
    </row>
    <row r="1444" spans="1:24" x14ac:dyDescent="0.25">
      <c r="A1444" s="26">
        <v>381</v>
      </c>
      <c r="B1444" s="1">
        <f>IFERROR(VLOOKUP(ТабПозиции[[#This Row],[orderNum]],ТабЗаказы[#Data],MATCH(B$7,ТабЗаказы[#Headers],0),0),"")</f>
        <v>45634</v>
      </c>
      <c r="C1444" t="str">
        <f>MONTH(ТабПозиции[[#This Row],[date]])&amp;"/"&amp;YEAR(ТабПозиции[[#This Row],[date]])</f>
        <v>12/2024</v>
      </c>
      <c r="D1444" s="1" t="str">
        <f>IFERROR(VLOOKUP(ТабПозиции[[#This Row],[orderNum]],ТабЗаказы[#Data],MATCH(D$7,ТабЗаказы[#Headers],0),0),"")</f>
        <v>Руденко Юля</v>
      </c>
      <c r="E1444" s="32" t="s">
        <v>2075</v>
      </c>
      <c r="F1444" s="56" t="s">
        <v>3061</v>
      </c>
      <c r="H1444" s="34">
        <v>45636</v>
      </c>
      <c r="I1444" s="26">
        <v>1</v>
      </c>
      <c r="J1444" s="26">
        <v>458</v>
      </c>
      <c r="K1444">
        <f>ТабПозиции[[#This Row],[discountPrice]]*ТабПозиции[[#This Row],[quantity]]</f>
        <v>458</v>
      </c>
      <c r="L1444" s="26">
        <v>483</v>
      </c>
      <c r="M1444">
        <f t="shared" si="27"/>
        <v>483</v>
      </c>
      <c r="O144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Row],[orderNum]],ТабПозиции[orderSumm])&gt;1500),ABS(M1444*VLOOKUP(ТабПозиции[[#This Row],[orderNum]],ТабЗаказы[#Data],MATCH("Percent",ТабЗаказы[#Headers],0),0))/100,200/COUNTIF(ТабПозиции[orderNum],ТабПозиции[[#This Row],[orderNum]])),0),"")</f>
        <v>48</v>
      </c>
      <c r="P1444">
        <f>IF(OR(ТабПозиции[[#This Row],[item]]="По штрихкоду",ТабПозиции[[#This Row],[item]]="Посылка"),ТабПозиции[[#This Row],[deliverySumm]]+ТабПозиции[[#This Row],[deliveryPost]],SUM(M1444:O1444))</f>
        <v>531</v>
      </c>
      <c r="Q1444" s="57">
        <v>531</v>
      </c>
      <c r="R1444" s="62">
        <f>ТабПозиции[[#This Row],[totalSumm]]-ТабПозиции[[#This Row],[payment]]</f>
        <v>0</v>
      </c>
      <c r="S1444" s="34" t="s">
        <v>965</v>
      </c>
      <c r="T1444" s="56" t="s">
        <v>3061</v>
      </c>
      <c r="U1444" s="56" t="str">
        <f>IF(AND(ТабПозиции[[#This Row],[Остаток]]=0,ТабПозиции[[#This Row],[ord]]="true"),"true","false")</f>
        <v>true</v>
      </c>
      <c r="V1444" s="56" t="s">
        <v>3061</v>
      </c>
      <c r="W1444" s="7"/>
      <c r="X1444"/>
    </row>
    <row r="1445" spans="1:24" x14ac:dyDescent="0.25">
      <c r="A1445" s="26">
        <v>381</v>
      </c>
      <c r="B1445" s="1">
        <f>IFERROR(VLOOKUP(ТабПозиции[[#This Row],[orderNum]],ТабЗаказы[#Data],MATCH(B$7,ТабЗаказы[#Headers],0),0),"")</f>
        <v>45634</v>
      </c>
      <c r="C1445" t="str">
        <f>MONTH(ТабПозиции[[#This Row],[date]])&amp;"/"&amp;YEAR(ТабПозиции[[#This Row],[date]])</f>
        <v>12/2024</v>
      </c>
      <c r="D1445" s="1" t="str">
        <f>IFERROR(VLOOKUP(ТабПозиции[[#This Row],[orderNum]],ТабЗаказы[#Data],MATCH(D$7,ТабЗаказы[#Headers],0),0),"")</f>
        <v>Руденко Юля</v>
      </c>
      <c r="E1445" s="32" t="s">
        <v>1671</v>
      </c>
      <c r="F1445" s="56" t="s">
        <v>3061</v>
      </c>
      <c r="H1445" s="34">
        <v>45637</v>
      </c>
      <c r="I1445" s="26">
        <v>1</v>
      </c>
      <c r="J1445" s="26">
        <v>661</v>
      </c>
      <c r="K1445">
        <f>ТабПозиции[[#This Row],[discountPrice]]*ТабПозиции[[#This Row],[quantity]]</f>
        <v>661</v>
      </c>
      <c r="L1445" s="26">
        <v>696</v>
      </c>
      <c r="M1445">
        <f t="shared" si="27"/>
        <v>696</v>
      </c>
      <c r="O144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Row],[orderNum]],ТабПозиции[orderSumm])&gt;1500),ABS(M1445*VLOOKUP(ТабПозиции[[#This Row],[orderNum]],ТабЗаказы[#Data],MATCH("Percent",ТабЗаказы[#Headers],0),0))/100,200/COUNTIF(ТабПозиции[orderNum],ТабПозиции[[#This Row],[orderNum]])),0),"")</f>
        <v>70</v>
      </c>
      <c r="P1445">
        <f>IF(OR(ТабПозиции[[#This Row],[item]]="По штрихкоду",ТабПозиции[[#This Row],[item]]="Посылка"),ТабПозиции[[#This Row],[deliverySumm]]+ТабПозиции[[#This Row],[deliveryPost]],SUM(M1445:O1445))</f>
        <v>766</v>
      </c>
      <c r="Q1445" s="57">
        <v>766</v>
      </c>
      <c r="R1445" s="62">
        <f>ТабПозиции[[#This Row],[totalSumm]]-ТабПозиции[[#This Row],[payment]]</f>
        <v>0</v>
      </c>
      <c r="S1445" s="34" t="s">
        <v>965</v>
      </c>
      <c r="T1445" s="56" t="s">
        <v>3061</v>
      </c>
      <c r="U1445" s="56" t="str">
        <f>IF(AND(ТабПозиции[[#This Row],[Остаток]]=0,ТабПозиции[[#This Row],[ord]]="true"),"true","false")</f>
        <v>true</v>
      </c>
      <c r="V1445" s="56" t="s">
        <v>3061</v>
      </c>
      <c r="W1445" s="7"/>
      <c r="X1445"/>
    </row>
    <row r="1446" spans="1:24" x14ac:dyDescent="0.25">
      <c r="A1446" s="26">
        <v>382</v>
      </c>
      <c r="B1446" s="1">
        <f>IFERROR(VLOOKUP(ТабПозиции[[#This Row],[orderNum]],ТабЗаказы[#Data],MATCH(B$7,ТабЗаказы[#Headers],0),0),"")</f>
        <v>45635</v>
      </c>
      <c r="C1446" t="str">
        <f>MONTH(ТабПозиции[[#This Row],[date]])&amp;"/"&amp;YEAR(ТабПозиции[[#This Row],[date]])</f>
        <v>12/2024</v>
      </c>
      <c r="D1446" s="1" t="str">
        <f>IFERROR(VLOOKUP(ТабПозиции[[#This Row],[orderNum]],ТабЗаказы[#Data],MATCH(D$7,ТабЗаказы[#Headers],0),0),"")</f>
        <v>Галина Агабекова(церковь)</v>
      </c>
      <c r="E1446" s="32" t="s">
        <v>2076</v>
      </c>
      <c r="F1446" s="56" t="s">
        <v>3061</v>
      </c>
      <c r="H1446" s="34">
        <v>45638</v>
      </c>
      <c r="I1446" s="26">
        <v>1</v>
      </c>
      <c r="J1446" s="26">
        <v>767</v>
      </c>
      <c r="K1446">
        <f>ТабПозиции[[#This Row],[discountPrice]]*ТабПозиции[[#This Row],[quantity]]</f>
        <v>767</v>
      </c>
      <c r="L1446" s="26">
        <v>828</v>
      </c>
      <c r="M1446">
        <f t="shared" si="27"/>
        <v>828</v>
      </c>
      <c r="O144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Row],[orderNum]],ТабПозиции[orderSumm])&gt;1500),ABS(M1446*VLOOKUP(ТабПозиции[[#This Row],[orderNum]],ТабЗаказы[#Data],MATCH("Percent",ТабЗаказы[#Headers],0),0))/100,200/COUNTIF(ТабПозиции[orderNum],ТабПозиции[[#This Row],[orderNum]])),0),"")</f>
        <v>83</v>
      </c>
      <c r="P1446">
        <f>IF(OR(ТабПозиции[[#This Row],[item]]="По штрихкоду",ТабПозиции[[#This Row],[item]]="Посылка"),ТабПозиции[[#This Row],[deliverySumm]]+ТабПозиции[[#This Row],[deliveryPost]],SUM(M1446:O1446))</f>
        <v>911</v>
      </c>
      <c r="Q1446" s="57">
        <v>911</v>
      </c>
      <c r="R1446" s="62">
        <f>ТабПозиции[[#This Row],[totalSumm]]-ТабПозиции[[#This Row],[payment]]</f>
        <v>0</v>
      </c>
      <c r="S1446" s="34" t="s">
        <v>955</v>
      </c>
      <c r="T1446" s="56" t="s">
        <v>3061</v>
      </c>
      <c r="U1446" s="56" t="str">
        <f>IF(AND(ТабПозиции[[#This Row],[Остаток]]=0,ТабПозиции[[#This Row],[ord]]="true"),"true","false")</f>
        <v>true</v>
      </c>
      <c r="V1446" s="56" t="str">
        <f>IF(AND(ТабПозиции[[#This Row],[Остаток]]=0,ТабПозиции[[#This Row],[ord]]="true"),"true","false")</f>
        <v>true</v>
      </c>
      <c r="W1446" s="7"/>
      <c r="X1446"/>
    </row>
    <row r="1447" spans="1:24" x14ac:dyDescent="0.25">
      <c r="A1447" s="26">
        <v>382</v>
      </c>
      <c r="B1447" s="1">
        <f>IFERROR(VLOOKUP(ТабПозиции[[#This Row],[orderNum]],ТабЗаказы[#Data],MATCH(B$7,ТабЗаказы[#Headers],0),0),"")</f>
        <v>45635</v>
      </c>
      <c r="C1447" t="str">
        <f>MONTH(ТабПозиции[[#This Row],[date]])&amp;"/"&amp;YEAR(ТабПозиции[[#This Row],[date]])</f>
        <v>12/2024</v>
      </c>
      <c r="D1447" s="1" t="str">
        <f>IFERROR(VLOOKUP(ТабПозиции[[#This Row],[orderNum]],ТабЗаказы[#Data],MATCH(D$7,ТабЗаказы[#Headers],0),0),"")</f>
        <v>Галина Агабекова(церковь)</v>
      </c>
      <c r="E1447" s="32" t="s">
        <v>1860</v>
      </c>
      <c r="F1447" s="56" t="s">
        <v>3061</v>
      </c>
      <c r="G1447" s="28" t="s">
        <v>2149</v>
      </c>
      <c r="H1447" s="34">
        <v>45293</v>
      </c>
      <c r="I1447" s="26">
        <v>4</v>
      </c>
      <c r="J1447" s="26">
        <v>726</v>
      </c>
      <c r="K1447">
        <f>ТабПозиции[[#This Row],[discountPrice]]*ТабПозиции[[#This Row],[quantity]]</f>
        <v>2904</v>
      </c>
      <c r="L1447" s="26">
        <v>738</v>
      </c>
      <c r="M1447">
        <f t="shared" si="27"/>
        <v>2952</v>
      </c>
      <c r="O144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Row],[orderNum]],ТабПозиции[orderSumm])&gt;1500),ABS(M1447*VLOOKUP(ТабПозиции[[#This Row],[orderNum]],ТабЗаказы[#Data],MATCH("Percent",ТабЗаказы[#Headers],0),0))/100,200/COUNTIF(ТабПозиции[orderNum],ТабПозиции[[#This Row],[orderNum]])),0),"")</f>
        <v>295</v>
      </c>
      <c r="P1447">
        <f>IF(OR(ТабПозиции[[#This Row],[item]]="По штрихкоду",ТабПозиции[[#This Row],[item]]="Посылка"),ТабПозиции[[#This Row],[deliverySumm]]+ТабПозиции[[#This Row],[deliveryPost]],SUM(M1447:O1447))</f>
        <v>3247</v>
      </c>
      <c r="Q1447" s="57">
        <v>3247</v>
      </c>
      <c r="R1447" s="62">
        <f>ТабПозиции[[#This Row],[totalSumm]]-ТабПозиции[[#This Row],[payment]]</f>
        <v>0</v>
      </c>
      <c r="S1447" s="34" t="s">
        <v>955</v>
      </c>
      <c r="T1447" s="56" t="s">
        <v>3061</v>
      </c>
      <c r="U1447" s="56" t="str">
        <f>IF(AND(ТабПозиции[[#This Row],[Остаток]]=0,ТабПозиции[[#This Row],[ord]]="true"),"true","false")</f>
        <v>true</v>
      </c>
      <c r="V1447" s="56" t="str">
        <f>IF(AND(ТабПозиции[[#This Row],[Остаток]]=0,ТабПозиции[[#This Row],[ord]]="true"),"true","false")</f>
        <v>true</v>
      </c>
      <c r="W1447" s="7"/>
      <c r="X1447"/>
    </row>
    <row r="1448" spans="1:24" x14ac:dyDescent="0.25">
      <c r="A1448" s="26">
        <v>382</v>
      </c>
      <c r="B1448" s="1">
        <f>IFERROR(VLOOKUP(ТабПозиции[[#This Row],[orderNum]],ТабЗаказы[#Data],MATCH(B$7,ТабЗаказы[#Headers],0),0),"")</f>
        <v>45635</v>
      </c>
      <c r="C1448" t="str">
        <f>MONTH(ТабПозиции[[#This Row],[date]])&amp;"/"&amp;YEAR(ТабПозиции[[#This Row],[date]])</f>
        <v>12/2024</v>
      </c>
      <c r="D1448" s="1" t="str">
        <f>IFERROR(VLOOKUP(ТабПозиции[[#This Row],[orderNum]],ТабЗаказы[#Data],MATCH(D$7,ТабЗаказы[#Headers],0),0),"")</f>
        <v>Галина Агабекова(церковь)</v>
      </c>
      <c r="E1448" s="32" t="s">
        <v>2077</v>
      </c>
      <c r="F1448" s="56" t="s">
        <v>3061</v>
      </c>
      <c r="H1448" s="34">
        <v>45636</v>
      </c>
      <c r="I1448" s="26">
        <v>1</v>
      </c>
      <c r="J1448" s="26">
        <v>558</v>
      </c>
      <c r="K1448">
        <f>ТабПозиции[[#This Row],[discountPrice]]*ТабПозиции[[#This Row],[quantity]]</f>
        <v>558</v>
      </c>
      <c r="L1448" s="26">
        <v>616</v>
      </c>
      <c r="M1448">
        <f t="shared" si="27"/>
        <v>616</v>
      </c>
      <c r="O144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Row],[orderNum]],ТабПозиции[orderSumm])&gt;1500),ABS(M1448*VLOOKUP(ТабПозиции[[#This Row],[orderNum]],ТабЗаказы[#Data],MATCH("Percent",ТабЗаказы[#Headers],0),0))/100,200/COUNTIF(ТабПозиции[orderNum],ТабПозиции[[#This Row],[orderNum]])),0),"")</f>
        <v>62</v>
      </c>
      <c r="P1448">
        <f>IF(OR(ТабПозиции[[#This Row],[item]]="По штрихкоду",ТабПозиции[[#This Row],[item]]="Посылка"),ТабПозиции[[#This Row],[deliverySumm]]+ТабПозиции[[#This Row],[deliveryPost]],SUM(M1448:O1448))</f>
        <v>678</v>
      </c>
      <c r="Q1448" s="57">
        <v>678</v>
      </c>
      <c r="R1448" s="62">
        <f>ТабПозиции[[#This Row],[totalSumm]]-ТабПозиции[[#This Row],[payment]]</f>
        <v>0</v>
      </c>
      <c r="S1448" s="34" t="s">
        <v>955</v>
      </c>
      <c r="T1448" s="56" t="s">
        <v>3061</v>
      </c>
      <c r="U1448" s="56" t="str">
        <f>IF(AND(ТабПозиции[[#This Row],[Остаток]]=0,ТабПозиции[[#This Row],[ord]]="true"),"true","false")</f>
        <v>true</v>
      </c>
      <c r="V1448" s="56" t="str">
        <f>IF(AND(ТабПозиции[[#This Row],[Остаток]]=0,ТабПозиции[[#This Row],[ord]]="true"),"true","false")</f>
        <v>true</v>
      </c>
      <c r="W1448" s="7"/>
      <c r="X1448"/>
    </row>
    <row r="1449" spans="1:24" x14ac:dyDescent="0.25">
      <c r="A1449" s="26">
        <v>382</v>
      </c>
      <c r="B1449" s="1">
        <f>IFERROR(VLOOKUP(ТабПозиции[[#This Row],[orderNum]],ТабЗаказы[#Data],MATCH(B$7,ТабЗаказы[#Headers],0),0),"")</f>
        <v>45635</v>
      </c>
      <c r="C1449" t="str">
        <f>MONTH(ТабПозиции[[#This Row],[date]])&amp;"/"&amp;YEAR(ТабПозиции[[#This Row],[date]])</f>
        <v>12/2024</v>
      </c>
      <c r="D1449" s="1" t="str">
        <f>IFERROR(VLOOKUP(ТабПозиции[[#This Row],[orderNum]],ТабЗаказы[#Data],MATCH(D$7,ТабЗаказы[#Headers],0),0),"")</f>
        <v>Галина Агабекова(церковь)</v>
      </c>
      <c r="E1449" s="32" t="s">
        <v>2078</v>
      </c>
      <c r="F1449" s="56" t="s">
        <v>3061</v>
      </c>
      <c r="H1449" s="34">
        <v>45642</v>
      </c>
      <c r="I1449" s="26">
        <v>1</v>
      </c>
      <c r="J1449" s="26">
        <v>1366</v>
      </c>
      <c r="K1449">
        <f>ТабПозиции[[#This Row],[discountPrice]]*ТабПозиции[[#This Row],[quantity]]</f>
        <v>1366</v>
      </c>
      <c r="L1449" s="26">
        <v>1510</v>
      </c>
      <c r="M1449">
        <f t="shared" si="27"/>
        <v>1510</v>
      </c>
      <c r="O144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Row],[orderNum]],ТабПозиции[orderSumm])&gt;1500),ABS(M1449*VLOOKUP(ТабПозиции[[#This Row],[orderNum]],ТабЗаказы[#Data],MATCH("Percent",ТабЗаказы[#Headers],0),0))/100,200/COUNTIF(ТабПозиции[orderNum],ТабПозиции[[#This Row],[orderNum]])),0),"")</f>
        <v>151</v>
      </c>
      <c r="P1449">
        <f>IF(OR(ТабПозиции[[#This Row],[item]]="По штрихкоду",ТабПозиции[[#This Row],[item]]="Посылка"),ТабПозиции[[#This Row],[deliverySumm]]+ТабПозиции[[#This Row],[deliveryPost]],SUM(M1449:O1449))</f>
        <v>1661</v>
      </c>
      <c r="Q1449" s="57">
        <v>1661</v>
      </c>
      <c r="R1449" s="62">
        <f>ТабПозиции[[#This Row],[totalSumm]]-ТабПозиции[[#This Row],[payment]]</f>
        <v>0</v>
      </c>
      <c r="S1449" s="34" t="s">
        <v>955</v>
      </c>
      <c r="T1449" s="56" t="s">
        <v>3061</v>
      </c>
      <c r="U1449" s="56" t="str">
        <f>IF(AND(ТабПозиции[[#This Row],[Остаток]]=0,ТабПозиции[[#This Row],[ord]]="true"),"true","false")</f>
        <v>true</v>
      </c>
      <c r="V1449" s="56" t="s">
        <v>3061</v>
      </c>
      <c r="W1449" s="7"/>
      <c r="X1449"/>
    </row>
    <row r="1450" spans="1:24" x14ac:dyDescent="0.25">
      <c r="A1450" s="26">
        <v>382</v>
      </c>
      <c r="B1450" s="1">
        <f>IFERROR(VLOOKUP(ТабПозиции[[#This Row],[orderNum]],ТабЗаказы[#Data],MATCH(B$7,ТабЗаказы[#Headers],0),0),"")</f>
        <v>45635</v>
      </c>
      <c r="C1450" t="str">
        <f>MONTH(ТабПозиции[[#This Row],[date]])&amp;"/"&amp;YEAR(ТабПозиции[[#This Row],[date]])</f>
        <v>12/2024</v>
      </c>
      <c r="D1450" s="1" t="str">
        <f>IFERROR(VLOOKUP(ТабПозиции[[#This Row],[orderNum]],ТабЗаказы[#Data],MATCH(D$7,ТабЗаказы[#Headers],0),0),"")</f>
        <v>Галина Агабекова(церковь)</v>
      </c>
      <c r="E1450" s="32" t="s">
        <v>2079</v>
      </c>
      <c r="F1450" s="56" t="s">
        <v>3061</v>
      </c>
      <c r="H1450" s="34">
        <v>45640</v>
      </c>
      <c r="I1450" s="26">
        <v>2</v>
      </c>
      <c r="J1450" s="26">
        <v>993</v>
      </c>
      <c r="K1450">
        <f>ТабПозиции[[#This Row],[discountPrice]]*ТабПозиции[[#This Row],[quantity]]</f>
        <v>1986</v>
      </c>
      <c r="L1450" s="26">
        <v>1055</v>
      </c>
      <c r="M1450">
        <f t="shared" si="27"/>
        <v>2110</v>
      </c>
      <c r="O145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Row],[orderNum]],ТабПозиции[orderSumm])&gt;1500),ABS(M1450*VLOOKUP(ТабПозиции[[#This Row],[orderNum]],ТабЗаказы[#Data],MATCH("Percent",ТабЗаказы[#Headers],0),0))/100,200/COUNTIF(ТабПозиции[orderNum],ТабПозиции[[#This Row],[orderNum]])),0),"")</f>
        <v>211</v>
      </c>
      <c r="P1450">
        <f>IF(OR(ТабПозиции[[#This Row],[item]]="По штрихкоду",ТабПозиции[[#This Row],[item]]="Посылка"),ТабПозиции[[#This Row],[deliverySumm]]+ТабПозиции[[#This Row],[deliveryPost]],SUM(M1450:O1450))</f>
        <v>2321</v>
      </c>
      <c r="Q1450" s="57">
        <v>2321</v>
      </c>
      <c r="R1450" s="62">
        <f>ТабПозиции[[#This Row],[totalSumm]]-ТабПозиции[[#This Row],[payment]]</f>
        <v>0</v>
      </c>
      <c r="S1450" s="34" t="s">
        <v>955</v>
      </c>
      <c r="T1450" s="56" t="s">
        <v>3061</v>
      </c>
      <c r="U1450" s="56" t="str">
        <f>IF(AND(ТабПозиции[[#This Row],[Остаток]]=0,ТабПозиции[[#This Row],[ord]]="true"),"true","false")</f>
        <v>true</v>
      </c>
      <c r="V1450" s="56" t="s">
        <v>3061</v>
      </c>
      <c r="W1450" s="7"/>
      <c r="X1450"/>
    </row>
    <row r="1451" spans="1:24" x14ac:dyDescent="0.25">
      <c r="A1451" s="26">
        <v>382</v>
      </c>
      <c r="B1451" s="1">
        <f>IFERROR(VLOOKUP(ТабПозиции[[#This Row],[orderNum]],ТабЗаказы[#Data],MATCH(B$7,ТабЗаказы[#Headers],0),0),"")</f>
        <v>45635</v>
      </c>
      <c r="C1451" t="str">
        <f>MONTH(ТабПозиции[[#This Row],[date]])&amp;"/"&amp;YEAR(ТабПозиции[[#This Row],[date]])</f>
        <v>12/2024</v>
      </c>
      <c r="D1451" s="1" t="str">
        <f>IFERROR(VLOOKUP(ТабПозиции[[#This Row],[orderNum]],ТабЗаказы[#Data],MATCH(D$7,ТабЗаказы[#Headers],0),0),"")</f>
        <v>Галина Агабекова(церковь)</v>
      </c>
      <c r="E1451" s="32" t="s">
        <v>2080</v>
      </c>
      <c r="F1451" s="56" t="s">
        <v>3061</v>
      </c>
      <c r="H1451" s="34">
        <v>45641</v>
      </c>
      <c r="I1451" s="26">
        <v>1</v>
      </c>
      <c r="J1451" s="26">
        <v>1003</v>
      </c>
      <c r="K1451">
        <f>ТабПозиции[[#This Row],[discountPrice]]*ТабПозиции[[#This Row],[quantity]]</f>
        <v>1003</v>
      </c>
      <c r="L1451" s="26">
        <v>1130</v>
      </c>
      <c r="M1451">
        <f t="shared" si="27"/>
        <v>1130</v>
      </c>
      <c r="O145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Row],[orderNum]],ТабПозиции[orderSumm])&gt;1500),ABS(M1451*VLOOKUP(ТабПозиции[[#This Row],[orderNum]],ТабЗаказы[#Data],MATCH("Percent",ТабЗаказы[#Headers],0),0))/100,200/COUNTIF(ТабПозиции[orderNum],ТабПозиции[[#This Row],[orderNum]])),0),"")</f>
        <v>113</v>
      </c>
      <c r="P1451">
        <f>IF(OR(ТабПозиции[[#This Row],[item]]="По штрихкоду",ТабПозиции[[#This Row],[item]]="Посылка"),ТабПозиции[[#This Row],[deliverySumm]]+ТабПозиции[[#This Row],[deliveryPost]],SUM(M1451:O1451))</f>
        <v>1243</v>
      </c>
      <c r="Q1451" s="57">
        <v>1243</v>
      </c>
      <c r="R1451" s="62">
        <f>ТабПозиции[[#This Row],[totalSumm]]-ТабПозиции[[#This Row],[payment]]</f>
        <v>0</v>
      </c>
      <c r="S1451" s="34" t="s">
        <v>955</v>
      </c>
      <c r="T1451" s="56" t="s">
        <v>3061</v>
      </c>
      <c r="U1451" s="56" t="str">
        <f>IF(AND(ТабПозиции[[#This Row],[Остаток]]=0,ТабПозиции[[#This Row],[ord]]="true"),"true","false")</f>
        <v>true</v>
      </c>
      <c r="V1451" s="56" t="s">
        <v>3061</v>
      </c>
      <c r="W1451" s="7"/>
      <c r="X1451"/>
    </row>
    <row r="1452" spans="1:24" x14ac:dyDescent="0.25">
      <c r="A1452" s="26">
        <v>382</v>
      </c>
      <c r="B1452" s="1">
        <f>IFERROR(VLOOKUP(ТабПозиции[[#This Row],[orderNum]],ТабЗаказы[#Data],MATCH(B$7,ТабЗаказы[#Headers],0),0),"")</f>
        <v>45635</v>
      </c>
      <c r="C1452" t="str">
        <f>MONTH(ТабПозиции[[#This Row],[date]])&amp;"/"&amp;YEAR(ТабПозиции[[#This Row],[date]])</f>
        <v>12/2024</v>
      </c>
      <c r="D1452" s="1" t="str">
        <f>IFERROR(VLOOKUP(ТабПозиции[[#This Row],[orderNum]],ТабЗаказы[#Data],MATCH(D$7,ТабЗаказы[#Headers],0),0),"")</f>
        <v>Галина Агабекова(церковь)</v>
      </c>
      <c r="E1452" s="32" t="s">
        <v>2081</v>
      </c>
      <c r="F1452" s="56" t="s">
        <v>3061</v>
      </c>
      <c r="H1452" s="34">
        <v>45639</v>
      </c>
      <c r="I1452" s="26">
        <v>1</v>
      </c>
      <c r="J1452" s="26">
        <v>421</v>
      </c>
      <c r="K1452">
        <f>ТабПозиции[[#This Row],[discountPrice]]*ТабПозиции[[#This Row],[quantity]]</f>
        <v>421</v>
      </c>
      <c r="L1452" s="26">
        <v>445</v>
      </c>
      <c r="M1452">
        <f t="shared" si="27"/>
        <v>445</v>
      </c>
      <c r="O145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Row],[orderNum]],ТабПозиции[orderSumm])&gt;1500),ABS(M1452*VLOOKUP(ТабПозиции[[#This Row],[orderNum]],ТабЗаказы[#Data],MATCH("Percent",ТабЗаказы[#Headers],0),0))/100,200/COUNTIF(ТабПозиции[orderNum],ТабПозиции[[#This Row],[orderNum]])),0),"")</f>
        <v>45</v>
      </c>
      <c r="P1452">
        <f>IF(OR(ТабПозиции[[#This Row],[item]]="По штрихкоду",ТабПозиции[[#This Row],[item]]="Посылка"),ТабПозиции[[#This Row],[deliverySumm]]+ТабПозиции[[#This Row],[deliveryPost]],SUM(M1452:O1452))</f>
        <v>490</v>
      </c>
      <c r="Q1452" s="57">
        <v>490</v>
      </c>
      <c r="R1452" s="62">
        <f>ТабПозиции[[#This Row],[totalSumm]]-ТабПозиции[[#This Row],[payment]]</f>
        <v>0</v>
      </c>
      <c r="S1452" s="34" t="s">
        <v>955</v>
      </c>
      <c r="T1452" s="56" t="s">
        <v>3061</v>
      </c>
      <c r="U1452" s="56" t="str">
        <f>IF(AND(ТабПозиции[[#This Row],[Остаток]]=0,ТабПозиции[[#This Row],[ord]]="true"),"true","false")</f>
        <v>true</v>
      </c>
      <c r="V1452" s="56" t="str">
        <f>IF(AND(ТабПозиции[[#This Row],[Остаток]]=0,ТабПозиции[[#This Row],[ord]]="true"),"true","false")</f>
        <v>true</v>
      </c>
      <c r="W1452" s="7"/>
      <c r="X1452"/>
    </row>
    <row r="1453" spans="1:24" x14ac:dyDescent="0.25">
      <c r="A1453" s="26">
        <v>382</v>
      </c>
      <c r="B1453" s="1">
        <f>IFERROR(VLOOKUP(ТабПозиции[[#This Row],[orderNum]],ТабЗаказы[#Data],MATCH(B$7,ТабЗаказы[#Headers],0),0),"")</f>
        <v>45635</v>
      </c>
      <c r="C1453" t="str">
        <f>MONTH(ТабПозиции[[#This Row],[date]])&amp;"/"&amp;YEAR(ТабПозиции[[#This Row],[date]])</f>
        <v>12/2024</v>
      </c>
      <c r="D1453" s="1" t="str">
        <f>IFERROR(VLOOKUP(ТабПозиции[[#This Row],[orderNum]],ТабЗаказы[#Data],MATCH(D$7,ТабЗаказы[#Headers],0),0),"")</f>
        <v>Галина Агабекова(церковь)</v>
      </c>
      <c r="E1453" s="32" t="s">
        <v>2082</v>
      </c>
      <c r="F1453" s="56" t="s">
        <v>3061</v>
      </c>
      <c r="H1453" s="34">
        <v>45638</v>
      </c>
      <c r="I1453" s="26">
        <v>2</v>
      </c>
      <c r="J1453" s="26">
        <v>225</v>
      </c>
      <c r="K1453">
        <f>ТабПозиции[[#This Row],[discountPrice]]*ТабПозиции[[#This Row],[quantity]]</f>
        <v>450</v>
      </c>
      <c r="L1453" s="26">
        <v>237</v>
      </c>
      <c r="M1453">
        <f t="shared" si="27"/>
        <v>474</v>
      </c>
      <c r="O145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Row],[orderNum]],ТабПозиции[orderSumm])&gt;1500),ABS(M1453*VLOOKUP(ТабПозиции[[#This Row],[orderNum]],ТабЗаказы[#Data],MATCH("Percent",ТабЗаказы[#Headers],0),0))/100,200/COUNTIF(ТабПозиции[orderNum],ТабПозиции[[#This Row],[orderNum]])),0),"")</f>
        <v>47</v>
      </c>
      <c r="P1453">
        <f>IF(OR(ТабПозиции[[#This Row],[item]]="По штрихкоду",ТабПозиции[[#This Row],[item]]="Посылка"),ТабПозиции[[#This Row],[deliverySumm]]+ТабПозиции[[#This Row],[deliveryPost]],SUM(M1453:O1453))</f>
        <v>521</v>
      </c>
      <c r="Q1453" s="57">
        <v>521</v>
      </c>
      <c r="R1453" s="62">
        <f>ТабПозиции[[#This Row],[totalSumm]]-ТабПозиции[[#This Row],[payment]]</f>
        <v>0</v>
      </c>
      <c r="S1453" s="34" t="s">
        <v>965</v>
      </c>
      <c r="T1453" s="56" t="s">
        <v>3061</v>
      </c>
      <c r="U1453" s="56" t="str">
        <f>IF(AND(ТабПозиции[[#This Row],[Остаток]]=0,ТабПозиции[[#This Row],[ord]]="true"),"true","false")</f>
        <v>true</v>
      </c>
      <c r="V1453" s="56" t="s">
        <v>3061</v>
      </c>
      <c r="W1453" s="7"/>
      <c r="X1453"/>
    </row>
    <row r="1454" spans="1:24" x14ac:dyDescent="0.25">
      <c r="A1454" s="26">
        <v>382</v>
      </c>
      <c r="B1454" s="1">
        <f>IFERROR(VLOOKUP(ТабПозиции[[#This Row],[orderNum]],ТабЗаказы[#Data],MATCH(B$7,ТабЗаказы[#Headers],0),0),"")</f>
        <v>45635</v>
      </c>
      <c r="C1454" t="str">
        <f>MONTH(ТабПозиции[[#This Row],[date]])&amp;"/"&amp;YEAR(ТабПозиции[[#This Row],[date]])</f>
        <v>12/2024</v>
      </c>
      <c r="D1454" s="1" t="str">
        <f>IFERROR(VLOOKUP(ТабПозиции[[#This Row],[orderNum]],ТабЗаказы[#Data],MATCH(D$7,ТабЗаказы[#Headers],0),0),"")</f>
        <v>Галина Агабекова(церковь)</v>
      </c>
      <c r="E1454" s="32" t="s">
        <v>2083</v>
      </c>
      <c r="F1454" s="56" t="s">
        <v>3061</v>
      </c>
      <c r="H1454" s="34">
        <v>45637</v>
      </c>
      <c r="I1454" s="26">
        <v>1</v>
      </c>
      <c r="J1454" s="26">
        <v>282</v>
      </c>
      <c r="K1454">
        <f>ТабПозиции[[#This Row],[discountPrice]]*ТабПозиции[[#This Row],[quantity]]</f>
        <v>282</v>
      </c>
      <c r="L1454" s="26">
        <v>288</v>
      </c>
      <c r="M1454">
        <f t="shared" si="27"/>
        <v>288</v>
      </c>
      <c r="O145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Row],[orderNum]],ТабПозиции[orderSumm])&gt;1500),ABS(M1454*VLOOKUP(ТабПозиции[[#This Row],[orderNum]],ТабЗаказы[#Data],MATCH("Percent",ТабЗаказы[#Headers],0),0))/100,200/COUNTIF(ТабПозиции[orderNum],ТабПозиции[[#This Row],[orderNum]])),0),"")</f>
        <v>29</v>
      </c>
      <c r="P1454">
        <f>IF(OR(ТабПозиции[[#This Row],[item]]="По штрихкоду",ТабПозиции[[#This Row],[item]]="Посылка"),ТабПозиции[[#This Row],[deliverySumm]]+ТабПозиции[[#This Row],[deliveryPost]],SUM(M1454:O1454))</f>
        <v>317</v>
      </c>
      <c r="Q1454" s="57">
        <v>317</v>
      </c>
      <c r="R1454" s="62">
        <f>ТабПозиции[[#This Row],[totalSumm]]-ТабПозиции[[#This Row],[payment]]</f>
        <v>0</v>
      </c>
      <c r="S1454" s="34" t="s">
        <v>955</v>
      </c>
      <c r="T1454" s="56" t="s">
        <v>3061</v>
      </c>
      <c r="U1454" s="56" t="str">
        <f>IF(AND(ТабПозиции[[#This Row],[Остаток]]=0,ТабПозиции[[#This Row],[ord]]="true"),"true","false")</f>
        <v>true</v>
      </c>
      <c r="V1454" s="56" t="str">
        <f>IF(AND(ТабПозиции[[#This Row],[Остаток]]=0,ТабПозиции[[#This Row],[ord]]="true"),"true","false")</f>
        <v>true</v>
      </c>
      <c r="W1454" s="7"/>
      <c r="X1454"/>
    </row>
    <row r="1455" spans="1:24" x14ac:dyDescent="0.25">
      <c r="A1455" s="26">
        <v>382</v>
      </c>
      <c r="B1455" s="1">
        <f>IFERROR(VLOOKUP(ТабПозиции[[#This Row],[orderNum]],ТабЗаказы[#Data],MATCH(B$7,ТабЗаказы[#Headers],0),0),"")</f>
        <v>45635</v>
      </c>
      <c r="C1455" t="str">
        <f>MONTH(ТабПозиции[[#This Row],[date]])&amp;"/"&amp;YEAR(ТабПозиции[[#This Row],[date]])</f>
        <v>12/2024</v>
      </c>
      <c r="D1455" s="1" t="str">
        <f>IFERROR(VLOOKUP(ТабПозиции[[#This Row],[orderNum]],ТабЗаказы[#Data],MATCH(D$7,ТабЗаказы[#Headers],0),0),"")</f>
        <v>Галина Агабекова(церковь)</v>
      </c>
      <c r="E1455" s="32" t="s">
        <v>2084</v>
      </c>
      <c r="F1455" s="56" t="s">
        <v>3061</v>
      </c>
      <c r="H1455" s="34">
        <v>45639</v>
      </c>
      <c r="I1455" s="26">
        <v>1</v>
      </c>
      <c r="J1455" s="26">
        <v>2009</v>
      </c>
      <c r="K1455">
        <f>ТабПозиции[[#This Row],[discountPrice]]*ТабПозиции[[#This Row],[quantity]]</f>
        <v>2009</v>
      </c>
      <c r="L1455" s="26">
        <v>2164</v>
      </c>
      <c r="M1455">
        <f t="shared" si="27"/>
        <v>2164</v>
      </c>
      <c r="O145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Row],[orderNum]],ТабПозиции[orderSumm])&gt;1500),ABS(M1455*VLOOKUP(ТабПозиции[[#This Row],[orderNum]],ТабЗаказы[#Data],MATCH("Percent",ТабЗаказы[#Headers],0),0))/100,200/COUNTIF(ТабПозиции[orderNum],ТабПозиции[[#This Row],[orderNum]])),0),"")</f>
        <v>216</v>
      </c>
      <c r="P1455">
        <f>IF(OR(ТабПозиции[[#This Row],[item]]="По штрихкоду",ТабПозиции[[#This Row],[item]]="Посылка"),ТабПозиции[[#This Row],[deliverySumm]]+ТабПозиции[[#This Row],[deliveryPost]],SUM(M1455:O1455))</f>
        <v>2380</v>
      </c>
      <c r="Q1455" s="57">
        <v>2380</v>
      </c>
      <c r="R1455" s="62">
        <f>ТабПозиции[[#This Row],[totalSumm]]-ТабПозиции[[#This Row],[payment]]</f>
        <v>0</v>
      </c>
      <c r="S1455" s="34" t="s">
        <v>955</v>
      </c>
      <c r="T1455" s="56" t="s">
        <v>3061</v>
      </c>
      <c r="U1455" s="56" t="str">
        <f>IF(AND(ТабПозиции[[#This Row],[Остаток]]=0,ТабПозиции[[#This Row],[ord]]="true"),"true","false")</f>
        <v>true</v>
      </c>
      <c r="V1455" s="56" t="s">
        <v>3061</v>
      </c>
      <c r="W1455" s="7"/>
      <c r="X1455"/>
    </row>
    <row r="1456" spans="1:24" x14ac:dyDescent="0.25">
      <c r="A1456" s="26">
        <v>376</v>
      </c>
      <c r="B1456" s="1">
        <f>IFERROR(VLOOKUP(ТабПозиции[[#This Row],[orderNum]],ТабЗаказы[#Data],MATCH(B$7,ТабЗаказы[#Headers],0),0),"")</f>
        <v>45632</v>
      </c>
      <c r="C1456" t="str">
        <f>MONTH(ТабПозиции[[#This Row],[date]])&amp;"/"&amp;YEAR(ТабПозиции[[#This Row],[date]])</f>
        <v>12/2024</v>
      </c>
      <c r="D1456" s="1" t="str">
        <f>IFERROR(VLOOKUP(ТабПозиции[[#This Row],[orderNum]],ТабЗаказы[#Data],MATCH(D$7,ТабЗаказы[#Headers],0),0),"")</f>
        <v>Александр Каскад</v>
      </c>
      <c r="E1456" s="32" t="s">
        <v>2086</v>
      </c>
      <c r="F1456" s="56" t="s">
        <v>3061</v>
      </c>
      <c r="H1456" s="34">
        <v>45636</v>
      </c>
      <c r="I1456" s="26">
        <v>1</v>
      </c>
      <c r="J1456" s="26">
        <v>531</v>
      </c>
      <c r="K1456">
        <f>ТабПозиции[[#This Row],[discountPrice]]*ТабПозиции[[#This Row],[quantity]]</f>
        <v>531</v>
      </c>
      <c r="L1456" s="26">
        <v>564</v>
      </c>
      <c r="M1456">
        <f t="shared" si="27"/>
        <v>564</v>
      </c>
      <c r="O145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Row],[orderNum]],ТабПозиции[orderSumm])&gt;1500),ABS(M1456*VLOOKUP(ТабПозиции[[#This Row],[orderNum]],ТабЗаказы[#Data],MATCH("Percent",ТабЗаказы[#Headers],0),0))/100,200/COUNTIF(ТабПозиции[orderNum],ТабПозиции[[#This Row],[orderNum]])),0),"")</f>
        <v>85</v>
      </c>
      <c r="P1456">
        <f>IF(OR(ТабПозиции[[#This Row],[item]]="По штрихкоду",ТабПозиции[[#This Row],[item]]="Посылка"),ТабПозиции[[#This Row],[deliverySumm]]+ТабПозиции[[#This Row],[deliveryPost]],SUM(M1456:O1456))</f>
        <v>649</v>
      </c>
      <c r="Q1456" s="57">
        <v>649</v>
      </c>
      <c r="R1456" s="62">
        <f>ТабПозиции[[#This Row],[totalSumm]]-ТабПозиции[[#This Row],[payment]]</f>
        <v>0</v>
      </c>
      <c r="S1456" s="34" t="s">
        <v>955</v>
      </c>
      <c r="T1456" s="56" t="s">
        <v>3061</v>
      </c>
      <c r="U1456" s="56" t="str">
        <f>IF(AND(ТабПозиции[[#This Row],[Остаток]]=0,ТабПозиции[[#This Row],[ord]]="true"),"true","false")</f>
        <v>true</v>
      </c>
      <c r="V1456" s="56" t="str">
        <f>IF(AND(ТабПозиции[[#This Row],[Остаток]]=0,ТабПозиции[[#This Row],[ord]]="true"),"true","false")</f>
        <v>true</v>
      </c>
      <c r="W1456" s="7"/>
      <c r="X1456"/>
    </row>
    <row r="1457" spans="1:24" x14ac:dyDescent="0.25">
      <c r="A1457" s="26">
        <v>376</v>
      </c>
      <c r="B1457" s="1">
        <f>IFERROR(VLOOKUP(ТабПозиции[[#This Row],[orderNum]],ТабЗаказы[#Data],MATCH(B$7,ТабЗаказы[#Headers],0),0),"")</f>
        <v>45632</v>
      </c>
      <c r="C1457" t="str">
        <f>MONTH(ТабПозиции[[#This Row],[date]])&amp;"/"&amp;YEAR(ТабПозиции[[#This Row],[date]])</f>
        <v>12/2024</v>
      </c>
      <c r="D1457" s="1" t="str">
        <f>IFERROR(VLOOKUP(ТабПозиции[[#This Row],[orderNum]],ТабЗаказы[#Data],MATCH(D$7,ТабЗаказы[#Headers],0),0),"")</f>
        <v>Александр Каскад</v>
      </c>
      <c r="E1457" s="32" t="s">
        <v>2085</v>
      </c>
      <c r="F1457" s="56" t="s">
        <v>3061</v>
      </c>
      <c r="H1457" s="34">
        <v>45636</v>
      </c>
      <c r="I1457" s="26">
        <v>1</v>
      </c>
      <c r="J1457" s="26">
        <v>202</v>
      </c>
      <c r="K1457">
        <f>ТабПозиции[[#This Row],[discountPrice]]*ТабПозиции[[#This Row],[quantity]]</f>
        <v>202</v>
      </c>
      <c r="L1457" s="26">
        <v>208</v>
      </c>
      <c r="M1457">
        <f t="shared" si="27"/>
        <v>208</v>
      </c>
      <c r="O145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Row],[orderNum]],ТабПозиции[orderSumm])&gt;1500),ABS(M1457*VLOOKUP(ТабПозиции[[#This Row],[orderNum]],ТабЗаказы[#Data],MATCH("Percent",ТабЗаказы[#Headers],0),0))/100,200/COUNTIF(ТабПозиции[orderNum],ТабПозиции[[#This Row],[orderNum]])),0),"")</f>
        <v>31</v>
      </c>
      <c r="P1457">
        <f>IF(OR(ТабПозиции[[#This Row],[item]]="По штрихкоду",ТабПозиции[[#This Row],[item]]="Посылка"),ТабПозиции[[#This Row],[deliverySumm]]+ТабПозиции[[#This Row],[deliveryPost]],SUM(M1457:O1457))</f>
        <v>239</v>
      </c>
      <c r="Q1457" s="57">
        <v>239</v>
      </c>
      <c r="R1457" s="62">
        <f>ТабПозиции[[#This Row],[totalSumm]]-ТабПозиции[[#This Row],[payment]]</f>
        <v>0</v>
      </c>
      <c r="S1457" s="34" t="s">
        <v>955</v>
      </c>
      <c r="T1457" s="56" t="s">
        <v>3061</v>
      </c>
      <c r="U1457" s="56" t="str">
        <f>IF(AND(ТабПозиции[[#This Row],[Остаток]]=0,ТабПозиции[[#This Row],[ord]]="true"),"true","false")</f>
        <v>true</v>
      </c>
      <c r="V1457" s="56" t="str">
        <f>IF(AND(ТабПозиции[[#This Row],[Остаток]]=0,ТабПозиции[[#This Row],[ord]]="true"),"true","false")</f>
        <v>true</v>
      </c>
      <c r="W1457" s="7"/>
      <c r="X1457"/>
    </row>
    <row r="1458" spans="1:24" x14ac:dyDescent="0.25">
      <c r="A1458" s="26">
        <v>383</v>
      </c>
      <c r="B1458" s="1">
        <f>IFERROR(VLOOKUP(ТабПозиции[[#This Row],[orderNum]],ТабЗаказы[#Data],MATCH(B$7,ТабЗаказы[#Headers],0),0),"")</f>
        <v>45635</v>
      </c>
      <c r="C1458" t="str">
        <f>MONTH(ТабПозиции[[#This Row],[date]])&amp;"/"&amp;YEAR(ТабПозиции[[#This Row],[date]])</f>
        <v>12/2024</v>
      </c>
      <c r="D1458" s="1" t="str">
        <f>IFERROR(VLOOKUP(ТабПозиции[[#This Row],[orderNum]],ТабЗаказы[#Data],MATCH(D$7,ТабЗаказы[#Headers],0),0),"")</f>
        <v>Михаил Куприна</v>
      </c>
      <c r="E1458" s="32" t="s">
        <v>2087</v>
      </c>
      <c r="F1458" s="56" t="s">
        <v>3061</v>
      </c>
      <c r="H1458" s="34">
        <v>45636</v>
      </c>
      <c r="I1458" s="26">
        <v>1</v>
      </c>
      <c r="J1458" s="26">
        <v>2271</v>
      </c>
      <c r="K1458">
        <f>ТабПозиции[[#This Row],[discountPrice]]*ТабПозиции[[#This Row],[quantity]]</f>
        <v>2271</v>
      </c>
      <c r="L1458" s="26">
        <v>2410</v>
      </c>
      <c r="M1458">
        <f t="shared" si="27"/>
        <v>2410</v>
      </c>
      <c r="O145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Row],[orderNum]],ТабПозиции[orderSumm])&gt;1500),ABS(M1458*VLOOKUP(ТабПозиции[[#This Row],[orderNum]],ТабЗаказы[#Data],MATCH("Percent",ТабЗаказы[#Headers],0),0))/100,200/COUNTIF(ТабПозиции[orderNum],ТабПозиции[[#This Row],[orderNum]])),0),"")</f>
        <v>362</v>
      </c>
      <c r="P1458">
        <f>IF(OR(ТабПозиции[[#This Row],[item]]="По штрихкоду",ТабПозиции[[#This Row],[item]]="Посылка"),ТабПозиции[[#This Row],[deliverySumm]]+ТабПозиции[[#This Row],[deliveryPost]],SUM(M1458:O1458))</f>
        <v>2772</v>
      </c>
      <c r="Q1458" s="57">
        <v>2772</v>
      </c>
      <c r="R1458" s="62">
        <f>ТабПозиции[[#This Row],[totalSumm]]-ТабПозиции[[#This Row],[payment]]</f>
        <v>0</v>
      </c>
      <c r="S1458" s="34" t="s">
        <v>955</v>
      </c>
      <c r="T1458" s="56" t="s">
        <v>3061</v>
      </c>
      <c r="U1458" s="56" t="str">
        <f>IF(AND(ТабПозиции[[#This Row],[Остаток]]=0,ТабПозиции[[#This Row],[ord]]="true"),"true","false")</f>
        <v>true</v>
      </c>
      <c r="V1458" s="56" t="str">
        <f>IF(AND(ТабПозиции[[#This Row],[Остаток]]=0,ТабПозиции[[#This Row],[ord]]="true"),"true","false")</f>
        <v>true</v>
      </c>
      <c r="W1458" s="7"/>
      <c r="X1458"/>
    </row>
    <row r="1459" spans="1:24" x14ac:dyDescent="0.25">
      <c r="A1459" s="26">
        <v>384</v>
      </c>
      <c r="B1459" s="1">
        <f>IFERROR(VLOOKUP(ТабПозиции[[#This Row],[orderNum]],ТабЗаказы[#Data],MATCH(B$7,ТабЗаказы[#Headers],0),0),"")</f>
        <v>45635</v>
      </c>
      <c r="C1459" t="str">
        <f>MONTH(ТабПозиции[[#This Row],[date]])&amp;"/"&amp;YEAR(ТабПозиции[[#This Row],[date]])</f>
        <v>12/2024</v>
      </c>
      <c r="D1459" s="1" t="str">
        <f>IFERROR(VLOOKUP(ТабПозиции[[#This Row],[orderNum]],ТабЗаказы[#Data],MATCH(D$7,ТабЗаказы[#Headers],0),0),"")</f>
        <v>Кирилл Куприна</v>
      </c>
      <c r="E1459" s="32" t="s">
        <v>2088</v>
      </c>
      <c r="F1459" s="56" t="s">
        <v>3061</v>
      </c>
      <c r="H1459" s="34">
        <v>45637</v>
      </c>
      <c r="I1459" s="26">
        <v>1</v>
      </c>
      <c r="J1459" s="26">
        <v>621</v>
      </c>
      <c r="K1459">
        <f>ТабПозиции[[#This Row],[discountPrice]]*ТабПозиции[[#This Row],[quantity]]</f>
        <v>621</v>
      </c>
      <c r="L1459" s="26">
        <v>654</v>
      </c>
      <c r="M1459">
        <f t="shared" si="27"/>
        <v>654</v>
      </c>
      <c r="O145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Row],[orderNum]],ТабПозиции[orderSumm])&gt;1500),ABS(M1459*VLOOKUP(ТабПозиции[[#This Row],[orderNum]],ТабЗаказы[#Data],MATCH("Percent",ТабЗаказы[#Headers],0),0))/100,200/COUNTIF(ТабПозиции[orderNum],ТабПозиции[[#This Row],[orderNum]])),0),"")</f>
        <v>65</v>
      </c>
      <c r="P1459">
        <f>IF(OR(ТабПозиции[[#This Row],[item]]="По штрихкоду",ТабПозиции[[#This Row],[item]]="Посылка"),ТабПозиции[[#This Row],[deliverySumm]]+ТабПозиции[[#This Row],[deliveryPost]],SUM(M1459:O1459))</f>
        <v>719</v>
      </c>
      <c r="Q1459" s="57">
        <v>719</v>
      </c>
      <c r="R1459" s="62">
        <f>ТабПозиции[[#This Row],[totalSumm]]-ТабПозиции[[#This Row],[payment]]</f>
        <v>0</v>
      </c>
      <c r="S1459" s="34" t="s">
        <v>965</v>
      </c>
      <c r="T1459" s="56" t="s">
        <v>3061</v>
      </c>
      <c r="U1459" s="56" t="str">
        <f>IF(AND(ТабПозиции[[#This Row],[Остаток]]=0,ТабПозиции[[#This Row],[ord]]="true"),"true","false")</f>
        <v>true</v>
      </c>
      <c r="V1459" s="56" t="str">
        <f>IF(AND(ТабПозиции[[#This Row],[Остаток]]=0,ТабПозиции[[#This Row],[ord]]="true"),"true","false")</f>
        <v>true</v>
      </c>
      <c r="W1459" s="7"/>
      <c r="X1459"/>
    </row>
    <row r="1460" spans="1:24" x14ac:dyDescent="0.25">
      <c r="A1460" s="26">
        <v>384</v>
      </c>
      <c r="B1460" s="1">
        <f>IFERROR(VLOOKUP(ТабПозиции[[#This Row],[orderNum]],ТабЗаказы[#Data],MATCH(B$7,ТабЗаказы[#Headers],0),0),"")</f>
        <v>45635</v>
      </c>
      <c r="C1460" t="str">
        <f>MONTH(ТабПозиции[[#This Row],[date]])&amp;"/"&amp;YEAR(ТабПозиции[[#This Row],[date]])</f>
        <v>12/2024</v>
      </c>
      <c r="D1460" s="1" t="str">
        <f>IFERROR(VLOOKUP(ТабПозиции[[#This Row],[orderNum]],ТабЗаказы[#Data],MATCH(D$7,ТабЗаказы[#Headers],0),0),"")</f>
        <v>Кирилл Куприна</v>
      </c>
      <c r="E1460" s="32" t="s">
        <v>2089</v>
      </c>
      <c r="F1460" s="56" t="s">
        <v>3061</v>
      </c>
      <c r="H1460" s="34">
        <v>45637</v>
      </c>
      <c r="I1460" s="26">
        <v>1</v>
      </c>
      <c r="J1460" s="26">
        <v>1033</v>
      </c>
      <c r="K1460">
        <f>ТабПозиции[[#This Row],[discountPrice]]*ТабПозиции[[#This Row],[quantity]]</f>
        <v>1033</v>
      </c>
      <c r="L1460" s="26">
        <v>1088</v>
      </c>
      <c r="M1460">
        <f t="shared" si="27"/>
        <v>1088</v>
      </c>
      <c r="O146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Row],[orderNum]],ТабПозиции[orderSumm])&gt;1500),ABS(M1460*VLOOKUP(ТабПозиции[[#This Row],[orderNum]],ТабЗаказы[#Data],MATCH("Percent",ТабЗаказы[#Headers],0),0))/100,200/COUNTIF(ТабПозиции[orderNum],ТабПозиции[[#This Row],[orderNum]])),0),"")</f>
        <v>109</v>
      </c>
      <c r="P1460">
        <f>IF(OR(ТабПозиции[[#This Row],[item]]="По штрихкоду",ТабПозиции[[#This Row],[item]]="Посылка"),ТабПозиции[[#This Row],[deliverySumm]]+ТабПозиции[[#This Row],[deliveryPost]],SUM(M1460:O1460))</f>
        <v>1197</v>
      </c>
      <c r="Q1460" s="57">
        <v>1197</v>
      </c>
      <c r="R1460" s="62">
        <f>ТабПозиции[[#This Row],[totalSumm]]-ТабПозиции[[#This Row],[payment]]</f>
        <v>0</v>
      </c>
      <c r="S1460" s="34" t="s">
        <v>965</v>
      </c>
      <c r="T1460" s="56" t="s">
        <v>3061</v>
      </c>
      <c r="U1460" s="56" t="str">
        <f>IF(AND(ТабПозиции[[#This Row],[Остаток]]=0,ТабПозиции[[#This Row],[ord]]="true"),"true","false")</f>
        <v>true</v>
      </c>
      <c r="V1460" s="56" t="str">
        <f>IF(AND(ТабПозиции[[#This Row],[Остаток]]=0,ТабПозиции[[#This Row],[ord]]="true"),"true","false")</f>
        <v>true</v>
      </c>
      <c r="W1460" s="7"/>
      <c r="X1460"/>
    </row>
    <row r="1461" spans="1:24" x14ac:dyDescent="0.25">
      <c r="A1461" s="26">
        <v>384</v>
      </c>
      <c r="B1461" s="1">
        <f>IFERROR(VLOOKUP(ТабПозиции[[#This Row],[orderNum]],ТабЗаказы[#Data],MATCH(B$7,ТабЗаказы[#Headers],0),0),"")</f>
        <v>45635</v>
      </c>
      <c r="C1461" t="str">
        <f>MONTH(ТабПозиции[[#This Row],[date]])&amp;"/"&amp;YEAR(ТабПозиции[[#This Row],[date]])</f>
        <v>12/2024</v>
      </c>
      <c r="D1461" s="1" t="str">
        <f>IFERROR(VLOOKUP(ТабПозиции[[#This Row],[orderNum]],ТабЗаказы[#Data],MATCH(D$7,ТабЗаказы[#Headers],0),0),"")</f>
        <v>Кирилл Куприна</v>
      </c>
      <c r="E1461" s="32" t="s">
        <v>2090</v>
      </c>
      <c r="F1461" s="56" t="s">
        <v>3061</v>
      </c>
      <c r="H1461" s="34">
        <v>45637</v>
      </c>
      <c r="I1461" s="26">
        <v>1</v>
      </c>
      <c r="J1461" s="26">
        <v>3192</v>
      </c>
      <c r="K1461">
        <f>ТабПозиции[[#This Row],[discountPrice]]*ТабПозиции[[#This Row],[quantity]]</f>
        <v>3192</v>
      </c>
      <c r="L1461" s="26">
        <v>3360</v>
      </c>
      <c r="M1461">
        <f t="shared" si="27"/>
        <v>3360</v>
      </c>
      <c r="O146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Row],[orderNum]],ТабПозиции[orderSumm])&gt;1500),ABS(M1461*VLOOKUP(ТабПозиции[[#This Row],[orderNum]],ТабЗаказы[#Data],MATCH("Percent",ТабЗаказы[#Headers],0),0))/100,200/COUNTIF(ТабПозиции[orderNum],ТабПозиции[[#This Row],[orderNum]])),0),"")</f>
        <v>336</v>
      </c>
      <c r="P1461">
        <f>IF(OR(ТабПозиции[[#This Row],[item]]="По штрихкоду",ТабПозиции[[#This Row],[item]]="Посылка"),ТабПозиции[[#This Row],[deliverySumm]]+ТабПозиции[[#This Row],[deliveryPost]],SUM(M1461:O1461))</f>
        <v>3696</v>
      </c>
      <c r="Q1461" s="57">
        <v>3696</v>
      </c>
      <c r="R1461" s="62">
        <f>ТабПозиции[[#This Row],[totalSumm]]-ТабПозиции[[#This Row],[payment]]</f>
        <v>0</v>
      </c>
      <c r="S1461" s="34" t="s">
        <v>965</v>
      </c>
      <c r="T1461" s="56" t="s">
        <v>3061</v>
      </c>
      <c r="U1461" s="56" t="str">
        <f>IF(AND(ТабПозиции[[#This Row],[Остаток]]=0,ТабПозиции[[#This Row],[ord]]="true"),"true","false")</f>
        <v>true</v>
      </c>
      <c r="V1461" s="56" t="str">
        <f>IF(AND(ТабПозиции[[#This Row],[Остаток]]=0,ТабПозиции[[#This Row],[ord]]="true"),"true","false")</f>
        <v>true</v>
      </c>
      <c r="W1461" s="7"/>
      <c r="X1461"/>
    </row>
    <row r="1462" spans="1:24" x14ac:dyDescent="0.25">
      <c r="A1462" s="26">
        <v>384</v>
      </c>
      <c r="B1462" s="1">
        <f>IFERROR(VLOOKUP(ТабПозиции[[#This Row],[orderNum]],ТабЗаказы[#Data],MATCH(B$7,ТабЗаказы[#Headers],0),0),"")</f>
        <v>45635</v>
      </c>
      <c r="C1462" t="str">
        <f>MONTH(ТабПозиции[[#This Row],[date]])&amp;"/"&amp;YEAR(ТабПозиции[[#This Row],[date]])</f>
        <v>12/2024</v>
      </c>
      <c r="D1462" s="1" t="str">
        <f>IFERROR(VLOOKUP(ТабПозиции[[#This Row],[orderNum]],ТабЗаказы[#Data],MATCH(D$7,ТабЗаказы[#Headers],0),0),"")</f>
        <v>Кирилл Куприна</v>
      </c>
      <c r="E1462" s="32" t="s">
        <v>2091</v>
      </c>
      <c r="F1462" s="56" t="s">
        <v>3061</v>
      </c>
      <c r="H1462" s="34">
        <v>45637</v>
      </c>
      <c r="I1462" s="26">
        <v>1</v>
      </c>
      <c r="J1462" s="26">
        <v>403</v>
      </c>
      <c r="K1462">
        <f>ТабПозиции[[#This Row],[discountPrice]]*ТабПозиции[[#This Row],[quantity]]</f>
        <v>403</v>
      </c>
      <c r="L1462" s="26">
        <v>425</v>
      </c>
      <c r="M1462">
        <f t="shared" si="27"/>
        <v>425</v>
      </c>
      <c r="O146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Row],[orderNum]],ТабПозиции[orderSumm])&gt;1500),ABS(M1462*VLOOKUP(ТабПозиции[[#This Row],[orderNum]],ТабЗаказы[#Data],MATCH("Percent",ТабЗаказы[#Headers],0),0))/100,200/COUNTIF(ТабПозиции[orderNum],ТабПозиции[[#This Row],[orderNum]])),0),"")</f>
        <v>43</v>
      </c>
      <c r="P1462">
        <f>IF(OR(ТабПозиции[[#This Row],[item]]="По штрихкоду",ТабПозиции[[#This Row],[item]]="Посылка"),ТабПозиции[[#This Row],[deliverySumm]]+ТабПозиции[[#This Row],[deliveryPost]],SUM(M1462:O1462))</f>
        <v>468</v>
      </c>
      <c r="Q1462" s="57">
        <v>468</v>
      </c>
      <c r="R1462" s="62">
        <f>ТабПозиции[[#This Row],[totalSumm]]-ТабПозиции[[#This Row],[payment]]</f>
        <v>0</v>
      </c>
      <c r="S1462" s="34" t="s">
        <v>965</v>
      </c>
      <c r="T1462" s="56" t="s">
        <v>3061</v>
      </c>
      <c r="U1462" s="56" t="str">
        <f>IF(AND(ТабПозиции[[#This Row],[Остаток]]=0,ТабПозиции[[#This Row],[ord]]="true"),"true","false")</f>
        <v>true</v>
      </c>
      <c r="V1462" s="56" t="str">
        <f>IF(AND(ТабПозиции[[#This Row],[Остаток]]=0,ТабПозиции[[#This Row],[ord]]="true"),"true","false")</f>
        <v>true</v>
      </c>
      <c r="W1462" s="7"/>
      <c r="X1462"/>
    </row>
    <row r="1463" spans="1:24" x14ac:dyDescent="0.25">
      <c r="A1463" s="26">
        <v>384</v>
      </c>
      <c r="B1463" s="1">
        <f>IFERROR(VLOOKUP(ТабПозиции[[#This Row],[orderNum]],ТабЗаказы[#Data],MATCH(B$7,ТабЗаказы[#Headers],0),0),"")</f>
        <v>45635</v>
      </c>
      <c r="C1463" t="str">
        <f>MONTH(ТабПозиции[[#This Row],[date]])&amp;"/"&amp;YEAR(ТабПозиции[[#This Row],[date]])</f>
        <v>12/2024</v>
      </c>
      <c r="D1463" s="1" t="str">
        <f>IFERROR(VLOOKUP(ТабПозиции[[#This Row],[orderNum]],ТабЗаказы[#Data],MATCH(D$7,ТабЗаказы[#Headers],0),0),"")</f>
        <v>Кирилл Куприна</v>
      </c>
      <c r="E1463" s="32" t="s">
        <v>2092</v>
      </c>
      <c r="F1463" s="56" t="s">
        <v>3061</v>
      </c>
      <c r="H1463" s="34">
        <v>45637</v>
      </c>
      <c r="I1463" s="26">
        <v>1</v>
      </c>
      <c r="J1463" s="26">
        <v>1436</v>
      </c>
      <c r="K1463">
        <f>ТабПозиции[[#This Row],[discountPrice]]*ТабПозиции[[#This Row],[quantity]]</f>
        <v>1436</v>
      </c>
      <c r="L1463" s="26">
        <v>1512</v>
      </c>
      <c r="M1463">
        <f t="shared" si="27"/>
        <v>1512</v>
      </c>
      <c r="O146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Row],[orderNum]],ТабПозиции[orderSumm])&gt;1500),ABS(M1463*VLOOKUP(ТабПозиции[[#This Row],[orderNum]],ТабЗаказы[#Data],MATCH("Percent",ТабЗаказы[#Headers],0),0))/100,200/COUNTIF(ТабПозиции[orderNum],ТабПозиции[[#This Row],[orderNum]])),0),"")</f>
        <v>151</v>
      </c>
      <c r="P1463">
        <f>IF(OR(ТабПозиции[[#This Row],[item]]="По штрихкоду",ТабПозиции[[#This Row],[item]]="Посылка"),ТабПозиции[[#This Row],[deliverySumm]]+ТабПозиции[[#This Row],[deliveryPost]],SUM(M1463:O1463))</f>
        <v>1663</v>
      </c>
      <c r="Q1463" s="57">
        <v>1663</v>
      </c>
      <c r="R1463" s="62">
        <f>ТабПозиции[[#This Row],[totalSumm]]-ТабПозиции[[#This Row],[payment]]</f>
        <v>0</v>
      </c>
      <c r="S1463" s="34" t="s">
        <v>965</v>
      </c>
      <c r="T1463" s="56" t="s">
        <v>3061</v>
      </c>
      <c r="U1463" s="56" t="str">
        <f>IF(AND(ТабПозиции[[#This Row],[Остаток]]=0,ТабПозиции[[#This Row],[ord]]="true"),"true","false")</f>
        <v>true</v>
      </c>
      <c r="V1463" s="56" t="str">
        <f>IF(AND(ТабПозиции[[#This Row],[Остаток]]=0,ТабПозиции[[#This Row],[ord]]="true"),"true","false")</f>
        <v>true</v>
      </c>
      <c r="W1463" s="7"/>
      <c r="X1463"/>
    </row>
    <row r="1464" spans="1:24" x14ac:dyDescent="0.25">
      <c r="A1464" s="26">
        <v>384</v>
      </c>
      <c r="B1464" s="1">
        <f>IFERROR(VLOOKUP(ТабПозиции[[#This Row],[orderNum]],ТабЗаказы[#Data],MATCH(B$7,ТабЗаказы[#Headers],0),0),"")</f>
        <v>45635</v>
      </c>
      <c r="C1464" t="str">
        <f>MONTH(ТабПозиции[[#This Row],[date]])&amp;"/"&amp;YEAR(ТабПозиции[[#This Row],[date]])</f>
        <v>12/2024</v>
      </c>
      <c r="D1464" s="1" t="str">
        <f>IFERROR(VLOOKUP(ТабПозиции[[#This Row],[orderNum]],ТабЗаказы[#Data],MATCH(D$7,ТабЗаказы[#Headers],0),0),"")</f>
        <v>Кирилл Куприна</v>
      </c>
      <c r="E1464" s="32" t="s">
        <v>2093</v>
      </c>
      <c r="F1464" s="56" t="s">
        <v>3061</v>
      </c>
      <c r="H1464" s="34">
        <v>45639</v>
      </c>
      <c r="I1464" s="26">
        <v>1</v>
      </c>
      <c r="J1464" s="26">
        <v>189</v>
      </c>
      <c r="K1464">
        <f>ТабПозиции[[#This Row],[discountPrice]]*ТабПозиции[[#This Row],[quantity]]</f>
        <v>189</v>
      </c>
      <c r="L1464" s="26">
        <v>199</v>
      </c>
      <c r="M1464">
        <f t="shared" si="27"/>
        <v>199</v>
      </c>
      <c r="O146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Row],[orderNum]],ТабПозиции[orderSumm])&gt;1500),ABS(M1464*VLOOKUP(ТабПозиции[[#This Row],[orderNum]],ТабЗаказы[#Data],MATCH("Percent",ТабЗаказы[#Headers],0),0))/100,200/COUNTIF(ТабПозиции[orderNum],ТабПозиции[[#This Row],[orderNum]])),0),"")</f>
        <v>20</v>
      </c>
      <c r="P1464">
        <f>IF(OR(ТабПозиции[[#This Row],[item]]="По штрихкоду",ТабПозиции[[#This Row],[item]]="Посылка"),ТабПозиции[[#This Row],[deliverySumm]]+ТабПозиции[[#This Row],[deliveryPost]],SUM(M1464:O1464))</f>
        <v>219</v>
      </c>
      <c r="Q1464" s="57">
        <v>219</v>
      </c>
      <c r="R1464" s="62">
        <f>ТабПозиции[[#This Row],[totalSumm]]-ТабПозиции[[#This Row],[payment]]</f>
        <v>0</v>
      </c>
      <c r="S1464" s="34" t="s">
        <v>965</v>
      </c>
      <c r="T1464" s="56" t="s">
        <v>3061</v>
      </c>
      <c r="U1464" s="56" t="str">
        <f>IF(AND(ТабПозиции[[#This Row],[Остаток]]=0,ТабПозиции[[#This Row],[ord]]="true"),"true","false")</f>
        <v>true</v>
      </c>
      <c r="V1464" s="56" t="str">
        <f>IF(AND(ТабПозиции[[#This Row],[Остаток]]=0,ТабПозиции[[#This Row],[ord]]="true"),"true","false")</f>
        <v>true</v>
      </c>
      <c r="W1464" s="7"/>
      <c r="X1464"/>
    </row>
    <row r="1465" spans="1:24" x14ac:dyDescent="0.25">
      <c r="A1465" s="26">
        <v>384</v>
      </c>
      <c r="B1465" s="1">
        <f>IFERROR(VLOOKUP(ТабПозиции[[#This Row],[orderNum]],ТабЗаказы[#Data],MATCH(B$7,ТабЗаказы[#Headers],0),0),"")</f>
        <v>45635</v>
      </c>
      <c r="C1465" t="str">
        <f>MONTH(ТабПозиции[[#This Row],[date]])&amp;"/"&amp;YEAR(ТабПозиции[[#This Row],[date]])</f>
        <v>12/2024</v>
      </c>
      <c r="D1465" s="1" t="str">
        <f>IFERROR(VLOOKUP(ТабПозиции[[#This Row],[orderNum]],ТабЗаказы[#Data],MATCH(D$7,ТабЗаказы[#Headers],0),0),"")</f>
        <v>Кирилл Куприна</v>
      </c>
      <c r="E1465" s="32" t="s">
        <v>2094</v>
      </c>
      <c r="F1465" s="56" t="s">
        <v>3061</v>
      </c>
      <c r="H1465" s="34">
        <v>45639</v>
      </c>
      <c r="I1465" s="26">
        <v>1</v>
      </c>
      <c r="J1465" s="26">
        <v>1041</v>
      </c>
      <c r="K1465">
        <f>ТабПозиции[[#This Row],[discountPrice]]*ТабПозиции[[#This Row],[quantity]]</f>
        <v>1041</v>
      </c>
      <c r="L1465" s="26">
        <v>1096</v>
      </c>
      <c r="M1465">
        <f t="shared" si="27"/>
        <v>1096</v>
      </c>
      <c r="O146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Row],[orderNum]],ТабПозиции[orderSumm])&gt;1500),ABS(M1465*VLOOKUP(ТабПозиции[[#This Row],[orderNum]],ТабЗаказы[#Data],MATCH("Percent",ТабЗаказы[#Headers],0),0))/100,200/COUNTIF(ТабПозиции[orderNum],ТабПозиции[[#This Row],[orderNum]])),0),"")</f>
        <v>110</v>
      </c>
      <c r="P1465">
        <f>IF(OR(ТабПозиции[[#This Row],[item]]="По штрихкоду",ТабПозиции[[#This Row],[item]]="Посылка"),ТабПозиции[[#This Row],[deliverySumm]]+ТабПозиции[[#This Row],[deliveryPost]],SUM(M1465:O1465))</f>
        <v>1206</v>
      </c>
      <c r="Q1465" s="57">
        <v>1206</v>
      </c>
      <c r="R1465" s="62">
        <f>ТабПозиции[[#This Row],[totalSumm]]-ТабПозиции[[#This Row],[payment]]</f>
        <v>0</v>
      </c>
      <c r="S1465" s="34" t="s">
        <v>965</v>
      </c>
      <c r="T1465" s="56" t="s">
        <v>3061</v>
      </c>
      <c r="U1465" s="56" t="str">
        <f>IF(AND(ТабПозиции[[#This Row],[Остаток]]=0,ТабПозиции[[#This Row],[ord]]="true"),"true","false")</f>
        <v>true</v>
      </c>
      <c r="V1465" s="56" t="s">
        <v>3061</v>
      </c>
      <c r="W1465" s="7"/>
      <c r="X1465"/>
    </row>
    <row r="1466" spans="1:24" x14ac:dyDescent="0.25">
      <c r="A1466" s="26">
        <v>384</v>
      </c>
      <c r="B1466" s="1">
        <f>IFERROR(VLOOKUP(ТабПозиции[[#This Row],[orderNum]],ТабЗаказы[#Data],MATCH(B$7,ТабЗаказы[#Headers],0),0),"")</f>
        <v>45635</v>
      </c>
      <c r="C1466" t="str">
        <f>MONTH(ТабПозиции[[#This Row],[date]])&amp;"/"&amp;YEAR(ТабПозиции[[#This Row],[date]])</f>
        <v>12/2024</v>
      </c>
      <c r="D1466" s="1" t="str">
        <f>IFERROR(VLOOKUP(ТабПозиции[[#This Row],[orderNum]],ТабЗаказы[#Data],MATCH(D$7,ТабЗаказы[#Headers],0),0),"")</f>
        <v>Кирилл Куприна</v>
      </c>
      <c r="E1466" s="32" t="s">
        <v>2095</v>
      </c>
      <c r="F1466" s="56" t="s">
        <v>3061</v>
      </c>
      <c r="H1466" s="34">
        <v>45637</v>
      </c>
      <c r="I1466" s="26">
        <v>1</v>
      </c>
      <c r="J1466" s="26">
        <v>418</v>
      </c>
      <c r="K1466">
        <f>ТабПозиции[[#This Row],[discountPrice]]*ТабПозиции[[#This Row],[quantity]]</f>
        <v>418</v>
      </c>
      <c r="L1466" s="26">
        <v>441</v>
      </c>
      <c r="M1466">
        <f t="shared" si="27"/>
        <v>441</v>
      </c>
      <c r="O146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Row],[orderNum]],ТабПозиции[orderSumm])&gt;1500),ABS(M1466*VLOOKUP(ТабПозиции[[#This Row],[orderNum]],ТабЗаказы[#Data],MATCH("Percent",ТабЗаказы[#Headers],0),0))/100,200/COUNTIF(ТабПозиции[orderNum],ТабПозиции[[#This Row],[orderNum]])),0),"")</f>
        <v>44</v>
      </c>
      <c r="P1466">
        <f>IF(OR(ТабПозиции[[#This Row],[item]]="По штрихкоду",ТабПозиции[[#This Row],[item]]="Посылка"),ТабПозиции[[#This Row],[deliverySumm]]+ТабПозиции[[#This Row],[deliveryPost]],SUM(M1466:O1466))</f>
        <v>485</v>
      </c>
      <c r="Q1466" s="57">
        <v>485</v>
      </c>
      <c r="R1466" s="62">
        <f>ТабПозиции[[#This Row],[totalSumm]]-ТабПозиции[[#This Row],[payment]]</f>
        <v>0</v>
      </c>
      <c r="S1466" s="34" t="s">
        <v>965</v>
      </c>
      <c r="T1466" s="56" t="s">
        <v>3061</v>
      </c>
      <c r="U1466" s="56" t="str">
        <f>IF(AND(ТабПозиции[[#This Row],[Остаток]]=0,ТабПозиции[[#This Row],[ord]]="true"),"true","false")</f>
        <v>true</v>
      </c>
      <c r="V1466" s="56" t="str">
        <f>IF(AND(ТабПозиции[[#This Row],[Остаток]]=0,ТабПозиции[[#This Row],[ord]]="true"),"true","false")</f>
        <v>true</v>
      </c>
      <c r="W1466" s="7"/>
      <c r="X1466"/>
    </row>
    <row r="1467" spans="1:24" x14ac:dyDescent="0.25">
      <c r="A1467" s="26">
        <v>384</v>
      </c>
      <c r="B1467" s="1">
        <f>IFERROR(VLOOKUP(ТабПозиции[[#This Row],[orderNum]],ТабЗаказы[#Data],MATCH(B$7,ТабЗаказы[#Headers],0),0),"")</f>
        <v>45635</v>
      </c>
      <c r="C1467" t="str">
        <f>MONTH(ТабПозиции[[#This Row],[date]])&amp;"/"&amp;YEAR(ТабПозиции[[#This Row],[date]])</f>
        <v>12/2024</v>
      </c>
      <c r="D1467" s="1" t="str">
        <f>IFERROR(VLOOKUP(ТабПозиции[[#This Row],[orderNum]],ТабЗаказы[#Data],MATCH(D$7,ТабЗаказы[#Headers],0),0),"")</f>
        <v>Кирилл Куприна</v>
      </c>
      <c r="E1467" s="32" t="s">
        <v>2096</v>
      </c>
      <c r="F1467" s="56" t="s">
        <v>3061</v>
      </c>
      <c r="H1467" s="34">
        <v>45637</v>
      </c>
      <c r="I1467" s="26">
        <v>1</v>
      </c>
      <c r="J1467" s="26">
        <v>1447</v>
      </c>
      <c r="K1467">
        <f>ТабПозиции[[#This Row],[discountPrice]]*ТабПозиции[[#This Row],[quantity]]</f>
        <v>1447</v>
      </c>
      <c r="L1467" s="26">
        <v>1524</v>
      </c>
      <c r="M1467">
        <f t="shared" si="27"/>
        <v>1524</v>
      </c>
      <c r="O146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Row],[orderNum]],ТабПозиции[orderSumm])&gt;1500),ABS(M1467*VLOOKUP(ТабПозиции[[#This Row],[orderNum]],ТабЗаказы[#Data],MATCH("Percent",ТабЗаказы[#Headers],0),0))/100,200/COUNTIF(ТабПозиции[orderNum],ТабПозиции[[#This Row],[orderNum]])),0),"")</f>
        <v>152</v>
      </c>
      <c r="P1467">
        <f>IF(OR(ТабПозиции[[#This Row],[item]]="По штрихкоду",ТабПозиции[[#This Row],[item]]="Посылка"),ТабПозиции[[#This Row],[deliverySumm]]+ТабПозиции[[#This Row],[deliveryPost]],SUM(M1467:O1467))</f>
        <v>1676</v>
      </c>
      <c r="Q1467" s="57">
        <v>1676</v>
      </c>
      <c r="R1467" s="62">
        <f>ТабПозиции[[#This Row],[totalSumm]]-ТабПозиции[[#This Row],[payment]]</f>
        <v>0</v>
      </c>
      <c r="S1467" s="34" t="s">
        <v>965</v>
      </c>
      <c r="T1467" s="56" t="s">
        <v>3061</v>
      </c>
      <c r="U1467" s="56" t="str">
        <f>IF(AND(ТабПозиции[[#This Row],[Остаток]]=0,ТабПозиции[[#This Row],[ord]]="true"),"true","false")</f>
        <v>true</v>
      </c>
      <c r="V1467" s="56" t="str">
        <f>IF(AND(ТабПозиции[[#This Row],[Остаток]]=0,ТабПозиции[[#This Row],[ord]]="true"),"true","false")</f>
        <v>true</v>
      </c>
      <c r="W1467" s="7"/>
      <c r="X1467"/>
    </row>
    <row r="1468" spans="1:24" x14ac:dyDescent="0.25">
      <c r="A1468" s="26">
        <v>384</v>
      </c>
      <c r="B1468" s="1">
        <f>IFERROR(VLOOKUP(ТабПозиции[[#This Row],[orderNum]],ТабЗаказы[#Data],MATCH(B$7,ТабЗаказы[#Headers],0),0),"")</f>
        <v>45635</v>
      </c>
      <c r="C1468" t="str">
        <f>MONTH(ТабПозиции[[#This Row],[date]])&amp;"/"&amp;YEAR(ТабПозиции[[#This Row],[date]])</f>
        <v>12/2024</v>
      </c>
      <c r="D1468" s="1" t="str">
        <f>IFERROR(VLOOKUP(ТабПозиции[[#This Row],[orderNum]],ТабЗаказы[#Data],MATCH(D$7,ТабЗаказы[#Headers],0),0),"")</f>
        <v>Кирилл Куприна</v>
      </c>
      <c r="E1468" s="32" t="s">
        <v>1519</v>
      </c>
      <c r="F1468" s="56" t="s">
        <v>3061</v>
      </c>
      <c r="H1468" s="34">
        <v>45637</v>
      </c>
      <c r="I1468" s="26">
        <v>1</v>
      </c>
      <c r="J1468" s="26">
        <v>959</v>
      </c>
      <c r="K1468">
        <f>ТабПозиции[[#This Row],[discountPrice]]*ТабПозиции[[#This Row],[quantity]]</f>
        <v>959</v>
      </c>
      <c r="L1468" s="26">
        <v>1010</v>
      </c>
      <c r="M1468">
        <f t="shared" si="27"/>
        <v>1010</v>
      </c>
      <c r="O146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Row],[orderNum]],ТабПозиции[orderSumm])&gt;1500),ABS(M1468*VLOOKUP(ТабПозиции[[#This Row],[orderNum]],ТабЗаказы[#Data],MATCH("Percent",ТабЗаказы[#Headers],0),0))/100,200/COUNTIF(ТабПозиции[orderNum],ТабПозиции[[#This Row],[orderNum]])),0),"")</f>
        <v>101</v>
      </c>
      <c r="P1468">
        <f>IF(OR(ТабПозиции[[#This Row],[item]]="По штрихкоду",ТабПозиции[[#This Row],[item]]="Посылка"),ТабПозиции[[#This Row],[deliverySumm]]+ТабПозиции[[#This Row],[deliveryPost]],SUM(M1468:O1468))</f>
        <v>1111</v>
      </c>
      <c r="Q1468" s="57">
        <v>1111</v>
      </c>
      <c r="R1468" s="62">
        <f>ТабПозиции[[#This Row],[totalSumm]]-ТабПозиции[[#This Row],[payment]]</f>
        <v>0</v>
      </c>
      <c r="S1468" s="34" t="s">
        <v>965</v>
      </c>
      <c r="T1468" s="56" t="s">
        <v>3061</v>
      </c>
      <c r="U1468" s="56" t="str">
        <f>IF(AND(ТабПозиции[[#This Row],[Остаток]]=0,ТабПозиции[[#This Row],[ord]]="true"),"true","false")</f>
        <v>true</v>
      </c>
      <c r="V1468" s="56" t="str">
        <f>IF(AND(ТабПозиции[[#This Row],[Остаток]]=0,ТабПозиции[[#This Row],[ord]]="true"),"true","false")</f>
        <v>true</v>
      </c>
      <c r="W1468" s="7"/>
      <c r="X1468"/>
    </row>
    <row r="1469" spans="1:24" x14ac:dyDescent="0.25">
      <c r="A1469" s="26">
        <v>385</v>
      </c>
      <c r="B1469" s="1">
        <f>IFERROR(VLOOKUP(ТабПозиции[[#This Row],[orderNum]],ТабЗаказы[#Data],MATCH(B$7,ТабЗаказы[#Headers],0),0),"")</f>
        <v>45636</v>
      </c>
      <c r="C1469" t="str">
        <f>MONTH(ТабПозиции[[#This Row],[date]])&amp;"/"&amp;YEAR(ТабПозиции[[#This Row],[date]])</f>
        <v>12/2024</v>
      </c>
      <c r="D1469" s="1" t="str">
        <f>IFERROR(VLOOKUP(ТабПозиции[[#This Row],[orderNum]],ТабЗаказы[#Data],MATCH(D$7,ТабЗаказы[#Headers],0),0),"")</f>
        <v>Елена Ларисына</v>
      </c>
      <c r="E1469" s="32" t="s">
        <v>2097</v>
      </c>
      <c r="F1469" s="56" t="s">
        <v>3061</v>
      </c>
      <c r="H1469" s="34">
        <v>45641</v>
      </c>
      <c r="I1469" s="26">
        <v>1</v>
      </c>
      <c r="J1469" s="26">
        <v>1506</v>
      </c>
      <c r="K1469">
        <f>ТабПозиции[[#This Row],[discountPrice]]*ТабПозиции[[#This Row],[quantity]]</f>
        <v>1506</v>
      </c>
      <c r="L1469" s="26">
        <v>1590</v>
      </c>
      <c r="M1469">
        <f t="shared" si="27"/>
        <v>1590</v>
      </c>
      <c r="O146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Row],[orderNum]],ТабПозиции[orderSumm])&gt;1500),ABS(M1469*VLOOKUP(ТабПозиции[[#This Row],[orderNum]],ТабЗаказы[#Data],MATCH("Percent",ТабЗаказы[#Headers],0),0))/100,200/COUNTIF(ТабПозиции[orderNum],ТабПозиции[[#This Row],[orderNum]])),0),"")</f>
        <v>239</v>
      </c>
      <c r="P1469">
        <f>IF(OR(ТабПозиции[[#This Row],[item]]="По штрихкоду",ТабПозиции[[#This Row],[item]]="Посылка"),ТабПозиции[[#This Row],[deliverySumm]]+ТабПозиции[[#This Row],[deliveryPost]],SUM(M1469:O1469))</f>
        <v>1829</v>
      </c>
      <c r="Q1469" s="57">
        <v>1829</v>
      </c>
      <c r="R1469" s="62">
        <f>ТабПозиции[[#This Row],[totalSumm]]-ТабПозиции[[#This Row],[payment]]</f>
        <v>0</v>
      </c>
      <c r="S1469" s="34" t="s">
        <v>955</v>
      </c>
      <c r="T1469" s="56" t="s">
        <v>3061</v>
      </c>
      <c r="U1469" s="56" t="str">
        <f>IF(AND(ТабПозиции[[#This Row],[Остаток]]=0,ТабПозиции[[#This Row],[ord]]="true"),"true","false")</f>
        <v>true</v>
      </c>
      <c r="V1469" s="56" t="s">
        <v>3061</v>
      </c>
      <c r="W1469" s="7"/>
      <c r="X1469"/>
    </row>
    <row r="1470" spans="1:24" x14ac:dyDescent="0.25">
      <c r="A1470" s="26">
        <v>385</v>
      </c>
      <c r="B1470" s="1">
        <f>IFERROR(VLOOKUP(ТабПозиции[[#This Row],[orderNum]],ТабЗаказы[#Data],MATCH(B$7,ТабЗаказы[#Headers],0),0),"")</f>
        <v>45636</v>
      </c>
      <c r="C1470" t="str">
        <f>MONTH(ТабПозиции[[#This Row],[date]])&amp;"/"&amp;YEAR(ТабПозиции[[#This Row],[date]])</f>
        <v>12/2024</v>
      </c>
      <c r="D1470" s="1" t="str">
        <f>IFERROR(VLOOKUP(ТабПозиции[[#This Row],[orderNum]],ТабЗаказы[#Data],MATCH(D$7,ТабЗаказы[#Headers],0),0),"")</f>
        <v>Елена Ларисына</v>
      </c>
      <c r="E1470" s="32" t="s">
        <v>2098</v>
      </c>
      <c r="F1470" s="56" t="s">
        <v>3061</v>
      </c>
      <c r="H1470" s="34">
        <v>45645</v>
      </c>
      <c r="I1470" s="26">
        <v>1</v>
      </c>
      <c r="J1470" s="26">
        <v>273</v>
      </c>
      <c r="K1470">
        <f>ТабПозиции[[#This Row],[discountPrice]]*ТабПозиции[[#This Row],[quantity]]</f>
        <v>273</v>
      </c>
      <c r="L1470" s="26">
        <v>279</v>
      </c>
      <c r="M1470">
        <f t="shared" si="27"/>
        <v>279</v>
      </c>
      <c r="O147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Row],[orderNum]],ТабПозиции[orderSumm])&gt;1500),ABS(M1470*VLOOKUP(ТабПозиции[[#This Row],[orderNum]],ТабЗаказы[#Data],MATCH("Percent",ТабЗаказы[#Headers],0),0))/100,200/COUNTIF(ТабПозиции[orderNum],ТабПозиции[[#This Row],[orderNum]])),0),"")</f>
        <v>42</v>
      </c>
      <c r="P1470">
        <f>IF(OR(ТабПозиции[[#This Row],[item]]="По штрихкоду",ТабПозиции[[#This Row],[item]]="Посылка"),ТабПозиции[[#This Row],[deliverySumm]]+ТабПозиции[[#This Row],[deliveryPost]],SUM(M1470:O1470))</f>
        <v>321</v>
      </c>
      <c r="Q1470" s="57">
        <v>321</v>
      </c>
      <c r="R1470" s="62">
        <f>ТабПозиции[[#This Row],[totalSumm]]-ТабПозиции[[#This Row],[payment]]</f>
        <v>0</v>
      </c>
      <c r="S1470" s="34" t="s">
        <v>955</v>
      </c>
      <c r="T1470" s="56" t="s">
        <v>3061</v>
      </c>
      <c r="U1470" s="56" t="str">
        <f>IF(AND(ТабПозиции[[#This Row],[Остаток]]=0,ТабПозиции[[#This Row],[ord]]="true"),"true","false")</f>
        <v>true</v>
      </c>
      <c r="V1470" s="56" t="s">
        <v>3061</v>
      </c>
      <c r="W1470" s="7"/>
      <c r="X1470"/>
    </row>
    <row r="1471" spans="1:24" x14ac:dyDescent="0.25">
      <c r="A1471" s="26">
        <v>385</v>
      </c>
      <c r="B1471" s="1">
        <f>IFERROR(VLOOKUP(ТабПозиции[[#This Row],[orderNum]],ТабЗаказы[#Data],MATCH(B$7,ТабЗаказы[#Headers],0),0),"")</f>
        <v>45636</v>
      </c>
      <c r="C1471" t="str">
        <f>MONTH(ТабПозиции[[#This Row],[date]])&amp;"/"&amp;YEAR(ТабПозиции[[#This Row],[date]])</f>
        <v>12/2024</v>
      </c>
      <c r="D1471" s="1" t="str">
        <f>IFERROR(VLOOKUP(ТабПозиции[[#This Row],[orderNum]],ТабЗаказы[#Data],MATCH(D$7,ТабЗаказы[#Headers],0),0),"")</f>
        <v>Елена Ларисына</v>
      </c>
      <c r="E1471" s="32" t="s">
        <v>2099</v>
      </c>
      <c r="F1471" s="56" t="s">
        <v>3061</v>
      </c>
      <c r="H1471" s="34">
        <v>45637</v>
      </c>
      <c r="I1471" s="26">
        <v>1</v>
      </c>
      <c r="J1471" s="26">
        <v>493</v>
      </c>
      <c r="K1471">
        <f>ТабПозиции[[#This Row],[discountPrice]]*ТабПозиции[[#This Row],[quantity]]</f>
        <v>493</v>
      </c>
      <c r="L1471" s="26">
        <v>530</v>
      </c>
      <c r="M1471">
        <f t="shared" si="27"/>
        <v>530</v>
      </c>
      <c r="O147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Row],[orderNum]],ТабПозиции[orderSumm])&gt;1500),ABS(M1471*VLOOKUP(ТабПозиции[[#This Row],[orderNum]],ТабЗаказы[#Data],MATCH("Percent",ТабЗаказы[#Headers],0),0))/100,200/COUNTIF(ТабПозиции[orderNum],ТабПозиции[[#This Row],[orderNum]])),0),"")</f>
        <v>80</v>
      </c>
      <c r="P1471">
        <f>IF(OR(ТабПозиции[[#This Row],[item]]="По штрихкоду",ТабПозиции[[#This Row],[item]]="Посылка"),ТабПозиции[[#This Row],[deliverySumm]]+ТабПозиции[[#This Row],[deliveryPost]],SUM(M1471:O1471))</f>
        <v>610</v>
      </c>
      <c r="Q1471" s="57">
        <v>610</v>
      </c>
      <c r="R1471" s="62">
        <f>ТабПозиции[[#This Row],[totalSumm]]-ТабПозиции[[#This Row],[payment]]</f>
        <v>0</v>
      </c>
      <c r="S1471" s="34" t="s">
        <v>955</v>
      </c>
      <c r="T1471" s="56" t="s">
        <v>3061</v>
      </c>
      <c r="U1471" s="56" t="str">
        <f>IF(AND(ТабПозиции[[#This Row],[Остаток]]=0,ТабПозиции[[#This Row],[ord]]="true"),"true","false")</f>
        <v>true</v>
      </c>
      <c r="V1471" s="56" t="str">
        <f>IF(AND(ТабПозиции[[#This Row],[Остаток]]=0,ТабПозиции[[#This Row],[ord]]="true"),"true","false")</f>
        <v>true</v>
      </c>
      <c r="W1471" s="7"/>
      <c r="X1471"/>
    </row>
    <row r="1472" spans="1:24" x14ac:dyDescent="0.25">
      <c r="A1472" s="26">
        <v>385</v>
      </c>
      <c r="B1472" s="1">
        <f>IFERROR(VLOOKUP(ТабПозиции[[#This Row],[orderNum]],ТабЗаказы[#Data],MATCH(B$7,ТабЗаказы[#Headers],0),0),"")</f>
        <v>45636</v>
      </c>
      <c r="C1472" t="str">
        <f>MONTH(ТабПозиции[[#This Row],[date]])&amp;"/"&amp;YEAR(ТабПозиции[[#This Row],[date]])</f>
        <v>12/2024</v>
      </c>
      <c r="D1472" s="1" t="str">
        <f>IFERROR(VLOOKUP(ТабПозиции[[#This Row],[orderNum]],ТабЗаказы[#Data],MATCH(D$7,ТабЗаказы[#Headers],0),0),"")</f>
        <v>Елена Ларисына</v>
      </c>
      <c r="E1472" s="32" t="s">
        <v>2100</v>
      </c>
      <c r="F1472" s="56" t="s">
        <v>3061</v>
      </c>
      <c r="H1472" s="34">
        <v>45638</v>
      </c>
      <c r="I1472" s="26">
        <v>1</v>
      </c>
      <c r="J1472" s="26">
        <v>251</v>
      </c>
      <c r="K1472">
        <f>ТабПозиции[[#This Row],[discountPrice]]*ТабПозиции[[#This Row],[quantity]]</f>
        <v>251</v>
      </c>
      <c r="L1472" s="26">
        <v>256</v>
      </c>
      <c r="M1472">
        <f t="shared" si="27"/>
        <v>256</v>
      </c>
      <c r="O147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Row],[orderNum]],ТабПозиции[orderSumm])&gt;1500),ABS(M1472*VLOOKUP(ТабПозиции[[#This Row],[orderNum]],ТабЗаказы[#Data],MATCH("Percent",ТабЗаказы[#Headers],0),0))/100,200/COUNTIF(ТабПозиции[orderNum],ТабПозиции[[#This Row],[orderNum]])),0),"")</f>
        <v>38</v>
      </c>
      <c r="P1472">
        <f>IF(OR(ТабПозиции[[#This Row],[item]]="По штрихкоду",ТабПозиции[[#This Row],[item]]="Посылка"),ТабПозиции[[#This Row],[deliverySumm]]+ТабПозиции[[#This Row],[deliveryPost]],SUM(M1472:O1472))</f>
        <v>294</v>
      </c>
      <c r="Q1472" s="57">
        <v>294</v>
      </c>
      <c r="R1472" s="62">
        <f>ТабПозиции[[#This Row],[totalSumm]]-ТабПозиции[[#This Row],[payment]]</f>
        <v>0</v>
      </c>
      <c r="S1472" s="34" t="s">
        <v>955</v>
      </c>
      <c r="T1472" s="56" t="s">
        <v>3061</v>
      </c>
      <c r="U1472" s="56" t="str">
        <f>IF(AND(ТабПозиции[[#This Row],[Остаток]]=0,ТабПозиции[[#This Row],[ord]]="true"),"true","false")</f>
        <v>true</v>
      </c>
      <c r="V1472" s="56" t="str">
        <f>IF(AND(ТабПозиции[[#This Row],[Остаток]]=0,ТабПозиции[[#This Row],[ord]]="true"),"true","false")</f>
        <v>true</v>
      </c>
      <c r="W1472" s="7"/>
      <c r="X1472"/>
    </row>
    <row r="1473" spans="1:24" x14ac:dyDescent="0.25">
      <c r="A1473" s="26">
        <v>385</v>
      </c>
      <c r="B1473" s="1">
        <f>IFERROR(VLOOKUP(ТабПозиции[[#This Row],[orderNum]],ТабЗаказы[#Data],MATCH(B$7,ТабЗаказы[#Headers],0),0),"")</f>
        <v>45636</v>
      </c>
      <c r="C1473" t="str">
        <f>MONTH(ТабПозиции[[#This Row],[date]])&amp;"/"&amp;YEAR(ТабПозиции[[#This Row],[date]])</f>
        <v>12/2024</v>
      </c>
      <c r="D1473" s="1" t="str">
        <f>IFERROR(VLOOKUP(ТабПозиции[[#This Row],[orderNum]],ТабЗаказы[#Data],MATCH(D$7,ТабЗаказы[#Headers],0),0),"")</f>
        <v>Елена Ларисына</v>
      </c>
      <c r="E1473" s="32" t="s">
        <v>2101</v>
      </c>
      <c r="F1473" s="56" t="s">
        <v>3061</v>
      </c>
      <c r="H1473" s="34">
        <v>45638</v>
      </c>
      <c r="I1473" s="26">
        <v>1</v>
      </c>
      <c r="J1473" s="26">
        <v>278</v>
      </c>
      <c r="K1473">
        <f>ТабПозиции[[#This Row],[discountPrice]]*ТабПозиции[[#This Row],[quantity]]</f>
        <v>278</v>
      </c>
      <c r="L1473" s="26">
        <v>284</v>
      </c>
      <c r="M1473">
        <f t="shared" si="27"/>
        <v>284</v>
      </c>
      <c r="O147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Row],[orderNum]],ТабПозиции[orderSumm])&gt;1500),ABS(M1473*VLOOKUP(ТабПозиции[[#This Row],[orderNum]],ТабЗаказы[#Data],MATCH("Percent",ТабЗаказы[#Headers],0),0))/100,200/COUNTIF(ТабПозиции[orderNum],ТабПозиции[[#This Row],[orderNum]])),0),"")</f>
        <v>43</v>
      </c>
      <c r="P1473">
        <f>IF(OR(ТабПозиции[[#This Row],[item]]="По штрихкоду",ТабПозиции[[#This Row],[item]]="Посылка"),ТабПозиции[[#This Row],[deliverySumm]]+ТабПозиции[[#This Row],[deliveryPost]],SUM(M1473:O1473))</f>
        <v>327</v>
      </c>
      <c r="Q1473" s="57">
        <v>327</v>
      </c>
      <c r="R1473" s="62">
        <f>ТабПозиции[[#This Row],[totalSumm]]-ТабПозиции[[#This Row],[payment]]</f>
        <v>0</v>
      </c>
      <c r="S1473" s="34" t="s">
        <v>955</v>
      </c>
      <c r="T1473" s="56" t="s">
        <v>3061</v>
      </c>
      <c r="U1473" s="56" t="str">
        <f>IF(AND(ТабПозиции[[#This Row],[Остаток]]=0,ТабПозиции[[#This Row],[ord]]="true"),"true","false")</f>
        <v>true</v>
      </c>
      <c r="V1473" s="56" t="str">
        <f>IF(AND(ТабПозиции[[#This Row],[Остаток]]=0,ТабПозиции[[#This Row],[ord]]="true"),"true","false")</f>
        <v>true</v>
      </c>
      <c r="W1473" s="7"/>
      <c r="X1473"/>
    </row>
    <row r="1474" spans="1:24" x14ac:dyDescent="0.25">
      <c r="A1474" s="26">
        <v>385</v>
      </c>
      <c r="B1474" s="1">
        <f>IFERROR(VLOOKUP(ТабПозиции[[#This Row],[orderNum]],ТабЗаказы[#Data],MATCH(B$7,ТабЗаказы[#Headers],0),0),"")</f>
        <v>45636</v>
      </c>
      <c r="C1474" t="str">
        <f>MONTH(ТабПозиции[[#This Row],[date]])&amp;"/"&amp;YEAR(ТабПозиции[[#This Row],[date]])</f>
        <v>12/2024</v>
      </c>
      <c r="D1474" s="1" t="str">
        <f>IFERROR(VLOOKUP(ТабПозиции[[#This Row],[orderNum]],ТабЗаказы[#Data],MATCH(D$7,ТабЗаказы[#Headers],0),0),"")</f>
        <v>Елена Ларисына</v>
      </c>
      <c r="E1474" s="32" t="s">
        <v>2103</v>
      </c>
      <c r="F1474" s="56" t="s">
        <v>3061</v>
      </c>
      <c r="H1474" s="34">
        <v>45638</v>
      </c>
      <c r="I1474" s="26">
        <v>1</v>
      </c>
      <c r="J1474" s="26">
        <v>117</v>
      </c>
      <c r="K1474">
        <f>ТабПозиции[[#This Row],[discountPrice]]*ТабПозиции[[#This Row],[quantity]]</f>
        <v>117</v>
      </c>
      <c r="L1474" s="26">
        <v>119</v>
      </c>
      <c r="M1474">
        <f t="shared" si="27"/>
        <v>119</v>
      </c>
      <c r="O147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Row],[orderNum]],ТабПозиции[orderSumm])&gt;1500),ABS(M1474*VLOOKUP(ТабПозиции[[#This Row],[orderNum]],ТабЗаказы[#Data],MATCH("Percent",ТабЗаказы[#Headers],0),0))/100,200/COUNTIF(ТабПозиции[orderNum],ТабПозиции[[#This Row],[orderNum]])),0),"")</f>
        <v>18</v>
      </c>
      <c r="P1474">
        <f>IF(OR(ТабПозиции[[#This Row],[item]]="По штрихкоду",ТабПозиции[[#This Row],[item]]="Посылка"),ТабПозиции[[#This Row],[deliverySumm]]+ТабПозиции[[#This Row],[deliveryPost]],SUM(M1474:O1474))</f>
        <v>137</v>
      </c>
      <c r="Q1474" s="57">
        <v>137</v>
      </c>
      <c r="R1474" s="62">
        <f>ТабПозиции[[#This Row],[totalSumm]]-ТабПозиции[[#This Row],[payment]]</f>
        <v>0</v>
      </c>
      <c r="S1474" s="34" t="s">
        <v>955</v>
      </c>
      <c r="T1474" s="56" t="s">
        <v>3061</v>
      </c>
      <c r="U1474" s="56" t="str">
        <f>IF(AND(ТабПозиции[[#This Row],[Остаток]]=0,ТабПозиции[[#This Row],[ord]]="true"),"true","false")</f>
        <v>true</v>
      </c>
      <c r="V1474" s="56" t="str">
        <f>IF(AND(ТабПозиции[[#This Row],[Остаток]]=0,ТабПозиции[[#This Row],[ord]]="true"),"true","false")</f>
        <v>true</v>
      </c>
      <c r="W1474" s="7"/>
      <c r="X1474"/>
    </row>
    <row r="1475" spans="1:24" x14ac:dyDescent="0.25">
      <c r="A1475" s="26">
        <v>385</v>
      </c>
      <c r="B1475" s="1">
        <f>IFERROR(VLOOKUP(ТабПозиции[[#This Row],[orderNum]],ТабЗаказы[#Data],MATCH(B$7,ТабЗаказы[#Headers],0),0),"")</f>
        <v>45636</v>
      </c>
      <c r="C1475" t="str">
        <f>MONTH(ТабПозиции[[#This Row],[date]])&amp;"/"&amp;YEAR(ТабПозиции[[#This Row],[date]])</f>
        <v>12/2024</v>
      </c>
      <c r="D1475" s="1" t="str">
        <f>IFERROR(VLOOKUP(ТабПозиции[[#This Row],[orderNum]],ТабЗаказы[#Data],MATCH(D$7,ТабЗаказы[#Headers],0),0),"")</f>
        <v>Елена Ларисына</v>
      </c>
      <c r="E1475" s="32" t="s">
        <v>2102</v>
      </c>
      <c r="F1475" s="56" t="s">
        <v>3061</v>
      </c>
      <c r="H1475" s="34">
        <v>45637</v>
      </c>
      <c r="I1475" s="26">
        <v>1</v>
      </c>
      <c r="J1475" s="26">
        <v>115</v>
      </c>
      <c r="K1475">
        <f>ТабПозиции[[#This Row],[discountPrice]]*ТабПозиции[[#This Row],[quantity]]</f>
        <v>115</v>
      </c>
      <c r="L1475" s="26">
        <v>117</v>
      </c>
      <c r="M1475">
        <f t="shared" si="27"/>
        <v>117</v>
      </c>
      <c r="O147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Row],[orderNum]],ТабПозиции[orderSumm])&gt;1500),ABS(M1475*VLOOKUP(ТабПозиции[[#This Row],[orderNum]],ТабЗаказы[#Data],MATCH("Percent",ТабЗаказы[#Headers],0),0))/100,200/COUNTIF(ТабПозиции[orderNum],ТабПозиции[[#This Row],[orderNum]])),0),"")</f>
        <v>18</v>
      </c>
      <c r="P1475">
        <f>IF(OR(ТабПозиции[[#This Row],[item]]="По штрихкоду",ТабПозиции[[#This Row],[item]]="Посылка"),ТабПозиции[[#This Row],[deliverySumm]]+ТабПозиции[[#This Row],[deliveryPost]],SUM(M1475:O1475))</f>
        <v>135</v>
      </c>
      <c r="Q1475" s="57">
        <v>135</v>
      </c>
      <c r="R1475" s="62">
        <f>ТабПозиции[[#This Row],[totalSumm]]-ТабПозиции[[#This Row],[payment]]</f>
        <v>0</v>
      </c>
      <c r="S1475" s="34" t="s">
        <v>955</v>
      </c>
      <c r="T1475" s="56" t="s">
        <v>3061</v>
      </c>
      <c r="U1475" s="56" t="str">
        <f>IF(AND(ТабПозиции[[#This Row],[Остаток]]=0,ТабПозиции[[#This Row],[ord]]="true"),"true","false")</f>
        <v>true</v>
      </c>
      <c r="V1475" s="56" t="str">
        <f>IF(AND(ТабПозиции[[#This Row],[Остаток]]=0,ТабПозиции[[#This Row],[ord]]="true"),"true","false")</f>
        <v>true</v>
      </c>
      <c r="W1475" s="7"/>
      <c r="X1475"/>
    </row>
    <row r="1476" spans="1:24" x14ac:dyDescent="0.25">
      <c r="A1476" s="26">
        <v>385</v>
      </c>
      <c r="B1476" s="1">
        <f>IFERROR(VLOOKUP(ТабПозиции[[#This Row],[orderNum]],ТабЗаказы[#Data],MATCH(B$7,ТабЗаказы[#Headers],0),0),"")</f>
        <v>45636</v>
      </c>
      <c r="C1476" t="str">
        <f>MONTH(ТабПозиции[[#This Row],[date]])&amp;"/"&amp;YEAR(ТабПозиции[[#This Row],[date]])</f>
        <v>12/2024</v>
      </c>
      <c r="D1476" s="1" t="str">
        <f>IFERROR(VLOOKUP(ТабПозиции[[#This Row],[orderNum]],ТабЗаказы[#Data],MATCH(D$7,ТабЗаказы[#Headers],0),0),"")</f>
        <v>Елена Ларисына</v>
      </c>
      <c r="E1476" s="32" t="s">
        <v>2063</v>
      </c>
      <c r="F1476" s="56" t="s">
        <v>3061</v>
      </c>
      <c r="H1476" s="34">
        <v>45637</v>
      </c>
      <c r="I1476" s="26">
        <v>1</v>
      </c>
      <c r="J1476" s="26">
        <v>144</v>
      </c>
      <c r="K1476">
        <f>ТабПозиции[[#This Row],[discountPrice]]*ТабПозиции[[#This Row],[quantity]]</f>
        <v>144</v>
      </c>
      <c r="L1476" s="26">
        <v>147</v>
      </c>
      <c r="M1476">
        <f t="shared" si="27"/>
        <v>147</v>
      </c>
      <c r="O147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Row],[orderNum]],ТабПозиции[orderSumm])&gt;1500),ABS(M1476*VLOOKUP(ТабПозиции[[#This Row],[orderNum]],ТабЗаказы[#Data],MATCH("Percent",ТабЗаказы[#Headers],0),0))/100,200/COUNTIF(ТабПозиции[orderNum],ТабПозиции[[#This Row],[orderNum]])),0),"")</f>
        <v>22</v>
      </c>
      <c r="P1476">
        <f>IF(OR(ТабПозиции[[#This Row],[item]]="По штрихкоду",ТабПозиции[[#This Row],[item]]="Посылка"),ТабПозиции[[#This Row],[deliverySumm]]+ТабПозиции[[#This Row],[deliveryPost]],SUM(M1476:O1476))</f>
        <v>169</v>
      </c>
      <c r="Q1476" s="57">
        <v>169</v>
      </c>
      <c r="R1476" s="62">
        <f>ТабПозиции[[#This Row],[totalSumm]]-ТабПозиции[[#This Row],[payment]]</f>
        <v>0</v>
      </c>
      <c r="S1476" s="34" t="s">
        <v>955</v>
      </c>
      <c r="T1476" s="56" t="s">
        <v>3061</v>
      </c>
      <c r="U1476" s="56" t="str">
        <f>IF(AND(ТабПозиции[[#This Row],[Остаток]]=0,ТабПозиции[[#This Row],[ord]]="true"),"true","false")</f>
        <v>true</v>
      </c>
      <c r="V1476" s="56" t="str">
        <f>IF(AND(ТабПозиции[[#This Row],[Остаток]]=0,ТабПозиции[[#This Row],[ord]]="true"),"true","false")</f>
        <v>true</v>
      </c>
      <c r="W1476" s="7"/>
      <c r="X1476"/>
    </row>
    <row r="1477" spans="1:24" x14ac:dyDescent="0.25">
      <c r="A1477" s="26">
        <v>385</v>
      </c>
      <c r="B1477" s="1">
        <f>IFERROR(VLOOKUP(ТабПозиции[[#This Row],[orderNum]],ТабЗаказы[#Data],MATCH(B$7,ТабЗаказы[#Headers],0),0),"")</f>
        <v>45636</v>
      </c>
      <c r="C1477" t="str">
        <f>MONTH(ТабПозиции[[#This Row],[date]])&amp;"/"&amp;YEAR(ТабПозиции[[#This Row],[date]])</f>
        <v>12/2024</v>
      </c>
      <c r="D1477" s="1" t="str">
        <f>IFERROR(VLOOKUP(ТабПозиции[[#This Row],[orderNum]],ТабЗаказы[#Data],MATCH(D$7,ТабЗаказы[#Headers],0),0),"")</f>
        <v>Елена Ларисына</v>
      </c>
      <c r="E1477" s="32" t="s">
        <v>2104</v>
      </c>
      <c r="F1477" s="56" t="s">
        <v>3061</v>
      </c>
      <c r="G1477" s="28" t="s">
        <v>2148</v>
      </c>
      <c r="H1477" s="34">
        <v>45299</v>
      </c>
      <c r="I1477" s="26">
        <v>1</v>
      </c>
      <c r="J1477" s="26">
        <v>117</v>
      </c>
      <c r="K1477">
        <f>ТабПозиции[[#This Row],[discountPrice]]*ТабПозиции[[#This Row],[quantity]]</f>
        <v>117</v>
      </c>
      <c r="L1477" s="26">
        <v>122</v>
      </c>
      <c r="M1477">
        <f t="shared" si="27"/>
        <v>122</v>
      </c>
      <c r="O147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Row],[orderNum]],ТабПозиции[orderSumm])&gt;1500),ABS(M1477*VLOOKUP(ТабПозиции[[#This Row],[orderNum]],ТабЗаказы[#Data],MATCH("Percent",ТабЗаказы[#Headers],0),0))/100,200/COUNTIF(ТабПозиции[orderNum],ТабПозиции[[#This Row],[orderNum]])),0),"")</f>
        <v>18</v>
      </c>
      <c r="P1477">
        <f>IF(OR(ТабПозиции[[#This Row],[item]]="По штрихкоду",ТабПозиции[[#This Row],[item]]="Посылка"),ТабПозиции[[#This Row],[deliverySumm]]+ТабПозиции[[#This Row],[deliveryPost]],SUM(M1477:O1477))</f>
        <v>140</v>
      </c>
      <c r="Q1477" s="57">
        <v>140</v>
      </c>
      <c r="R1477" s="62">
        <f>ТабПозиции[[#This Row],[totalSumm]]-ТабПозиции[[#This Row],[payment]]</f>
        <v>0</v>
      </c>
      <c r="S1477" s="34" t="s">
        <v>955</v>
      </c>
      <c r="T1477" s="56" t="s">
        <v>3061</v>
      </c>
      <c r="U1477" s="56" t="str">
        <f>IF(AND(ТабПозиции[[#This Row],[Остаток]]=0,ТабПозиции[[#This Row],[ord]]="true"),"true","false")</f>
        <v>true</v>
      </c>
      <c r="V1477" s="56" t="s">
        <v>3061</v>
      </c>
      <c r="W1477" s="7"/>
      <c r="X1477"/>
    </row>
    <row r="1478" spans="1:24" x14ac:dyDescent="0.25">
      <c r="A1478" s="26">
        <v>385</v>
      </c>
      <c r="B1478" s="1">
        <f>IFERROR(VLOOKUP(ТабПозиции[[#This Row],[orderNum]],ТабЗаказы[#Data],MATCH(B$7,ТабЗаказы[#Headers],0),0),"")</f>
        <v>45636</v>
      </c>
      <c r="C1478" t="str">
        <f>MONTH(ТабПозиции[[#This Row],[date]])&amp;"/"&amp;YEAR(ТабПозиции[[#This Row],[date]])</f>
        <v>12/2024</v>
      </c>
      <c r="D1478" s="1" t="str">
        <f>IFERROR(VLOOKUP(ТабПозиции[[#This Row],[orderNum]],ТабЗаказы[#Data],MATCH(D$7,ТабЗаказы[#Headers],0),0),"")</f>
        <v>Елена Ларисына</v>
      </c>
      <c r="E1478" s="32" t="s">
        <v>2104</v>
      </c>
      <c r="F1478" s="56" t="s">
        <v>3061</v>
      </c>
      <c r="H1478" s="34">
        <v>45640</v>
      </c>
      <c r="I1478" s="26">
        <v>1</v>
      </c>
      <c r="J1478" s="26">
        <v>184</v>
      </c>
      <c r="K1478">
        <f>ТабПозиции[[#This Row],[discountPrice]]*ТабПозиции[[#This Row],[quantity]]</f>
        <v>184</v>
      </c>
      <c r="L1478" s="26">
        <v>194</v>
      </c>
      <c r="M1478">
        <f t="shared" si="27"/>
        <v>194</v>
      </c>
      <c r="O147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Row],[orderNum]],ТабПозиции[orderSumm])&gt;1500),ABS(M1478*VLOOKUP(ТабПозиции[[#This Row],[orderNum]],ТабЗаказы[#Data],MATCH("Percent",ТабЗаказы[#Headers],0),0))/100,200/COUNTIF(ТабПозиции[orderNum],ТабПозиции[[#This Row],[orderNum]])),0),"")</f>
        <v>29</v>
      </c>
      <c r="P1478">
        <f>IF(OR(ТабПозиции[[#This Row],[item]]="По штрихкоду",ТабПозиции[[#This Row],[item]]="Посылка"),ТабПозиции[[#This Row],[deliverySumm]]+ТабПозиции[[#This Row],[deliveryPost]],SUM(M1478:O1478))</f>
        <v>223</v>
      </c>
      <c r="Q1478" s="57">
        <v>223</v>
      </c>
      <c r="R1478" s="62">
        <f>ТабПозиции[[#This Row],[totalSumm]]-ТабПозиции[[#This Row],[payment]]</f>
        <v>0</v>
      </c>
      <c r="S1478" s="34" t="s">
        <v>965</v>
      </c>
      <c r="T1478" s="56" t="s">
        <v>3061</v>
      </c>
      <c r="U1478" s="56" t="str">
        <f>IF(AND(ТабПозиции[[#This Row],[Остаток]]=0,ТабПозиции[[#This Row],[ord]]="true"),"true","false")</f>
        <v>true</v>
      </c>
      <c r="V1478" s="56" t="s">
        <v>3061</v>
      </c>
      <c r="W1478" s="7"/>
      <c r="X1478"/>
    </row>
    <row r="1479" spans="1:24" x14ac:dyDescent="0.25">
      <c r="A1479" s="26">
        <v>385</v>
      </c>
      <c r="B1479" s="1">
        <f>IFERROR(VLOOKUP(ТабПозиции[[#This Row],[orderNum]],ТабЗаказы[#Data],MATCH(B$7,ТабЗаказы[#Headers],0),0),"")</f>
        <v>45636</v>
      </c>
      <c r="C1479" t="str">
        <f>MONTH(ТабПозиции[[#This Row],[date]])&amp;"/"&amp;YEAR(ТабПозиции[[#This Row],[date]])</f>
        <v>12/2024</v>
      </c>
      <c r="D1479" s="1" t="str">
        <f>IFERROR(VLOOKUP(ТабПозиции[[#This Row],[orderNum]],ТабЗаказы[#Data],MATCH(D$7,ТабЗаказы[#Headers],0),0),"")</f>
        <v>Елена Ларисына</v>
      </c>
      <c r="E1479" s="32" t="s">
        <v>2104</v>
      </c>
      <c r="F1479" s="56" t="s">
        <v>3061</v>
      </c>
      <c r="H1479" s="34">
        <v>45639</v>
      </c>
      <c r="I1479" s="26">
        <v>1</v>
      </c>
      <c r="J1479" s="26">
        <v>157</v>
      </c>
      <c r="K1479">
        <f>ТабПозиции[[#This Row],[discountPrice]]*ТабПозиции[[#This Row],[quantity]]</f>
        <v>157</v>
      </c>
      <c r="L1479" s="26">
        <v>166</v>
      </c>
      <c r="M1479">
        <f t="shared" si="27"/>
        <v>166</v>
      </c>
      <c r="O147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Row],[orderNum]],ТабПозиции[orderSumm])&gt;1500),ABS(M1479*VLOOKUP(ТабПозиции[[#This Row],[orderNum]],ТабЗаказы[#Data],MATCH("Percent",ТабЗаказы[#Headers],0),0))/100,200/COUNTIF(ТабПозиции[orderNum],ТабПозиции[[#This Row],[orderNum]])),0),"")</f>
        <v>25</v>
      </c>
      <c r="P1479">
        <f>IF(OR(ТабПозиции[[#This Row],[item]]="По штрихкоду",ТабПозиции[[#This Row],[item]]="Посылка"),ТабПозиции[[#This Row],[deliverySumm]]+ТабПозиции[[#This Row],[deliveryPost]],SUM(M1479:O1479))</f>
        <v>191</v>
      </c>
      <c r="Q1479" s="57">
        <v>191</v>
      </c>
      <c r="R1479" s="62">
        <f>ТабПозиции[[#This Row],[totalSumm]]-ТабПозиции[[#This Row],[payment]]</f>
        <v>0</v>
      </c>
      <c r="S1479" s="34" t="s">
        <v>965</v>
      </c>
      <c r="T1479" s="56" t="s">
        <v>3061</v>
      </c>
      <c r="U1479" s="56" t="str">
        <f>IF(AND(ТабПозиции[[#This Row],[Остаток]]=0,ТабПозиции[[#This Row],[ord]]="true"),"true","false")</f>
        <v>true</v>
      </c>
      <c r="V1479" s="56" t="s">
        <v>3061</v>
      </c>
      <c r="W1479" s="7"/>
      <c r="X1479"/>
    </row>
    <row r="1480" spans="1:24" x14ac:dyDescent="0.25">
      <c r="A1480" s="26">
        <v>385</v>
      </c>
      <c r="B1480" s="1">
        <f>IFERROR(VLOOKUP(ТабПозиции[[#This Row],[orderNum]],ТабЗаказы[#Data],MATCH(B$7,ТабЗаказы[#Headers],0),0),"")</f>
        <v>45636</v>
      </c>
      <c r="C1480" t="str">
        <f>MONTH(ТабПозиции[[#This Row],[date]])&amp;"/"&amp;YEAR(ТабПозиции[[#This Row],[date]])</f>
        <v>12/2024</v>
      </c>
      <c r="D1480" s="1" t="str">
        <f>IFERROR(VLOOKUP(ТабПозиции[[#This Row],[orderNum]],ТабЗаказы[#Data],MATCH(D$7,ТабЗаказы[#Headers],0),0),"")</f>
        <v>Елена Ларисына</v>
      </c>
      <c r="E1480" s="32" t="s">
        <v>2105</v>
      </c>
      <c r="F1480" s="56" t="s">
        <v>3061</v>
      </c>
      <c r="H1480" s="34">
        <v>45640</v>
      </c>
      <c r="I1480" s="26">
        <v>1</v>
      </c>
      <c r="J1480" s="26">
        <v>184</v>
      </c>
      <c r="K1480">
        <f>ТабПозиции[[#This Row],[discountPrice]]*ТабПозиции[[#This Row],[quantity]]</f>
        <v>184</v>
      </c>
      <c r="L1480" s="26">
        <v>194</v>
      </c>
      <c r="M1480">
        <f t="shared" si="27"/>
        <v>194</v>
      </c>
      <c r="O148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Row],[orderNum]],ТабПозиции[orderSumm])&gt;1500),ABS(M1480*VLOOKUP(ТабПозиции[[#This Row],[orderNum]],ТабЗаказы[#Data],MATCH("Percent",ТабЗаказы[#Headers],0),0))/100,200/COUNTIF(ТабПозиции[orderNum],ТабПозиции[[#This Row],[orderNum]])),0),"")</f>
        <v>29</v>
      </c>
      <c r="P1480">
        <f>IF(OR(ТабПозиции[[#This Row],[item]]="По штрихкоду",ТабПозиции[[#This Row],[item]]="Посылка"),ТабПозиции[[#This Row],[deliverySumm]]+ТабПозиции[[#This Row],[deliveryPost]],SUM(M1480:O1480))</f>
        <v>223</v>
      </c>
      <c r="Q1480" s="57">
        <v>223</v>
      </c>
      <c r="R1480" s="62">
        <f>ТабПозиции[[#This Row],[totalSumm]]-ТабПозиции[[#This Row],[payment]]</f>
        <v>0</v>
      </c>
      <c r="S1480" s="34" t="s">
        <v>965</v>
      </c>
      <c r="T1480" s="56" t="s">
        <v>3061</v>
      </c>
      <c r="U1480" s="56" t="str">
        <f>IF(AND(ТабПозиции[[#This Row],[Остаток]]=0,ТабПозиции[[#This Row],[ord]]="true"),"true","false")</f>
        <v>true</v>
      </c>
      <c r="V1480" s="56" t="str">
        <f>IF(AND(ТабПозиции[[#This Row],[Остаток]]=0,ТабПозиции[[#This Row],[ord]]="true"),"true","false")</f>
        <v>true</v>
      </c>
      <c r="W1480" s="7"/>
      <c r="X1480"/>
    </row>
    <row r="1481" spans="1:24" x14ac:dyDescent="0.25">
      <c r="A1481" s="26">
        <v>385</v>
      </c>
      <c r="B1481" s="1">
        <f>IFERROR(VLOOKUP(ТабПозиции[[#This Row],[orderNum]],ТабЗаказы[#Data],MATCH(B$7,ТабЗаказы[#Headers],0),0),"")</f>
        <v>45636</v>
      </c>
      <c r="C1481" t="str">
        <f>MONTH(ТабПозиции[[#This Row],[date]])&amp;"/"&amp;YEAR(ТабПозиции[[#This Row],[date]])</f>
        <v>12/2024</v>
      </c>
      <c r="D1481" s="1" t="str">
        <f>IFERROR(VLOOKUP(ТабПозиции[[#This Row],[orderNum]],ТабЗаказы[#Data],MATCH(D$7,ТабЗаказы[#Headers],0),0),"")</f>
        <v>Елена Ларисына</v>
      </c>
      <c r="E1481" s="32" t="s">
        <v>2106</v>
      </c>
      <c r="F1481" s="56" t="s">
        <v>3061</v>
      </c>
      <c r="H1481" s="34">
        <v>45638</v>
      </c>
      <c r="I1481" s="26">
        <v>1</v>
      </c>
      <c r="J1481" s="26">
        <v>3939</v>
      </c>
      <c r="K1481">
        <f>ТабПозиции[[#This Row],[discountPrice]]*ТабПозиции[[#This Row],[quantity]]</f>
        <v>3939</v>
      </c>
      <c r="L1481" s="26">
        <v>4147</v>
      </c>
      <c r="M1481">
        <f t="shared" ref="M1481:M1543" si="28">L1481*I1481</f>
        <v>4147</v>
      </c>
      <c r="O148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Row],[orderNum]],ТабПозиции[orderSumm])&gt;1500),ABS(M1481*VLOOKUP(ТабПозиции[[#This Row],[orderNum]],ТабЗаказы[#Data],MATCH("Percent",ТабЗаказы[#Headers],0),0))/100,200/COUNTIF(ТабПозиции[orderNum],ТабПозиции[[#This Row],[orderNum]])),0),"")</f>
        <v>622</v>
      </c>
      <c r="P1481">
        <f>IF(OR(ТабПозиции[[#This Row],[item]]="По штрихкоду",ТабПозиции[[#This Row],[item]]="Посылка"),ТабПозиции[[#This Row],[deliverySumm]]+ТабПозиции[[#This Row],[deliveryPost]],SUM(M1481:O1481))</f>
        <v>4769</v>
      </c>
      <c r="Q1481" s="57">
        <v>4769</v>
      </c>
      <c r="R1481" s="62">
        <f>ТабПозиции[[#This Row],[totalSumm]]-ТабПозиции[[#This Row],[payment]]</f>
        <v>0</v>
      </c>
      <c r="S1481" s="34" t="s">
        <v>965</v>
      </c>
      <c r="T1481" s="56" t="s">
        <v>3061</v>
      </c>
      <c r="U1481" s="56" t="str">
        <f>IF(AND(ТабПозиции[[#This Row],[Остаток]]=0,ТабПозиции[[#This Row],[ord]]="true"),"true","false")</f>
        <v>true</v>
      </c>
      <c r="V1481" s="56" t="str">
        <f>IF(AND(ТабПозиции[[#This Row],[Остаток]]=0,ТабПозиции[[#This Row],[ord]]="true"),"true","false")</f>
        <v>true</v>
      </c>
      <c r="W1481" s="7"/>
      <c r="X1481"/>
    </row>
    <row r="1482" spans="1:24" x14ac:dyDescent="0.25">
      <c r="A1482" s="26">
        <v>386</v>
      </c>
      <c r="B1482" s="1">
        <f>IFERROR(VLOOKUP(ТабПозиции[[#This Row],[orderNum]],ТабЗаказы[#Data],MATCH(B$7,ТабЗаказы[#Headers],0),0),"")</f>
        <v>45636</v>
      </c>
      <c r="C1482" t="str">
        <f>MONTH(ТабПозиции[[#This Row],[date]])&amp;"/"&amp;YEAR(ТабПозиции[[#This Row],[date]])</f>
        <v>12/2024</v>
      </c>
      <c r="D1482" s="1" t="str">
        <f>IFERROR(VLOOKUP(ТабПозиции[[#This Row],[orderNum]],ТабЗаказы[#Data],MATCH(D$7,ТабЗаказы[#Headers],0),0),"")</f>
        <v>Юрий от Вадима</v>
      </c>
      <c r="E1482" s="32" t="s">
        <v>2109</v>
      </c>
      <c r="F1482" s="56" t="s">
        <v>3061</v>
      </c>
      <c r="H1482" s="34">
        <v>45641</v>
      </c>
      <c r="I1482" s="26">
        <v>1</v>
      </c>
      <c r="J1482" s="26">
        <v>457</v>
      </c>
      <c r="K1482">
        <f>ТабПозиции[[#This Row],[discountPrice]]*ТабПозиции[[#This Row],[quantity]]</f>
        <v>457</v>
      </c>
      <c r="L1482" s="26">
        <v>466</v>
      </c>
      <c r="M1482">
        <f t="shared" si="28"/>
        <v>466</v>
      </c>
      <c r="O148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Row],[orderNum]],ТабПозиции[orderSumm])&gt;1500),ABS(M1482*VLOOKUP(ТабПозиции[[#This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482">
        <f>IF(OR(ТабПозиции[[#This Row],[item]]="По штрихкоду",ТабПозиции[[#This Row],[item]]="Посылка"),ТабПозиции[[#This Row],[deliverySumm]]+ТабПозиции[[#This Row],[deliveryPost]],SUM(M1482:O1482))</f>
        <v>666</v>
      </c>
      <c r="Q1482" s="57">
        <v>666</v>
      </c>
      <c r="R1482" s="62">
        <f>ТабПозиции[[#This Row],[totalSumm]]-ТабПозиции[[#This Row],[payment]]</f>
        <v>0</v>
      </c>
      <c r="S1482" s="34" t="s">
        <v>965</v>
      </c>
      <c r="T1482" s="56" t="s">
        <v>3061</v>
      </c>
      <c r="U1482" s="56" t="str">
        <f>IF(AND(ТабПозиции[[#This Row],[Остаток]]=0,ТабПозиции[[#This Row],[ord]]="true"),"true","false")</f>
        <v>true</v>
      </c>
      <c r="V1482" s="56" t="s">
        <v>3061</v>
      </c>
      <c r="W1482" s="7"/>
      <c r="X1482"/>
    </row>
    <row r="1483" spans="1:24" x14ac:dyDescent="0.25">
      <c r="A1483" s="26">
        <v>387</v>
      </c>
      <c r="B1483" s="1">
        <f>IFERROR(VLOOKUP(ТабПозиции[[#This Row],[orderNum]],ТабЗаказы[#Data],MATCH(B$7,ТабЗаказы[#Headers],0),0),"")</f>
        <v>45638</v>
      </c>
      <c r="C1483" t="str">
        <f>MONTH(ТабПозиции[[#This Row],[date]])&amp;"/"&amp;YEAR(ТабПозиции[[#This Row],[date]])</f>
        <v>12/2024</v>
      </c>
      <c r="D1483" s="1" t="str">
        <f>IFERROR(VLOOKUP(ТабПозиции[[#This Row],[orderNum]],ТабЗаказы[#Data],MATCH(D$7,ТабЗаказы[#Headers],0),0),"")</f>
        <v>Александр Радин</v>
      </c>
      <c r="E1483" s="26" t="s">
        <v>815</v>
      </c>
      <c r="F1483" s="56" t="s">
        <v>3061</v>
      </c>
      <c r="G1483" s="28" t="s">
        <v>2110</v>
      </c>
      <c r="H1483" s="34">
        <v>45651</v>
      </c>
      <c r="I1483" s="26">
        <v>1</v>
      </c>
      <c r="J1483" s="26">
        <v>21650</v>
      </c>
      <c r="K1483">
        <f>ТабПозиции[[#This Row],[discountPrice]]*ТабПозиции[[#This Row],[quantity]]</f>
        <v>21650</v>
      </c>
      <c r="L1483" s="26">
        <v>21650</v>
      </c>
      <c r="M1483">
        <f t="shared" si="28"/>
        <v>21650</v>
      </c>
      <c r="O148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Row],[orderNum]],ТабПозиции[orderSumm])&gt;1500),ABS(M1483*VLOOKUP(ТабПозиции[[#This Row],[orderNum]],ТабЗаказы[#Data],MATCH("Percent",ТабЗаказы[#Headers],0),0))/100,200/COUNTIF(ТабПозиции[orderNum],ТабПозиции[[#This Row],[orderNum]])),0),"")</f>
        <v>2165</v>
      </c>
      <c r="P1483">
        <f>IF(OR(ТабПозиции[[#This Row],[item]]="По штрихкоду",ТабПозиции[[#This Row],[item]]="Посылка"),ТабПозиции[[#This Row],[deliverySumm]]+ТабПозиции[[#This Row],[deliveryPost]],SUM(M1483:O1483))</f>
        <v>2165</v>
      </c>
      <c r="Q1483" s="57">
        <v>2165</v>
      </c>
      <c r="R1483" s="62">
        <f>ТабПозиции[[#This Row],[totalSumm]]-ТабПозиции[[#This Row],[payment]]</f>
        <v>0</v>
      </c>
      <c r="S1483" s="34" t="s">
        <v>1016</v>
      </c>
      <c r="T1483" s="56" t="s">
        <v>3061</v>
      </c>
      <c r="U1483" s="56" t="str">
        <f>IF(AND(ТабПозиции[[#This Row],[Остаток]]=0,ТабПозиции[[#This Row],[ord]]="true"),"true","false")</f>
        <v>true</v>
      </c>
      <c r="V1483" s="56" t="s">
        <v>3061</v>
      </c>
      <c r="W1483" s="7"/>
      <c r="X1483"/>
    </row>
    <row r="1484" spans="1:24" x14ac:dyDescent="0.25">
      <c r="A1484" s="26">
        <v>388</v>
      </c>
      <c r="B1484" s="1">
        <f>IFERROR(VLOOKUP(ТабПозиции[[#This Row],[orderNum]],ТабЗаказы[#Data],MATCH(B$7,ТабЗаказы[#Headers],0),0),"")</f>
        <v>45638</v>
      </c>
      <c r="C1484" t="str">
        <f>MONTH(ТабПозиции[[#This Row],[date]])&amp;"/"&amp;YEAR(ТабПозиции[[#This Row],[date]])</f>
        <v>12/2024</v>
      </c>
      <c r="D1484" s="1" t="str">
        <f>IFERROR(VLOOKUP(ТабПозиции[[#This Row],[orderNum]],ТабЗаказы[#Data],MATCH(D$7,ТабЗаказы[#Headers],0),0),"")</f>
        <v>Максим телевизор</v>
      </c>
      <c r="E1484" s="26" t="s">
        <v>815</v>
      </c>
      <c r="F1484" s="56" t="s">
        <v>3061</v>
      </c>
      <c r="G1484" s="28" t="s">
        <v>2112</v>
      </c>
      <c r="H1484" s="34">
        <v>45638</v>
      </c>
      <c r="I1484" s="26">
        <v>1</v>
      </c>
      <c r="J1484" s="26">
        <v>6400</v>
      </c>
      <c r="K1484">
        <f>ТабПозиции[[#This Row],[discountPrice]]*ТабПозиции[[#This Row],[quantity]]</f>
        <v>6400</v>
      </c>
      <c r="L1484" s="26">
        <v>6400</v>
      </c>
      <c r="M1484">
        <f t="shared" si="28"/>
        <v>6400</v>
      </c>
      <c r="O148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Row],[orderNum]],ТабПозиции[orderSumm])&gt;1500),ABS(M1484*VLOOKUP(ТабПозиции[[#This Row],[orderNum]],ТабЗаказы[#Data],MATCH("Percent",ТабЗаказы[#Headers],0),0))/100,200/COUNTIF(ТабПозиции[orderNum],ТабПозиции[[#This Row],[orderNum]])),0),"")</f>
        <v>640</v>
      </c>
      <c r="P1484">
        <f>IF(OR(ТабПозиции[[#This Row],[item]]="По штрихкоду",ТабПозиции[[#This Row],[item]]="Посылка"),ТабПозиции[[#This Row],[deliverySumm]]+ТабПозиции[[#This Row],[deliveryPost]],SUM(M1484:O1484))</f>
        <v>640</v>
      </c>
      <c r="Q1484" s="57">
        <v>640</v>
      </c>
      <c r="R1484" s="62">
        <f>ТабПозиции[[#This Row],[totalSumm]]-ТабПозиции[[#This Row],[payment]]</f>
        <v>0</v>
      </c>
      <c r="S1484" s="34" t="s">
        <v>1016</v>
      </c>
      <c r="T1484" s="56" t="s">
        <v>3061</v>
      </c>
      <c r="U1484" s="56" t="str">
        <f>IF(AND(ТабПозиции[[#This Row],[Остаток]]=0,ТабПозиции[[#This Row],[ord]]="true"),"true","false")</f>
        <v>true</v>
      </c>
      <c r="V1484" s="56" t="s">
        <v>3061</v>
      </c>
      <c r="W1484" s="7"/>
      <c r="X1484"/>
    </row>
    <row r="1485" spans="1:24" x14ac:dyDescent="0.25">
      <c r="A1485" s="26">
        <v>388</v>
      </c>
      <c r="B1485" s="1">
        <f>IFERROR(VLOOKUP(ТабПозиции[[#This Row],[orderNum]],ТабЗаказы[#Data],MATCH(B$7,ТабЗаказы[#Headers],0),0),"")</f>
        <v>45638</v>
      </c>
      <c r="C1485" t="str">
        <f>MONTH(ТабПозиции[[#This Row],[date]])&amp;"/"&amp;YEAR(ТабПозиции[[#This Row],[date]])</f>
        <v>12/2024</v>
      </c>
      <c r="D1485" s="1" t="str">
        <f>IFERROR(VLOOKUP(ТабПозиции[[#This Row],[orderNum]],ТабЗаказы[#Data],MATCH(D$7,ТабЗаказы[#Headers],0),0),"")</f>
        <v>Максим телевизор</v>
      </c>
      <c r="E1485" s="26" t="s">
        <v>815</v>
      </c>
      <c r="F1485" s="56" t="s">
        <v>3061</v>
      </c>
      <c r="G1485" s="28" t="s">
        <v>2111</v>
      </c>
      <c r="H1485" s="34">
        <v>45638</v>
      </c>
      <c r="I1485" s="26">
        <v>1</v>
      </c>
      <c r="J1485" s="26">
        <v>7500</v>
      </c>
      <c r="K1485">
        <f>ТабПозиции[[#This Row],[discountPrice]]*ТабПозиции[[#This Row],[quantity]]</f>
        <v>7500</v>
      </c>
      <c r="L1485" s="26">
        <v>7500</v>
      </c>
      <c r="M1485">
        <f t="shared" si="28"/>
        <v>7500</v>
      </c>
      <c r="N1485" s="26">
        <v>1190</v>
      </c>
      <c r="O148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Row],[orderNum]],ТабПозиции[orderSumm])&gt;1500),ABS(M1485*VLOOKUP(ТабПозиции[[#This Row],[orderNum]],ТабЗаказы[#Data],MATCH("Percent",ТабЗаказы[#Headers],0),0))/100,200/COUNTIF(ТабПозиции[orderNum],ТабПозиции[[#This Row],[orderNum]])),0),"")</f>
        <v>750</v>
      </c>
      <c r="P1485">
        <f>IF(OR(ТабПозиции[[#This Row],[item]]="По штрихкоду",ТабПозиции[[#This Row],[item]]="Посылка"),ТабПозиции[[#This Row],[deliverySumm]]+ТабПозиции[[#This Row],[deliveryPost]],SUM(M1485:O1485))</f>
        <v>1940</v>
      </c>
      <c r="Q1485" s="57">
        <v>1940</v>
      </c>
      <c r="R1485" s="62">
        <f>ТабПозиции[[#This Row],[totalSumm]]-ТабПозиции[[#This Row],[payment]]</f>
        <v>0</v>
      </c>
      <c r="S1485" s="34" t="s">
        <v>1016</v>
      </c>
      <c r="T1485" s="56" t="s">
        <v>3061</v>
      </c>
      <c r="U1485" s="56" t="str">
        <f>IF(AND(ТабПозиции[[#This Row],[Остаток]]=0,ТабПозиции[[#This Row],[ord]]="true"),"true","false")</f>
        <v>true</v>
      </c>
      <c r="V1485" s="56" t="s">
        <v>3061</v>
      </c>
      <c r="W1485" s="7"/>
      <c r="X1485"/>
    </row>
    <row r="1486" spans="1:24" x14ac:dyDescent="0.25">
      <c r="A1486" s="26">
        <v>389</v>
      </c>
      <c r="B1486" s="1">
        <f>IFERROR(VLOOKUP(ТабПозиции[[#This Row],[orderNum]],ТабЗаказы[#Data],MATCH(B$7,ТабЗаказы[#Headers],0),0),"")</f>
        <v>45639</v>
      </c>
      <c r="C1486" t="str">
        <f>MONTH(ТабПозиции[[#This Row],[date]])&amp;"/"&amp;YEAR(ТабПозиции[[#This Row],[date]])</f>
        <v>12/2024</v>
      </c>
      <c r="D1486" s="1" t="str">
        <f>IFERROR(VLOOKUP(ТабПозиции[[#This Row],[orderNum]],ТабЗаказы[#Data],MATCH(D$7,ТабЗаказы[#Headers],0),0),"")</f>
        <v>Анна Лавицкого</v>
      </c>
      <c r="E1486" s="26" t="s">
        <v>32</v>
      </c>
      <c r="F1486" s="56" t="s">
        <v>3061</v>
      </c>
      <c r="H1486" s="34">
        <v>45639</v>
      </c>
      <c r="I1486" s="26">
        <v>1</v>
      </c>
      <c r="J1486" s="26">
        <v>6703</v>
      </c>
      <c r="K1486">
        <f>ТабПозиции[[#This Row],[discountPrice]]*ТабПозиции[[#This Row],[quantity]]</f>
        <v>6703</v>
      </c>
      <c r="L1486" s="26">
        <v>6703</v>
      </c>
      <c r="M1486">
        <f t="shared" si="28"/>
        <v>6703</v>
      </c>
      <c r="O148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Row],[orderNum]],ТабПозиции[orderSumm])&gt;1500),ABS(M1486*VLOOKUP(ТабПозиции[[#This Row],[orderNum]],ТабЗаказы[#Data],MATCH("Percent",ТабЗаказы[#Headers],0),0))/100,200/COUNTIF(ТабПозиции[orderNum],ТабПозиции[[#This Row],[orderNum]])),0),"")</f>
        <v>1005</v>
      </c>
      <c r="P1486">
        <f>IF(OR(ТабПозиции[[#This Row],[item]]="По штрихкоду",ТабПозиции[[#This Row],[item]]="Посылка"),ТабПозиции[[#This Row],[deliverySumm]]+ТабПозиции[[#This Row],[deliveryPost]],SUM(M1486:O1486))</f>
        <v>1005</v>
      </c>
      <c r="Q1486" s="57">
        <v>1005</v>
      </c>
      <c r="R1486" s="62">
        <f>ТабПозиции[[#This Row],[totalSumm]]-ТабПозиции[[#This Row],[payment]]</f>
        <v>0</v>
      </c>
      <c r="S1486" s="34" t="s">
        <v>965</v>
      </c>
      <c r="T1486" s="56" t="s">
        <v>3061</v>
      </c>
      <c r="U1486" s="56" t="str">
        <f>IF(AND(ТабПозиции[[#This Row],[Остаток]]=0,ТабПозиции[[#This Row],[ord]]="true"),"true","false")</f>
        <v>true</v>
      </c>
      <c r="V1486" s="56" t="str">
        <f>IF(AND(ТабПозиции[[#This Row],[Остаток]]=0,ТабПозиции[[#This Row],[ord]]="true"),"true","false")</f>
        <v>true</v>
      </c>
      <c r="W1486" s="7"/>
      <c r="X1486"/>
    </row>
    <row r="1487" spans="1:24" x14ac:dyDescent="0.25">
      <c r="A1487" s="26">
        <v>390</v>
      </c>
      <c r="B1487" s="1">
        <f>IFERROR(VLOOKUP(ТабПозиции[[#This Row],[orderNum]],ТабЗаказы[#Data],MATCH(B$7,ТабЗаказы[#Headers],0),0),"")</f>
        <v>45639</v>
      </c>
      <c r="C1487" t="str">
        <f>MONTH(ТабПозиции[[#This Row],[date]])&amp;"/"&amp;YEAR(ТабПозиции[[#This Row],[date]])</f>
        <v>12/2024</v>
      </c>
      <c r="D1487" s="1" t="s">
        <v>456</v>
      </c>
      <c r="E1487" s="26" t="s">
        <v>32</v>
      </c>
      <c r="F1487" s="56" t="s">
        <v>3061</v>
      </c>
      <c r="H1487" s="34">
        <v>45639</v>
      </c>
      <c r="I1487" s="26">
        <v>1</v>
      </c>
      <c r="J1487" s="26">
        <v>1232</v>
      </c>
      <c r="K1487">
        <f>ТабПозиции[[#This Row],[discountPrice]]*ТабПозиции[[#This Row],[quantity]]</f>
        <v>1232</v>
      </c>
      <c r="L1487" s="26">
        <v>1232</v>
      </c>
      <c r="M1487">
        <f t="shared" si="28"/>
        <v>1232</v>
      </c>
      <c r="O148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Row],[orderNum]],ТабПозиции[orderSumm])&gt;1500),ABS(M1487*VLOOKUP(ТабПозиции[[#This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487">
        <f>IF(OR(ТабПозиции[[#This Row],[item]]="По штрихкоду",ТабПозиции[[#This Row],[item]]="Посылка"),ТабПозиции[[#This Row],[deliverySumm]]+ТабПозиции[[#This Row],[deliveryPost]],SUM(M1487:O1487))</f>
        <v>200</v>
      </c>
      <c r="Q1487" s="57">
        <v>200</v>
      </c>
      <c r="R1487" s="62">
        <f>ТабПозиции[[#This Row],[totalSumm]]-ТабПозиции[[#This Row],[payment]]</f>
        <v>0</v>
      </c>
      <c r="S1487" s="34" t="s">
        <v>965</v>
      </c>
      <c r="T1487" s="56" t="s">
        <v>3061</v>
      </c>
      <c r="U1487" s="56" t="str">
        <f>IF(AND(ТабПозиции[[#This Row],[Остаток]]=0,ТабПозиции[[#This Row],[ord]]="true"),"true","false")</f>
        <v>true</v>
      </c>
      <c r="V1487" s="56" t="str">
        <f>IF(AND(ТабПозиции[[#This Row],[Остаток]]=0,ТабПозиции[[#This Row],[ord]]="true"),"true","false")</f>
        <v>true</v>
      </c>
      <c r="W1487" s="7"/>
      <c r="X1487"/>
    </row>
    <row r="1488" spans="1:24" x14ac:dyDescent="0.25">
      <c r="A1488" s="26">
        <v>391</v>
      </c>
      <c r="B1488" s="1">
        <f>IFERROR(VLOOKUP(ТабПозиции[[#This Row],[orderNum]],ТабЗаказы[#Data],MATCH(B$7,ТабЗаказы[#Headers],0),0),"")</f>
        <v>45639</v>
      </c>
      <c r="C1488" t="str">
        <f>MONTH(ТабПозиции[[#This Row],[date]])&amp;"/"&amp;YEAR(ТабПозиции[[#This Row],[date]])</f>
        <v>12/2024</v>
      </c>
      <c r="D1488" s="1" t="str">
        <f>IFERROR(VLOOKUP(ТабПозиции[[#This Row],[orderNum]],ТабЗаказы[#Data],MATCH(D$7,ТабЗаказы[#Headers],0),0),"")</f>
        <v>Наталья Лунина 13</v>
      </c>
      <c r="E1488" s="26" t="s">
        <v>32</v>
      </c>
      <c r="F1488" s="56" t="s">
        <v>3061</v>
      </c>
      <c r="H1488" s="34">
        <v>45639</v>
      </c>
      <c r="I1488" s="26">
        <v>1</v>
      </c>
      <c r="J1488" s="26">
        <v>1123</v>
      </c>
      <c r="K1488">
        <f>ТабПозиции[[#This Row],[discountPrice]]*ТабПозиции[[#This Row],[quantity]]</f>
        <v>1123</v>
      </c>
      <c r="L1488" s="26">
        <v>1123</v>
      </c>
      <c r="M1488">
        <f t="shared" si="28"/>
        <v>1123</v>
      </c>
      <c r="O148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Row],[orderNum]],ТабПозиции[orderSumm])&gt;1500),ABS(M1488*VLOOKUP(ТабПозиции[[#This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488">
        <f>IF(OR(ТабПозиции[[#This Row],[item]]="По штрихкоду",ТабПозиции[[#This Row],[item]]="Посылка"),ТабПозиции[[#This Row],[deliverySumm]]+ТабПозиции[[#This Row],[deliveryPost]],SUM(M1488:O1488))</f>
        <v>200</v>
      </c>
      <c r="Q1488" s="57">
        <v>200</v>
      </c>
      <c r="R1488" s="62">
        <f>ТабПозиции[[#This Row],[totalSumm]]-ТабПозиции[[#This Row],[payment]]</f>
        <v>0</v>
      </c>
      <c r="S1488" s="34" t="s">
        <v>965</v>
      </c>
      <c r="T1488" s="56" t="s">
        <v>3061</v>
      </c>
      <c r="U1488" s="56" t="str">
        <f>IF(AND(ТабПозиции[[#This Row],[Остаток]]=0,ТабПозиции[[#This Row],[ord]]="true"),"true","false")</f>
        <v>true</v>
      </c>
      <c r="V1488" s="56" t="str">
        <f>IF(AND(ТабПозиции[[#This Row],[Остаток]]=0,ТабПозиции[[#This Row],[ord]]="true"),"true","false")</f>
        <v>true</v>
      </c>
      <c r="W1488" s="7"/>
      <c r="X1488"/>
    </row>
    <row r="1489" spans="1:24" x14ac:dyDescent="0.25">
      <c r="A1489" s="26">
        <v>392</v>
      </c>
      <c r="B1489" s="1">
        <f>IFERROR(VLOOKUP(ТабПозиции[[#This Row],[orderNum]],ТабЗаказы[#Data],MATCH(B$7,ТабЗаказы[#Headers],0),0),"")</f>
        <v>45639</v>
      </c>
      <c r="C1489" t="str">
        <f>MONTH(ТабПозиции[[#This Row],[date]])&amp;"/"&amp;YEAR(ТабПозиции[[#This Row],[date]])</f>
        <v>12/2024</v>
      </c>
      <c r="D1489" s="1" t="str">
        <f>IFERROR(VLOOKUP(ТабПозиции[[#This Row],[orderNum]],ТабЗаказы[#Data],MATCH(D$7,ТабЗаказы[#Headers],0),0),"")</f>
        <v>Светлана от Александра</v>
      </c>
      <c r="E1489" s="32" t="s">
        <v>2123</v>
      </c>
      <c r="F1489" s="56" t="s">
        <v>3061</v>
      </c>
      <c r="H1489" s="34">
        <v>45642</v>
      </c>
      <c r="I1489" s="26">
        <v>1</v>
      </c>
      <c r="J1489" s="26">
        <v>853</v>
      </c>
      <c r="K1489">
        <f>ТабПозиции[[#This Row],[discountPrice]]*ТабПозиции[[#This Row],[quantity]]</f>
        <v>853</v>
      </c>
      <c r="L1489" s="26">
        <v>898</v>
      </c>
      <c r="M1489">
        <f t="shared" si="28"/>
        <v>898</v>
      </c>
      <c r="O148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Row],[orderNum]],ТабПозиции[orderSumm])&gt;1500),ABS(M1489*VLOOKUP(ТабПозиции[[#This Row],[orderNum]],ТабЗаказы[#Data],MATCH("Percent",ТабЗаказы[#Headers],0),0))/100,200/COUNTIF(ТабПозиции[orderNum],ТабПозиции[[#This Row],[orderNum]])),0),"")</f>
        <v>135</v>
      </c>
      <c r="P1489">
        <f>IF(OR(ТабПозиции[[#This Row],[item]]="По штрихкоду",ТабПозиции[[#This Row],[item]]="Посылка"),ТабПозиции[[#This Row],[deliverySumm]]+ТабПозиции[[#This Row],[deliveryPost]],SUM(M1489:O1489))</f>
        <v>1033</v>
      </c>
      <c r="Q1489" s="57">
        <v>1033</v>
      </c>
      <c r="R1489" s="62">
        <f>ТабПозиции[[#This Row],[totalSumm]]-ТабПозиции[[#This Row],[payment]]</f>
        <v>0</v>
      </c>
      <c r="S1489" s="34" t="s">
        <v>965</v>
      </c>
      <c r="T1489" s="56" t="s">
        <v>3061</v>
      </c>
      <c r="U1489" s="56" t="str">
        <f>IF(AND(ТабПозиции[[#This Row],[Остаток]]=0,ТабПозиции[[#This Row],[ord]]="true"),"true","false")</f>
        <v>true</v>
      </c>
      <c r="V1489" s="56" t="s">
        <v>3061</v>
      </c>
      <c r="W1489" s="7"/>
      <c r="X1489"/>
    </row>
    <row r="1490" spans="1:24" x14ac:dyDescent="0.25">
      <c r="A1490" s="26">
        <v>392</v>
      </c>
      <c r="B1490" s="1">
        <f>IFERROR(VLOOKUP(ТабПозиции[[#This Row],[orderNum]],ТабЗаказы[#Data],MATCH(B$7,ТабЗаказы[#Headers],0),0),"")</f>
        <v>45639</v>
      </c>
      <c r="C1490" t="str">
        <f>MONTH(ТабПозиции[[#This Row],[date]])&amp;"/"&amp;YEAR(ТабПозиции[[#This Row],[date]])</f>
        <v>12/2024</v>
      </c>
      <c r="D1490" s="1" t="str">
        <f>IFERROR(VLOOKUP(ТабПозиции[[#This Row],[orderNum]],ТабЗаказы[#Data],MATCH(D$7,ТабЗаказы[#Headers],0),0),"")</f>
        <v>Светлана от Александра</v>
      </c>
      <c r="E1490" s="32" t="s">
        <v>1452</v>
      </c>
      <c r="F1490" s="56" t="s">
        <v>3061</v>
      </c>
      <c r="H1490" s="34">
        <v>45641</v>
      </c>
      <c r="I1490" s="26">
        <v>1</v>
      </c>
      <c r="J1490" s="26">
        <v>1132</v>
      </c>
      <c r="K1490">
        <f>ТабПозиции[[#This Row],[discountPrice]]*ТабПозиции[[#This Row],[quantity]]</f>
        <v>1132</v>
      </c>
      <c r="L1490" s="26">
        <v>1192</v>
      </c>
      <c r="M1490">
        <f t="shared" si="28"/>
        <v>1192</v>
      </c>
      <c r="O149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Row],[orderNum]],ТабПозиции[orderSumm])&gt;1500),ABS(M1490*VLOOKUP(ТабПозиции[[#This Row],[orderNum]],ТабЗаказы[#Data],MATCH("Percent",ТабЗаказы[#Headers],0),0))/100,200/COUNTIF(ТабПозиции[orderNum],ТабПозиции[[#This Row],[orderNum]])),0),"")</f>
        <v>179</v>
      </c>
      <c r="P1490">
        <f>IF(OR(ТабПозиции[[#This Row],[item]]="По штрихкоду",ТабПозиции[[#This Row],[item]]="Посылка"),ТабПозиции[[#This Row],[deliverySumm]]+ТабПозиции[[#This Row],[deliveryPost]],SUM(M1490:O1490))</f>
        <v>1371</v>
      </c>
      <c r="Q1490" s="57">
        <v>1371</v>
      </c>
      <c r="R1490" s="62">
        <f>ТабПозиции[[#This Row],[totalSumm]]-ТабПозиции[[#This Row],[payment]]</f>
        <v>0</v>
      </c>
      <c r="S1490" s="34" t="s">
        <v>965</v>
      </c>
      <c r="T1490" s="56" t="s">
        <v>3061</v>
      </c>
      <c r="U1490" s="56" t="str">
        <f>IF(AND(ТабПозиции[[#This Row],[Остаток]]=0,ТабПозиции[[#This Row],[ord]]="true"),"true","false")</f>
        <v>true</v>
      </c>
      <c r="V1490" s="56" t="s">
        <v>3061</v>
      </c>
      <c r="W1490" s="7"/>
      <c r="X1490"/>
    </row>
    <row r="1491" spans="1:24" x14ac:dyDescent="0.25">
      <c r="A1491" s="26">
        <v>392</v>
      </c>
      <c r="B1491" s="1">
        <f>IFERROR(VLOOKUP(ТабПозиции[[#This Row],[orderNum]],ТабЗаказы[#Data],MATCH(B$7,ТабЗаказы[#Headers],0),0),"")</f>
        <v>45639</v>
      </c>
      <c r="C1491" t="str">
        <f>MONTH(ТабПозиции[[#This Row],[date]])&amp;"/"&amp;YEAR(ТабПозиции[[#This Row],[date]])</f>
        <v>12/2024</v>
      </c>
      <c r="D1491" s="1" t="str">
        <f>IFERROR(VLOOKUP(ТабПозиции[[#This Row],[orderNum]],ТабЗаказы[#Data],MATCH(D$7,ТабЗаказы[#Headers],0),0),"")</f>
        <v>Светлана от Александра</v>
      </c>
      <c r="E1491" s="32" t="s">
        <v>1031</v>
      </c>
      <c r="F1491" s="56" t="s">
        <v>3061</v>
      </c>
      <c r="H1491" s="34">
        <v>45641</v>
      </c>
      <c r="I1491" s="26">
        <v>1</v>
      </c>
      <c r="J1491" s="26">
        <v>1125</v>
      </c>
      <c r="K1491">
        <f>ТабПозиции[[#This Row],[discountPrice]]*ТабПозиции[[#This Row],[quantity]]</f>
        <v>1125</v>
      </c>
      <c r="L1491" s="26">
        <v>1185</v>
      </c>
      <c r="M1491">
        <f t="shared" si="28"/>
        <v>1185</v>
      </c>
      <c r="O149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Row],[orderNum]],ТабПозиции[orderSumm])&gt;1500),ABS(M1491*VLOOKUP(ТабПозиции[[#This Row],[orderNum]],ТабЗаказы[#Data],MATCH("Percent",ТабЗаказы[#Headers],0),0))/100,200/COUNTIF(ТабПозиции[orderNum],ТабПозиции[[#This Row],[orderNum]])),0),"")</f>
        <v>178</v>
      </c>
      <c r="P1491">
        <f>IF(OR(ТабПозиции[[#This Row],[item]]="По штрихкоду",ТабПозиции[[#This Row],[item]]="Посылка"),ТабПозиции[[#This Row],[deliverySumm]]+ТабПозиции[[#This Row],[deliveryPost]],SUM(M1491:O1491))</f>
        <v>1363</v>
      </c>
      <c r="Q1491" s="57">
        <v>1363</v>
      </c>
      <c r="R1491" s="62">
        <f>ТабПозиции[[#This Row],[totalSumm]]-ТабПозиции[[#This Row],[payment]]</f>
        <v>0</v>
      </c>
      <c r="S1491" s="34" t="s">
        <v>965</v>
      </c>
      <c r="T1491" s="56" t="s">
        <v>3061</v>
      </c>
      <c r="U1491" s="56" t="str">
        <f>IF(AND(ТабПозиции[[#This Row],[Остаток]]=0,ТабПозиции[[#This Row],[ord]]="true"),"true","false")</f>
        <v>true</v>
      </c>
      <c r="V1491" s="56" t="s">
        <v>3061</v>
      </c>
      <c r="W1491" s="7"/>
      <c r="X1491"/>
    </row>
    <row r="1492" spans="1:24" x14ac:dyDescent="0.25">
      <c r="A1492" s="26">
        <v>392</v>
      </c>
      <c r="B1492" s="1">
        <f>IFERROR(VLOOKUP(ТабПозиции[[#This Row],[orderNum]],ТабЗаказы[#Data],MATCH(B$7,ТабЗаказы[#Headers],0),0),"")</f>
        <v>45639</v>
      </c>
      <c r="C1492" t="str">
        <f>MONTH(ТабПозиции[[#This Row],[date]])&amp;"/"&amp;YEAR(ТабПозиции[[#This Row],[date]])</f>
        <v>12/2024</v>
      </c>
      <c r="D1492" s="1" t="str">
        <f>IFERROR(VLOOKUP(ТабПозиции[[#This Row],[orderNum]],ТабЗаказы[#Data],MATCH(D$7,ТабЗаказы[#Headers],0),0),"")</f>
        <v>Светлана от Александра</v>
      </c>
      <c r="E1492" s="32" t="s">
        <v>2124</v>
      </c>
      <c r="F1492" s="56" t="s">
        <v>3061</v>
      </c>
      <c r="H1492" s="34">
        <v>45643</v>
      </c>
      <c r="I1492" s="26">
        <v>1</v>
      </c>
      <c r="J1492" s="26">
        <v>210</v>
      </c>
      <c r="K1492">
        <f>ТабПозиции[[#This Row],[discountPrice]]*ТабПозиции[[#This Row],[quantity]]</f>
        <v>210</v>
      </c>
      <c r="L1492" s="26">
        <v>222</v>
      </c>
      <c r="M1492">
        <f t="shared" si="28"/>
        <v>222</v>
      </c>
      <c r="O149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Row],[orderNum]],ТабПозиции[orderSumm])&gt;1500),ABS(M1492*VLOOKUP(ТабПозиции[[#This Row],[orderNum]],ТабЗаказы[#Data],MATCH("Percent",ТабЗаказы[#Headers],0),0))/100,200/COUNTIF(ТабПозиции[orderNum],ТабПозиции[[#This Row],[orderNum]])),0),"")</f>
        <v>33</v>
      </c>
      <c r="P1492">
        <f>IF(OR(ТабПозиции[[#This Row],[item]]="По штрихкоду",ТабПозиции[[#This Row],[item]]="Посылка"),ТабПозиции[[#This Row],[deliverySumm]]+ТабПозиции[[#This Row],[deliveryPost]],SUM(M1492:O1492))</f>
        <v>255</v>
      </c>
      <c r="Q1492" s="57">
        <v>255</v>
      </c>
      <c r="R1492" s="62">
        <f>ТабПозиции[[#This Row],[totalSumm]]-ТабПозиции[[#This Row],[payment]]</f>
        <v>0</v>
      </c>
      <c r="S1492" s="34" t="s">
        <v>965</v>
      </c>
      <c r="T1492" s="56" t="s">
        <v>3061</v>
      </c>
      <c r="U1492" s="56" t="str">
        <f>IF(AND(ТабПозиции[[#This Row],[Остаток]]=0,ТабПозиции[[#This Row],[ord]]="true"),"true","false")</f>
        <v>true</v>
      </c>
      <c r="V1492" s="56" t="s">
        <v>3061</v>
      </c>
      <c r="W1492" s="7"/>
      <c r="X1492"/>
    </row>
    <row r="1493" spans="1:24" x14ac:dyDescent="0.25">
      <c r="A1493" s="26">
        <v>393</v>
      </c>
      <c r="B1493" s="1">
        <f>IFERROR(VLOOKUP(ТабПозиции[[#This Row],[orderNum]],ТабЗаказы[#Data],MATCH(B$7,ТабЗаказы[#Headers],0),0),"")</f>
        <v>45641</v>
      </c>
      <c r="C1493" t="str">
        <f>MONTH(ТабПозиции[[#This Row],[date]])&amp;"/"&amp;YEAR(ТабПозиции[[#This Row],[date]])</f>
        <v>12/2024</v>
      </c>
      <c r="D1493" s="1" t="str">
        <f>IFERROR(VLOOKUP(ТабПозиции[[#This Row],[orderNum]],ТабЗаказы[#Data],MATCH(D$7,ТабЗаказы[#Headers],0),0),"")</f>
        <v>Елена Гайдар</v>
      </c>
      <c r="E1493" s="32" t="s">
        <v>1916</v>
      </c>
      <c r="F1493" s="56" t="s">
        <v>3061</v>
      </c>
      <c r="H1493" s="34">
        <v>45647</v>
      </c>
      <c r="I1493" s="26">
        <v>1</v>
      </c>
      <c r="J1493" s="26">
        <v>1204</v>
      </c>
      <c r="K1493">
        <f>ТабПозиции[[#This Row],[discountPrice]]*ТабПозиции[[#This Row],[quantity]]</f>
        <v>1204</v>
      </c>
      <c r="L1493" s="26">
        <v>1268</v>
      </c>
      <c r="M1493">
        <f t="shared" si="28"/>
        <v>1268</v>
      </c>
      <c r="O149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Row],[orderNum]],ТабПозиции[orderSumm])&gt;1500),ABS(M1493*VLOOKUP(ТабПозиции[[#This Row],[orderNum]],ТабЗаказы[#Data],MATCH("Percent",ТабЗаказы[#Headers],0),0))/100,200/COUNTIF(ТабПозиции[orderNum],ТабПозиции[[#This Row],[orderNum]])),0),"")</f>
        <v>190</v>
      </c>
      <c r="P1493">
        <f>IF(OR(ТабПозиции[[#This Row],[item]]="По штрихкоду",ТабПозиции[[#This Row],[item]]="Посылка"),ТабПозиции[[#This Row],[deliverySumm]]+ТабПозиции[[#This Row],[deliveryPost]],SUM(M1493:O1493))</f>
        <v>1458</v>
      </c>
      <c r="Q1493" s="57">
        <v>1458</v>
      </c>
      <c r="R1493" s="62">
        <f>ТабПозиции[[#This Row],[totalSumm]]-ТабПозиции[[#This Row],[payment]]</f>
        <v>0</v>
      </c>
      <c r="S1493" s="34" t="s">
        <v>965</v>
      </c>
      <c r="T1493" s="56" t="s">
        <v>3061</v>
      </c>
      <c r="U1493" s="56" t="str">
        <f>IF(AND(ТабПозиции[[#This Row],[Остаток]]=0,ТабПозиции[[#This Row],[ord]]="true"),"true","false")</f>
        <v>true</v>
      </c>
      <c r="V1493" s="56" t="s">
        <v>3061</v>
      </c>
      <c r="W1493" s="7"/>
      <c r="X1493"/>
    </row>
    <row r="1494" spans="1:24" x14ac:dyDescent="0.25">
      <c r="A1494" s="26">
        <v>393</v>
      </c>
      <c r="B1494" s="1">
        <f>IFERROR(VLOOKUP(ТабПозиции[[#This Row],[orderNum]],ТабЗаказы[#Data],MATCH(B$7,ТабЗаказы[#Headers],0),0),"")</f>
        <v>45641</v>
      </c>
      <c r="C1494" t="str">
        <f>MONTH(ТабПозиции[[#This Row],[date]])&amp;"/"&amp;YEAR(ТабПозиции[[#This Row],[date]])</f>
        <v>12/2024</v>
      </c>
      <c r="D1494" s="1" t="str">
        <f>IFERROR(VLOOKUP(ТабПозиции[[#This Row],[orderNum]],ТабЗаказы[#Data],MATCH(D$7,ТабЗаказы[#Headers],0),0),"")</f>
        <v>Елена Гайдар</v>
      </c>
      <c r="E1494" s="32" t="s">
        <v>2125</v>
      </c>
      <c r="F1494" s="56" t="s">
        <v>3061</v>
      </c>
      <c r="H1494" s="34">
        <v>45645</v>
      </c>
      <c r="I1494" s="26">
        <v>1</v>
      </c>
      <c r="J1494" s="26">
        <v>434</v>
      </c>
      <c r="K1494">
        <f>ТабПозиции[[#This Row],[discountPrice]]*ТабПозиции[[#This Row],[quantity]]</f>
        <v>434</v>
      </c>
      <c r="L1494" s="26">
        <v>457</v>
      </c>
      <c r="M1494">
        <f t="shared" si="28"/>
        <v>457</v>
      </c>
      <c r="O149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Row],[orderNum]],ТабПозиции[orderSumm])&gt;1500),ABS(M1494*VLOOKUP(ТабПозиции[[#This Row],[orderNum]],ТабЗаказы[#Data],MATCH("Percent",ТабЗаказы[#Headers],0),0))/100,200/COUNTIF(ТабПозиции[orderNum],ТабПозиции[[#This Row],[orderNum]])),0),"")</f>
        <v>69</v>
      </c>
      <c r="P1494">
        <f>IF(OR(ТабПозиции[[#This Row],[item]]="По штрихкоду",ТабПозиции[[#This Row],[item]]="Посылка"),ТабПозиции[[#This Row],[deliverySumm]]+ТабПозиции[[#This Row],[deliveryPost]],SUM(M1494:O1494))</f>
        <v>526</v>
      </c>
      <c r="Q1494" s="57">
        <v>526</v>
      </c>
      <c r="R1494" s="62">
        <f>ТабПозиции[[#This Row],[totalSumm]]-ТабПозиции[[#This Row],[payment]]</f>
        <v>0</v>
      </c>
      <c r="S1494" s="34" t="s">
        <v>965</v>
      </c>
      <c r="T1494" s="56" t="s">
        <v>3061</v>
      </c>
      <c r="U1494" s="56" t="str">
        <f>IF(AND(ТабПозиции[[#This Row],[Остаток]]=0,ТабПозиции[[#This Row],[ord]]="true"),"true","false")</f>
        <v>true</v>
      </c>
      <c r="V1494" s="56" t="s">
        <v>3061</v>
      </c>
      <c r="W1494" s="7"/>
      <c r="X1494"/>
    </row>
    <row r="1495" spans="1:24" x14ac:dyDescent="0.25">
      <c r="A1495" s="26">
        <v>393</v>
      </c>
      <c r="B1495" s="1">
        <f>IFERROR(VLOOKUP(ТабПозиции[[#This Row],[orderNum]],ТабЗаказы[#Data],MATCH(B$7,ТабЗаказы[#Headers],0),0),"")</f>
        <v>45641</v>
      </c>
      <c r="C1495" t="str">
        <f>MONTH(ТабПозиции[[#This Row],[date]])&amp;"/"&amp;YEAR(ТабПозиции[[#This Row],[date]])</f>
        <v>12/2024</v>
      </c>
      <c r="D1495" s="1" t="str">
        <f>IFERROR(VLOOKUP(ТабПозиции[[#This Row],[orderNum]],ТабЗаказы[#Data],MATCH(D$7,ТабЗаказы[#Headers],0),0),"")</f>
        <v>Елена Гайдар</v>
      </c>
      <c r="E1495" s="32" t="s">
        <v>2126</v>
      </c>
      <c r="F1495" s="56" t="s">
        <v>3061</v>
      </c>
      <c r="H1495" s="34">
        <v>45648</v>
      </c>
      <c r="I1495" s="26">
        <v>1</v>
      </c>
      <c r="J1495" s="26">
        <v>381</v>
      </c>
      <c r="K1495">
        <f>ТабПозиции[[#This Row],[discountPrice]]*ТабПозиции[[#This Row],[quantity]]</f>
        <v>381</v>
      </c>
      <c r="L1495" s="26">
        <v>402</v>
      </c>
      <c r="M1495">
        <f t="shared" si="28"/>
        <v>402</v>
      </c>
      <c r="O149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Row],[orderNum]],ТабПозиции[orderSumm])&gt;1500),ABS(M1495*VLOOKUP(ТабПозиции[[#This Row],[orderNum]],ТабЗаказы[#Data],MATCH("Percent",ТабЗаказы[#Headers],0),0))/100,200/COUNTIF(ТабПозиции[orderNum],ТабПозиции[[#This Row],[orderNum]])),0),"")</f>
        <v>60</v>
      </c>
      <c r="P1495">
        <f>IF(OR(ТабПозиции[[#This Row],[item]]="По штрихкоду",ТабПозиции[[#This Row],[item]]="Посылка"),ТабПозиции[[#This Row],[deliverySumm]]+ТабПозиции[[#This Row],[deliveryPost]],SUM(M1495:O1495))</f>
        <v>462</v>
      </c>
      <c r="Q1495" s="57">
        <v>462</v>
      </c>
      <c r="R1495" s="62">
        <f>ТабПозиции[[#This Row],[totalSumm]]-ТабПозиции[[#This Row],[payment]]</f>
        <v>0</v>
      </c>
      <c r="S1495" s="34" t="s">
        <v>965</v>
      </c>
      <c r="T1495" s="56" t="s">
        <v>3061</v>
      </c>
      <c r="U1495" s="56" t="str">
        <f>IF(AND(ТабПозиции[[#This Row],[Остаток]]=0,ТабПозиции[[#This Row],[ord]]="true"),"true","false")</f>
        <v>true</v>
      </c>
      <c r="V1495" s="56" t="s">
        <v>3061</v>
      </c>
      <c r="W1495" s="7"/>
      <c r="X1495"/>
    </row>
    <row r="1496" spans="1:24" x14ac:dyDescent="0.25">
      <c r="A1496" s="26">
        <v>393</v>
      </c>
      <c r="B1496" s="1">
        <f>IFERROR(VLOOKUP(ТабПозиции[[#This Row],[orderNum]],ТабЗаказы[#Data],MATCH(B$7,ТабЗаказы[#Headers],0),0),"")</f>
        <v>45641</v>
      </c>
      <c r="C1496" t="str">
        <f>MONTH(ТабПозиции[[#This Row],[date]])&amp;"/"&amp;YEAR(ТабПозиции[[#This Row],[date]])</f>
        <v>12/2024</v>
      </c>
      <c r="D1496" s="1" t="str">
        <f>IFERROR(VLOOKUP(ТабПозиции[[#This Row],[orderNum]],ТабЗаказы[#Data],MATCH(D$7,ТабЗаказы[#Headers],0),0),"")</f>
        <v>Елена Гайдар</v>
      </c>
      <c r="E1496" s="32" t="s">
        <v>1505</v>
      </c>
      <c r="F1496" s="56" t="s">
        <v>3061</v>
      </c>
      <c r="H1496" s="34">
        <v>45644</v>
      </c>
      <c r="I1496" s="26">
        <v>2</v>
      </c>
      <c r="J1496" s="26">
        <v>238</v>
      </c>
      <c r="K1496">
        <f>ТабПозиции[[#This Row],[discountPrice]]*ТабПозиции[[#This Row],[quantity]]</f>
        <v>476</v>
      </c>
      <c r="L1496" s="26">
        <v>251</v>
      </c>
      <c r="M1496">
        <f t="shared" si="28"/>
        <v>502</v>
      </c>
      <c r="O149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Row],[orderNum]],ТабПозиции[orderSumm])&gt;1500),ABS(M1496*VLOOKUP(ТабПозиции[[#This Row],[orderNum]],ТабЗаказы[#Data],MATCH("Percent",ТабЗаказы[#Headers],0),0))/100,200/COUNTIF(ТабПозиции[orderNum],ТабПозиции[[#This Row],[orderNum]])),0),"")</f>
        <v>75</v>
      </c>
      <c r="P1496">
        <f>IF(OR(ТабПозиции[[#This Row],[item]]="По штрихкоду",ТабПозиции[[#This Row],[item]]="Посылка"),ТабПозиции[[#This Row],[deliverySumm]]+ТабПозиции[[#This Row],[deliveryPost]],SUM(M1496:O1496))</f>
        <v>577</v>
      </c>
      <c r="Q1496" s="57">
        <v>577</v>
      </c>
      <c r="R1496" s="62">
        <f>ТабПозиции[[#This Row],[totalSumm]]-ТабПозиции[[#This Row],[payment]]</f>
        <v>0</v>
      </c>
      <c r="S1496" s="34" t="s">
        <v>965</v>
      </c>
      <c r="T1496" s="56" t="s">
        <v>3061</v>
      </c>
      <c r="U1496" s="56" t="str">
        <f>IF(AND(ТабПозиции[[#This Row],[Остаток]]=0,ТабПозиции[[#This Row],[ord]]="true"),"true","false")</f>
        <v>true</v>
      </c>
      <c r="V1496" s="56" t="s">
        <v>3061</v>
      </c>
      <c r="W1496" s="7"/>
      <c r="X1496"/>
    </row>
    <row r="1497" spans="1:24" x14ac:dyDescent="0.25">
      <c r="A1497" s="26">
        <v>393</v>
      </c>
      <c r="B1497" s="1">
        <f>IFERROR(VLOOKUP(ТабПозиции[[#This Row],[orderNum]],ТабЗаказы[#Data],MATCH(B$7,ТабЗаказы[#Headers],0),0),"")</f>
        <v>45641</v>
      </c>
      <c r="C1497" t="str">
        <f>MONTH(ТабПозиции[[#This Row],[date]])&amp;"/"&amp;YEAR(ТабПозиции[[#This Row],[date]])</f>
        <v>12/2024</v>
      </c>
      <c r="D1497" s="1" t="str">
        <f>IFERROR(VLOOKUP(ТабПозиции[[#This Row],[orderNum]],ТабЗаказы[#Data],MATCH(D$7,ТабЗаказы[#Headers],0),0),"")</f>
        <v>Елена Гайдар</v>
      </c>
      <c r="E1497" s="32" t="s">
        <v>1176</v>
      </c>
      <c r="F1497" s="56" t="s">
        <v>3061</v>
      </c>
      <c r="H1497" s="34">
        <v>45644</v>
      </c>
      <c r="I1497" s="26">
        <v>1</v>
      </c>
      <c r="J1497" s="26">
        <v>795</v>
      </c>
      <c r="K1497">
        <f>ТабПозиции[[#This Row],[discountPrice]]*ТабПозиции[[#This Row],[quantity]]</f>
        <v>795</v>
      </c>
      <c r="L1497" s="26">
        <v>837</v>
      </c>
      <c r="M1497">
        <f t="shared" si="28"/>
        <v>837</v>
      </c>
      <c r="O149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Row],[orderNum]],ТабПозиции[orderSumm])&gt;1500),ABS(M1497*VLOOKUP(ТабПозиции[[#This Row],[orderNum]],ТабЗаказы[#Data],MATCH("Percent",ТабЗаказы[#Headers],0),0))/100,200/COUNTIF(ТабПозиции[orderNum],ТабПозиции[[#This Row],[orderNum]])),0),"")</f>
        <v>126</v>
      </c>
      <c r="P1497">
        <f>IF(OR(ТабПозиции[[#This Row],[item]]="По штрихкоду",ТабПозиции[[#This Row],[item]]="Посылка"),ТабПозиции[[#This Row],[deliverySumm]]+ТабПозиции[[#This Row],[deliveryPost]],SUM(M1497:O1497))</f>
        <v>963</v>
      </c>
      <c r="Q1497" s="57">
        <v>963</v>
      </c>
      <c r="R1497" s="62">
        <f>ТабПозиции[[#This Row],[totalSumm]]-ТабПозиции[[#This Row],[payment]]</f>
        <v>0</v>
      </c>
      <c r="S1497" s="34" t="s">
        <v>965</v>
      </c>
      <c r="T1497" s="56" t="s">
        <v>3061</v>
      </c>
      <c r="U1497" s="56" t="str">
        <f>IF(AND(ТабПозиции[[#This Row],[Остаток]]=0,ТабПозиции[[#This Row],[ord]]="true"),"true","false")</f>
        <v>true</v>
      </c>
      <c r="V1497" s="56" t="s">
        <v>3061</v>
      </c>
      <c r="W1497" s="7"/>
      <c r="X1497"/>
    </row>
    <row r="1498" spans="1:24" x14ac:dyDescent="0.25">
      <c r="A1498" s="26">
        <v>393</v>
      </c>
      <c r="B1498" s="1">
        <f>IFERROR(VLOOKUP(ТабПозиции[[#This Row],[orderNum]],ТабЗаказы[#Data],MATCH(B$7,ТабЗаказы[#Headers],0),0),"")</f>
        <v>45641</v>
      </c>
      <c r="C1498" t="str">
        <f>MONTH(ТабПозиции[[#This Row],[date]])&amp;"/"&amp;YEAR(ТабПозиции[[#This Row],[date]])</f>
        <v>12/2024</v>
      </c>
      <c r="D1498" s="1" t="str">
        <f>IFERROR(VLOOKUP(ТабПозиции[[#This Row],[orderNum]],ТабЗаказы[#Data],MATCH(D$7,ТабЗаказы[#Headers],0),0),"")</f>
        <v>Елена Гайдар</v>
      </c>
      <c r="E1498" s="32" t="s">
        <v>2127</v>
      </c>
      <c r="F1498" s="56" t="s">
        <v>3061</v>
      </c>
      <c r="H1498" s="34">
        <v>45645</v>
      </c>
      <c r="I1498" s="26">
        <v>1</v>
      </c>
      <c r="J1498" s="26">
        <v>213</v>
      </c>
      <c r="K1498">
        <f>ТабПозиции[[#This Row],[discountPrice]]*ТабПозиции[[#This Row],[quantity]]</f>
        <v>213</v>
      </c>
      <c r="L1498" s="26">
        <v>225</v>
      </c>
      <c r="M1498">
        <f t="shared" si="28"/>
        <v>225</v>
      </c>
      <c r="O149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Row],[orderNum]],ТабПозиции[orderSumm])&gt;1500),ABS(M1498*VLOOKUP(ТабПозиции[[#This Row],[orderNum]],ТабЗаказы[#Data],MATCH("Percent",ТабЗаказы[#Headers],0),0))/100,200/COUNTIF(ТабПозиции[orderNum],ТабПозиции[[#This Row],[orderNum]])),0),"")</f>
        <v>34</v>
      </c>
      <c r="P1498">
        <f>IF(OR(ТабПозиции[[#This Row],[item]]="По штрихкоду",ТабПозиции[[#This Row],[item]]="Посылка"),ТабПозиции[[#This Row],[deliverySumm]]+ТабПозиции[[#This Row],[deliveryPost]],SUM(M1498:O1498))</f>
        <v>259</v>
      </c>
      <c r="Q1498" s="57">
        <v>259</v>
      </c>
      <c r="R1498" s="62">
        <f>ТабПозиции[[#This Row],[totalSumm]]-ТабПозиции[[#This Row],[payment]]</f>
        <v>0</v>
      </c>
      <c r="S1498" s="34" t="s">
        <v>965</v>
      </c>
      <c r="T1498" s="56" t="s">
        <v>3061</v>
      </c>
      <c r="U1498" s="56" t="str">
        <f>IF(AND(ТабПозиции[[#This Row],[Остаток]]=0,ТабПозиции[[#This Row],[ord]]="true"),"true","false")</f>
        <v>true</v>
      </c>
      <c r="V1498" s="56" t="s">
        <v>3061</v>
      </c>
      <c r="W1498" s="7"/>
      <c r="X1498"/>
    </row>
    <row r="1499" spans="1:24" x14ac:dyDescent="0.25">
      <c r="A1499" s="26">
        <v>393</v>
      </c>
      <c r="B1499" s="1">
        <f>IFERROR(VLOOKUP(ТабПозиции[[#This Row],[orderNum]],ТабЗаказы[#Data],MATCH(B$7,ТабЗаказы[#Headers],0),0),"")</f>
        <v>45641</v>
      </c>
      <c r="C1499" t="str">
        <f>MONTH(ТабПозиции[[#This Row],[date]])&amp;"/"&amp;YEAR(ТабПозиции[[#This Row],[date]])</f>
        <v>12/2024</v>
      </c>
      <c r="D1499" s="1" t="str">
        <f>IFERROR(VLOOKUP(ТабПозиции[[#This Row],[orderNum]],ТабЗаказы[#Data],MATCH(D$7,ТабЗаказы[#Headers],0),0),"")</f>
        <v>Елена Гайдар</v>
      </c>
      <c r="E1499" s="32" t="s">
        <v>1720</v>
      </c>
      <c r="F1499" s="56" t="s">
        <v>3061</v>
      </c>
      <c r="H1499" s="34">
        <v>45643</v>
      </c>
      <c r="I1499" s="26">
        <v>1</v>
      </c>
      <c r="J1499" s="26">
        <v>447</v>
      </c>
      <c r="K1499">
        <f>ТабПозиции[[#This Row],[discountPrice]]*ТабПозиции[[#This Row],[quantity]]</f>
        <v>447</v>
      </c>
      <c r="L1499" s="26">
        <v>471</v>
      </c>
      <c r="M1499">
        <f t="shared" si="28"/>
        <v>471</v>
      </c>
      <c r="O149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Row],[orderNum]],ТабПозиции[orderSumm])&gt;1500),ABS(M1499*VLOOKUP(ТабПозиции[[#This Row],[orderNum]],ТабЗаказы[#Data],MATCH("Percent",ТабЗаказы[#Headers],0),0))/100,200/COUNTIF(ТабПозиции[orderNum],ТабПозиции[[#This Row],[orderNum]])),0),"")</f>
        <v>71</v>
      </c>
      <c r="P1499">
        <f>IF(OR(ТабПозиции[[#This Row],[item]]="По штрихкоду",ТабПозиции[[#This Row],[item]]="Посылка"),ТабПозиции[[#This Row],[deliverySumm]]+ТабПозиции[[#This Row],[deliveryPost]],SUM(M1499:O1499))</f>
        <v>542</v>
      </c>
      <c r="Q1499" s="57">
        <v>542</v>
      </c>
      <c r="R1499" s="62">
        <f>ТабПозиции[[#This Row],[totalSumm]]-ТабПозиции[[#This Row],[payment]]</f>
        <v>0</v>
      </c>
      <c r="S1499" s="34" t="s">
        <v>965</v>
      </c>
      <c r="T1499" s="56" t="s">
        <v>3061</v>
      </c>
      <c r="U1499" s="56" t="str">
        <f>IF(AND(ТабПозиции[[#This Row],[Остаток]]=0,ТабПозиции[[#This Row],[ord]]="true"),"true","false")</f>
        <v>true</v>
      </c>
      <c r="V1499" s="56" t="s">
        <v>3061</v>
      </c>
      <c r="W1499" s="7"/>
      <c r="X1499"/>
    </row>
    <row r="1500" spans="1:24" x14ac:dyDescent="0.25">
      <c r="A1500" s="26">
        <v>393</v>
      </c>
      <c r="B1500" s="1">
        <f>IFERROR(VLOOKUP(ТабПозиции[[#This Row],[orderNum]],ТабЗаказы[#Data],MATCH(B$7,ТабЗаказы[#Headers],0),0),"")</f>
        <v>45641</v>
      </c>
      <c r="C1500" t="str">
        <f>MONTH(ТабПозиции[[#This Row],[date]])&amp;"/"&amp;YEAR(ТабПозиции[[#This Row],[date]])</f>
        <v>12/2024</v>
      </c>
      <c r="D1500" s="1" t="str">
        <f>IFERROR(VLOOKUP(ТабПозиции[[#This Row],[orderNum]],ТабЗаказы[#Data],MATCH(D$7,ТабЗаказы[#Headers],0),0),"")</f>
        <v>Елена Гайдар</v>
      </c>
      <c r="E1500" s="32" t="s">
        <v>2128</v>
      </c>
      <c r="F1500" s="56" t="s">
        <v>3061</v>
      </c>
      <c r="H1500" s="34">
        <v>45646</v>
      </c>
      <c r="I1500" s="26">
        <v>1</v>
      </c>
      <c r="J1500" s="26">
        <v>1209</v>
      </c>
      <c r="K1500">
        <f>ТабПозиции[[#This Row],[discountPrice]]*ТабПозиции[[#This Row],[quantity]]</f>
        <v>1209</v>
      </c>
      <c r="L1500" s="26">
        <v>1273</v>
      </c>
      <c r="M1500">
        <f t="shared" si="28"/>
        <v>1273</v>
      </c>
      <c r="O150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Row],[orderNum]],ТабПозиции[orderSumm])&gt;1500),ABS(M1500*VLOOKUP(ТабПозиции[[#This Row],[orderNum]],ТабЗаказы[#Data],MATCH("Percent",ТабЗаказы[#Headers],0),0))/100,200/COUNTIF(ТабПозиции[orderNum],ТабПозиции[[#This Row],[orderNum]])),0),"")</f>
        <v>191</v>
      </c>
      <c r="P1500">
        <f>IF(OR(ТабПозиции[[#This Row],[item]]="По штрихкоду",ТабПозиции[[#This Row],[item]]="Посылка"),ТабПозиции[[#This Row],[deliverySumm]]+ТабПозиции[[#This Row],[deliveryPost]],SUM(M1500:O1500))</f>
        <v>1464</v>
      </c>
      <c r="Q1500" s="57">
        <v>1464</v>
      </c>
      <c r="R1500" s="62">
        <f>ТабПозиции[[#This Row],[totalSumm]]-ТабПозиции[[#This Row],[payment]]</f>
        <v>0</v>
      </c>
      <c r="S1500" s="34" t="s">
        <v>965</v>
      </c>
      <c r="T1500" s="56" t="s">
        <v>3061</v>
      </c>
      <c r="U1500" s="56" t="str">
        <f>IF(AND(ТабПозиции[[#This Row],[Остаток]]=0,ТабПозиции[[#This Row],[ord]]="true"),"true","false")</f>
        <v>true</v>
      </c>
      <c r="V1500" s="56" t="s">
        <v>3061</v>
      </c>
      <c r="W1500" s="7"/>
      <c r="X1500"/>
    </row>
    <row r="1501" spans="1:24" x14ac:dyDescent="0.25">
      <c r="A1501" s="26">
        <v>394</v>
      </c>
      <c r="B1501" s="1">
        <f>IFERROR(VLOOKUP(ТабПозиции[[#This Row],[orderNum]],ТабЗаказы[#Data],MATCH(B$7,ТабЗаказы[#Headers],0),0),"")</f>
        <v>45641</v>
      </c>
      <c r="C1501" t="str">
        <f>MONTH(ТабПозиции[[#This Row],[date]])&amp;"/"&amp;YEAR(ТабПозиции[[#This Row],[date]])</f>
        <v>12/2024</v>
      </c>
      <c r="D1501" s="1" t="str">
        <f>IFERROR(VLOOKUP(ТабПозиции[[#This Row],[orderNum]],ТабЗаказы[#Data],MATCH(D$7,ТабЗаказы[#Headers],0),0),"")</f>
        <v>Александр Каскад</v>
      </c>
      <c r="E1501" s="32" t="s">
        <v>2129</v>
      </c>
      <c r="F1501" s="56" t="s">
        <v>3061</v>
      </c>
      <c r="H1501" s="34">
        <v>45648</v>
      </c>
      <c r="I1501" s="26">
        <v>2</v>
      </c>
      <c r="J1501" s="26">
        <v>1735</v>
      </c>
      <c r="K1501">
        <f>ТабПозиции[[#This Row],[discountPrice]]*ТабПозиции[[#This Row],[quantity]]</f>
        <v>3470</v>
      </c>
      <c r="L1501" s="26">
        <v>1863</v>
      </c>
      <c r="M1501">
        <f t="shared" si="28"/>
        <v>3726</v>
      </c>
      <c r="O150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Row],[orderNum]],ТабПозиции[orderSumm])&gt;1500),ABS(M1501*VLOOKUP(ТабПозиции[[#This Row],[orderNum]],ТабЗаказы[#Data],MATCH("Percent",ТабЗаказы[#Headers],0),0))/100,200/COUNTIF(ТабПозиции[orderNum],ТабПозиции[[#This Row],[orderNum]])),0),"")</f>
        <v>559</v>
      </c>
      <c r="P1501">
        <f>IF(OR(ТабПозиции[[#This Row],[item]]="По штрихкоду",ТабПозиции[[#This Row],[item]]="Посылка"),ТабПозиции[[#This Row],[deliverySumm]]+ТабПозиции[[#This Row],[deliveryPost]],SUM(M1501:O1501))</f>
        <v>4285</v>
      </c>
      <c r="Q1501" s="57">
        <v>4285</v>
      </c>
      <c r="R1501" s="62">
        <f>ТабПозиции[[#This Row],[totalSumm]]-ТабПозиции[[#This Row],[payment]]</f>
        <v>0</v>
      </c>
      <c r="S1501" s="34" t="s">
        <v>955</v>
      </c>
      <c r="T1501" s="56" t="s">
        <v>3061</v>
      </c>
      <c r="U1501" s="56" t="str">
        <f>IF(AND(ТабПозиции[[#This Row],[Остаток]]=0,ТабПозиции[[#This Row],[ord]]="true"),"true","false")</f>
        <v>true</v>
      </c>
      <c r="V1501" s="56" t="s">
        <v>3061</v>
      </c>
      <c r="W1501" s="7"/>
      <c r="X1501"/>
    </row>
    <row r="1502" spans="1:24" x14ac:dyDescent="0.25">
      <c r="A1502" s="26">
        <v>395</v>
      </c>
      <c r="B1502" s="1">
        <f>IFERROR(VLOOKUP(ТабПозиции[[#This Row],[orderNum]],ТабЗаказы[#Data],MATCH(B$7,ТабЗаказы[#Headers],0),0),"")</f>
        <v>45642</v>
      </c>
      <c r="C1502" t="str">
        <f>MONTH(ТабПозиции[[#This Row],[date]])&amp;"/"&amp;YEAR(ТабПозиции[[#This Row],[date]])</f>
        <v>12/2024</v>
      </c>
      <c r="D1502" s="1" t="str">
        <f>IFERROR(VLOOKUP(ТабПозиции[[#This Row],[orderNum]],ТабЗаказы[#Data],MATCH(D$7,ТабЗаказы[#Headers],0),0),"")</f>
        <v>Руденко Юля</v>
      </c>
      <c r="E1502" s="32" t="s">
        <v>2130</v>
      </c>
      <c r="F1502" s="56" t="s">
        <v>3061</v>
      </c>
      <c r="H1502" s="34">
        <v>45645</v>
      </c>
      <c r="I1502" s="26">
        <v>1</v>
      </c>
      <c r="J1502" s="26">
        <v>481</v>
      </c>
      <c r="K1502">
        <f>ТабПозиции[[#This Row],[discountPrice]]*ТабПозиции[[#This Row],[quantity]]</f>
        <v>481</v>
      </c>
      <c r="L1502" s="26">
        <v>507</v>
      </c>
      <c r="M1502">
        <f t="shared" si="28"/>
        <v>507</v>
      </c>
      <c r="O150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Row],[orderNum]],ТабПозиции[orderSumm])&gt;1500),ABS(M1502*VLOOKUP(ТабПозиции[[#This Row],[orderNum]],ТабЗаказы[#Data],MATCH("Percent",ТабЗаказы[#Headers],0),0))/100,200/COUNTIF(ТабПозиции[orderNum],ТабПозиции[[#This Row],[orderNum]])),0),"")</f>
        <v>51</v>
      </c>
      <c r="P1502">
        <f>IF(OR(ТабПозиции[[#This Row],[item]]="По штрихкоду",ТабПозиции[[#This Row],[item]]="Посылка"),ТабПозиции[[#This Row],[deliverySumm]]+ТабПозиции[[#This Row],[deliveryPost]],SUM(M1502:O1502))</f>
        <v>558</v>
      </c>
      <c r="Q1502" s="57">
        <v>558</v>
      </c>
      <c r="R1502" s="62">
        <f>ТабПозиции[[#This Row],[totalSumm]]-ТабПозиции[[#This Row],[payment]]</f>
        <v>0</v>
      </c>
      <c r="S1502" s="34" t="s">
        <v>965</v>
      </c>
      <c r="T1502" s="56" t="s">
        <v>3061</v>
      </c>
      <c r="U1502" s="56" t="str">
        <f>IF(AND(ТабПозиции[[#This Row],[Остаток]]=0,ТабПозиции[[#This Row],[ord]]="true"),"true","false")</f>
        <v>true</v>
      </c>
      <c r="V1502" s="56" t="s">
        <v>3061</v>
      </c>
      <c r="W1502" s="7"/>
      <c r="X1502"/>
    </row>
    <row r="1503" spans="1:24" x14ac:dyDescent="0.25">
      <c r="A1503" s="26">
        <v>395</v>
      </c>
      <c r="B1503" s="1">
        <f>IFERROR(VLOOKUP(ТабПозиции[[#This Row],[orderNum]],ТабЗаказы[#Data],MATCH(B$7,ТабЗаказы[#Headers],0),0),"")</f>
        <v>45642</v>
      </c>
      <c r="C1503" t="str">
        <f>MONTH(ТабПозиции[[#This Row],[date]])&amp;"/"&amp;YEAR(ТабПозиции[[#This Row],[date]])</f>
        <v>12/2024</v>
      </c>
      <c r="D1503" s="1" t="str">
        <f>IFERROR(VLOOKUP(ТабПозиции[[#This Row],[orderNum]],ТабЗаказы[#Data],MATCH(D$7,ТабЗаказы[#Headers],0),0),"")</f>
        <v>Руденко Юля</v>
      </c>
      <c r="E1503" s="32" t="s">
        <v>2131</v>
      </c>
      <c r="F1503" s="56" t="s">
        <v>3061</v>
      </c>
      <c r="H1503" s="34">
        <v>45647</v>
      </c>
      <c r="I1503" s="26">
        <v>1</v>
      </c>
      <c r="J1503" s="26">
        <v>1282</v>
      </c>
      <c r="K1503">
        <f>ТабПозиции[[#This Row],[discountPrice]]*ТабПозиции[[#This Row],[quantity]]</f>
        <v>1282</v>
      </c>
      <c r="L1503" s="26">
        <v>1350</v>
      </c>
      <c r="M1503">
        <f t="shared" si="28"/>
        <v>1350</v>
      </c>
      <c r="O150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Row],[orderNum]],ТабПозиции[orderSumm])&gt;1500),ABS(M1503*VLOOKUP(ТабПозиции[[#This Row],[orderNum]],ТабЗаказы[#Data],MATCH("Percent",ТабЗаказы[#Headers],0),0))/100,200/COUNTIF(ТабПозиции[orderNum],ТабПозиции[[#This Row],[orderNum]])),0),"")</f>
        <v>135</v>
      </c>
      <c r="P1503">
        <f>IF(OR(ТабПозиции[[#This Row],[item]]="По штрихкоду",ТабПозиции[[#This Row],[item]]="Посылка"),ТабПозиции[[#This Row],[deliverySumm]]+ТабПозиции[[#This Row],[deliveryPost]],SUM(M1503:O1503))</f>
        <v>1485</v>
      </c>
      <c r="Q1503" s="57">
        <v>1485</v>
      </c>
      <c r="R1503" s="62">
        <f>ТабПозиции[[#This Row],[totalSumm]]-ТабПозиции[[#This Row],[payment]]</f>
        <v>0</v>
      </c>
      <c r="S1503" s="34" t="s">
        <v>965</v>
      </c>
      <c r="T1503" s="56" t="s">
        <v>3061</v>
      </c>
      <c r="U1503" s="56" t="str">
        <f>IF(AND(ТабПозиции[[#This Row],[Остаток]]=0,ТабПозиции[[#This Row],[ord]]="true"),"true","false")</f>
        <v>true</v>
      </c>
      <c r="V1503" s="56" t="s">
        <v>3061</v>
      </c>
      <c r="W1503" s="7"/>
      <c r="X1503"/>
    </row>
    <row r="1504" spans="1:24" x14ac:dyDescent="0.25">
      <c r="A1504" s="26">
        <v>395</v>
      </c>
      <c r="B1504" s="1">
        <f>IFERROR(VLOOKUP(ТабПозиции[[#This Row],[orderNum]],ТабЗаказы[#Data],MATCH(B$7,ТабЗаказы[#Headers],0),0),"")</f>
        <v>45642</v>
      </c>
      <c r="C1504" t="str">
        <f>MONTH(ТабПозиции[[#This Row],[date]])&amp;"/"&amp;YEAR(ТабПозиции[[#This Row],[date]])</f>
        <v>12/2024</v>
      </c>
      <c r="D1504" s="1" t="str">
        <f>IFERROR(VLOOKUP(ТабПозиции[[#This Row],[orderNum]],ТабЗаказы[#Data],MATCH(D$7,ТабЗаказы[#Headers],0),0),"")</f>
        <v>Руденко Юля</v>
      </c>
      <c r="E1504" s="32" t="s">
        <v>2132</v>
      </c>
      <c r="F1504" s="56" t="s">
        <v>3061</v>
      </c>
      <c r="H1504" s="34">
        <v>45644</v>
      </c>
      <c r="I1504" s="26">
        <v>1</v>
      </c>
      <c r="J1504" s="26">
        <v>732</v>
      </c>
      <c r="K1504">
        <f>ТабПозиции[[#This Row],[discountPrice]]*ТабПозиции[[#This Row],[quantity]]</f>
        <v>732</v>
      </c>
      <c r="L1504" s="26">
        <v>771</v>
      </c>
      <c r="M1504">
        <f t="shared" si="28"/>
        <v>771</v>
      </c>
      <c r="O150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Row],[orderNum]],ТабПозиции[orderSumm])&gt;1500),ABS(M1504*VLOOKUP(ТабПозиции[[#This Row],[orderNum]],ТабЗаказы[#Data],MATCH("Percent",ТабЗаказы[#Headers],0),0))/100,200/COUNTIF(ТабПозиции[orderNum],ТабПозиции[[#This Row],[orderNum]])),0),"")</f>
        <v>77</v>
      </c>
      <c r="P1504">
        <f>IF(OR(ТабПозиции[[#This Row],[item]]="По штрихкоду",ТабПозиции[[#This Row],[item]]="Посылка"),ТабПозиции[[#This Row],[deliverySumm]]+ТабПозиции[[#This Row],[deliveryPost]],SUM(M1504:O1504))</f>
        <v>848</v>
      </c>
      <c r="Q1504" s="57">
        <v>848</v>
      </c>
      <c r="R1504" s="62">
        <f>ТабПозиции[[#This Row],[totalSumm]]-ТабПозиции[[#This Row],[payment]]</f>
        <v>0</v>
      </c>
      <c r="S1504" s="34" t="s">
        <v>965</v>
      </c>
      <c r="T1504" s="56" t="s">
        <v>3061</v>
      </c>
      <c r="U1504" s="56" t="str">
        <f>IF(AND(ТабПозиции[[#This Row],[Остаток]]=0,ТабПозиции[[#This Row],[ord]]="true"),"true","false")</f>
        <v>true</v>
      </c>
      <c r="V1504" s="56" t="s">
        <v>3061</v>
      </c>
      <c r="W1504" s="7"/>
      <c r="X1504"/>
    </row>
    <row r="1505" spans="1:24" x14ac:dyDescent="0.25">
      <c r="A1505" s="26">
        <v>395</v>
      </c>
      <c r="B1505" s="1">
        <f>IFERROR(VLOOKUP(ТабПозиции[[#This Row],[orderNum]],ТабЗаказы[#Data],MATCH(B$7,ТабЗаказы[#Headers],0),0),"")</f>
        <v>45642</v>
      </c>
      <c r="C1505" t="str">
        <f>MONTH(ТабПозиции[[#This Row],[date]])&amp;"/"&amp;YEAR(ТабПозиции[[#This Row],[date]])</f>
        <v>12/2024</v>
      </c>
      <c r="D1505" s="1" t="str">
        <f>IFERROR(VLOOKUP(ТабПозиции[[#This Row],[orderNum]],ТабЗаказы[#Data],MATCH(D$7,ТабЗаказы[#Headers],0),0),"")</f>
        <v>Руденко Юля</v>
      </c>
      <c r="E1505" s="32" t="s">
        <v>2132</v>
      </c>
      <c r="F1505" s="56" t="s">
        <v>3061</v>
      </c>
      <c r="H1505" s="34">
        <v>45644</v>
      </c>
      <c r="I1505" s="26">
        <v>1</v>
      </c>
      <c r="J1505" s="26">
        <v>802</v>
      </c>
      <c r="K1505">
        <f>ТабПозиции[[#This Row],[discountPrice]]*ТабПозиции[[#This Row],[quantity]]</f>
        <v>802</v>
      </c>
      <c r="L1505" s="26">
        <v>845</v>
      </c>
      <c r="M1505">
        <f t="shared" si="28"/>
        <v>845</v>
      </c>
      <c r="O150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Row],[orderNum]],ТабПозиции[orderSumm])&gt;1500),ABS(M1505*VLOOKUP(ТабПозиции[[#This Row],[orderNum]],ТабЗаказы[#Data],MATCH("Percent",ТабЗаказы[#Headers],0),0))/100,200/COUNTIF(ТабПозиции[orderNum],ТабПозиции[[#This Row],[orderNum]])),0),"")</f>
        <v>85</v>
      </c>
      <c r="P1505">
        <f>IF(OR(ТабПозиции[[#This Row],[item]]="По штрихкоду",ТабПозиции[[#This Row],[item]]="Посылка"),ТабПозиции[[#This Row],[deliverySumm]]+ТабПозиции[[#This Row],[deliveryPost]],SUM(M1505:O1505))</f>
        <v>930</v>
      </c>
      <c r="Q1505" s="57">
        <v>930</v>
      </c>
      <c r="R1505" s="62">
        <f>ТабПозиции[[#This Row],[totalSumm]]-ТабПозиции[[#This Row],[payment]]</f>
        <v>0</v>
      </c>
      <c r="S1505" s="34" t="s">
        <v>965</v>
      </c>
      <c r="T1505" s="56" t="s">
        <v>3061</v>
      </c>
      <c r="U1505" s="56" t="str">
        <f>IF(AND(ТабПозиции[[#This Row],[Остаток]]=0,ТабПозиции[[#This Row],[ord]]="true"),"true","false")</f>
        <v>true</v>
      </c>
      <c r="V1505" s="56" t="s">
        <v>3061</v>
      </c>
      <c r="W1505" s="7"/>
      <c r="X1505"/>
    </row>
    <row r="1506" spans="1:24" x14ac:dyDescent="0.25">
      <c r="A1506" s="26">
        <v>396</v>
      </c>
      <c r="B1506" s="1">
        <f>IFERROR(VLOOKUP(ТабПозиции[[#This Row],[orderNum]],ТабЗаказы[#Data],MATCH(B$7,ТабЗаказы[#Headers],0),0),"")</f>
        <v>45642</v>
      </c>
      <c r="C1506" t="str">
        <f>MONTH(ТабПозиции[[#This Row],[date]])&amp;"/"&amp;YEAR(ТабПозиции[[#This Row],[date]])</f>
        <v>12/2024</v>
      </c>
      <c r="D1506" s="1" t="str">
        <f>IFERROR(VLOOKUP(ТабПозиции[[#This Row],[orderNum]],ТабЗаказы[#Data],MATCH(D$7,ТабЗаказы[#Headers],0),0),"")</f>
        <v>Елена от Светланы</v>
      </c>
      <c r="E1506" s="32" t="s">
        <v>2133</v>
      </c>
      <c r="F1506" s="56" t="s">
        <v>3061</v>
      </c>
      <c r="H1506" s="34">
        <v>45645</v>
      </c>
      <c r="I1506" s="26">
        <v>1</v>
      </c>
      <c r="J1506" s="26">
        <v>779</v>
      </c>
      <c r="K1506">
        <f>ТабПозиции[[#This Row],[discountPrice]]*ТабПозиции[[#This Row],[quantity]]</f>
        <v>779</v>
      </c>
      <c r="L1506" s="26">
        <v>820</v>
      </c>
      <c r="M1506">
        <f t="shared" si="28"/>
        <v>820</v>
      </c>
      <c r="O150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Row],[orderNum]],ТабПозиции[orderSumm])&gt;1500),ABS(M1506*VLOOKUP(ТабПозиции[[#This Row],[orderNum]],ТабЗаказы[#Data],MATCH("Percent",ТабЗаказы[#Headers],0),0))/100,200/COUNTIF(ТабПозиции[orderNum],ТабПозиции[[#This Row],[orderNum]])),0),"")</f>
        <v>123</v>
      </c>
      <c r="P1506">
        <f>IF(OR(ТабПозиции[[#This Row],[item]]="По штрихкоду",ТабПозиции[[#This Row],[item]]="Посылка"),ТабПозиции[[#This Row],[deliverySumm]]+ТабПозиции[[#This Row],[deliveryPost]],SUM(M1506:O1506))</f>
        <v>943</v>
      </c>
      <c r="Q1506" s="57">
        <v>943</v>
      </c>
      <c r="R1506" s="62">
        <f>ТабПозиции[[#This Row],[totalSumm]]-ТабПозиции[[#This Row],[payment]]</f>
        <v>0</v>
      </c>
      <c r="S1506" s="34" t="s">
        <v>965</v>
      </c>
      <c r="T1506" s="56" t="s">
        <v>3061</v>
      </c>
      <c r="U1506" s="56" t="str">
        <f>IF(AND(ТабПозиции[[#This Row],[Остаток]]=0,ТабПозиции[[#This Row],[ord]]="true"),"true","false")</f>
        <v>true</v>
      </c>
      <c r="V1506" s="56" t="s">
        <v>3061</v>
      </c>
      <c r="W1506" s="7"/>
      <c r="X1506"/>
    </row>
    <row r="1507" spans="1:24" x14ac:dyDescent="0.25">
      <c r="A1507" s="26">
        <v>396</v>
      </c>
      <c r="B1507" s="1">
        <f>IFERROR(VLOOKUP(ТабПозиции[[#This Row],[orderNum]],ТабЗаказы[#Data],MATCH(B$7,ТабЗаказы[#Headers],0),0),"")</f>
        <v>45642</v>
      </c>
      <c r="C1507" t="str">
        <f>MONTH(ТабПозиции[[#This Row],[date]])&amp;"/"&amp;YEAR(ТабПозиции[[#This Row],[date]])</f>
        <v>12/2024</v>
      </c>
      <c r="D1507" s="1" t="str">
        <f>IFERROR(VLOOKUP(ТабПозиции[[#This Row],[orderNum]],ТабЗаказы[#Data],MATCH(D$7,ТабЗаказы[#Headers],0),0),"")</f>
        <v>Елена от Светланы</v>
      </c>
      <c r="E1507" s="32" t="s">
        <v>2134</v>
      </c>
      <c r="F1507" s="56" t="s">
        <v>3061</v>
      </c>
      <c r="H1507" s="34">
        <v>45646</v>
      </c>
      <c r="I1507" s="26">
        <v>1</v>
      </c>
      <c r="J1507" s="26">
        <v>355</v>
      </c>
      <c r="K1507">
        <f>ТабПозиции[[#This Row],[discountPrice]]*ТабПозиции[[#This Row],[quantity]]</f>
        <v>355</v>
      </c>
      <c r="L1507" s="26">
        <v>374</v>
      </c>
      <c r="M1507">
        <f t="shared" si="28"/>
        <v>374</v>
      </c>
      <c r="O150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Row],[orderNum]],ТабПозиции[orderSumm])&gt;1500),ABS(M1507*VLOOKUP(ТабПозиции[[#This Row],[orderNum]],ТабЗаказы[#Data],MATCH("Percent",ТабЗаказы[#Headers],0),0))/100,200/COUNTIF(ТабПозиции[orderNum],ТабПозиции[[#This Row],[orderNum]])),0),"")</f>
        <v>56</v>
      </c>
      <c r="P1507">
        <f>IF(OR(ТабПозиции[[#This Row],[item]]="По штрихкоду",ТабПозиции[[#This Row],[item]]="Посылка"),ТабПозиции[[#This Row],[deliverySumm]]+ТабПозиции[[#This Row],[deliveryPost]],SUM(M1507:O1507))</f>
        <v>430</v>
      </c>
      <c r="Q1507" s="57">
        <v>430</v>
      </c>
      <c r="R1507" s="62">
        <f>ТабПозиции[[#This Row],[totalSumm]]-ТабПозиции[[#This Row],[payment]]</f>
        <v>0</v>
      </c>
      <c r="S1507" s="34" t="s">
        <v>965</v>
      </c>
      <c r="T1507" s="56" t="s">
        <v>3061</v>
      </c>
      <c r="U1507" s="56" t="str">
        <f>IF(AND(ТабПозиции[[#This Row],[Остаток]]=0,ТабПозиции[[#This Row],[ord]]="true"),"true","false")</f>
        <v>true</v>
      </c>
      <c r="V1507" s="56" t="s">
        <v>3061</v>
      </c>
      <c r="W1507" s="7"/>
      <c r="X1507"/>
    </row>
    <row r="1508" spans="1:24" x14ac:dyDescent="0.25">
      <c r="A1508" s="26">
        <v>396</v>
      </c>
      <c r="B1508" s="1">
        <f>IFERROR(VLOOKUP(ТабПозиции[[#This Row],[orderNum]],ТабЗаказы[#Data],MATCH(B$7,ТабЗаказы[#Headers],0),0),"")</f>
        <v>45642</v>
      </c>
      <c r="C1508" t="str">
        <f>MONTH(ТабПозиции[[#This Row],[date]])&amp;"/"&amp;YEAR(ТабПозиции[[#This Row],[date]])</f>
        <v>12/2024</v>
      </c>
      <c r="D1508" s="1" t="str">
        <f>IFERROR(VLOOKUP(ТабПозиции[[#This Row],[orderNum]],ТабЗаказы[#Data],MATCH(D$7,ТабЗаказы[#Headers],0),0),"")</f>
        <v>Елена от Светланы</v>
      </c>
      <c r="E1508" s="32" t="s">
        <v>2135</v>
      </c>
      <c r="F1508" s="56" t="s">
        <v>3061</v>
      </c>
      <c r="H1508" s="34">
        <v>45648</v>
      </c>
      <c r="I1508" s="26">
        <v>1</v>
      </c>
      <c r="J1508" s="26">
        <v>381</v>
      </c>
      <c r="K1508">
        <f>ТабПозиции[[#This Row],[discountPrice]]*ТабПозиции[[#This Row],[quantity]]</f>
        <v>381</v>
      </c>
      <c r="L1508" s="26">
        <v>402</v>
      </c>
      <c r="M1508">
        <f t="shared" si="28"/>
        <v>402</v>
      </c>
      <c r="O150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Row],[orderNum]],ТабПозиции[orderSumm])&gt;1500),ABS(M1508*VLOOKUP(ТабПозиции[[#This Row],[orderNum]],ТабЗаказы[#Data],MATCH("Percent",ТабЗаказы[#Headers],0),0))/100,200/COUNTIF(ТабПозиции[orderNum],ТабПозиции[[#This Row],[orderNum]])),0),"")</f>
        <v>60</v>
      </c>
      <c r="P1508">
        <f>IF(OR(ТабПозиции[[#This Row],[item]]="По штрихкоду",ТабПозиции[[#This Row],[item]]="Посылка"),ТабПозиции[[#This Row],[deliverySumm]]+ТабПозиции[[#This Row],[deliveryPost]],SUM(M1508:O1508))</f>
        <v>462</v>
      </c>
      <c r="Q1508" s="57">
        <v>462</v>
      </c>
      <c r="R1508" s="62">
        <f>ТабПозиции[[#This Row],[totalSumm]]-ТабПозиции[[#This Row],[payment]]</f>
        <v>0</v>
      </c>
      <c r="S1508" s="34" t="s">
        <v>965</v>
      </c>
      <c r="T1508" s="56" t="s">
        <v>3061</v>
      </c>
      <c r="U1508" s="56" t="str">
        <f>IF(AND(ТабПозиции[[#This Row],[Остаток]]=0,ТабПозиции[[#This Row],[ord]]="true"),"true","false")</f>
        <v>true</v>
      </c>
      <c r="V1508" s="56" t="s">
        <v>3061</v>
      </c>
      <c r="W1508" s="7"/>
      <c r="X1508"/>
    </row>
    <row r="1509" spans="1:24" x14ac:dyDescent="0.25">
      <c r="A1509" s="26">
        <v>396</v>
      </c>
      <c r="B1509" s="1">
        <f>IFERROR(VLOOKUP(ТабПозиции[[#This Row],[orderNum]],ТабЗаказы[#Data],MATCH(B$7,ТабЗаказы[#Headers],0),0),"")</f>
        <v>45642</v>
      </c>
      <c r="C1509" t="str">
        <f>MONTH(ТабПозиции[[#This Row],[date]])&amp;"/"&amp;YEAR(ТабПозиции[[#This Row],[date]])</f>
        <v>12/2024</v>
      </c>
      <c r="D1509" s="1" t="str">
        <f>IFERROR(VLOOKUP(ТабПозиции[[#This Row],[orderNum]],ТабЗаказы[#Data],MATCH(D$7,ТабЗаказы[#Headers],0),0),"")</f>
        <v>Елена от Светланы</v>
      </c>
      <c r="E1509" s="32" t="s">
        <v>2136</v>
      </c>
      <c r="F1509" s="56" t="s">
        <v>3061</v>
      </c>
      <c r="H1509" s="34">
        <v>45648</v>
      </c>
      <c r="I1509" s="26">
        <v>1</v>
      </c>
      <c r="J1509" s="26">
        <v>381</v>
      </c>
      <c r="K1509">
        <f>ТабПозиции[[#This Row],[discountPrice]]*ТабПозиции[[#This Row],[quantity]]</f>
        <v>381</v>
      </c>
      <c r="L1509" s="26">
        <v>402</v>
      </c>
      <c r="M1509">
        <f t="shared" si="28"/>
        <v>402</v>
      </c>
      <c r="O150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Row],[orderNum]],ТабПозиции[orderSumm])&gt;1500),ABS(M1509*VLOOKUP(ТабПозиции[[#This Row],[orderNum]],ТабЗаказы[#Data],MATCH("Percent",ТабЗаказы[#Headers],0),0))/100,200/COUNTIF(ТабПозиции[orderNum],ТабПозиции[[#This Row],[orderNum]])),0),"")</f>
        <v>60</v>
      </c>
      <c r="P1509">
        <f>IF(OR(ТабПозиции[[#This Row],[item]]="По штрихкоду",ТабПозиции[[#This Row],[item]]="Посылка"),ТабПозиции[[#This Row],[deliverySumm]]+ТабПозиции[[#This Row],[deliveryPost]],SUM(M1509:O1509))</f>
        <v>462</v>
      </c>
      <c r="Q1509" s="57">
        <v>462</v>
      </c>
      <c r="R1509" s="62">
        <f>ТабПозиции[[#This Row],[totalSumm]]-ТабПозиции[[#This Row],[payment]]</f>
        <v>0</v>
      </c>
      <c r="S1509" s="34" t="s">
        <v>965</v>
      </c>
      <c r="T1509" s="56" t="s">
        <v>3061</v>
      </c>
      <c r="U1509" s="56" t="str">
        <f>IF(AND(ТабПозиции[[#This Row],[Остаток]]=0,ТабПозиции[[#This Row],[ord]]="true"),"true","false")</f>
        <v>true</v>
      </c>
      <c r="V1509" s="56" t="s">
        <v>3061</v>
      </c>
      <c r="W1509" s="7"/>
      <c r="X1509"/>
    </row>
    <row r="1510" spans="1:24" x14ac:dyDescent="0.25">
      <c r="A1510" s="26">
        <v>396</v>
      </c>
      <c r="B1510" s="1">
        <f>IFERROR(VLOOKUP(ТабПозиции[[#This Row],[orderNum]],ТабЗаказы[#Data],MATCH(B$7,ТабЗаказы[#Headers],0),0),"")</f>
        <v>45642</v>
      </c>
      <c r="C1510" t="str">
        <f>MONTH(ТабПозиции[[#This Row],[date]])&amp;"/"&amp;YEAR(ТабПозиции[[#This Row],[date]])</f>
        <v>12/2024</v>
      </c>
      <c r="D1510" s="1" t="str">
        <f>IFERROR(VLOOKUP(ТабПозиции[[#This Row],[orderNum]],ТабЗаказы[#Data],MATCH(D$7,ТабЗаказы[#Headers],0),0),"")</f>
        <v>Елена от Светланы</v>
      </c>
      <c r="E1510" s="32" t="s">
        <v>2137</v>
      </c>
      <c r="F1510" s="56" t="s">
        <v>3061</v>
      </c>
      <c r="H1510" s="34">
        <v>45644</v>
      </c>
      <c r="I1510" s="26">
        <v>1</v>
      </c>
      <c r="J1510" s="26">
        <v>210</v>
      </c>
      <c r="K1510">
        <f>ТабПозиции[[#This Row],[discountPrice]]*ТабПозиции[[#This Row],[quantity]]</f>
        <v>210</v>
      </c>
      <c r="L1510" s="26">
        <v>214</v>
      </c>
      <c r="M1510">
        <f t="shared" si="28"/>
        <v>214</v>
      </c>
      <c r="O151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Row],[orderNum]],ТабПозиции[orderSumm])&gt;1500),ABS(M1510*VLOOKUP(ТабПозиции[[#This Row],[orderNum]],ТабЗаказы[#Data],MATCH("Percent",ТабЗаказы[#Headers],0),0))/100,200/COUNTIF(ТабПозиции[orderNum],ТабПозиции[[#This Row],[orderNum]])),0),"")</f>
        <v>32</v>
      </c>
      <c r="P1510">
        <f>IF(OR(ТабПозиции[[#This Row],[item]]="По штрихкоду",ТабПозиции[[#This Row],[item]]="Посылка"),ТабПозиции[[#This Row],[deliverySumm]]+ТабПозиции[[#This Row],[deliveryPost]],SUM(M1510:O1510))</f>
        <v>246</v>
      </c>
      <c r="Q1510" s="57">
        <v>246</v>
      </c>
      <c r="R1510" s="62">
        <f>ТабПозиции[[#This Row],[totalSumm]]-ТабПозиции[[#This Row],[payment]]</f>
        <v>0</v>
      </c>
      <c r="S1510" s="34" t="s">
        <v>955</v>
      </c>
      <c r="T1510" s="56" t="s">
        <v>3061</v>
      </c>
      <c r="U1510" s="56" t="str">
        <f>IF(AND(ТабПозиции[[#This Row],[Остаток]]=0,ТабПозиции[[#This Row],[ord]]="true"),"true","false")</f>
        <v>true</v>
      </c>
      <c r="V1510" s="56" t="s">
        <v>3061</v>
      </c>
      <c r="W1510" s="7"/>
      <c r="X1510"/>
    </row>
    <row r="1511" spans="1:24" x14ac:dyDescent="0.25">
      <c r="A1511" s="26">
        <v>396</v>
      </c>
      <c r="B1511" s="1">
        <f>IFERROR(VLOOKUP(ТабПозиции[[#This Row],[orderNum]],ТабЗаказы[#Data],MATCH(B$7,ТабЗаказы[#Headers],0),0),"")</f>
        <v>45642</v>
      </c>
      <c r="C1511" t="str">
        <f>MONTH(ТабПозиции[[#This Row],[date]])&amp;"/"&amp;YEAR(ТабПозиции[[#This Row],[date]])</f>
        <v>12/2024</v>
      </c>
      <c r="D1511" s="1" t="str">
        <f>IFERROR(VLOOKUP(ТабПозиции[[#This Row],[orderNum]],ТабЗаказы[#Data],MATCH(D$7,ТабЗаказы[#Headers],0),0),"")</f>
        <v>Елена от Светланы</v>
      </c>
      <c r="E1511" s="32" t="s">
        <v>2138</v>
      </c>
      <c r="F1511" s="56" t="s">
        <v>3061</v>
      </c>
      <c r="H1511" s="34">
        <v>45644</v>
      </c>
      <c r="I1511" s="26">
        <v>1</v>
      </c>
      <c r="J1511" s="26">
        <v>333</v>
      </c>
      <c r="K1511">
        <f>ТабПозиции[[#This Row],[discountPrice]]*ТабПозиции[[#This Row],[quantity]]</f>
        <v>333</v>
      </c>
      <c r="L1511" s="26">
        <v>351</v>
      </c>
      <c r="M1511">
        <f t="shared" si="28"/>
        <v>351</v>
      </c>
      <c r="O151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Row],[orderNum]],ТабПозиции[orderSumm])&gt;1500),ABS(M1511*VLOOKUP(ТабПозиции[[#This Row],[orderNum]],ТабЗаказы[#Data],MATCH("Percent",ТабЗаказы[#Headers],0),0))/100,200/COUNTIF(ТабПозиции[orderNum],ТабПозиции[[#This Row],[orderNum]])),0),"")</f>
        <v>53</v>
      </c>
      <c r="P1511">
        <f>IF(OR(ТабПозиции[[#This Row],[item]]="По штрихкоду",ТабПозиции[[#This Row],[item]]="Посылка"),ТабПозиции[[#This Row],[deliverySumm]]+ТабПозиции[[#This Row],[deliveryPost]],SUM(M1511:O1511))</f>
        <v>404</v>
      </c>
      <c r="Q1511" s="57">
        <v>404</v>
      </c>
      <c r="R1511" s="62">
        <f>ТабПозиции[[#This Row],[totalSumm]]-ТабПозиции[[#This Row],[payment]]</f>
        <v>0</v>
      </c>
      <c r="S1511" s="34" t="s">
        <v>965</v>
      </c>
      <c r="T1511" s="56" t="s">
        <v>3061</v>
      </c>
      <c r="U1511" s="56" t="str">
        <f>IF(AND(ТабПозиции[[#This Row],[Остаток]]=0,ТабПозиции[[#This Row],[ord]]="true"),"true","false")</f>
        <v>true</v>
      </c>
      <c r="V1511" s="56" t="s">
        <v>3061</v>
      </c>
      <c r="W1511" s="7"/>
      <c r="X1511"/>
    </row>
    <row r="1512" spans="1:24" x14ac:dyDescent="0.25">
      <c r="A1512" s="26">
        <v>397</v>
      </c>
      <c r="B1512" s="1">
        <f>IFERROR(VLOOKUP(ТабПозиции[[#This Row],[orderNum]],ТабЗаказы[#Data],MATCH(B$7,ТабЗаказы[#Headers],0),0),"")</f>
        <v>45644</v>
      </c>
      <c r="C1512" t="str">
        <f>MONTH(ТабПозиции[[#This Row],[date]])&amp;"/"&amp;YEAR(ТабПозиции[[#This Row],[date]])</f>
        <v>12/2024</v>
      </c>
      <c r="D1512" s="1" t="str">
        <f>IFERROR(VLOOKUP(ТабПозиции[[#This Row],[orderNum]],ТабЗаказы[#Data],MATCH(D$7,ТабЗаказы[#Headers],0),0),"")</f>
        <v>Михаил Куприна</v>
      </c>
      <c r="E1512" s="32" t="s">
        <v>2139</v>
      </c>
      <c r="F1512" s="56" t="s">
        <v>3061</v>
      </c>
      <c r="H1512" s="34">
        <v>45649</v>
      </c>
      <c r="I1512" s="26">
        <v>1</v>
      </c>
      <c r="J1512" s="26">
        <v>230</v>
      </c>
      <c r="K1512">
        <f>ТабПозиции[[#This Row],[discountPrice]]*ТабПозиции[[#This Row],[quantity]]</f>
        <v>230</v>
      </c>
      <c r="L1512" s="26">
        <v>235</v>
      </c>
      <c r="M1512">
        <f t="shared" si="28"/>
        <v>235</v>
      </c>
      <c r="O151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Row],[orderNum]],ТабПозиции[orderSumm])&gt;1500),ABS(M1512*VLOOKUP(ТабПозиции[[#This Row],[orderNum]],ТабЗаказы[#Data],MATCH("Percent",ТабЗаказы[#Headers],0),0))/100,200/COUNTIF(ТабПозиции[orderNum],ТабПозиции[[#This Row],[orderNum]])),0),"")</f>
        <v>35</v>
      </c>
      <c r="P1512">
        <f>IF(OR(ТабПозиции[[#This Row],[item]]="По штрихкоду",ТабПозиции[[#This Row],[item]]="Посылка"),ТабПозиции[[#This Row],[deliverySumm]]+ТабПозиции[[#This Row],[deliveryPost]],SUM(M1512:O1512))</f>
        <v>270</v>
      </c>
      <c r="Q1512" s="57">
        <v>270</v>
      </c>
      <c r="R1512" s="62">
        <f>ТабПозиции[[#This Row],[totalSumm]]-ТабПозиции[[#This Row],[payment]]</f>
        <v>0</v>
      </c>
      <c r="S1512" s="34" t="s">
        <v>955</v>
      </c>
      <c r="T1512" s="56" t="s">
        <v>3061</v>
      </c>
      <c r="U1512" s="56" t="str">
        <f>IF(AND(ТабПозиции[[#This Row],[Остаток]]=0,ТабПозиции[[#This Row],[ord]]="true"),"true","false")</f>
        <v>true</v>
      </c>
      <c r="V1512" s="56" t="s">
        <v>3061</v>
      </c>
      <c r="W1512" s="7"/>
      <c r="X1512"/>
    </row>
    <row r="1513" spans="1:24" x14ac:dyDescent="0.25">
      <c r="A1513" s="26">
        <v>397</v>
      </c>
      <c r="B1513" s="1">
        <f>IFERROR(VLOOKUP(ТабПозиции[[#This Row],[orderNum]],ТабЗаказы[#Data],MATCH(B$7,ТабЗаказы[#Headers],0),0),"")</f>
        <v>45644</v>
      </c>
      <c r="C1513" t="str">
        <f>MONTH(ТабПозиции[[#This Row],[date]])&amp;"/"&amp;YEAR(ТабПозиции[[#This Row],[date]])</f>
        <v>12/2024</v>
      </c>
      <c r="D1513" s="1" t="str">
        <f>IFERROR(VLOOKUP(ТабПозиции[[#This Row],[orderNum]],ТабЗаказы[#Data],MATCH(D$7,ТабЗаказы[#Headers],0),0),"")</f>
        <v>Михаил Куприна</v>
      </c>
      <c r="E1513" s="32" t="s">
        <v>2140</v>
      </c>
      <c r="F1513" s="56" t="s">
        <v>3061</v>
      </c>
      <c r="H1513" s="34">
        <v>45648</v>
      </c>
      <c r="I1513" s="26">
        <v>1</v>
      </c>
      <c r="J1513" s="26">
        <v>1339</v>
      </c>
      <c r="K1513">
        <f>ТабПозиции[[#This Row],[discountPrice]]*ТабПозиции[[#This Row],[quantity]]</f>
        <v>1339</v>
      </c>
      <c r="L1513" s="26">
        <v>1437</v>
      </c>
      <c r="M1513">
        <f t="shared" si="28"/>
        <v>1437</v>
      </c>
      <c r="O151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Row],[orderNum]],ТабПозиции[orderSumm])&gt;1500),ABS(M1513*VLOOKUP(ТабПозиции[[#This Row],[orderNum]],ТабЗаказы[#Data],MATCH("Percent",ТабЗаказы[#Headers],0),0))/100,200/COUNTIF(ТабПозиции[orderNum],ТабПозиции[[#This Row],[orderNum]])),0),"")</f>
        <v>216</v>
      </c>
      <c r="P1513">
        <f>IF(OR(ТабПозиции[[#This Row],[item]]="По штрихкоду",ТабПозиции[[#This Row],[item]]="Посылка"),ТабПозиции[[#This Row],[deliverySumm]]+ТабПозиции[[#This Row],[deliveryPost]],SUM(M1513:O1513))</f>
        <v>1653</v>
      </c>
      <c r="Q1513" s="57">
        <v>1653</v>
      </c>
      <c r="R1513" s="62">
        <f>ТабПозиции[[#This Row],[totalSumm]]-ТабПозиции[[#This Row],[payment]]</f>
        <v>0</v>
      </c>
      <c r="S1513" s="34" t="s">
        <v>955</v>
      </c>
      <c r="T1513" s="56" t="s">
        <v>3061</v>
      </c>
      <c r="U1513" s="56" t="str">
        <f>IF(AND(ТабПозиции[[#This Row],[Остаток]]=0,ТабПозиции[[#This Row],[ord]]="true"),"true","false")</f>
        <v>true</v>
      </c>
      <c r="V1513" s="56" t="s">
        <v>3061</v>
      </c>
      <c r="W1513" s="7"/>
      <c r="X1513"/>
    </row>
    <row r="1514" spans="1:24" x14ac:dyDescent="0.25">
      <c r="A1514" s="26">
        <v>397</v>
      </c>
      <c r="B1514" s="1">
        <f>IFERROR(VLOOKUP(ТабПозиции[[#This Row],[orderNum]],ТабЗаказы[#Data],MATCH(B$7,ТабЗаказы[#Headers],0),0),"")</f>
        <v>45644</v>
      </c>
      <c r="C1514" t="str">
        <f>MONTH(ТабПозиции[[#This Row],[date]])&amp;"/"&amp;YEAR(ТабПозиции[[#This Row],[date]])</f>
        <v>12/2024</v>
      </c>
      <c r="D1514" s="1" t="str">
        <f>IFERROR(VLOOKUP(ТабПозиции[[#This Row],[orderNum]],ТабЗаказы[#Data],MATCH(D$7,ТабЗаказы[#Headers],0),0),"")</f>
        <v>Михаил Куприна</v>
      </c>
      <c r="E1514" s="32" t="s">
        <v>2141</v>
      </c>
      <c r="F1514" s="56" t="s">
        <v>3061</v>
      </c>
      <c r="H1514" s="34">
        <v>45646</v>
      </c>
      <c r="I1514" s="26">
        <v>1</v>
      </c>
      <c r="J1514" s="26">
        <v>541</v>
      </c>
      <c r="K1514">
        <f>ТабПозиции[[#This Row],[discountPrice]]*ТабПозиции[[#This Row],[quantity]]</f>
        <v>541</v>
      </c>
      <c r="L1514" s="26">
        <v>581</v>
      </c>
      <c r="M1514">
        <f t="shared" si="28"/>
        <v>581</v>
      </c>
      <c r="O151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Row],[orderNum]],ТабПозиции[orderSumm])&gt;1500),ABS(M1514*VLOOKUP(ТабПозиции[[#This Row],[orderNum]],ТабЗаказы[#Data],MATCH("Percent",ТабЗаказы[#Headers],0),0))/100,200/COUNTIF(ТабПозиции[orderNum],ТабПозиции[[#This Row],[orderNum]])),0),"")</f>
        <v>87</v>
      </c>
      <c r="P1514">
        <f>IF(OR(ТабПозиции[[#This Row],[item]]="По штрихкоду",ТабПозиции[[#This Row],[item]]="Посылка"),ТабПозиции[[#This Row],[deliverySumm]]+ТабПозиции[[#This Row],[deliveryPost]],SUM(M1514:O1514))</f>
        <v>668</v>
      </c>
      <c r="Q1514" s="57">
        <v>668</v>
      </c>
      <c r="R1514" s="62">
        <f>ТабПозиции[[#This Row],[totalSumm]]-ТабПозиции[[#This Row],[payment]]</f>
        <v>0</v>
      </c>
      <c r="S1514" s="34" t="s">
        <v>955</v>
      </c>
      <c r="T1514" s="56" t="s">
        <v>3061</v>
      </c>
      <c r="U1514" s="56" t="str">
        <f>IF(AND(ТабПозиции[[#This Row],[Остаток]]=0,ТабПозиции[[#This Row],[ord]]="true"),"true","false")</f>
        <v>true</v>
      </c>
      <c r="V1514" s="56" t="s">
        <v>3061</v>
      </c>
      <c r="W1514" s="7"/>
      <c r="X1514"/>
    </row>
    <row r="1515" spans="1:24" x14ac:dyDescent="0.25">
      <c r="A1515" s="26">
        <v>397</v>
      </c>
      <c r="B1515" s="1">
        <f>IFERROR(VLOOKUP(ТабПозиции[[#This Row],[orderNum]],ТабЗаказы[#Data],MATCH(B$7,ТабЗаказы[#Headers],0),0),"")</f>
        <v>45644</v>
      </c>
      <c r="C1515" t="str">
        <f>MONTH(ТабПозиции[[#This Row],[date]])&amp;"/"&amp;YEAR(ТабПозиции[[#This Row],[date]])</f>
        <v>12/2024</v>
      </c>
      <c r="D1515" s="1" t="str">
        <f>IFERROR(VLOOKUP(ТабПозиции[[#This Row],[orderNum]],ТабЗаказы[#Data],MATCH(D$7,ТабЗаказы[#Headers],0),0),"")</f>
        <v>Михаил Куприна</v>
      </c>
      <c r="E1515" s="32" t="s">
        <v>2142</v>
      </c>
      <c r="F1515" s="56" t="s">
        <v>3061</v>
      </c>
      <c r="H1515" s="34">
        <v>45646</v>
      </c>
      <c r="I1515" s="26">
        <v>1</v>
      </c>
      <c r="J1515" s="26">
        <v>323</v>
      </c>
      <c r="K1515">
        <f>ТабПозиции[[#This Row],[discountPrice]]*ТабПозиции[[#This Row],[quantity]]</f>
        <v>323</v>
      </c>
      <c r="L1515" s="26">
        <v>330</v>
      </c>
      <c r="M1515">
        <f t="shared" si="28"/>
        <v>330</v>
      </c>
      <c r="O151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Row],[orderNum]],ТабПозиции[orderSumm])&gt;1500),ABS(M1515*VLOOKUP(ТабПозиции[[#This Row],[orderNum]],ТабЗаказы[#Data],MATCH("Percent",ТабЗаказы[#Headers],0),0))/100,200/COUNTIF(ТабПозиции[orderNum],ТабПозиции[[#This Row],[orderNum]])),0),"")</f>
        <v>50</v>
      </c>
      <c r="P1515">
        <f>IF(OR(ТабПозиции[[#This Row],[item]]="По штрихкоду",ТабПозиции[[#This Row],[item]]="Посылка"),ТабПозиции[[#This Row],[deliverySumm]]+ТабПозиции[[#This Row],[deliveryPost]],SUM(M1515:O1515))</f>
        <v>380</v>
      </c>
      <c r="Q1515" s="57">
        <v>380</v>
      </c>
      <c r="R1515" s="62">
        <f>ТабПозиции[[#This Row],[totalSumm]]-ТабПозиции[[#This Row],[payment]]</f>
        <v>0</v>
      </c>
      <c r="S1515" s="34" t="s">
        <v>955</v>
      </c>
      <c r="T1515" s="56" t="s">
        <v>3061</v>
      </c>
      <c r="U1515" s="56" t="str">
        <f>IF(AND(ТабПозиции[[#This Row],[Остаток]]=0,ТабПозиции[[#This Row],[ord]]="true"),"true","false")</f>
        <v>true</v>
      </c>
      <c r="V1515" s="56" t="s">
        <v>3061</v>
      </c>
      <c r="W1515" s="7"/>
      <c r="X1515"/>
    </row>
    <row r="1516" spans="1:24" x14ac:dyDescent="0.25">
      <c r="A1516" s="26">
        <v>397</v>
      </c>
      <c r="B1516" s="1">
        <f>IFERROR(VLOOKUP(ТабПозиции[[#This Row],[orderNum]],ТабЗаказы[#Data],MATCH(B$7,ТабЗаказы[#Headers],0),0),"")</f>
        <v>45644</v>
      </c>
      <c r="C1516" t="str">
        <f>MONTH(ТабПозиции[[#This Row],[date]])&amp;"/"&amp;YEAR(ТабПозиции[[#This Row],[date]])</f>
        <v>12/2024</v>
      </c>
      <c r="D1516" s="1" t="str">
        <f>IFERROR(VLOOKUP(ТабПозиции[[#This Row],[orderNum]],ТабЗаказы[#Data],MATCH(D$7,ТабЗаказы[#Headers],0),0),"")</f>
        <v>Михаил Куприна</v>
      </c>
      <c r="E1516" s="32" t="s">
        <v>2143</v>
      </c>
      <c r="F1516" s="56" t="s">
        <v>3061</v>
      </c>
      <c r="H1516" s="34">
        <v>45646</v>
      </c>
      <c r="I1516" s="26">
        <v>1</v>
      </c>
      <c r="J1516" s="26">
        <v>722</v>
      </c>
      <c r="K1516">
        <f>ТабПозиции[[#This Row],[discountPrice]]*ТабПозиции[[#This Row],[quantity]]</f>
        <v>722</v>
      </c>
      <c r="L1516" s="26">
        <v>775</v>
      </c>
      <c r="M1516">
        <f t="shared" si="28"/>
        <v>775</v>
      </c>
      <c r="O151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Row],[orderNum]],ТабПозиции[orderSumm])&gt;1500),ABS(M1516*VLOOKUP(ТабПозиции[[#This Row],[orderNum]],ТабЗаказы[#Data],MATCH("Percent",ТабЗаказы[#Headers],0),0))/100,200/COUNTIF(ТабПозиции[orderNum],ТабПозиции[[#This Row],[orderNum]])),0),"")</f>
        <v>116</v>
      </c>
      <c r="P1516">
        <f>IF(OR(ТабПозиции[[#This Row],[item]]="По штрихкоду",ТабПозиции[[#This Row],[item]]="Посылка"),ТабПозиции[[#This Row],[deliverySumm]]+ТабПозиции[[#This Row],[deliveryPost]],SUM(M1516:O1516))</f>
        <v>891</v>
      </c>
      <c r="Q1516" s="57">
        <v>891</v>
      </c>
      <c r="R1516" s="62">
        <f>ТабПозиции[[#This Row],[totalSumm]]-ТабПозиции[[#This Row],[payment]]</f>
        <v>0</v>
      </c>
      <c r="S1516" s="34" t="s">
        <v>955</v>
      </c>
      <c r="T1516" s="56" t="s">
        <v>3061</v>
      </c>
      <c r="U1516" s="56" t="str">
        <f>IF(AND(ТабПозиции[[#This Row],[Остаток]]=0,ТабПозиции[[#This Row],[ord]]="true"),"true","false")</f>
        <v>true</v>
      </c>
      <c r="V1516" s="56" t="s">
        <v>3061</v>
      </c>
      <c r="W1516" s="7"/>
      <c r="X1516"/>
    </row>
    <row r="1517" spans="1:24" x14ac:dyDescent="0.25">
      <c r="A1517" s="26">
        <v>397</v>
      </c>
      <c r="B1517" s="1">
        <f>IFERROR(VLOOKUP(ТабПозиции[[#This Row],[orderNum]],ТабЗаказы[#Data],MATCH(B$7,ТабЗаказы[#Headers],0),0),"")</f>
        <v>45644</v>
      </c>
      <c r="C1517" t="str">
        <f>MONTH(ТабПозиции[[#This Row],[date]])&amp;"/"&amp;YEAR(ТабПозиции[[#This Row],[date]])</f>
        <v>12/2024</v>
      </c>
      <c r="D1517" s="1" t="str">
        <f>IFERROR(VLOOKUP(ТабПозиции[[#This Row],[orderNum]],ТабЗаказы[#Data],MATCH(D$7,ТабЗаказы[#Headers],0),0),"")</f>
        <v>Михаил Куприна</v>
      </c>
      <c r="E1517" s="32" t="s">
        <v>2144</v>
      </c>
      <c r="F1517" s="56" t="s">
        <v>3061</v>
      </c>
      <c r="H1517" s="34">
        <v>45645</v>
      </c>
      <c r="I1517" s="26">
        <v>1</v>
      </c>
      <c r="J1517" s="26">
        <v>186</v>
      </c>
      <c r="K1517">
        <f>ТабПозиции[[#This Row],[discountPrice]]*ТабПозиции[[#This Row],[quantity]]</f>
        <v>186</v>
      </c>
      <c r="L1517" s="26">
        <v>190</v>
      </c>
      <c r="M1517">
        <f t="shared" si="28"/>
        <v>190</v>
      </c>
      <c r="O151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Row],[orderNum]],ТабПозиции[orderSumm])&gt;1500),ABS(M1517*VLOOKUP(ТабПозиции[[#This Row],[orderNum]],ТабЗаказы[#Data],MATCH("Percent",ТабЗаказы[#Headers],0),0))/100,200/COUNTIF(ТабПозиции[orderNum],ТабПозиции[[#This Row],[orderNum]])),0),"")</f>
        <v>29</v>
      </c>
      <c r="P1517">
        <f>IF(OR(ТабПозиции[[#This Row],[item]]="По штрихкоду",ТабПозиции[[#This Row],[item]]="Посылка"),ТабПозиции[[#This Row],[deliverySumm]]+ТабПозиции[[#This Row],[deliveryPost]],SUM(M1517:O1517))</f>
        <v>219</v>
      </c>
      <c r="Q1517" s="57">
        <v>219</v>
      </c>
      <c r="R1517" s="62">
        <f>ТабПозиции[[#This Row],[totalSumm]]-ТабПозиции[[#This Row],[payment]]</f>
        <v>0</v>
      </c>
      <c r="S1517" s="34" t="s">
        <v>955</v>
      </c>
      <c r="T1517" s="56" t="s">
        <v>3061</v>
      </c>
      <c r="U1517" s="56" t="str">
        <f>IF(AND(ТабПозиции[[#This Row],[Остаток]]=0,ТабПозиции[[#This Row],[ord]]="true"),"true","false")</f>
        <v>true</v>
      </c>
      <c r="V1517" s="56" t="s">
        <v>3061</v>
      </c>
      <c r="W1517" s="7"/>
      <c r="X1517"/>
    </row>
    <row r="1518" spans="1:24" x14ac:dyDescent="0.25">
      <c r="A1518" s="26">
        <v>397</v>
      </c>
      <c r="B1518" s="1">
        <f>IFERROR(VLOOKUP(ТабПозиции[[#This Row],[orderNum]],ТабЗаказы[#Data],MATCH(B$7,ТабЗаказы[#Headers],0),0),"")</f>
        <v>45644</v>
      </c>
      <c r="C1518" t="str">
        <f>MONTH(ТабПозиции[[#This Row],[date]])&amp;"/"&amp;YEAR(ТабПозиции[[#This Row],[date]])</f>
        <v>12/2024</v>
      </c>
      <c r="D1518" s="1" t="str">
        <f>IFERROR(VLOOKUP(ТабПозиции[[#This Row],[orderNum]],ТабЗаказы[#Data],MATCH(D$7,ТабЗаказы[#Headers],0),0),"")</f>
        <v>Михаил Куприна</v>
      </c>
      <c r="E1518" s="32" t="s">
        <v>2145</v>
      </c>
      <c r="F1518" s="56" t="s">
        <v>3061</v>
      </c>
      <c r="H1518" s="34">
        <v>45646</v>
      </c>
      <c r="I1518" s="26">
        <v>1</v>
      </c>
      <c r="J1518" s="26">
        <v>423</v>
      </c>
      <c r="K1518">
        <f>ТабПозиции[[#This Row],[discountPrice]]*ТабПозиции[[#This Row],[quantity]]</f>
        <v>423</v>
      </c>
      <c r="L1518" s="26">
        <v>454</v>
      </c>
      <c r="M1518">
        <f t="shared" si="28"/>
        <v>454</v>
      </c>
      <c r="O151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Row],[orderNum]],ТабПозиции[orderSumm])&gt;1500),ABS(M1518*VLOOKUP(ТабПозиции[[#This Row],[orderNum]],ТабЗаказы[#Data],MATCH("Percent",ТабЗаказы[#Headers],0),0))/100,200/COUNTIF(ТабПозиции[orderNum],ТабПозиции[[#This Row],[orderNum]])),0),"")</f>
        <v>68</v>
      </c>
      <c r="P1518">
        <f>IF(OR(ТабПозиции[[#This Row],[item]]="По штрихкоду",ТабПозиции[[#This Row],[item]]="Посылка"),ТабПозиции[[#This Row],[deliverySumm]]+ТабПозиции[[#This Row],[deliveryPost]],SUM(M1518:O1518))</f>
        <v>522</v>
      </c>
      <c r="Q1518" s="57">
        <v>522</v>
      </c>
      <c r="R1518" s="62">
        <f>ТабПозиции[[#This Row],[totalSumm]]-ТабПозиции[[#This Row],[payment]]</f>
        <v>0</v>
      </c>
      <c r="S1518" s="34" t="s">
        <v>955</v>
      </c>
      <c r="T1518" s="56" t="s">
        <v>3061</v>
      </c>
      <c r="U1518" s="56" t="str">
        <f>IF(AND(ТабПозиции[[#This Row],[Остаток]]=0,ТабПозиции[[#This Row],[ord]]="true"),"true","false")</f>
        <v>true</v>
      </c>
      <c r="V1518" s="56" t="s">
        <v>3061</v>
      </c>
      <c r="W1518" s="7"/>
      <c r="X1518"/>
    </row>
    <row r="1519" spans="1:24" x14ac:dyDescent="0.25">
      <c r="A1519" s="26">
        <v>398</v>
      </c>
      <c r="B1519" s="1">
        <f>IFERROR(VLOOKUP(ТабПозиции[[#This Row],[orderNum]],ТабЗаказы[#Data],MATCH(B$7,ТабЗаказы[#Headers],0),0),"")</f>
        <v>45645</v>
      </c>
      <c r="C1519" t="str">
        <f>MONTH(ТабПозиции[[#This Row],[date]])&amp;"/"&amp;YEAR(ТабПозиции[[#This Row],[date]])</f>
        <v>12/2024</v>
      </c>
      <c r="D1519" s="1" t="str">
        <f>IFERROR(VLOOKUP(ТабПозиции[[#This Row],[orderNum]],ТабЗаказы[#Data],MATCH(D$7,ТабЗаказы[#Headers],0),0),"")</f>
        <v>SR</v>
      </c>
      <c r="E1519" s="26" t="s">
        <v>32</v>
      </c>
      <c r="F1519" s="56" t="s">
        <v>3061</v>
      </c>
      <c r="H1519" s="34">
        <v>45646</v>
      </c>
      <c r="I1519" s="26">
        <v>1</v>
      </c>
      <c r="J1519" s="26">
        <f>262+189+1251+1792+350+199+520+1003+1178+1492</f>
        <v>8236</v>
      </c>
      <c r="K1519">
        <f>ТабПозиции[[#This Row],[discountPrice]]*ТабПозиции[[#This Row],[quantity]]</f>
        <v>8236</v>
      </c>
      <c r="L1519" s="26">
        <v>8236</v>
      </c>
      <c r="M1519">
        <f t="shared" si="28"/>
        <v>8236</v>
      </c>
      <c r="O151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Row],[orderNum]],ТабПозиции[orderSumm])&gt;1500),ABS(M1519*VLOOKUP(ТабПозиции[[#This Row],[orderNum]],ТабЗаказы[#Data],MATCH("Percent",ТабЗаказы[#Headers],0),0))/100,200/COUNTIF(ТабПозиции[orderNum],ТабПозиции[[#This Row],[orderNum]])),0),"")</f>
        <v>824</v>
      </c>
      <c r="P1519">
        <f>IF(OR(ТабПозиции[[#This Row],[item]]="По штрихкоду",ТабПозиции[[#This Row],[item]]="Посылка"),ТабПозиции[[#This Row],[deliverySumm]]+ТабПозиции[[#This Row],[deliveryPost]],SUM(M1519:O1519))</f>
        <v>824</v>
      </c>
      <c r="Q1519" s="57">
        <v>824</v>
      </c>
      <c r="R1519" s="62">
        <f>ТабПозиции[[#This Row],[totalSumm]]-ТабПозиции[[#This Row],[payment]]</f>
        <v>0</v>
      </c>
      <c r="S1519" s="34" t="s">
        <v>955</v>
      </c>
      <c r="T1519" s="56" t="s">
        <v>3061</v>
      </c>
      <c r="U1519" s="56" t="str">
        <f>IF(AND(ТабПозиции[[#This Row],[Остаток]]=0,ТабПозиции[[#This Row],[ord]]="true"),"true","false")</f>
        <v>true</v>
      </c>
      <c r="V1519" s="56" t="s">
        <v>3061</v>
      </c>
      <c r="W1519" s="7"/>
      <c r="X1519"/>
    </row>
    <row r="1520" spans="1:24" x14ac:dyDescent="0.25">
      <c r="A1520" s="26">
        <v>399</v>
      </c>
      <c r="B1520" s="1">
        <f>IFERROR(VLOOKUP(ТабПозиции[[#This Row],[orderNum]],ТабЗаказы[#Data],MATCH(B$7,ТабЗаказы[#Headers],0),0),"")</f>
        <v>45646</v>
      </c>
      <c r="C1520" t="str">
        <f>MONTH(ТабПозиции[[#This Row],[date]])&amp;"/"&amp;YEAR(ТабПозиции[[#This Row],[date]])</f>
        <v>12/2024</v>
      </c>
      <c r="D1520" s="1" t="str">
        <f>IFERROR(VLOOKUP(ТабПозиции[[#This Row],[orderNum]],ТабЗаказы[#Data],MATCH(D$7,ТабЗаказы[#Headers],0),0),"")</f>
        <v>Лана</v>
      </c>
      <c r="E1520" s="26" t="s">
        <v>32</v>
      </c>
      <c r="F1520" s="56" t="s">
        <v>3061</v>
      </c>
      <c r="H1520" s="34">
        <v>45646</v>
      </c>
      <c r="I1520" s="26">
        <v>1</v>
      </c>
      <c r="J1520" s="26">
        <v>1939</v>
      </c>
      <c r="K1520">
        <f>ТабПозиции[[#This Row],[discountPrice]]*ТабПозиции[[#This Row],[quantity]]</f>
        <v>1939</v>
      </c>
      <c r="L1520" s="26">
        <v>1939</v>
      </c>
      <c r="M1520">
        <f t="shared" si="28"/>
        <v>1939</v>
      </c>
      <c r="O152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Row],[orderNum]],ТабПозиции[orderSumm])&gt;1500),ABS(M1520*VLOOKUP(ТабПозиции[[#This Row],[orderNum]],ТабЗаказы[#Data],MATCH("Percent",ТабЗаказы[#Headers],0),0))/100,200/COUNTIF(ТабПозиции[orderNum],ТабПозиции[[#This Row],[orderNum]])),0),"")</f>
        <v>291</v>
      </c>
      <c r="P1520">
        <f>IF(OR(ТабПозиции[[#This Row],[item]]="По штрихкоду",ТабПозиции[[#This Row],[item]]="Посылка"),ТабПозиции[[#This Row],[deliverySumm]]+ТабПозиции[[#This Row],[deliveryPost]],SUM(M1520:O1520))</f>
        <v>291</v>
      </c>
      <c r="Q1520" s="57">
        <v>291</v>
      </c>
      <c r="R1520" s="62">
        <f>ТабПозиции[[#This Row],[totalSumm]]-ТабПозиции[[#This Row],[payment]]</f>
        <v>0</v>
      </c>
      <c r="S1520" s="34" t="s">
        <v>955</v>
      </c>
      <c r="T1520" s="56" t="s">
        <v>3061</v>
      </c>
      <c r="U1520" s="56" t="str">
        <f>IF(AND(ТабПозиции[[#This Row],[Остаток]]=0,ТабПозиции[[#This Row],[ord]]="true"),"true","false")</f>
        <v>true</v>
      </c>
      <c r="V1520" s="56" t="s">
        <v>3061</v>
      </c>
      <c r="W1520" s="7"/>
      <c r="X1520"/>
    </row>
    <row r="1521" spans="1:24" x14ac:dyDescent="0.25">
      <c r="A1521" s="26">
        <v>400</v>
      </c>
      <c r="B1521" s="1">
        <f>IFERROR(VLOOKUP(ТабПозиции[[#This Row],[orderNum]],ТабЗаказы[#Data],MATCH(B$7,ТабЗаказы[#Headers],0),0),"")</f>
        <v>45646</v>
      </c>
      <c r="C1521" t="str">
        <f>MONTH(ТабПозиции[[#This Row],[date]])&amp;"/"&amp;YEAR(ТабПозиции[[#This Row],[date]])</f>
        <v>12/2024</v>
      </c>
      <c r="D1521" s="1" t="str">
        <f>IFERROR(VLOOKUP(ТабПозиции[[#This Row],[orderNum]],ТабЗаказы[#Data],MATCH(D$7,ТабЗаказы[#Headers],0),0),"")</f>
        <v>Наталья Лунина 13</v>
      </c>
      <c r="E1521" s="26" t="s">
        <v>32</v>
      </c>
      <c r="F1521" s="56" t="s">
        <v>3061</v>
      </c>
      <c r="H1521" s="34">
        <v>45646</v>
      </c>
      <c r="I1521" s="26">
        <v>1</v>
      </c>
      <c r="J1521" s="26">
        <v>2898</v>
      </c>
      <c r="K1521">
        <f>ТабПозиции[[#This Row],[discountPrice]]*ТабПозиции[[#This Row],[quantity]]</f>
        <v>2898</v>
      </c>
      <c r="L1521" s="26">
        <v>2898</v>
      </c>
      <c r="M1521">
        <f t="shared" si="28"/>
        <v>2898</v>
      </c>
      <c r="O152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Row],[orderNum]],ТабПозиции[orderSumm])&gt;1500),ABS(M1521*VLOOKUP(ТабПозиции[[#This Row],[orderNum]],ТабЗаказы[#Data],MATCH("Percent",ТабЗаказы[#Headers],0),0))/100,200/COUNTIF(ТабПозиции[orderNum],ТабПозиции[[#This Row],[orderNum]])),0),"")</f>
        <v>435</v>
      </c>
      <c r="P1521">
        <f>IF(OR(ТабПозиции[[#This Row],[item]]="По штрихкоду",ТабПозиции[[#This Row],[item]]="Посылка"),ТабПозиции[[#This Row],[deliverySumm]]+ТабПозиции[[#This Row],[deliveryPost]],SUM(M1521:O1521))</f>
        <v>435</v>
      </c>
      <c r="Q1521" s="57">
        <v>435</v>
      </c>
      <c r="R1521" s="62">
        <f>ТабПозиции[[#This Row],[totalSumm]]-ТабПозиции[[#This Row],[payment]]</f>
        <v>0</v>
      </c>
      <c r="S1521" s="34" t="s">
        <v>955</v>
      </c>
      <c r="T1521" s="56" t="s">
        <v>3061</v>
      </c>
      <c r="U1521" s="56" t="str">
        <f>IF(AND(ТабПозиции[[#This Row],[Остаток]]=0,ТабПозиции[[#This Row],[ord]]="true"),"true","false")</f>
        <v>true</v>
      </c>
      <c r="V1521" s="56" t="s">
        <v>3061</v>
      </c>
      <c r="W1521" s="7"/>
      <c r="X1521"/>
    </row>
    <row r="1522" spans="1:24" x14ac:dyDescent="0.25">
      <c r="A1522" s="26">
        <v>401</v>
      </c>
      <c r="B1522" s="1">
        <f>IFERROR(VLOOKUP(ТабПозиции[[#This Row],[orderNum]],ТабЗаказы[#Data],MATCH(B$7,ТабЗаказы[#Headers],0),0),"")</f>
        <v>45646</v>
      </c>
      <c r="C1522" t="str">
        <f>MONTH(ТабПозиции[[#This Row],[date]])&amp;"/"&amp;YEAR(ТабПозиции[[#This Row],[date]])</f>
        <v>12/2024</v>
      </c>
      <c r="D1522" s="1" t="str">
        <f>IFERROR(VLOOKUP(ТабПозиции[[#This Row],[orderNum]],ТабЗаказы[#Data],MATCH(D$7,ТабЗаказы[#Headers],0),0),"")</f>
        <v>Косарева Елена</v>
      </c>
      <c r="E1522" s="26" t="s">
        <v>32</v>
      </c>
      <c r="F1522" s="56" t="s">
        <v>3061</v>
      </c>
      <c r="H1522" s="34">
        <v>45646</v>
      </c>
      <c r="I1522" s="26">
        <v>1</v>
      </c>
      <c r="J1522" s="26">
        <v>18039</v>
      </c>
      <c r="K1522">
        <f>ТабПозиции[[#This Row],[discountPrice]]*ТабПозиции[[#This Row],[quantity]]</f>
        <v>18039</v>
      </c>
      <c r="L1522" s="26">
        <v>18039</v>
      </c>
      <c r="M1522">
        <f t="shared" si="28"/>
        <v>18039</v>
      </c>
      <c r="O152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Row],[orderNum]],ТабПозиции[orderSumm])&gt;1500),ABS(M1522*VLOOKUP(ТабПозиции[[#This Row],[orderNum]],ТабЗаказы[#Data],MATCH("Percent",ТабЗаказы[#Headers],0),0))/100,200/COUNTIF(ТабПозиции[orderNum],ТабПозиции[[#This Row],[orderNum]])),0),"")</f>
        <v>1804</v>
      </c>
      <c r="P1522">
        <f>IF(OR(ТабПозиции[[#This Row],[item]]="По штрихкоду",ТабПозиции[[#This Row],[item]]="Посылка"),ТабПозиции[[#This Row],[deliverySumm]]+ТабПозиции[[#This Row],[deliveryPost]],SUM(M1522:O1522))</f>
        <v>1804</v>
      </c>
      <c r="Q1522" s="57">
        <v>1804</v>
      </c>
      <c r="R1522" s="62">
        <f>ТабПозиции[[#This Row],[totalSumm]]-ТабПозиции[[#This Row],[payment]]</f>
        <v>0</v>
      </c>
      <c r="S1522" s="34" t="s">
        <v>955</v>
      </c>
      <c r="T1522" s="56" t="s">
        <v>3061</v>
      </c>
      <c r="U1522" s="56" t="str">
        <f>IF(AND(ТабПозиции[[#This Row],[Остаток]]=0,ТабПозиции[[#This Row],[ord]]="true"),"true","false")</f>
        <v>true</v>
      </c>
      <c r="V1522" s="56" t="s">
        <v>3061</v>
      </c>
      <c r="W1522" s="7"/>
      <c r="X1522"/>
    </row>
    <row r="1523" spans="1:24" x14ac:dyDescent="0.25">
      <c r="A1523" s="26">
        <v>402</v>
      </c>
      <c r="B1523" s="1">
        <f>IFERROR(VLOOKUP(ТабПозиции[[#This Row],[orderNum]],ТабЗаказы[#Data],MATCH(B$7,ТабЗаказы[#Headers],0),0),"")</f>
        <v>45646</v>
      </c>
      <c r="C1523" t="str">
        <f>MONTH(ТабПозиции[[#This Row],[date]])&amp;"/"&amp;YEAR(ТабПозиции[[#This Row],[date]])</f>
        <v>12/2024</v>
      </c>
      <c r="D1523" s="1" t="str">
        <f>IFERROR(VLOOKUP(ТабПозиции[[#This Row],[orderNum]],ТабЗаказы[#Data],MATCH(D$7,ТабЗаказы[#Headers],0),0),"")</f>
        <v>Руденко Юля</v>
      </c>
      <c r="E1523" s="32" t="s">
        <v>2150</v>
      </c>
      <c r="F1523" s="56" t="s">
        <v>3061</v>
      </c>
      <c r="H1523" s="34">
        <v>45650</v>
      </c>
      <c r="I1523" s="26">
        <v>1</v>
      </c>
      <c r="J1523" s="26">
        <v>3661</v>
      </c>
      <c r="K1523">
        <f>ТабПозиции[[#This Row],[discountPrice]]*ТабПозиции[[#This Row],[quantity]]</f>
        <v>3661</v>
      </c>
      <c r="L1523" s="26">
        <v>3854</v>
      </c>
      <c r="M1523">
        <f t="shared" si="28"/>
        <v>3854</v>
      </c>
      <c r="O152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Row],[orderNum]],ТабПозиции[orderSumm])&gt;1500),ABS(M1523*VLOOKUP(ТабПозиции[[#This Row],[orderNum]],ТабЗаказы[#Data],MATCH("Percent",ТабЗаказы[#Headers],0),0))/100,200/COUNTIF(ТабПозиции[orderNum],ТабПозиции[[#This Row],[orderNum]])),0),"")</f>
        <v>385</v>
      </c>
      <c r="P1523">
        <f>IF(OR(ТабПозиции[[#This Row],[item]]="По штрихкоду",ТабПозиции[[#This Row],[item]]="Посылка"),ТабПозиции[[#This Row],[deliverySumm]]+ТабПозиции[[#This Row],[deliveryPost]],SUM(M1523:O1523))</f>
        <v>4239</v>
      </c>
      <c r="Q1523" s="57">
        <v>4239</v>
      </c>
      <c r="R1523" s="62">
        <f>ТабПозиции[[#This Row],[totalSumm]]-ТабПозиции[[#This Row],[payment]]</f>
        <v>0</v>
      </c>
      <c r="S1523" s="34" t="s">
        <v>965</v>
      </c>
      <c r="T1523" s="56" t="s">
        <v>3061</v>
      </c>
      <c r="U1523" s="56" t="str">
        <f>IF(AND(ТабПозиции[[#This Row],[Остаток]]=0,ТабПозиции[[#This Row],[ord]]="true"),"true","false")</f>
        <v>true</v>
      </c>
      <c r="V1523" s="56" t="s">
        <v>3061</v>
      </c>
      <c r="W1523" s="7"/>
      <c r="X1523"/>
    </row>
    <row r="1524" spans="1:24" x14ac:dyDescent="0.25">
      <c r="A1524" s="26">
        <v>402</v>
      </c>
      <c r="B1524" s="1">
        <f>IFERROR(VLOOKUP(ТабПозиции[[#This Row],[orderNum]],ТабЗаказы[#Data],MATCH(B$7,ТабЗаказы[#Headers],0),0),"")</f>
        <v>45646</v>
      </c>
      <c r="C1524" t="str">
        <f>MONTH(ТабПозиции[[#This Row],[date]])&amp;"/"&amp;YEAR(ТабПозиции[[#This Row],[date]])</f>
        <v>12/2024</v>
      </c>
      <c r="D1524" s="1" t="str">
        <f>IFERROR(VLOOKUP(ТабПозиции[[#This Row],[orderNum]],ТабЗаказы[#Data],MATCH(D$7,ТабЗаказы[#Headers],0),0),"")</f>
        <v>Руденко Юля</v>
      </c>
      <c r="E1524" s="32" t="s">
        <v>2131</v>
      </c>
      <c r="F1524" s="56" t="s">
        <v>3061</v>
      </c>
      <c r="H1524" s="34">
        <v>45652</v>
      </c>
      <c r="I1524" s="26">
        <v>1</v>
      </c>
      <c r="J1524" s="26">
        <v>1282</v>
      </c>
      <c r="K1524">
        <f>ТабПозиции[[#This Row],[discountPrice]]*ТабПозиции[[#This Row],[quantity]]</f>
        <v>1282</v>
      </c>
      <c r="L1524" s="26">
        <v>1350</v>
      </c>
      <c r="M1524">
        <f t="shared" si="28"/>
        <v>1350</v>
      </c>
      <c r="O152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Row],[orderNum]],ТабПозиции[orderSumm])&gt;1500),ABS(M1524*VLOOKUP(ТабПозиции[[#This Row],[orderNum]],ТабЗаказы[#Data],MATCH("Percent",ТабЗаказы[#Headers],0),0))/100,200/COUNTIF(ТабПозиции[orderNum],ТабПозиции[[#This Row],[orderNum]])),0),"")</f>
        <v>135</v>
      </c>
      <c r="P1524">
        <f>IF(OR(ТабПозиции[[#This Row],[item]]="По штрихкоду",ТабПозиции[[#This Row],[item]]="Посылка"),ТабПозиции[[#This Row],[deliverySumm]]+ТабПозиции[[#This Row],[deliveryPost]],SUM(M1524:O1524))</f>
        <v>1485</v>
      </c>
      <c r="Q1524" s="57">
        <v>1485</v>
      </c>
      <c r="R1524" s="62">
        <f>ТабПозиции[[#This Row],[totalSumm]]-ТабПозиции[[#This Row],[payment]]</f>
        <v>0</v>
      </c>
      <c r="S1524" s="34" t="s">
        <v>965</v>
      </c>
      <c r="T1524" s="56" t="s">
        <v>3061</v>
      </c>
      <c r="U1524" s="56" t="str">
        <f>IF(AND(ТабПозиции[[#This Row],[Остаток]]=0,ТабПозиции[[#This Row],[ord]]="true"),"true","false")</f>
        <v>true</v>
      </c>
      <c r="V1524" s="56" t="s">
        <v>3061</v>
      </c>
      <c r="W1524" s="7"/>
      <c r="X1524"/>
    </row>
    <row r="1525" spans="1:24" x14ac:dyDescent="0.25">
      <c r="A1525" s="26">
        <v>403</v>
      </c>
      <c r="B1525" s="1">
        <f>IFERROR(VLOOKUP(ТабПозиции[[#This Row],[orderNum]],ТабЗаказы[#Data],MATCH(B$7,ТабЗаказы[#Headers],0),0),"")</f>
        <v>45649</v>
      </c>
      <c r="C1525" t="str">
        <f>MONTH(ТабПозиции[[#This Row],[date]])&amp;"/"&amp;YEAR(ТабПозиции[[#This Row],[date]])</f>
        <v>12/2024</v>
      </c>
      <c r="D1525" s="1" t="str">
        <f>IFERROR(VLOOKUP(ТабПозиции[[#This Row],[orderNum]],ТабЗаказы[#Data],MATCH(D$7,ТабЗаказы[#Headers],0),0),"")</f>
        <v>Галина Агабекова(церковь)</v>
      </c>
      <c r="E1525" s="32" t="s">
        <v>2151</v>
      </c>
      <c r="F1525" s="56" t="s">
        <v>3061</v>
      </c>
      <c r="H1525" s="34">
        <v>45655</v>
      </c>
      <c r="I1525" s="26">
        <v>1</v>
      </c>
      <c r="J1525" s="26">
        <v>871</v>
      </c>
      <c r="K1525">
        <f>ТабПозиции[[#This Row],[discountPrice]]*ТабПозиции[[#This Row],[quantity]]</f>
        <v>871</v>
      </c>
      <c r="L1525" s="26">
        <v>936</v>
      </c>
      <c r="M1525">
        <f t="shared" si="28"/>
        <v>936</v>
      </c>
      <c r="O152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Row],[orderNum]],ТабПозиции[orderSumm])&gt;1500),ABS(M1525*VLOOKUP(ТабПозиции[[#This Row],[orderNum]],ТабЗаказы[#Data],MATCH("Percent",ТабЗаказы[#Headers],0),0))/100,200/COUNTIF(ТабПозиции[orderNum],ТабПозиции[[#This Row],[orderNum]])),0),"")</f>
        <v>140</v>
      </c>
      <c r="P1525">
        <f>IF(OR(ТабПозиции[[#This Row],[item]]="По штрихкоду",ТабПозиции[[#This Row],[item]]="Посылка"),ТабПозиции[[#This Row],[deliverySumm]]+ТабПозиции[[#This Row],[deliveryPost]],SUM(M1525:O1525))</f>
        <v>1076</v>
      </c>
      <c r="Q1525" s="57">
        <v>1076</v>
      </c>
      <c r="R1525" s="62">
        <f>ТабПозиции[[#This Row],[totalSumm]]-ТабПозиции[[#This Row],[payment]]</f>
        <v>0</v>
      </c>
      <c r="S1525" s="34" t="s">
        <v>955</v>
      </c>
      <c r="T1525" s="56" t="s">
        <v>3061</v>
      </c>
      <c r="U1525" s="56" t="str">
        <f>IF(AND(ТабПозиции[[#This Row],[Остаток]]=0,ТабПозиции[[#This Row],[ord]]="true"),"true","false")</f>
        <v>true</v>
      </c>
      <c r="V1525" s="56" t="s">
        <v>3061</v>
      </c>
      <c r="W1525" s="7"/>
      <c r="X1525"/>
    </row>
    <row r="1526" spans="1:24" x14ac:dyDescent="0.25">
      <c r="A1526" s="26">
        <v>403</v>
      </c>
      <c r="B1526" s="1">
        <f>IFERROR(VLOOKUP(ТабПозиции[[#This Row],[orderNum]],ТабЗаказы[#Data],MATCH(B$7,ТабЗаказы[#Headers],0),0),"")</f>
        <v>45649</v>
      </c>
      <c r="C1526" t="str">
        <f>MONTH(ТабПозиции[[#This Row],[date]])&amp;"/"&amp;YEAR(ТабПозиции[[#This Row],[date]])</f>
        <v>12/2024</v>
      </c>
      <c r="D1526" s="1" t="str">
        <f>IFERROR(VLOOKUP(ТабПозиции[[#This Row],[orderNum]],ТабЗаказы[#Data],MATCH(D$7,ТабЗаказы[#Headers],0),0),"")</f>
        <v>Галина Агабекова(церковь)</v>
      </c>
      <c r="E1526" s="32" t="s">
        <v>2152</v>
      </c>
      <c r="F1526" s="56" t="s">
        <v>3061</v>
      </c>
      <c r="H1526" s="34">
        <v>45654</v>
      </c>
      <c r="I1526" s="26">
        <v>1</v>
      </c>
      <c r="J1526" s="26">
        <v>1026</v>
      </c>
      <c r="K1526">
        <f>ТабПозиции[[#This Row],[discountPrice]]*ТабПозиции[[#This Row],[quantity]]</f>
        <v>1026</v>
      </c>
      <c r="L1526" s="26">
        <v>1101</v>
      </c>
      <c r="M1526">
        <f t="shared" si="28"/>
        <v>1101</v>
      </c>
      <c r="O152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Row],[orderNum]],ТабПозиции[orderSumm])&gt;1500),ABS(M1526*VLOOKUP(ТабПозиции[[#This Row],[orderNum]],ТабЗаказы[#Data],MATCH("Percent",ТабЗаказы[#Headers],0),0))/100,200/COUNTIF(ТабПозиции[orderNum],ТабПозиции[[#This Row],[orderNum]])),0),"")</f>
        <v>165</v>
      </c>
      <c r="P1526">
        <f>IF(OR(ТабПозиции[[#This Row],[item]]="По штрихкоду",ТабПозиции[[#This Row],[item]]="Посылка"),ТабПозиции[[#This Row],[deliverySumm]]+ТабПозиции[[#This Row],[deliveryPost]],SUM(M1526:O1526))</f>
        <v>1266</v>
      </c>
      <c r="Q1526" s="57">
        <v>1266</v>
      </c>
      <c r="R1526" s="62">
        <f>ТабПозиции[[#This Row],[totalSumm]]-ТабПозиции[[#This Row],[payment]]</f>
        <v>0</v>
      </c>
      <c r="S1526" s="34" t="s">
        <v>955</v>
      </c>
      <c r="T1526" s="56" t="s">
        <v>3061</v>
      </c>
      <c r="U1526" s="56" t="str">
        <f>IF(AND(ТабПозиции[[#This Row],[Остаток]]=0,ТабПозиции[[#This Row],[ord]]="true"),"true","false")</f>
        <v>true</v>
      </c>
      <c r="V1526" s="56" t="s">
        <v>3061</v>
      </c>
      <c r="W1526" s="7"/>
      <c r="X1526"/>
    </row>
    <row r="1527" spans="1:24" x14ac:dyDescent="0.25">
      <c r="A1527" s="26">
        <v>403</v>
      </c>
      <c r="B1527" s="1">
        <f>IFERROR(VLOOKUP(ТабПозиции[[#This Row],[orderNum]],ТабЗаказы[#Data],MATCH(B$7,ТабЗаказы[#Headers],0),0),"")</f>
        <v>45649</v>
      </c>
      <c r="C1527" t="str">
        <f>MONTH(ТабПозиции[[#This Row],[date]])&amp;"/"&amp;YEAR(ТабПозиции[[#This Row],[date]])</f>
        <v>12/2024</v>
      </c>
      <c r="D1527" s="1" t="str">
        <f>IFERROR(VLOOKUP(ТабПозиции[[#This Row],[orderNum]],ТабЗаказы[#Data],MATCH(D$7,ТабЗаказы[#Headers],0),0),"")</f>
        <v>Галина Агабекова(церковь)</v>
      </c>
      <c r="E1527" s="32" t="s">
        <v>2083</v>
      </c>
      <c r="F1527" s="56" t="s">
        <v>3061</v>
      </c>
      <c r="H1527" s="34">
        <v>45652</v>
      </c>
      <c r="I1527" s="26">
        <v>1</v>
      </c>
      <c r="J1527" s="26">
        <v>280</v>
      </c>
      <c r="K1527">
        <f>ТабПозиции[[#This Row],[discountPrice]]*ТабПозиции[[#This Row],[quantity]]</f>
        <v>280</v>
      </c>
      <c r="L1527" s="26">
        <v>286</v>
      </c>
      <c r="M1527">
        <f t="shared" si="28"/>
        <v>286</v>
      </c>
      <c r="O152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Row],[orderNum]],ТабПозиции[orderSumm])&gt;1500),ABS(M1527*VLOOKUP(ТабПозиции[[#This Row],[orderNum]],ТабЗаказы[#Data],MATCH("Percent",ТабЗаказы[#Headers],0),0))/100,200/COUNTIF(ТабПозиции[orderNum],ТабПозиции[[#This Row],[orderNum]])),0),"")</f>
        <v>43</v>
      </c>
      <c r="P1527">
        <f>IF(OR(ТабПозиции[[#This Row],[item]]="По штрихкоду",ТабПозиции[[#This Row],[item]]="Посылка"),ТабПозиции[[#This Row],[deliverySumm]]+ТабПозиции[[#This Row],[deliveryPost]],SUM(M1527:O1527))</f>
        <v>329</v>
      </c>
      <c r="Q1527" s="57">
        <v>329</v>
      </c>
      <c r="R1527" s="62">
        <f>ТабПозиции[[#This Row],[totalSumm]]-ТабПозиции[[#This Row],[payment]]</f>
        <v>0</v>
      </c>
      <c r="S1527" s="34" t="s">
        <v>955</v>
      </c>
      <c r="T1527" s="56" t="s">
        <v>3061</v>
      </c>
      <c r="U1527" s="56" t="str">
        <f>IF(AND(ТабПозиции[[#This Row],[Остаток]]=0,ТабПозиции[[#This Row],[ord]]="true"),"true","false")</f>
        <v>true</v>
      </c>
      <c r="V1527" s="56" t="s">
        <v>3061</v>
      </c>
      <c r="W1527" s="7"/>
      <c r="X1527"/>
    </row>
    <row r="1528" spans="1:24" ht="15.75" x14ac:dyDescent="0.25">
      <c r="A1528" s="26">
        <v>403</v>
      </c>
      <c r="B1528" s="1">
        <f>IFERROR(VLOOKUP(ТабПозиции[[#This Row],[orderNum]],ТабЗаказы[#Data],MATCH(B$7,ТабЗаказы[#Headers],0),0),"")</f>
        <v>45649</v>
      </c>
      <c r="C1528" t="str">
        <f>MONTH(ТабПозиции[[#This Row],[date]])&amp;"/"&amp;YEAR(ТабПозиции[[#This Row],[date]])</f>
        <v>12/2024</v>
      </c>
      <c r="D1528" s="1" t="str">
        <f>IFERROR(VLOOKUP(ТабПозиции[[#This Row],[orderNum]],ТабЗаказы[#Data],MATCH(D$7,ТабЗаказы[#Headers],0),0),"")</f>
        <v>Галина Агабекова(церковь)</v>
      </c>
      <c r="E1528" s="67" t="s">
        <v>1861</v>
      </c>
      <c r="F1528" s="56" t="s">
        <v>3061</v>
      </c>
      <c r="G1528" s="28" t="s">
        <v>2153</v>
      </c>
      <c r="H1528" s="34">
        <v>45652</v>
      </c>
      <c r="I1528" s="26">
        <v>1</v>
      </c>
      <c r="J1528" s="26">
        <v>503</v>
      </c>
      <c r="K1528">
        <f>ТабПозиции[[#This Row],[discountPrice]]*ТабПозиции[[#This Row],[quantity]]</f>
        <v>503</v>
      </c>
      <c r="L1528" s="26">
        <v>503</v>
      </c>
      <c r="M1528">
        <f t="shared" si="28"/>
        <v>503</v>
      </c>
      <c r="O152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Row],[orderNum]],ТабПозиции[orderSumm])&gt;1500),ABS(M1528*VLOOKUP(ТабПозиции[[#This Row],[orderNum]],ТабЗаказы[#Data],MATCH("Percent",ТабЗаказы[#Headers],0),0))/100,200/COUNTIF(ТабПозиции[orderNum],ТабПозиции[[#This Row],[orderNum]])),0),"")</f>
        <v>75</v>
      </c>
      <c r="P1528">
        <f>IF(OR(ТабПозиции[[#This Row],[item]]="По штрихкоду",ТабПозиции[[#This Row],[item]]="Посылка"),ТабПозиции[[#This Row],[deliverySumm]]+ТабПозиции[[#This Row],[deliveryPost]],SUM(M1528:O1528))</f>
        <v>578</v>
      </c>
      <c r="Q1528" s="57">
        <v>578</v>
      </c>
      <c r="R1528" s="62">
        <f>ТабПозиции[[#This Row],[totalSumm]]-ТабПозиции[[#This Row],[payment]]</f>
        <v>0</v>
      </c>
      <c r="S1528" s="34" t="s">
        <v>2154</v>
      </c>
      <c r="T1528" s="56" t="s">
        <v>3061</v>
      </c>
      <c r="U1528" s="56" t="str">
        <f>IF(AND(ТабПозиции[[#This Row],[Остаток]]=0,ТабПозиции[[#This Row],[ord]]="true"),"true","false")</f>
        <v>true</v>
      </c>
      <c r="V1528" s="56" t="s">
        <v>3061</v>
      </c>
      <c r="W1528" s="7"/>
      <c r="X1528"/>
    </row>
    <row r="1529" spans="1:24" x14ac:dyDescent="0.25">
      <c r="A1529" s="26">
        <v>403</v>
      </c>
      <c r="B1529" s="1">
        <f>IFERROR(VLOOKUP(ТабПозиции[[#This Row],[orderNum]],ТабЗаказы[#Data],MATCH(B$7,ТабЗаказы[#Headers],0),0),"")</f>
        <v>45649</v>
      </c>
      <c r="C1529" t="str">
        <f>MONTH(ТабПозиции[[#This Row],[date]])&amp;"/"&amp;YEAR(ТабПозиции[[#This Row],[date]])</f>
        <v>12/2024</v>
      </c>
      <c r="D1529" s="1" t="str">
        <f>IFERROR(VLOOKUP(ТабПозиции[[#This Row],[orderNum]],ТабЗаказы[#Data],MATCH(D$7,ТабЗаказы[#Headers],0),0),"")</f>
        <v>Галина Агабекова(церковь)</v>
      </c>
      <c r="E1529" s="32" t="s">
        <v>1540</v>
      </c>
      <c r="F1529" s="56" t="s">
        <v>3061</v>
      </c>
      <c r="G1529" s="28" t="s">
        <v>2192</v>
      </c>
      <c r="H1529" s="34">
        <v>45656</v>
      </c>
      <c r="I1529" s="26">
        <v>1</v>
      </c>
      <c r="J1529" s="26">
        <v>600</v>
      </c>
      <c r="K1529">
        <f>ТабПозиции[[#This Row],[discountPrice]]*ТабПозиции[[#This Row],[quantity]]</f>
        <v>600</v>
      </c>
      <c r="L1529" s="26">
        <v>600</v>
      </c>
      <c r="M1529">
        <f>L1529*I1529</f>
        <v>600</v>
      </c>
      <c r="N1529" s="26">
        <v>136</v>
      </c>
      <c r="O152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Row],[orderNum]],ТабПозиции[orderSumm])&gt;1500),ABS(M1529*VLOOKUP(ТабПозиции[[#This Row],[orderNum]],ТабЗаказы[#Data],MATCH("Percent",ТабЗаказы[#Headers],0),0))/100,200/COUNTIF(ТабПозиции[orderNum],ТабПозиции[[#This Row],[orderNum]])),0),"")</f>
        <v>90</v>
      </c>
      <c r="P1529">
        <f>IF(OR(ТабПозиции[[#This Row],[item]]="По штрихкоду",ТабПозиции[[#This Row],[item]]="Посылка"),ТабПозиции[[#This Row],[deliverySumm]]+ТабПозиции[[#This Row],[deliveryPost]],SUM(M1529:O1529))</f>
        <v>826</v>
      </c>
      <c r="Q1529" s="57">
        <v>826</v>
      </c>
      <c r="R1529" s="62">
        <f>ТабПозиции[[#This Row],[totalSumm]]-ТабПозиции[[#This Row],[payment]]</f>
        <v>0</v>
      </c>
      <c r="S1529" s="34" t="s">
        <v>1000</v>
      </c>
      <c r="T1529" s="56" t="s">
        <v>3061</v>
      </c>
      <c r="U1529" s="56" t="str">
        <f>IF(AND(ТабПозиции[[#This Row],[Остаток]]=0,ТабПозиции[[#This Row],[ord]]="true"),"true","false")</f>
        <v>true</v>
      </c>
      <c r="V1529" s="56" t="s">
        <v>3061</v>
      </c>
      <c r="W1529" s="7"/>
      <c r="X1529"/>
    </row>
    <row r="1530" spans="1:24" x14ac:dyDescent="0.25">
      <c r="A1530" s="26">
        <v>404</v>
      </c>
      <c r="B1530" s="1">
        <f>IFERROR(VLOOKUP(ТабПозиции[[#This Row],[orderNum]],ТабЗаказы[#Data],MATCH(B$7,ТабЗаказы[#Headers],0),0),"")</f>
        <v>45649</v>
      </c>
      <c r="C1530" t="str">
        <f>MONTH(ТабПозиции[[#This Row],[date]])&amp;"/"&amp;YEAR(ТабПозиции[[#This Row],[date]])</f>
        <v>12/2024</v>
      </c>
      <c r="D1530" s="1" t="str">
        <f>IFERROR(VLOOKUP(ТабПозиции[[#This Row],[orderNum]],ТабЗаказы[#Data],MATCH(D$7,ТабЗаказы[#Headers],0),0),"")</f>
        <v>Коля Чунихин</v>
      </c>
      <c r="E1530" s="32" t="s">
        <v>2160</v>
      </c>
      <c r="F1530" s="56" t="s">
        <v>3061</v>
      </c>
      <c r="H1530" s="34">
        <v>45651</v>
      </c>
      <c r="I1530" s="26">
        <v>1</v>
      </c>
      <c r="J1530" s="26">
        <v>587</v>
      </c>
      <c r="K1530">
        <f>ТабПозиции[[#This Row],[discountPrice]]*ТабПозиции[[#This Row],[quantity]]</f>
        <v>587</v>
      </c>
      <c r="L1530" s="26">
        <v>638</v>
      </c>
      <c r="M1530">
        <f t="shared" si="28"/>
        <v>638</v>
      </c>
      <c r="O153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Row],[orderNum]],ТабПозиции[orderSumm])&gt;1500),ABS(M1530*VLOOKUP(ТабПозиции[[#This Row],[orderNum]],ТабЗаказы[#Data],MATCH("Percent",ТабЗаказы[#Headers],0),0))/100,200/COUNTIF(ТабПозиции[orderNum],ТабПозиции[[#This Row],[orderNum]])),0),"")</f>
        <v>64</v>
      </c>
      <c r="P1530">
        <f>IF(OR(ТабПозиции[[#This Row],[item]]="По штрихкоду",ТабПозиции[[#This Row],[item]]="Посылка"),ТабПозиции[[#This Row],[deliverySumm]]+ТабПозиции[[#This Row],[deliveryPost]],SUM(M1530:O1530))</f>
        <v>702</v>
      </c>
      <c r="Q1530" s="57">
        <v>702</v>
      </c>
      <c r="R1530" s="62">
        <f>ТабПозиции[[#This Row],[totalSumm]]-ТабПозиции[[#This Row],[payment]]</f>
        <v>0</v>
      </c>
      <c r="S1530" s="34" t="s">
        <v>955</v>
      </c>
      <c r="T1530" s="56" t="s">
        <v>3061</v>
      </c>
      <c r="U1530" s="56" t="str">
        <f>IF(AND(ТабПозиции[[#This Row],[Остаток]]=0,ТабПозиции[[#This Row],[ord]]="true"),"true","false")</f>
        <v>true</v>
      </c>
      <c r="V1530" s="56" t="s">
        <v>3061</v>
      </c>
      <c r="W1530" s="7"/>
      <c r="X1530"/>
    </row>
    <row r="1531" spans="1:24" x14ac:dyDescent="0.25">
      <c r="A1531" s="26">
        <v>404</v>
      </c>
      <c r="B1531" s="1">
        <f>IFERROR(VLOOKUP(ТабПозиции[[#This Row],[orderNum]],ТабЗаказы[#Data],MATCH(B$7,ТабЗаказы[#Headers],0),0),"")</f>
        <v>45649</v>
      </c>
      <c r="C1531" t="str">
        <f>MONTH(ТабПозиции[[#This Row],[date]])&amp;"/"&amp;YEAR(ТабПозиции[[#This Row],[date]])</f>
        <v>12/2024</v>
      </c>
      <c r="D1531" s="1" t="str">
        <f>IFERROR(VLOOKUP(ТабПозиции[[#This Row],[orderNum]],ТабЗаказы[#Data],MATCH(D$7,ТабЗаказы[#Headers],0),0),"")</f>
        <v>Коля Чунихин</v>
      </c>
      <c r="E1531" s="32" t="s">
        <v>2159</v>
      </c>
      <c r="F1531" s="56" t="s">
        <v>3061</v>
      </c>
      <c r="H1531" s="34">
        <v>45651</v>
      </c>
      <c r="I1531" s="26">
        <v>1</v>
      </c>
      <c r="J1531" s="26">
        <v>551</v>
      </c>
      <c r="K1531">
        <f>ТабПозиции[[#This Row],[discountPrice]]*ТабПозиции[[#This Row],[quantity]]</f>
        <v>551</v>
      </c>
      <c r="L1531" s="26">
        <v>599</v>
      </c>
      <c r="M1531">
        <f t="shared" si="28"/>
        <v>599</v>
      </c>
      <c r="O153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Row],[orderNum]],ТабПозиции[orderSumm])&gt;1500),ABS(M1531*VLOOKUP(ТабПозиции[[#This Row],[orderNum]],ТабЗаказы[#Data],MATCH("Percent",ТабЗаказы[#Headers],0),0))/100,200/COUNTIF(ТабПозиции[orderNum],ТабПозиции[[#This Row],[orderNum]])),0),"")</f>
        <v>60</v>
      </c>
      <c r="P1531">
        <f>IF(OR(ТабПозиции[[#This Row],[item]]="По штрихкоду",ТабПозиции[[#This Row],[item]]="Посылка"),ТабПозиции[[#This Row],[deliverySumm]]+ТабПозиции[[#This Row],[deliveryPost]],SUM(M1531:O1531))</f>
        <v>659</v>
      </c>
      <c r="Q1531" s="57">
        <v>659</v>
      </c>
      <c r="R1531" s="62">
        <f>ТабПозиции[[#This Row],[totalSumm]]-ТабПозиции[[#This Row],[payment]]</f>
        <v>0</v>
      </c>
      <c r="S1531" s="34" t="s">
        <v>955</v>
      </c>
      <c r="T1531" s="56" t="s">
        <v>3061</v>
      </c>
      <c r="U1531" s="56" t="str">
        <f>IF(AND(ТабПозиции[[#This Row],[Остаток]]=0,ТабПозиции[[#This Row],[ord]]="true"),"true","false")</f>
        <v>true</v>
      </c>
      <c r="V1531" s="56" t="s">
        <v>3061</v>
      </c>
      <c r="W1531" s="7"/>
      <c r="X1531"/>
    </row>
    <row r="1532" spans="1:24" x14ac:dyDescent="0.25">
      <c r="A1532" s="26">
        <v>404</v>
      </c>
      <c r="B1532" s="1">
        <f>IFERROR(VLOOKUP(ТабПозиции[[#This Row],[orderNum]],ТабЗаказы[#Data],MATCH(B$7,ТабЗаказы[#Headers],0),0),"")</f>
        <v>45649</v>
      </c>
      <c r="C1532" t="str">
        <f>MONTH(ТабПозиции[[#This Row],[date]])&amp;"/"&amp;YEAR(ТабПозиции[[#This Row],[date]])</f>
        <v>12/2024</v>
      </c>
      <c r="D1532" s="1" t="str">
        <f>IFERROR(VLOOKUP(ТабПозиции[[#This Row],[orderNum]],ТабЗаказы[#Data],MATCH(D$7,ТабЗаказы[#Headers],0),0),"")</f>
        <v>Коля Чунихин</v>
      </c>
      <c r="E1532" s="32" t="s">
        <v>2161</v>
      </c>
      <c r="F1532" s="56" t="s">
        <v>3061</v>
      </c>
      <c r="H1532" s="34">
        <v>45651</v>
      </c>
      <c r="I1532" s="26">
        <v>1</v>
      </c>
      <c r="J1532" s="26">
        <v>642</v>
      </c>
      <c r="K1532">
        <f>ТабПозиции[[#This Row],[discountPrice]]*ТабПозиции[[#This Row],[quantity]]</f>
        <v>642</v>
      </c>
      <c r="L1532" s="26">
        <v>698</v>
      </c>
      <c r="M1532">
        <f t="shared" si="28"/>
        <v>698</v>
      </c>
      <c r="O153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Row],[orderNum]],ТабПозиции[orderSumm])&gt;1500),ABS(M1532*VLOOKUP(ТабПозиции[[#This Row],[orderNum]],ТабЗаказы[#Data],MATCH("Percent",ТабЗаказы[#Headers],0),0))/100,200/COUNTIF(ТабПозиции[orderNum],ТабПозиции[[#This Row],[orderNum]])),0),"")</f>
        <v>70</v>
      </c>
      <c r="P1532">
        <f>IF(OR(ТабПозиции[[#This Row],[item]]="По штрихкоду",ТабПозиции[[#This Row],[item]]="Посылка"),ТабПозиции[[#This Row],[deliverySumm]]+ТабПозиции[[#This Row],[deliveryPost]],SUM(M1532:O1532))</f>
        <v>768</v>
      </c>
      <c r="Q1532" s="57">
        <v>768</v>
      </c>
      <c r="R1532" s="62">
        <f>ТабПозиции[[#This Row],[totalSumm]]-ТабПозиции[[#This Row],[payment]]</f>
        <v>0</v>
      </c>
      <c r="S1532" s="34" t="s">
        <v>955</v>
      </c>
      <c r="T1532" s="56" t="s">
        <v>3061</v>
      </c>
      <c r="U1532" s="56" t="str">
        <f>IF(AND(ТабПозиции[[#This Row],[Остаток]]=0,ТабПозиции[[#This Row],[ord]]="true"),"true","false")</f>
        <v>true</v>
      </c>
      <c r="V1532" s="56" t="s">
        <v>3061</v>
      </c>
      <c r="W1532" s="7"/>
      <c r="X1532"/>
    </row>
    <row r="1533" spans="1:24" x14ac:dyDescent="0.25">
      <c r="A1533" s="26">
        <v>405</v>
      </c>
      <c r="B1533" s="1">
        <f>IFERROR(VLOOKUP(ТабПозиции[[#This Row],[orderNum]],ТабЗаказы[#Data],MATCH(B$7,ТабЗаказы[#Headers],0),0),"")</f>
        <v>45649</v>
      </c>
      <c r="C1533" t="str">
        <f>MONTH(ТабПозиции[[#This Row],[date]])&amp;"/"&amp;YEAR(ТабПозиции[[#This Row],[date]])</f>
        <v>12/2024</v>
      </c>
      <c r="D1533" s="1" t="str">
        <f>IFERROR(VLOOKUP(ТабПозиции[[#This Row],[orderNum]],ТабЗаказы[#Data],MATCH(D$7,ТабЗаказы[#Headers],0),0),"")</f>
        <v>Роман Свиридов</v>
      </c>
      <c r="E1533" s="32" t="s">
        <v>2166</v>
      </c>
      <c r="F1533" s="56" t="s">
        <v>3061</v>
      </c>
      <c r="H1533" s="34">
        <v>45650</v>
      </c>
      <c r="I1533" s="26">
        <v>1</v>
      </c>
      <c r="J1533" s="26">
        <v>2803</v>
      </c>
      <c r="K1533">
        <f>ТабПозиции[[#This Row],[discountPrice]]*ТабПозиции[[#This Row],[quantity]]</f>
        <v>2803</v>
      </c>
      <c r="L1533" s="26">
        <v>2951</v>
      </c>
      <c r="M1533">
        <f t="shared" si="28"/>
        <v>2951</v>
      </c>
      <c r="O153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Row],[orderNum]],ТабПозиции[orderSumm])&gt;1500),ABS(M1533*VLOOKUP(ТабПозиции[[#This Row],[orderNum]],ТабЗаказы[#Data],MATCH("Percent",ТабЗаказы[#Headers],0),0))/100,200/COUNTIF(ТабПозиции[orderNum],ТабПозиции[[#This Row],[orderNum]])),0),"")</f>
        <v>443</v>
      </c>
      <c r="P1533">
        <f>IF(OR(ТабПозиции[[#This Row],[item]]="По штрихкоду",ТабПозиции[[#This Row],[item]]="Посылка"),ТабПозиции[[#This Row],[deliverySumm]]+ТабПозиции[[#This Row],[deliveryPost]],SUM(M1533:O1533))</f>
        <v>3394</v>
      </c>
      <c r="Q1533" s="57">
        <v>3394</v>
      </c>
      <c r="R1533" s="62">
        <f>ТабПозиции[[#This Row],[totalSumm]]-ТабПозиции[[#This Row],[payment]]</f>
        <v>0</v>
      </c>
      <c r="S1533" s="34" t="s">
        <v>965</v>
      </c>
      <c r="T1533" s="56" t="s">
        <v>3061</v>
      </c>
      <c r="U1533" s="56" t="str">
        <f>IF(AND(ТабПозиции[[#This Row],[Остаток]]=0,ТабПозиции[[#This Row],[ord]]="true"),"true","false")</f>
        <v>true</v>
      </c>
      <c r="V1533" s="56" t="s">
        <v>3061</v>
      </c>
      <c r="W1533" s="7"/>
      <c r="X1533"/>
    </row>
    <row r="1534" spans="1:24" x14ac:dyDescent="0.25">
      <c r="A1534" s="26">
        <v>406</v>
      </c>
      <c r="B1534" s="1">
        <f>IFERROR(VLOOKUP(ТабПозиции[[#This Row],[orderNum]],ТабЗаказы[#Data],MATCH(B$7,ТабЗаказы[#Headers],0),0),"")</f>
        <v>45649</v>
      </c>
      <c r="C1534" t="str">
        <f>MONTH(ТабПозиции[[#This Row],[date]])&amp;"/"&amp;YEAR(ТабПозиции[[#This Row],[date]])</f>
        <v>12/2024</v>
      </c>
      <c r="D1534" s="1" t="str">
        <f>IFERROR(VLOOKUP(ТабПозиции[[#This Row],[orderNum]],ТабЗаказы[#Data],MATCH(D$7,ТабЗаказы[#Headers],0),0),"")</f>
        <v>Оксана Моцная</v>
      </c>
      <c r="E1534" s="32" t="s">
        <v>2175</v>
      </c>
      <c r="F1534" s="56" t="s">
        <v>3061</v>
      </c>
      <c r="H1534" s="34">
        <v>45652</v>
      </c>
      <c r="I1534" s="26">
        <v>1</v>
      </c>
      <c r="J1534" s="26">
        <v>417</v>
      </c>
      <c r="K1534">
        <f>ТабПозиции[[#This Row],[discountPrice]]*ТабПозиции[[#This Row],[quantity]]</f>
        <v>417</v>
      </c>
      <c r="L1534" s="26">
        <v>439</v>
      </c>
      <c r="M1534">
        <f t="shared" si="28"/>
        <v>439</v>
      </c>
      <c r="O153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Row],[orderNum]],ТабПозиции[orderSumm])&gt;1500),ABS(M1534*VLOOKUP(ТабПозиции[[#This Row],[orderNum]],ТабЗаказы[#Data],MATCH("Percent",ТабЗаказы[#Headers],0),0))/100,200/COUNTIF(ТабПозиции[orderNum],ТабПозиции[[#This Row],[orderNum]])),0),"")</f>
        <v>66</v>
      </c>
      <c r="P1534">
        <f>IF(OR(ТабПозиции[[#This Row],[item]]="По штрихкоду",ТабПозиции[[#This Row],[item]]="Посылка"),ТабПозиции[[#This Row],[deliverySumm]]+ТабПозиции[[#This Row],[deliveryPost]],SUM(M1534:O1534))</f>
        <v>505</v>
      </c>
      <c r="Q1534" s="57">
        <v>505</v>
      </c>
      <c r="R1534" s="62">
        <f>ТабПозиции[[#This Row],[totalSumm]]-ТабПозиции[[#This Row],[payment]]</f>
        <v>0</v>
      </c>
      <c r="S1534" s="34" t="s">
        <v>965</v>
      </c>
      <c r="T1534" s="56" t="s">
        <v>3061</v>
      </c>
      <c r="U1534" s="56" t="str">
        <f>IF(AND(ТабПозиции[[#This Row],[Остаток]]=0,ТабПозиции[[#This Row],[ord]]="true"),"true","false")</f>
        <v>true</v>
      </c>
      <c r="V1534" s="56" t="s">
        <v>3061</v>
      </c>
      <c r="W1534" s="7"/>
      <c r="X1534"/>
    </row>
    <row r="1535" spans="1:24" x14ac:dyDescent="0.25">
      <c r="A1535" s="26">
        <v>406</v>
      </c>
      <c r="B1535" s="1">
        <f>IFERROR(VLOOKUP(ТабПозиции[[#This Row],[orderNum]],ТабЗаказы[#Data],MATCH(B$7,ТабЗаказы[#Headers],0),0),"")</f>
        <v>45649</v>
      </c>
      <c r="C1535" t="str">
        <f>MONTH(ТабПозиции[[#This Row],[date]])&amp;"/"&amp;YEAR(ТабПозиции[[#This Row],[date]])</f>
        <v>12/2024</v>
      </c>
      <c r="D1535" s="1" t="str">
        <f>IFERROR(VLOOKUP(ТабПозиции[[#This Row],[orderNum]],ТабЗаказы[#Data],MATCH(D$7,ТабЗаказы[#Headers],0),0),"")</f>
        <v>Оксана Моцная</v>
      </c>
      <c r="E1535" s="32" t="s">
        <v>2168</v>
      </c>
      <c r="F1535" s="56" t="s">
        <v>3061</v>
      </c>
      <c r="H1535" s="34">
        <v>45651</v>
      </c>
      <c r="I1535" s="26">
        <v>1</v>
      </c>
      <c r="J1535" s="26">
        <v>412</v>
      </c>
      <c r="K1535">
        <f>ТабПозиции[[#This Row],[discountPrice]]*ТабПозиции[[#This Row],[quantity]]</f>
        <v>412</v>
      </c>
      <c r="L1535" s="26">
        <v>434</v>
      </c>
      <c r="M1535">
        <f t="shared" si="28"/>
        <v>434</v>
      </c>
      <c r="O153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Row],[orderNum]],ТабПозиции[orderSumm])&gt;1500),ABS(M1535*VLOOKUP(ТабПозиции[[#This Row],[orderNum]],ТабЗаказы[#Data],MATCH("Percent",ТабЗаказы[#Headers],0),0))/100,200/COUNTIF(ТабПозиции[orderNum],ТабПозиции[[#This Row],[orderNum]])),0),"")</f>
        <v>65</v>
      </c>
      <c r="P1535">
        <f>IF(OR(ТабПозиции[[#This Row],[item]]="По штрихкоду",ТабПозиции[[#This Row],[item]]="Посылка"),ТабПозиции[[#This Row],[deliverySumm]]+ТабПозиции[[#This Row],[deliveryPost]],SUM(M1535:O1535))</f>
        <v>499</v>
      </c>
      <c r="Q1535" s="57">
        <v>499</v>
      </c>
      <c r="R1535" s="62">
        <f>ТабПозиции[[#This Row],[totalSumm]]-ТабПозиции[[#This Row],[payment]]</f>
        <v>0</v>
      </c>
      <c r="S1535" s="34" t="s">
        <v>965</v>
      </c>
      <c r="T1535" s="56" t="s">
        <v>3061</v>
      </c>
      <c r="U1535" s="56" t="str">
        <f>IF(AND(ТабПозиции[[#This Row],[Остаток]]=0,ТабПозиции[[#This Row],[ord]]="true"),"true","false")</f>
        <v>true</v>
      </c>
      <c r="V1535" s="56" t="s">
        <v>3061</v>
      </c>
      <c r="W1535" s="7"/>
      <c r="X1535"/>
    </row>
    <row r="1536" spans="1:24" x14ac:dyDescent="0.25">
      <c r="A1536" s="26">
        <v>406</v>
      </c>
      <c r="B1536" s="1">
        <f>IFERROR(VLOOKUP(ТабПозиции[[#This Row],[orderNum]],ТабЗаказы[#Data],MATCH(B$7,ТабЗаказы[#Headers],0),0),"")</f>
        <v>45649</v>
      </c>
      <c r="C1536" t="str">
        <f>MONTH(ТабПозиции[[#This Row],[date]])&amp;"/"&amp;YEAR(ТабПозиции[[#This Row],[date]])</f>
        <v>12/2024</v>
      </c>
      <c r="D1536" s="1" t="str">
        <f>IFERROR(VLOOKUP(ТабПозиции[[#This Row],[orderNum]],ТабЗаказы[#Data],MATCH(D$7,ТабЗаказы[#Headers],0),0),"")</f>
        <v>Оксана Моцная</v>
      </c>
      <c r="E1536" s="32" t="s">
        <v>2169</v>
      </c>
      <c r="F1536" s="56" t="s">
        <v>3061</v>
      </c>
      <c r="H1536" s="34">
        <v>45652</v>
      </c>
      <c r="I1536" s="26">
        <v>1</v>
      </c>
      <c r="J1536" s="26">
        <v>984</v>
      </c>
      <c r="K1536">
        <f>ТабПозиции[[#This Row],[discountPrice]]*ТабПозиции[[#This Row],[quantity]]</f>
        <v>984</v>
      </c>
      <c r="L1536" s="26">
        <v>1036</v>
      </c>
      <c r="M1536">
        <f t="shared" si="28"/>
        <v>1036</v>
      </c>
      <c r="O153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Row],[orderNum]],ТабПозиции[orderSumm])&gt;1500),ABS(M1536*VLOOKUP(ТабПозиции[[#This Row],[orderNum]],ТабЗаказы[#Data],MATCH("Percent",ТабЗаказы[#Headers],0),0))/100,200/COUNTIF(ТабПозиции[orderNum],ТабПозиции[[#This Row],[orderNum]])),0),"")</f>
        <v>155</v>
      </c>
      <c r="P1536">
        <f>IF(OR(ТабПозиции[[#This Row],[item]]="По штрихкоду",ТабПозиции[[#This Row],[item]]="Посылка"),ТабПозиции[[#This Row],[deliverySumm]]+ТабПозиции[[#This Row],[deliveryPost]],SUM(M1536:O1536))</f>
        <v>1191</v>
      </c>
      <c r="Q1536" s="57">
        <v>1191</v>
      </c>
      <c r="R1536" s="62">
        <f>ТабПозиции[[#This Row],[totalSumm]]-ТабПозиции[[#This Row],[payment]]</f>
        <v>0</v>
      </c>
      <c r="S1536" s="34" t="s">
        <v>965</v>
      </c>
      <c r="T1536" s="56" t="s">
        <v>3061</v>
      </c>
      <c r="U1536" s="56" t="str">
        <f>IF(AND(ТабПозиции[[#This Row],[Остаток]]=0,ТабПозиции[[#This Row],[ord]]="true"),"true","false")</f>
        <v>true</v>
      </c>
      <c r="V1536" s="56" t="s">
        <v>3061</v>
      </c>
      <c r="W1536" s="7"/>
      <c r="X1536"/>
    </row>
    <row r="1537" spans="1:24" x14ac:dyDescent="0.25">
      <c r="A1537" s="26">
        <v>406</v>
      </c>
      <c r="B1537" s="1">
        <f>IFERROR(VLOOKUP(ТабПозиции[[#This Row],[orderNum]],ТабЗаказы[#Data],MATCH(B$7,ТабЗаказы[#Headers],0),0),"")</f>
        <v>45649</v>
      </c>
      <c r="C1537" t="str">
        <f>MONTH(ТабПозиции[[#This Row],[date]])&amp;"/"&amp;YEAR(ТабПозиции[[#This Row],[date]])</f>
        <v>12/2024</v>
      </c>
      <c r="D1537" s="1" t="str">
        <f>IFERROR(VLOOKUP(ТабПозиции[[#This Row],[orderNum]],ТабЗаказы[#Data],MATCH(D$7,ТабЗаказы[#Headers],0),0),"")</f>
        <v>Оксана Моцная</v>
      </c>
      <c r="E1537" s="32" t="s">
        <v>2170</v>
      </c>
      <c r="F1537" s="56" t="s">
        <v>3061</v>
      </c>
      <c r="H1537" s="34">
        <v>45652</v>
      </c>
      <c r="I1537" s="26">
        <v>1</v>
      </c>
      <c r="J1537" s="26">
        <v>1444</v>
      </c>
      <c r="K1537">
        <f>ТабПозиции[[#This Row],[discountPrice]]*ТабПозиции[[#This Row],[quantity]]</f>
        <v>1444</v>
      </c>
      <c r="L1537" s="26">
        <v>1521</v>
      </c>
      <c r="M1537">
        <f t="shared" si="28"/>
        <v>1521</v>
      </c>
      <c r="O153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Row],[orderNum]],ТабПозиции[orderSumm])&gt;1500),ABS(M1537*VLOOKUP(ТабПозиции[[#This Row],[orderNum]],ТабЗаказы[#Data],MATCH("Percent",ТабЗаказы[#Headers],0),0))/100,200/COUNTIF(ТабПозиции[orderNum],ТабПозиции[[#This Row],[orderNum]])),0),"")</f>
        <v>228</v>
      </c>
      <c r="P1537">
        <f>IF(OR(ТабПозиции[[#This Row],[item]]="По штрихкоду",ТабПозиции[[#This Row],[item]]="Посылка"),ТабПозиции[[#This Row],[deliverySumm]]+ТабПозиции[[#This Row],[deliveryPost]],SUM(M1537:O1537))</f>
        <v>1749</v>
      </c>
      <c r="Q1537" s="57">
        <v>1749</v>
      </c>
      <c r="R1537" s="62">
        <f>ТабПозиции[[#This Row],[totalSumm]]-ТабПозиции[[#This Row],[payment]]</f>
        <v>0</v>
      </c>
      <c r="S1537" s="34" t="s">
        <v>965</v>
      </c>
      <c r="T1537" s="56" t="s">
        <v>3061</v>
      </c>
      <c r="U1537" s="56" t="str">
        <f>IF(AND(ТабПозиции[[#This Row],[Остаток]]=0,ТабПозиции[[#This Row],[ord]]="true"),"true","false")</f>
        <v>true</v>
      </c>
      <c r="V1537" s="56" t="s">
        <v>3061</v>
      </c>
      <c r="W1537" s="7"/>
      <c r="X1537"/>
    </row>
    <row r="1538" spans="1:24" x14ac:dyDescent="0.25">
      <c r="A1538" s="26">
        <v>406</v>
      </c>
      <c r="B1538" s="1">
        <f>IFERROR(VLOOKUP(ТабПозиции[[#This Row],[orderNum]],ТабЗаказы[#Data],MATCH(B$7,ТабЗаказы[#Headers],0),0),"")</f>
        <v>45649</v>
      </c>
      <c r="C1538" t="str">
        <f>MONTH(ТабПозиции[[#This Row],[date]])&amp;"/"&amp;YEAR(ТабПозиции[[#This Row],[date]])</f>
        <v>12/2024</v>
      </c>
      <c r="D1538" s="1" t="str">
        <f>IFERROR(VLOOKUP(ТабПозиции[[#This Row],[orderNum]],ТабЗаказы[#Data],MATCH(D$7,ТабЗаказы[#Headers],0),0),"")</f>
        <v>Оксана Моцная</v>
      </c>
      <c r="E1538" s="32" t="s">
        <v>2171</v>
      </c>
      <c r="F1538" s="56" t="s">
        <v>3061</v>
      </c>
      <c r="H1538" s="34">
        <v>45652</v>
      </c>
      <c r="I1538" s="26">
        <v>1</v>
      </c>
      <c r="J1538" s="26">
        <v>420</v>
      </c>
      <c r="K1538">
        <f>ТабПозиции[[#This Row],[discountPrice]]*ТабПозиции[[#This Row],[quantity]]</f>
        <v>420</v>
      </c>
      <c r="L1538" s="26">
        <v>429</v>
      </c>
      <c r="M1538">
        <f t="shared" si="28"/>
        <v>429</v>
      </c>
      <c r="O153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Row],[orderNum]],ТабПозиции[orderSumm])&gt;1500),ABS(M1538*VLOOKUP(ТабПозиции[[#This Row],[orderNum]],ТабЗаказы[#Data],MATCH("Percent",ТабЗаказы[#Headers],0),0))/100,200/COUNTIF(ТабПозиции[orderNum],ТабПозиции[[#This Row],[orderNum]])),0),"")</f>
        <v>64</v>
      </c>
      <c r="P1538">
        <f>IF(OR(ТабПозиции[[#This Row],[item]]="По штрихкоду",ТабПозиции[[#This Row],[item]]="Посылка"),ТабПозиции[[#This Row],[deliverySumm]]+ТабПозиции[[#This Row],[deliveryPost]],SUM(M1538:O1538))</f>
        <v>493</v>
      </c>
      <c r="Q1538" s="57">
        <v>493</v>
      </c>
      <c r="R1538" s="62">
        <f>ТабПозиции[[#This Row],[totalSumm]]-ТабПозиции[[#This Row],[payment]]</f>
        <v>0</v>
      </c>
      <c r="S1538" s="34" t="s">
        <v>955</v>
      </c>
      <c r="T1538" s="56" t="s">
        <v>3061</v>
      </c>
      <c r="U1538" s="56" t="str">
        <f>IF(AND(ТабПозиции[[#This Row],[Остаток]]=0,ТабПозиции[[#This Row],[ord]]="true"),"true","false")</f>
        <v>true</v>
      </c>
      <c r="V1538" s="56" t="s">
        <v>3061</v>
      </c>
      <c r="W1538" s="7"/>
      <c r="X1538"/>
    </row>
    <row r="1539" spans="1:24" x14ac:dyDescent="0.25">
      <c r="A1539" s="26">
        <v>406</v>
      </c>
      <c r="B1539" s="1">
        <f>IFERROR(VLOOKUP(ТабПозиции[[#This Row],[orderNum]],ТабЗаказы[#Data],MATCH(B$7,ТабЗаказы[#Headers],0),0),"")</f>
        <v>45649</v>
      </c>
      <c r="C1539" t="str">
        <f>MONTH(ТабПозиции[[#This Row],[date]])&amp;"/"&amp;YEAR(ТабПозиции[[#This Row],[date]])</f>
        <v>12/2024</v>
      </c>
      <c r="D1539" s="1" t="str">
        <f>IFERROR(VLOOKUP(ТабПозиции[[#This Row],[orderNum]],ТабЗаказы[#Data],MATCH(D$7,ТабЗаказы[#Headers],0),0),"")</f>
        <v>Оксана Моцная</v>
      </c>
      <c r="E1539" s="32" t="s">
        <v>2172</v>
      </c>
      <c r="F1539" s="56" t="s">
        <v>3061</v>
      </c>
      <c r="H1539" s="34">
        <v>45652</v>
      </c>
      <c r="I1539" s="26">
        <v>1</v>
      </c>
      <c r="J1539" s="26">
        <v>495</v>
      </c>
      <c r="K1539">
        <f>ТабПозиции[[#This Row],[discountPrice]]*ТабПозиции[[#This Row],[quantity]]</f>
        <v>495</v>
      </c>
      <c r="L1539" s="26">
        <v>522</v>
      </c>
      <c r="M1539">
        <f t="shared" si="28"/>
        <v>522</v>
      </c>
      <c r="O153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Row],[orderNum]],ТабПозиции[orderSumm])&gt;1500),ABS(M1539*VLOOKUP(ТабПозиции[[#This Row],[orderNum]],ТабЗаказы[#Data],MATCH("Percent",ТабЗаказы[#Headers],0),0))/100,200/COUNTIF(ТабПозиции[orderNum],ТабПозиции[[#This Row],[orderNum]])),0),"")</f>
        <v>78</v>
      </c>
      <c r="P1539">
        <f>IF(OR(ТабПозиции[[#This Row],[item]]="По штрихкоду",ТабПозиции[[#This Row],[item]]="Посылка"),ТабПозиции[[#This Row],[deliverySumm]]+ТабПозиции[[#This Row],[deliveryPost]],SUM(M1539:O1539))</f>
        <v>600</v>
      </c>
      <c r="Q1539" s="57">
        <v>600</v>
      </c>
      <c r="R1539" s="62">
        <f>ТабПозиции[[#This Row],[totalSumm]]-ТабПозиции[[#This Row],[payment]]</f>
        <v>0</v>
      </c>
      <c r="S1539" s="34" t="s">
        <v>965</v>
      </c>
      <c r="T1539" s="56" t="s">
        <v>3061</v>
      </c>
      <c r="U1539" s="56" t="str">
        <f>IF(AND(ТабПозиции[[#This Row],[Остаток]]=0,ТабПозиции[[#This Row],[ord]]="true"),"true","false")</f>
        <v>true</v>
      </c>
      <c r="V1539" s="56" t="s">
        <v>3061</v>
      </c>
      <c r="W1539" s="7"/>
      <c r="X1539"/>
    </row>
    <row r="1540" spans="1:24" x14ac:dyDescent="0.25">
      <c r="A1540" s="26">
        <v>406</v>
      </c>
      <c r="B1540" s="1">
        <f>IFERROR(VLOOKUP(ТабПозиции[[#This Row],[orderNum]],ТабЗаказы[#Data],MATCH(B$7,ТабЗаказы[#Headers],0),0),"")</f>
        <v>45649</v>
      </c>
      <c r="C1540" t="str">
        <f>MONTH(ТабПозиции[[#This Row],[date]])&amp;"/"&amp;YEAR(ТабПозиции[[#This Row],[date]])</f>
        <v>12/2024</v>
      </c>
      <c r="D1540" s="1" t="str">
        <f>IFERROR(VLOOKUP(ТабПозиции[[#This Row],[orderNum]],ТабЗаказы[#Data],MATCH(D$7,ТабЗаказы[#Headers],0),0),"")</f>
        <v>Оксана Моцная</v>
      </c>
      <c r="E1540" s="32" t="s">
        <v>2173</v>
      </c>
      <c r="F1540" s="56" t="s">
        <v>3061</v>
      </c>
      <c r="H1540" s="34">
        <v>45651</v>
      </c>
      <c r="I1540" s="26">
        <v>1</v>
      </c>
      <c r="J1540" s="26">
        <v>143</v>
      </c>
      <c r="K1540">
        <f>ТабПозиции[[#This Row],[discountPrice]]*ТабПозиции[[#This Row],[quantity]]</f>
        <v>143</v>
      </c>
      <c r="L1540" s="26">
        <v>151</v>
      </c>
      <c r="M1540">
        <f t="shared" si="28"/>
        <v>151</v>
      </c>
      <c r="O154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Row],[orderNum]],ТабПозиции[orderSumm])&gt;1500),ABS(M1540*VLOOKUP(ТабПозиции[[#This Row],[orderNum]],ТабЗаказы[#Data],MATCH("Percent",ТабЗаказы[#Headers],0),0))/100,200/COUNTIF(ТабПозиции[orderNum],ТабПозиции[[#This Row],[orderNum]])),0),"")</f>
        <v>23</v>
      </c>
      <c r="P1540">
        <f>IF(OR(ТабПозиции[[#This Row],[item]]="По штрихкоду",ТабПозиции[[#This Row],[item]]="Посылка"),ТабПозиции[[#This Row],[deliverySumm]]+ТабПозиции[[#This Row],[deliveryPost]],SUM(M1540:O1540))</f>
        <v>174</v>
      </c>
      <c r="Q1540" s="57">
        <v>174</v>
      </c>
      <c r="R1540" s="62">
        <f>ТабПозиции[[#This Row],[totalSumm]]-ТабПозиции[[#This Row],[payment]]</f>
        <v>0</v>
      </c>
      <c r="S1540" s="34" t="s">
        <v>965</v>
      </c>
      <c r="T1540" s="56" t="s">
        <v>3061</v>
      </c>
      <c r="U1540" s="56" t="str">
        <f>IF(AND(ТабПозиции[[#This Row],[Остаток]]=0,ТабПозиции[[#This Row],[ord]]="true"),"true","false")</f>
        <v>true</v>
      </c>
      <c r="V1540" s="56" t="s">
        <v>3061</v>
      </c>
      <c r="W1540" s="7"/>
      <c r="X1540"/>
    </row>
    <row r="1541" spans="1:24" x14ac:dyDescent="0.25">
      <c r="A1541" s="26">
        <v>406</v>
      </c>
      <c r="B1541" s="1">
        <f>IFERROR(VLOOKUP(ТабПозиции[[#This Row],[orderNum]],ТабЗаказы[#Data],MATCH(B$7,ТабЗаказы[#Headers],0),0),"")</f>
        <v>45649</v>
      </c>
      <c r="C1541" t="str">
        <f>MONTH(ТабПозиции[[#This Row],[date]])&amp;"/"&amp;YEAR(ТабПозиции[[#This Row],[date]])</f>
        <v>12/2024</v>
      </c>
      <c r="D1541" s="1" t="str">
        <f>IFERROR(VLOOKUP(ТабПозиции[[#This Row],[orderNum]],ТабЗаказы[#Data],MATCH(D$7,ТабЗаказы[#Headers],0),0),"")</f>
        <v>Оксана Моцная</v>
      </c>
      <c r="E1541" s="32" t="s">
        <v>2133</v>
      </c>
      <c r="F1541" s="56" t="s">
        <v>3061</v>
      </c>
      <c r="H1541" s="34">
        <v>45652</v>
      </c>
      <c r="I1541" s="26">
        <v>1</v>
      </c>
      <c r="J1541" s="26">
        <v>746</v>
      </c>
      <c r="K1541">
        <f>ТабПозиции[[#This Row],[discountPrice]]*ТабПозиции[[#This Row],[quantity]]</f>
        <v>746</v>
      </c>
      <c r="L1541" s="26">
        <v>786</v>
      </c>
      <c r="M1541">
        <f t="shared" si="28"/>
        <v>786</v>
      </c>
      <c r="O154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Row],[orderNum]],ТабПозиции[orderSumm])&gt;1500),ABS(M1541*VLOOKUP(ТабПозиции[[#This Row],[orderNum]],ТабЗаказы[#Data],MATCH("Percent",ТабЗаказы[#Headers],0),0))/100,200/COUNTIF(ТабПозиции[orderNum],ТабПозиции[[#This Row],[orderNum]])),0),"")</f>
        <v>118</v>
      </c>
      <c r="P1541">
        <f>IF(OR(ТабПозиции[[#This Row],[item]]="По штрихкоду",ТабПозиции[[#This Row],[item]]="Посылка"),ТабПозиции[[#This Row],[deliverySumm]]+ТабПозиции[[#This Row],[deliveryPost]],SUM(M1541:O1541))</f>
        <v>904</v>
      </c>
      <c r="Q1541" s="57">
        <v>904</v>
      </c>
      <c r="R1541" s="62">
        <f>ТабПозиции[[#This Row],[totalSumm]]-ТабПозиции[[#This Row],[payment]]</f>
        <v>0</v>
      </c>
      <c r="S1541" s="34" t="s">
        <v>965</v>
      </c>
      <c r="T1541" s="56" t="s">
        <v>3061</v>
      </c>
      <c r="U1541" s="56" t="str">
        <f>IF(AND(ТабПозиции[[#This Row],[Остаток]]=0,ТабПозиции[[#This Row],[ord]]="true"),"true","false")</f>
        <v>true</v>
      </c>
      <c r="V1541" s="56" t="s">
        <v>3061</v>
      </c>
      <c r="W1541" s="7"/>
      <c r="X1541"/>
    </row>
    <row r="1542" spans="1:24" x14ac:dyDescent="0.25">
      <c r="A1542" s="26">
        <v>406</v>
      </c>
      <c r="B1542" s="1">
        <f>IFERROR(VLOOKUP(ТабПозиции[[#This Row],[orderNum]],ТабЗаказы[#Data],MATCH(B$7,ТабЗаказы[#Headers],0),0),"")</f>
        <v>45649</v>
      </c>
      <c r="C1542" t="str">
        <f>MONTH(ТабПозиции[[#This Row],[date]])&amp;"/"&amp;YEAR(ТабПозиции[[#This Row],[date]])</f>
        <v>12/2024</v>
      </c>
      <c r="D1542" s="1" t="str">
        <f>IFERROR(VLOOKUP(ТабПозиции[[#This Row],[orderNum]],ТабЗаказы[#Data],MATCH(D$7,ТабЗаказы[#Headers],0),0),"")</f>
        <v>Оксана Моцная</v>
      </c>
      <c r="E1542" s="32" t="s">
        <v>2174</v>
      </c>
      <c r="F1542" s="56" t="s">
        <v>3061</v>
      </c>
      <c r="H1542" s="34">
        <v>45652</v>
      </c>
      <c r="I1542" s="26">
        <v>1</v>
      </c>
      <c r="J1542" s="26">
        <v>636</v>
      </c>
      <c r="K1542">
        <f>ТабПозиции[[#This Row],[discountPrice]]*ТабПозиции[[#This Row],[quantity]]</f>
        <v>636</v>
      </c>
      <c r="L1542" s="26">
        <v>670</v>
      </c>
      <c r="M1542">
        <f t="shared" si="28"/>
        <v>670</v>
      </c>
      <c r="O154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Row],[orderNum]],ТабПозиции[orderSumm])&gt;1500),ABS(M1542*VLOOKUP(ТабПозиции[[#This Row],[orderNum]],ТабЗаказы[#Data],MATCH("Percent",ТабЗаказы[#Headers],0),0))/100,200/COUNTIF(ТабПозиции[orderNum],ТабПозиции[[#This Row],[orderNum]])),0),"")</f>
        <v>101</v>
      </c>
      <c r="P1542">
        <f>IF(OR(ТабПозиции[[#This Row],[item]]="По штрихкоду",ТабПозиции[[#This Row],[item]]="Посылка"),ТабПозиции[[#This Row],[deliverySumm]]+ТабПозиции[[#This Row],[deliveryPost]],SUM(M1542:O1542))</f>
        <v>771</v>
      </c>
      <c r="Q1542" s="57">
        <v>771</v>
      </c>
      <c r="R1542" s="62">
        <f>ТабПозиции[[#This Row],[totalSumm]]-ТабПозиции[[#This Row],[payment]]</f>
        <v>0</v>
      </c>
      <c r="S1542" s="34" t="s">
        <v>965</v>
      </c>
      <c r="T1542" s="56" t="s">
        <v>3061</v>
      </c>
      <c r="U1542" s="56" t="str">
        <f>IF(AND(ТабПозиции[[#This Row],[Остаток]]=0,ТабПозиции[[#This Row],[ord]]="true"),"true","false")</f>
        <v>true</v>
      </c>
      <c r="V1542" s="56" t="s">
        <v>3061</v>
      </c>
      <c r="W1542" s="7"/>
      <c r="X1542"/>
    </row>
    <row r="1543" spans="1:24" x14ac:dyDescent="0.25">
      <c r="A1543" s="26">
        <v>407</v>
      </c>
      <c r="B1543" s="1">
        <f>IFERROR(VLOOKUP(ТабПозиции[[#This Row],[orderNum]],ТабЗаказы[#Data],MATCH(B$7,ТабЗаказы[#Headers],0),0),"")</f>
        <v>45650</v>
      </c>
      <c r="C1543" t="str">
        <f>MONTH(ТабПозиции[[#This Row],[date]])&amp;"/"&amp;YEAR(ТабПозиции[[#This Row],[date]])</f>
        <v>12/2024</v>
      </c>
      <c r="D1543" s="1" t="str">
        <f>IFERROR(VLOOKUP(ТабПозиции[[#This Row],[orderNum]],ТабЗаказы[#Data],MATCH(D$7,ТабЗаказы[#Headers],0),0),"")</f>
        <v>Михаил Куприна</v>
      </c>
      <c r="E1543" s="32" t="s">
        <v>1410</v>
      </c>
      <c r="F1543" s="56" t="s">
        <v>3061</v>
      </c>
      <c r="H1543" s="34">
        <v>45653</v>
      </c>
      <c r="I1543" s="26">
        <v>1</v>
      </c>
      <c r="J1543" s="26">
        <v>5743</v>
      </c>
      <c r="K1543">
        <f>ТабПозиции[[#This Row],[discountPrice]]*ТабПозиции[[#This Row],[quantity]]</f>
        <v>5743</v>
      </c>
      <c r="L1543" s="26">
        <v>6148</v>
      </c>
      <c r="M1543">
        <f t="shared" si="28"/>
        <v>6148</v>
      </c>
      <c r="O154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Row],[orderNum]],ТабПозиции[orderSumm])&gt;1500),ABS(M1543*VLOOKUP(ТабПозиции[[#This Row],[orderNum]],ТабЗаказы[#Data],MATCH("Percent",ТабЗаказы[#Headers],0),0))/100,200/COUNTIF(ТабПозиции[orderNum],ТабПозиции[[#This Row],[orderNum]])),0),"")</f>
        <v>922</v>
      </c>
      <c r="P1543">
        <f>IF(OR(ТабПозиции[[#This Row],[item]]="По штрихкоду",ТабПозиции[[#This Row],[item]]="Посылка"),ТабПозиции[[#This Row],[deliverySumm]]+ТабПозиции[[#This Row],[deliveryPost]],SUM(M1543:O1543))</f>
        <v>7070</v>
      </c>
      <c r="Q1543" s="57">
        <v>7070</v>
      </c>
      <c r="R1543" s="62">
        <f>ТабПозиции[[#This Row],[totalSumm]]-ТабПозиции[[#This Row],[payment]]</f>
        <v>0</v>
      </c>
      <c r="S1543" s="34" t="s">
        <v>1016</v>
      </c>
      <c r="T1543" s="56" t="s">
        <v>3061</v>
      </c>
      <c r="U1543" s="56" t="str">
        <f>IF(AND(ТабПозиции[[#This Row],[Остаток]]=0,ТабПозиции[[#This Row],[ord]]="true"),"true","false")</f>
        <v>true</v>
      </c>
      <c r="V1543" s="56" t="str">
        <f>IF(AND(ТабПозиции[[#This Row],[Остаток]]=0,ТабПозиции[[#This Row],[ord]]="true"),"true","false")</f>
        <v>true</v>
      </c>
      <c r="W1543" s="7"/>
      <c r="X1543"/>
    </row>
    <row r="1544" spans="1:24" x14ac:dyDescent="0.25">
      <c r="A1544" s="26">
        <v>408</v>
      </c>
      <c r="B1544" s="1">
        <f>IFERROR(VLOOKUP(ТабПозиции[[#This Row],[orderNum]],ТабЗаказы[#Data],MATCH(B$7,ТабЗаказы[#Headers],0),0),"")</f>
        <v>45650</v>
      </c>
      <c r="C1544" t="str">
        <f>MONTH(ТабПозиции[[#This Row],[date]])&amp;"/"&amp;YEAR(ТабПозиции[[#This Row],[date]])</f>
        <v>12/2024</v>
      </c>
      <c r="D1544" s="1" t="str">
        <f>IFERROR(VLOOKUP(ТабПозиции[[#This Row],[orderNum]],ТабЗаказы[#Data],MATCH(D$7,ТабЗаказы[#Headers],0),0),"")</f>
        <v>Юля Ларисына</v>
      </c>
      <c r="E1544" s="32" t="s">
        <v>2177</v>
      </c>
      <c r="F1544" s="56" t="s">
        <v>3061</v>
      </c>
      <c r="H1544" s="34">
        <v>45653</v>
      </c>
      <c r="I1544" s="26">
        <v>1</v>
      </c>
      <c r="J1544" s="26">
        <v>204</v>
      </c>
      <c r="K1544">
        <f>ТабПозиции[[#This Row],[discountPrice]]*ТабПозиции[[#This Row],[quantity]]</f>
        <v>204</v>
      </c>
      <c r="L1544" s="26">
        <v>215</v>
      </c>
      <c r="M1544">
        <f t="shared" ref="M1544:M1604" si="29">L1544*I1544</f>
        <v>215</v>
      </c>
      <c r="O154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Row],[orderNum]],ТабПозиции[orderSumm])&gt;1500),ABS(M1544*VLOOKUP(ТабПозиции[[#This Row],[orderNum]],ТабЗаказы[#Data],MATCH("Percent",ТабЗаказы[#Headers],0),0))/100,200/COUNTIF(ТабПозиции[orderNum],ТабПозиции[[#This Row],[orderNum]])),0),"")</f>
        <v>40</v>
      </c>
      <c r="P1544">
        <f>IF(OR(ТабПозиции[[#This Row],[item]]="По штрихкоду",ТабПозиции[[#This Row],[item]]="Посылка"),ТабПозиции[[#This Row],[deliverySumm]]+ТабПозиции[[#This Row],[deliveryPost]],SUM(M1544:O1544))</f>
        <v>255</v>
      </c>
      <c r="Q1544" s="57">
        <v>255</v>
      </c>
      <c r="R1544" s="62">
        <f>ТабПозиции[[#This Row],[totalSumm]]-ТабПозиции[[#This Row],[payment]]</f>
        <v>0</v>
      </c>
      <c r="S1544" s="34" t="s">
        <v>965</v>
      </c>
      <c r="T1544" s="56" t="s">
        <v>3061</v>
      </c>
      <c r="U1544" s="56" t="str">
        <f>IF(AND(ТабПозиции[[#This Row],[Остаток]]=0,ТабПозиции[[#This Row],[ord]]="true"),"true","false")</f>
        <v>true</v>
      </c>
      <c r="V1544" s="56" t="s">
        <v>3061</v>
      </c>
      <c r="W1544" s="7"/>
      <c r="X1544"/>
    </row>
    <row r="1545" spans="1:24" x14ac:dyDescent="0.25">
      <c r="A1545" s="26">
        <v>408</v>
      </c>
      <c r="B1545" s="1">
        <f>IFERROR(VLOOKUP(ТабПозиции[[#This Row],[orderNum]],ТабЗаказы[#Data],MATCH(B$7,ТабЗаказы[#Headers],0),0),"")</f>
        <v>45650</v>
      </c>
      <c r="C1545" t="str">
        <f>MONTH(ТабПозиции[[#This Row],[date]])&amp;"/"&amp;YEAR(ТабПозиции[[#This Row],[date]])</f>
        <v>12/2024</v>
      </c>
      <c r="D1545" s="1" t="str">
        <f>IFERROR(VLOOKUP(ТабПозиции[[#This Row],[orderNum]],ТабЗаказы[#Data],MATCH(D$7,ТабЗаказы[#Headers],0),0),"")</f>
        <v>Юля Ларисына</v>
      </c>
      <c r="E1545" s="32" t="s">
        <v>2178</v>
      </c>
      <c r="F1545" s="56" t="s">
        <v>3061</v>
      </c>
      <c r="H1545" s="34">
        <v>45653</v>
      </c>
      <c r="I1545" s="26">
        <v>1</v>
      </c>
      <c r="J1545" s="26">
        <v>117</v>
      </c>
      <c r="K1545">
        <f>ТабПозиции[[#This Row],[discountPrice]]*ТабПозиции[[#This Row],[quantity]]</f>
        <v>117</v>
      </c>
      <c r="L1545" s="26">
        <v>124</v>
      </c>
      <c r="M1545">
        <f t="shared" si="29"/>
        <v>124</v>
      </c>
      <c r="O154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Row],[orderNum]],ТабПозиции[orderSumm])&gt;1500),ABS(M1545*VLOOKUP(ТабПозиции[[#This Row],[orderNum]],ТабЗаказы[#Data],MATCH("Percent",ТабЗаказы[#Headers],0),0))/100,200/COUNTIF(ТабПозиции[orderNum],ТабПозиции[[#This Row],[orderNum]])),0),"")</f>
        <v>40</v>
      </c>
      <c r="P1545">
        <f>IF(OR(ТабПозиции[[#This Row],[item]]="По штрихкоду",ТабПозиции[[#This Row],[item]]="Посылка"),ТабПозиции[[#This Row],[deliverySumm]]+ТабПозиции[[#This Row],[deliveryPost]],SUM(M1545:O1545))</f>
        <v>164</v>
      </c>
      <c r="Q1545" s="57">
        <v>164</v>
      </c>
      <c r="R1545" s="62">
        <f>ТабПозиции[[#This Row],[totalSumm]]-ТабПозиции[[#This Row],[payment]]</f>
        <v>0</v>
      </c>
      <c r="S1545" s="34" t="s">
        <v>965</v>
      </c>
      <c r="T1545" s="56" t="s">
        <v>3061</v>
      </c>
      <c r="U1545" s="56" t="str">
        <f>IF(AND(ТабПозиции[[#This Row],[Остаток]]=0,ТабПозиции[[#This Row],[ord]]="true"),"true","false")</f>
        <v>true</v>
      </c>
      <c r="V1545" s="56" t="s">
        <v>3061</v>
      </c>
      <c r="W1545" s="7"/>
      <c r="X1545"/>
    </row>
    <row r="1546" spans="1:24" x14ac:dyDescent="0.25">
      <c r="A1546" s="26">
        <v>408</v>
      </c>
      <c r="B1546" s="1">
        <f>IFERROR(VLOOKUP(ТабПозиции[[#This Row],[orderNum]],ТабЗаказы[#Data],MATCH(B$7,ТабЗаказы[#Headers],0),0),"")</f>
        <v>45650</v>
      </c>
      <c r="C1546" t="str">
        <f>MONTH(ТабПозиции[[#This Row],[date]])&amp;"/"&amp;YEAR(ТабПозиции[[#This Row],[date]])</f>
        <v>12/2024</v>
      </c>
      <c r="D1546" s="1" t="str">
        <f>IFERROR(VLOOKUP(ТабПозиции[[#This Row],[orderNum]],ТабЗаказы[#Data],MATCH(D$7,ТабЗаказы[#Headers],0),0),"")</f>
        <v>Юля Ларисына</v>
      </c>
      <c r="E1546" s="32" t="s">
        <v>2179</v>
      </c>
      <c r="F1546" s="56" t="s">
        <v>3061</v>
      </c>
      <c r="H1546" s="34">
        <v>45653</v>
      </c>
      <c r="I1546" s="26">
        <v>1</v>
      </c>
      <c r="J1546" s="26">
        <v>141</v>
      </c>
      <c r="K1546">
        <f>ТабПозиции[[#This Row],[discountPrice]]*ТабПозиции[[#This Row],[quantity]]</f>
        <v>141</v>
      </c>
      <c r="L1546" s="26">
        <v>149</v>
      </c>
      <c r="M1546">
        <f t="shared" si="29"/>
        <v>149</v>
      </c>
      <c r="O154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Row],[orderNum]],ТабПозиции[orderSumm])&gt;1500),ABS(M1546*VLOOKUP(ТабПозиции[[#This Row],[orderNum]],ТабЗаказы[#Data],MATCH("Percent",ТабЗаказы[#Headers],0),0))/100,200/COUNTIF(ТабПозиции[orderNum],ТабПозиции[[#This Row],[orderNum]])),0),"")</f>
        <v>40</v>
      </c>
      <c r="P1546">
        <f>IF(OR(ТабПозиции[[#This Row],[item]]="По штрихкоду",ТабПозиции[[#This Row],[item]]="Посылка"),ТабПозиции[[#This Row],[deliverySumm]]+ТабПозиции[[#This Row],[deliveryPost]],SUM(M1546:O1546))</f>
        <v>189</v>
      </c>
      <c r="Q1546" s="57">
        <v>189</v>
      </c>
      <c r="R1546" s="62">
        <f>ТабПозиции[[#This Row],[totalSumm]]-ТабПозиции[[#This Row],[payment]]</f>
        <v>0</v>
      </c>
      <c r="S1546" s="34" t="s">
        <v>965</v>
      </c>
      <c r="T1546" s="56" t="s">
        <v>3061</v>
      </c>
      <c r="U1546" s="56" t="str">
        <f>IF(AND(ТабПозиции[[#This Row],[Остаток]]=0,ТабПозиции[[#This Row],[ord]]="true"),"true","false")</f>
        <v>true</v>
      </c>
      <c r="V1546" s="56" t="s">
        <v>3061</v>
      </c>
      <c r="W1546" s="7"/>
      <c r="X1546"/>
    </row>
    <row r="1547" spans="1:24" x14ac:dyDescent="0.25">
      <c r="A1547" s="26">
        <v>408</v>
      </c>
      <c r="B1547" s="1">
        <f>IFERROR(VLOOKUP(ТабПозиции[[#This Row],[orderNum]],ТабЗаказы[#Data],MATCH(B$7,ТабЗаказы[#Headers],0),0),"")</f>
        <v>45650</v>
      </c>
      <c r="C1547" t="str">
        <f>MONTH(ТабПозиции[[#This Row],[date]])&amp;"/"&amp;YEAR(ТабПозиции[[#This Row],[date]])</f>
        <v>12/2024</v>
      </c>
      <c r="D1547" s="1" t="str">
        <f>IFERROR(VLOOKUP(ТабПозиции[[#This Row],[orderNum]],ТабЗаказы[#Data],MATCH(D$7,ТабЗаказы[#Headers],0),0),"")</f>
        <v>Юля Ларисына</v>
      </c>
      <c r="E1547" s="32" t="s">
        <v>1136</v>
      </c>
      <c r="F1547" s="56" t="s">
        <v>3061</v>
      </c>
      <c r="H1547" s="34">
        <v>45653</v>
      </c>
      <c r="I1547" s="26">
        <v>1</v>
      </c>
      <c r="J1547" s="26">
        <v>691</v>
      </c>
      <c r="K1547">
        <f>ТабПозиции[[#This Row],[discountPrice]]*ТабПозиции[[#This Row],[quantity]]</f>
        <v>691</v>
      </c>
      <c r="L1547" s="26">
        <v>728</v>
      </c>
      <c r="M1547">
        <f t="shared" si="29"/>
        <v>728</v>
      </c>
      <c r="O154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Row],[orderNum]],ТабПозиции[orderSumm])&gt;1500),ABS(M1547*VLOOKUP(ТабПозиции[[#This Row],[orderNum]],ТабЗаказы[#Data],MATCH("Percent",ТабЗаказы[#Headers],0),0))/100,200/COUNTIF(ТабПозиции[orderNum],ТабПозиции[[#This Row],[orderNum]])),0),"")</f>
        <v>40</v>
      </c>
      <c r="P1547">
        <f>IF(OR(ТабПозиции[[#This Row],[item]]="По штрихкоду",ТабПозиции[[#This Row],[item]]="Посылка"),ТабПозиции[[#This Row],[deliverySumm]]+ТабПозиции[[#This Row],[deliveryPost]],SUM(M1547:O1547))</f>
        <v>768</v>
      </c>
      <c r="Q1547" s="57">
        <v>768</v>
      </c>
      <c r="R1547" s="62">
        <f>ТабПозиции[[#This Row],[totalSumm]]-ТабПозиции[[#This Row],[payment]]</f>
        <v>0</v>
      </c>
      <c r="S1547" s="34" t="s">
        <v>965</v>
      </c>
      <c r="T1547" s="56" t="s">
        <v>3061</v>
      </c>
      <c r="U1547" s="56" t="str">
        <f>IF(AND(ТабПозиции[[#This Row],[Остаток]]=0,ТабПозиции[[#This Row],[ord]]="true"),"true","false")</f>
        <v>true</v>
      </c>
      <c r="V1547" s="56" t="s">
        <v>3061</v>
      </c>
      <c r="W1547" s="7"/>
      <c r="X1547"/>
    </row>
    <row r="1548" spans="1:24" x14ac:dyDescent="0.25">
      <c r="A1548" s="26">
        <v>408</v>
      </c>
      <c r="B1548" s="1">
        <f>IFERROR(VLOOKUP(ТабПозиции[[#This Row],[orderNum]],ТабЗаказы[#Data],MATCH(B$7,ТабЗаказы[#Headers],0),0),"")</f>
        <v>45650</v>
      </c>
      <c r="C1548" t="str">
        <f>MONTH(ТабПозиции[[#This Row],[date]])&amp;"/"&amp;YEAR(ТабПозиции[[#This Row],[date]])</f>
        <v>12/2024</v>
      </c>
      <c r="D1548" s="1" t="str">
        <f>IFERROR(VLOOKUP(ТабПозиции[[#This Row],[orderNum]],ТабЗаказы[#Data],MATCH(D$7,ТабЗаказы[#Headers],0),0),"")</f>
        <v>Юля Ларисына</v>
      </c>
      <c r="E1548" s="32" t="s">
        <v>2180</v>
      </c>
      <c r="F1548" s="56" t="s">
        <v>3061</v>
      </c>
      <c r="H1548" s="34">
        <v>45654</v>
      </c>
      <c r="I1548" s="26">
        <v>1</v>
      </c>
      <c r="J1548" s="26">
        <v>166</v>
      </c>
      <c r="K1548">
        <f>ТабПозиции[[#This Row],[discountPrice]]*ТабПозиции[[#This Row],[quantity]]</f>
        <v>166</v>
      </c>
      <c r="L1548" s="26">
        <v>175</v>
      </c>
      <c r="M1548">
        <f t="shared" si="29"/>
        <v>175</v>
      </c>
      <c r="O154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Row],[orderNum]],ТабПозиции[orderSumm])&gt;1500),ABS(M1548*VLOOKUP(ТабПозиции[[#This Row],[orderNum]],ТабЗаказы[#Data],MATCH("Percent",ТабЗаказы[#Headers],0),0))/100,200/COUNTIF(ТабПозиции[orderNum],ТабПозиции[[#This Row],[orderNum]])),0),"")</f>
        <v>40</v>
      </c>
      <c r="P1548">
        <f>IF(OR(ТабПозиции[[#This Row],[item]]="По штрихкоду",ТабПозиции[[#This Row],[item]]="Посылка"),ТабПозиции[[#This Row],[deliverySumm]]+ТабПозиции[[#This Row],[deliveryPost]],SUM(M1548:O1548))</f>
        <v>215</v>
      </c>
      <c r="Q1548" s="57">
        <v>215</v>
      </c>
      <c r="R1548" s="62">
        <f>ТабПозиции[[#This Row],[totalSumm]]-ТабПозиции[[#This Row],[payment]]</f>
        <v>0</v>
      </c>
      <c r="S1548" s="34" t="s">
        <v>965</v>
      </c>
      <c r="T1548" s="56" t="s">
        <v>3061</v>
      </c>
      <c r="U1548" s="56" t="str">
        <f>IF(AND(ТабПозиции[[#This Row],[Остаток]]=0,ТабПозиции[[#This Row],[ord]]="true"),"true","false")</f>
        <v>true</v>
      </c>
      <c r="V1548" s="56" t="s">
        <v>3061</v>
      </c>
      <c r="W1548" s="7"/>
      <c r="X1548"/>
    </row>
    <row r="1549" spans="1:24" x14ac:dyDescent="0.25">
      <c r="A1549" s="26">
        <v>409</v>
      </c>
      <c r="B1549" s="1">
        <f>IFERROR(VLOOKUP(ТабПозиции[[#This Row],[orderNum]],ТабЗаказы[#Data],MATCH(B$7,ТабЗаказы[#Headers],0),0),"")</f>
        <v>45650</v>
      </c>
      <c r="C1549" t="str">
        <f>MONTH(ТабПозиции[[#This Row],[date]])&amp;"/"&amp;YEAR(ТабПозиции[[#This Row],[date]])</f>
        <v>12/2024</v>
      </c>
      <c r="D1549" s="1" t="str">
        <f>IFERROR(VLOOKUP(ТабПозиции[[#This Row],[orderNum]],ТабЗаказы[#Data],MATCH(D$7,ТабЗаказы[#Headers],0),0),"")</f>
        <v>Митрофанов Евгений</v>
      </c>
      <c r="E1549" s="32" t="s">
        <v>1053</v>
      </c>
      <c r="F1549" s="56" t="s">
        <v>3061</v>
      </c>
      <c r="G1549" s="28" t="s">
        <v>2249</v>
      </c>
      <c r="H1549" s="34">
        <v>45672</v>
      </c>
      <c r="I1549" s="26">
        <v>1</v>
      </c>
      <c r="J1549" s="26">
        <v>1299</v>
      </c>
      <c r="K1549">
        <f>ТабПозиции[[#This Row],[discountPrice]]*ТабПозиции[[#This Row],[quantity]]</f>
        <v>1299</v>
      </c>
      <c r="L1549" s="26">
        <v>1299</v>
      </c>
      <c r="M1549">
        <f t="shared" si="29"/>
        <v>1299</v>
      </c>
      <c r="O154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Row],[orderNum]],ТабПозиции[orderSumm])&gt;1500),ABS(M1549*VLOOKUP(ТабПозиции[[#This Row],[orderNum]],ТабЗаказы[#Data],MATCH("Percent",ТабЗаказы[#Headers],0),0))/100,200/COUNTIF(ТабПозиции[orderNum],ТабПозиции[[#This Row],[orderNum]])),0),"")</f>
        <v>195</v>
      </c>
      <c r="P1549">
        <f>IF(OR(ТабПозиции[[#This Row],[item]]="По штрихкоду",ТабПозиции[[#This Row],[item]]="Посылка"),ТабПозиции[[#This Row],[deliverySumm]]+ТабПозиции[[#This Row],[deliveryPost]],SUM(M1549:O1549))</f>
        <v>1494</v>
      </c>
      <c r="Q1549" s="57">
        <v>1494</v>
      </c>
      <c r="R1549" s="62">
        <f>ТабПозиции[[#This Row],[totalSumm]]-ТабПозиции[[#This Row],[payment]]</f>
        <v>0</v>
      </c>
      <c r="S1549" s="34" t="s">
        <v>579</v>
      </c>
      <c r="T1549" s="56" t="s">
        <v>3061</v>
      </c>
      <c r="U1549" s="56" t="str">
        <f>IF(AND(ТабПозиции[[#This Row],[Остаток]]=0,ТабПозиции[[#This Row],[ord]]="true"),"true","false")</f>
        <v>true</v>
      </c>
      <c r="V1549" s="56" t="s">
        <v>3061</v>
      </c>
      <c r="W1549" s="7"/>
      <c r="X1549"/>
    </row>
    <row r="1550" spans="1:24" x14ac:dyDescent="0.25">
      <c r="A1550" s="26">
        <v>409</v>
      </c>
      <c r="B1550" s="1">
        <f>IFERROR(VLOOKUP(ТабПозиции[[#This Row],[orderNum]],ТабЗаказы[#Data],MATCH(B$7,ТабЗаказы[#Headers],0),0),"")</f>
        <v>45650</v>
      </c>
      <c r="C1550" t="str">
        <f>MONTH(ТабПозиции[[#This Row],[date]])&amp;"/"&amp;YEAR(ТабПозиции[[#This Row],[date]])</f>
        <v>12/2024</v>
      </c>
      <c r="D1550" s="1" t="str">
        <f>IFERROR(VLOOKUP(ТабПозиции[[#This Row],[orderNum]],ТабЗаказы[#Data],MATCH(D$7,ТабЗаказы[#Headers],0),0),"")</f>
        <v>Митрофанов Евгений</v>
      </c>
      <c r="E1550" s="32" t="s">
        <v>2181</v>
      </c>
      <c r="F1550" s="56" t="s">
        <v>3061</v>
      </c>
      <c r="G1550" s="28" t="s">
        <v>2248</v>
      </c>
      <c r="H1550" s="34">
        <v>45672</v>
      </c>
      <c r="I1550" s="26">
        <v>1</v>
      </c>
      <c r="J1550" s="26">
        <v>514</v>
      </c>
      <c r="K1550">
        <f>ТабПозиции[[#This Row],[discountPrice]]*ТабПозиции[[#This Row],[quantity]]</f>
        <v>514</v>
      </c>
      <c r="L1550" s="26">
        <v>638</v>
      </c>
      <c r="M1550">
        <f t="shared" si="29"/>
        <v>638</v>
      </c>
      <c r="O155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Row],[orderNum]],ТабПозиции[orderSumm])&gt;1500),ABS(M1550*VLOOKUP(ТабПозиции[[#This Row],[orderNum]],ТабЗаказы[#Data],MATCH("Percent",ТабЗаказы[#Headers],0),0))/100,200/COUNTIF(ТабПозиции[orderNum],ТабПозиции[[#This Row],[orderNum]])),0),"")</f>
        <v>96</v>
      </c>
      <c r="P1550">
        <f>IF(OR(ТабПозиции[[#This Row],[item]]="По штрихкоду",ТабПозиции[[#This Row],[item]]="Посылка"),ТабПозиции[[#This Row],[deliverySumm]]+ТабПозиции[[#This Row],[deliveryPost]],SUM(M1550:O1550))</f>
        <v>734</v>
      </c>
      <c r="Q1550" s="57">
        <v>734</v>
      </c>
      <c r="R1550" s="62">
        <f>ТабПозиции[[#This Row],[totalSumm]]-ТабПозиции[[#This Row],[payment]]</f>
        <v>0</v>
      </c>
      <c r="S1550" s="34" t="s">
        <v>579</v>
      </c>
      <c r="T1550" s="56" t="s">
        <v>3061</v>
      </c>
      <c r="U1550" s="56" t="str">
        <f>IF(AND(ТабПозиции[[#This Row],[Остаток]]=0,ТабПозиции[[#This Row],[ord]]="true"),"true","false")</f>
        <v>true</v>
      </c>
      <c r="V1550" s="56" t="str">
        <f>IF(AND(ТабПозиции[[#This Row],[Остаток]]=0,ТабПозиции[[#This Row],[ord]]="true"),"true","false")</f>
        <v>true</v>
      </c>
      <c r="W1550" s="7"/>
      <c r="X1550"/>
    </row>
    <row r="1551" spans="1:24" x14ac:dyDescent="0.25">
      <c r="A1551" s="26">
        <v>403</v>
      </c>
      <c r="B1551" s="1">
        <f>IFERROR(VLOOKUP(ТабПозиции[[#This Row],[orderNum]],ТабЗаказы[#Data],MATCH(B$7,ТабЗаказы[#Headers],0),0),"")</f>
        <v>45649</v>
      </c>
      <c r="C1551" t="str">
        <f>MONTH(ТабПозиции[[#This Row],[date]])&amp;"/"&amp;YEAR(ТабПозиции[[#This Row],[date]])</f>
        <v>12/2024</v>
      </c>
      <c r="D1551" s="1" t="str">
        <f>IFERROR(VLOOKUP(ТабПозиции[[#This Row],[orderNum]],ТабЗаказы[#Data],MATCH(D$7,ТабЗаказы[#Headers],0),0),"")</f>
        <v>Галина Агабекова(церковь)</v>
      </c>
      <c r="E1551" s="32" t="s">
        <v>2182</v>
      </c>
      <c r="F1551" s="56" t="s">
        <v>3061</v>
      </c>
      <c r="H1551" s="34"/>
      <c r="I1551" s="26">
        <v>1</v>
      </c>
      <c r="J1551" s="26">
        <v>50</v>
      </c>
      <c r="K1551">
        <f>ТабПозиции[[#This Row],[discountPrice]]*ТабПозиции[[#This Row],[quantity]]</f>
        <v>50</v>
      </c>
      <c r="L1551" s="26">
        <v>50</v>
      </c>
      <c r="M1551">
        <f t="shared" si="29"/>
        <v>50</v>
      </c>
      <c r="O155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Row],[orderNum]],ТабПозиции[orderSumm])&gt;1500),ABS(M1551*VLOOKUP(ТабПозиции[[#This Row],[orderNum]],ТабЗаказы[#Data],MATCH("Percent",ТабЗаказы[#Headers],0),0))/100,200/COUNTIF(ТабПозиции[orderNum],ТабПозиции[[#This Row],[orderNum]])),0),"")</f>
        <v>8</v>
      </c>
      <c r="P1551">
        <f>IF(OR(ТабПозиции[[#This Row],[item]]="По штрихкоду",ТабПозиции[[#This Row],[item]]="Посылка"),ТабПозиции[[#This Row],[deliverySumm]]+ТабПозиции[[#This Row],[deliveryPost]],SUM(M1551:O1551))</f>
        <v>58</v>
      </c>
      <c r="Q1551" s="57">
        <v>58</v>
      </c>
      <c r="R1551" s="62">
        <f>ТабПозиции[[#This Row],[totalSumm]]-ТабПозиции[[#This Row],[payment]]</f>
        <v>0</v>
      </c>
      <c r="S1551" s="34" t="s">
        <v>1000</v>
      </c>
      <c r="T1551" s="56" t="s">
        <v>3061</v>
      </c>
      <c r="U1551" s="56" t="str">
        <f>IF(AND(ТабПозиции[[#This Row],[Остаток]]=0,ТабПозиции[[#This Row],[ord]]="true"),"true","false")</f>
        <v>true</v>
      </c>
      <c r="V1551" s="56" t="s">
        <v>3061</v>
      </c>
      <c r="W1551" s="7"/>
      <c r="X1551"/>
    </row>
    <row r="1552" spans="1:24" x14ac:dyDescent="0.25">
      <c r="A1552" s="26">
        <v>403</v>
      </c>
      <c r="B1552" s="1">
        <f>IFERROR(VLOOKUP(ТабПозиции[[#This Row],[orderNum]],ТабЗаказы[#Data],MATCH(B$7,ТабЗаказы[#Headers],0),0),"")</f>
        <v>45649</v>
      </c>
      <c r="C1552" t="str">
        <f>MONTH(ТабПозиции[[#This Row],[date]])&amp;"/"&amp;YEAR(ТабПозиции[[#This Row],[date]])</f>
        <v>12/2024</v>
      </c>
      <c r="D1552" s="1" t="str">
        <f>IFERROR(VLOOKUP(ТабПозиции[[#This Row],[orderNum]],ТабЗаказы[#Data],MATCH(D$7,ТабЗаказы[#Headers],0),0),"")</f>
        <v>Галина Агабекова(церковь)</v>
      </c>
      <c r="E1552" s="32" t="s">
        <v>2183</v>
      </c>
      <c r="F1552" s="56" t="s">
        <v>3061</v>
      </c>
      <c r="H1552" s="34"/>
      <c r="I1552" s="26">
        <v>1</v>
      </c>
      <c r="J1552" s="26">
        <v>50</v>
      </c>
      <c r="K1552">
        <f>ТабПозиции[[#This Row],[discountPrice]]*ТабПозиции[[#This Row],[quantity]]</f>
        <v>50</v>
      </c>
      <c r="L1552" s="26">
        <v>50</v>
      </c>
      <c r="M1552">
        <f t="shared" si="29"/>
        <v>50</v>
      </c>
      <c r="O155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Row],[orderNum]],ТабПозиции[orderSumm])&gt;1500),ABS(M1552*VLOOKUP(ТабПозиции[[#This Row],[orderNum]],ТабЗаказы[#Data],MATCH("Percent",ТабЗаказы[#Headers],0),0))/100,200/COUNTIF(ТабПозиции[orderNum],ТабПозиции[[#This Row],[orderNum]])),0),"")</f>
        <v>8</v>
      </c>
      <c r="P1552">
        <f>IF(OR(ТабПозиции[[#This Row],[item]]="По штрихкоду",ТабПозиции[[#This Row],[item]]="Посылка"),ТабПозиции[[#This Row],[deliverySumm]]+ТабПозиции[[#This Row],[deliveryPost]],SUM(M1552:O1552))</f>
        <v>58</v>
      </c>
      <c r="Q1552" s="57">
        <v>58</v>
      </c>
      <c r="R1552" s="62">
        <f>ТабПозиции[[#This Row],[totalSumm]]-ТабПозиции[[#This Row],[payment]]</f>
        <v>0</v>
      </c>
      <c r="S1552" s="34" t="s">
        <v>1000</v>
      </c>
      <c r="T1552" s="56" t="s">
        <v>3061</v>
      </c>
      <c r="U1552" s="56" t="str">
        <f>IF(AND(ТабПозиции[[#This Row],[Остаток]]=0,ТабПозиции[[#This Row],[ord]]="true"),"true","false")</f>
        <v>true</v>
      </c>
      <c r="V1552" s="56" t="s">
        <v>3061</v>
      </c>
      <c r="W1552" s="7"/>
      <c r="X1552"/>
    </row>
    <row r="1553" spans="1:24" x14ac:dyDescent="0.25">
      <c r="A1553" s="26">
        <v>403</v>
      </c>
      <c r="B1553" s="1">
        <f>IFERROR(VLOOKUP(ТабПозиции[[#This Row],[orderNum]],ТабЗаказы[#Data],MATCH(B$7,ТабЗаказы[#Headers],0),0),"")</f>
        <v>45649</v>
      </c>
      <c r="C1553" t="str">
        <f>MONTH(ТабПозиции[[#This Row],[date]])&amp;"/"&amp;YEAR(ТабПозиции[[#This Row],[date]])</f>
        <v>12/2024</v>
      </c>
      <c r="D1553" s="1" t="str">
        <f>IFERROR(VLOOKUP(ТабПозиции[[#This Row],[orderNum]],ТабЗаказы[#Data],MATCH(D$7,ТабЗаказы[#Headers],0),0),"")</f>
        <v>Галина Агабекова(церковь)</v>
      </c>
      <c r="E1553" s="32" t="s">
        <v>2184</v>
      </c>
      <c r="F1553" s="56" t="s">
        <v>3061</v>
      </c>
      <c r="H1553" s="34"/>
      <c r="I1553" s="26">
        <v>1</v>
      </c>
      <c r="J1553" s="26">
        <v>525</v>
      </c>
      <c r="K1553">
        <f>ТабПозиции[[#This Row],[discountPrice]]*ТабПозиции[[#This Row],[quantity]]</f>
        <v>525</v>
      </c>
      <c r="L1553" s="26">
        <v>525</v>
      </c>
      <c r="M1553">
        <f t="shared" si="29"/>
        <v>525</v>
      </c>
      <c r="N1553" s="26">
        <v>197</v>
      </c>
      <c r="O155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Row],[orderNum]],ТабПозиции[orderSumm])&gt;1500),ABS(M1553*VLOOKUP(ТабПозиции[[#This Row],[orderNum]],ТабЗаказы[#Data],MATCH("Percent",ТабЗаказы[#Headers],0),0))/100,200/COUNTIF(ТабПозиции[orderNum],ТабПозиции[[#This Row],[orderNum]])),0),"")</f>
        <v>79</v>
      </c>
      <c r="P1553">
        <f>IF(OR(ТабПозиции[[#This Row],[item]]="По штрихкоду",ТабПозиции[[#This Row],[item]]="Посылка"),ТабПозиции[[#This Row],[deliverySumm]]+ТабПозиции[[#This Row],[deliveryPost]],SUM(M1553:O1553))</f>
        <v>801</v>
      </c>
      <c r="Q1553" s="57">
        <v>801</v>
      </c>
      <c r="R1553" s="62">
        <f>ТабПозиции[[#This Row],[totalSumm]]-ТабПозиции[[#This Row],[payment]]</f>
        <v>0</v>
      </c>
      <c r="S1553" s="34" t="s">
        <v>1000</v>
      </c>
      <c r="T1553" s="56" t="s">
        <v>3061</v>
      </c>
      <c r="U1553" s="56" t="str">
        <f>IF(AND(ТабПозиции[[#This Row],[Остаток]]=0,ТабПозиции[[#This Row],[ord]]="true"),"true","false")</f>
        <v>true</v>
      </c>
      <c r="V1553" s="56" t="s">
        <v>3061</v>
      </c>
      <c r="W1553" s="7"/>
      <c r="X1553"/>
    </row>
    <row r="1554" spans="1:24" x14ac:dyDescent="0.25">
      <c r="A1554" s="26">
        <v>403</v>
      </c>
      <c r="B1554" s="1">
        <f>IFERROR(VLOOKUP(ТабПозиции[[#This Row],[orderNum]],ТабЗаказы[#Data],MATCH(B$7,ТабЗаказы[#Headers],0),0),"")</f>
        <v>45649</v>
      </c>
      <c r="C1554" t="str">
        <f>MONTH(ТабПозиции[[#This Row],[date]])&amp;"/"&amp;YEAR(ТабПозиции[[#This Row],[date]])</f>
        <v>12/2024</v>
      </c>
      <c r="D1554" s="1" t="str">
        <f>IFERROR(VLOOKUP(ТабПозиции[[#This Row],[orderNum]],ТабЗаказы[#Data],MATCH(D$7,ТабЗаказы[#Headers],0),0),"")</f>
        <v>Галина Агабекова(церковь)</v>
      </c>
      <c r="E1554" s="32" t="s">
        <v>2185</v>
      </c>
      <c r="F1554" s="56" t="s">
        <v>3061</v>
      </c>
      <c r="H1554" s="34"/>
      <c r="I1554" s="26">
        <v>1</v>
      </c>
      <c r="J1554" s="26">
        <v>11</v>
      </c>
      <c r="K1554">
        <f>ТабПозиции[[#This Row],[discountPrice]]*ТабПозиции[[#This Row],[quantity]]</f>
        <v>11</v>
      </c>
      <c r="L1554" s="26">
        <v>11</v>
      </c>
      <c r="M1554">
        <f t="shared" si="29"/>
        <v>11</v>
      </c>
      <c r="O155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Row],[orderNum]],ТабПозиции[orderSumm])&gt;1500),ABS(M1554*VLOOKUP(ТабПозиции[[#This Row],[orderNum]],ТабЗаказы[#Data],MATCH("Percent",ТабЗаказы[#Headers],0),0))/100,200/COUNTIF(ТабПозиции[orderNum],ТабПозиции[[#This Row],[orderNum]])),0),"")</f>
        <v>2</v>
      </c>
      <c r="P1554">
        <f>IF(OR(ТабПозиции[[#This Row],[item]]="По штрихкоду",ТабПозиции[[#This Row],[item]]="Посылка"),ТабПозиции[[#This Row],[deliverySumm]]+ТабПозиции[[#This Row],[deliveryPost]],SUM(M1554:O1554))</f>
        <v>13</v>
      </c>
      <c r="Q1554" s="57">
        <v>13</v>
      </c>
      <c r="R1554" s="62">
        <f>ТабПозиции[[#This Row],[totalSumm]]-ТабПозиции[[#This Row],[payment]]</f>
        <v>0</v>
      </c>
      <c r="S1554" s="34" t="s">
        <v>1000</v>
      </c>
      <c r="T1554" s="56" t="s">
        <v>3061</v>
      </c>
      <c r="U1554" s="56" t="str">
        <f>IF(AND(ТабПозиции[[#This Row],[Остаток]]=0,ТабПозиции[[#This Row],[ord]]="true"),"true","false")</f>
        <v>true</v>
      </c>
      <c r="V1554" s="56" t="s">
        <v>3061</v>
      </c>
      <c r="W1554" s="7"/>
      <c r="X1554"/>
    </row>
    <row r="1555" spans="1:24" x14ac:dyDescent="0.25">
      <c r="A1555" s="26">
        <v>403</v>
      </c>
      <c r="B1555" s="1">
        <f>IFERROR(VLOOKUP(ТабПозиции[[#This Row],[orderNum]],ТабЗаказы[#Data],MATCH(B$7,ТабЗаказы[#Headers],0),0),"")</f>
        <v>45649</v>
      </c>
      <c r="C1555" t="str">
        <f>MONTH(ТабПозиции[[#This Row],[date]])&amp;"/"&amp;YEAR(ТабПозиции[[#This Row],[date]])</f>
        <v>12/2024</v>
      </c>
      <c r="D1555" s="1" t="str">
        <f>IFERROR(VLOOKUP(ТабПозиции[[#This Row],[orderNum]],ТабЗаказы[#Data],MATCH(D$7,ТабЗаказы[#Headers],0),0),"")</f>
        <v>Галина Агабекова(церковь)</v>
      </c>
      <c r="E1555" s="32" t="s">
        <v>2186</v>
      </c>
      <c r="F1555" s="56" t="s">
        <v>3061</v>
      </c>
      <c r="H1555" s="34"/>
      <c r="I1555" s="26">
        <v>1</v>
      </c>
      <c r="J1555" s="26">
        <v>90</v>
      </c>
      <c r="K1555">
        <f>ТабПозиции[[#This Row],[discountPrice]]*ТабПозиции[[#This Row],[quantity]]</f>
        <v>90</v>
      </c>
      <c r="L1555" s="26">
        <v>90</v>
      </c>
      <c r="M1555">
        <f t="shared" si="29"/>
        <v>90</v>
      </c>
      <c r="O155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Row],[orderNum]],ТабПозиции[orderSumm])&gt;1500),ABS(M1555*VLOOKUP(ТабПозиции[[#This Row],[orderNum]],ТабЗаказы[#Data],MATCH("Percent",ТабЗаказы[#Headers],0),0))/100,200/COUNTIF(ТабПозиции[orderNum],ТабПозиции[[#This Row],[orderNum]])),0),"")</f>
        <v>14</v>
      </c>
      <c r="P1555">
        <f>IF(OR(ТабПозиции[[#This Row],[item]]="По штрихкоду",ТабПозиции[[#This Row],[item]]="Посылка"),ТабПозиции[[#This Row],[deliverySumm]]+ТабПозиции[[#This Row],[deliveryPost]],SUM(M1555:O1555))</f>
        <v>104</v>
      </c>
      <c r="Q1555" s="57">
        <v>104</v>
      </c>
      <c r="R1555" s="62">
        <f>ТабПозиции[[#This Row],[totalSumm]]-ТабПозиции[[#This Row],[payment]]</f>
        <v>0</v>
      </c>
      <c r="S1555" s="34" t="s">
        <v>1000</v>
      </c>
      <c r="T1555" s="56" t="s">
        <v>3061</v>
      </c>
      <c r="U1555" s="56" t="str">
        <f>IF(AND(ТабПозиции[[#This Row],[Остаток]]=0,ТабПозиции[[#This Row],[ord]]="true"),"true","false")</f>
        <v>true</v>
      </c>
      <c r="V1555" s="56" t="s">
        <v>3061</v>
      </c>
      <c r="W1555" s="7"/>
      <c r="X1555"/>
    </row>
    <row r="1556" spans="1:24" x14ac:dyDescent="0.25">
      <c r="A1556" s="26">
        <v>403</v>
      </c>
      <c r="B1556" s="1">
        <f>IFERROR(VLOOKUP(ТабПозиции[[#This Row],[orderNum]],ТабЗаказы[#Data],MATCH(B$7,ТабЗаказы[#Headers],0),0),"")</f>
        <v>45649</v>
      </c>
      <c r="C1556" t="str">
        <f>MONTH(ТабПозиции[[#This Row],[date]])&amp;"/"&amp;YEAR(ТабПозиции[[#This Row],[date]])</f>
        <v>12/2024</v>
      </c>
      <c r="D1556" s="1" t="str">
        <f>IFERROR(VLOOKUP(ТабПозиции[[#This Row],[orderNum]],ТабЗаказы[#Data],MATCH(D$7,ТабЗаказы[#Headers],0),0),"")</f>
        <v>Галина Агабекова(церковь)</v>
      </c>
      <c r="E1556" s="32" t="s">
        <v>2187</v>
      </c>
      <c r="F1556" s="56" t="s">
        <v>3061</v>
      </c>
      <c r="H1556" s="34"/>
      <c r="I1556" s="26">
        <v>1</v>
      </c>
      <c r="J1556" s="26">
        <v>64</v>
      </c>
      <c r="K1556">
        <f>ТабПозиции[[#This Row],[discountPrice]]*ТабПозиции[[#This Row],[quantity]]</f>
        <v>64</v>
      </c>
      <c r="L1556" s="26">
        <v>86</v>
      </c>
      <c r="M1556">
        <f t="shared" si="29"/>
        <v>86</v>
      </c>
      <c r="O155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Row],[orderNum]],ТабПозиции[orderSumm])&gt;1500),ABS(M1556*VLOOKUP(ТабПозиции[[#This Row],[orderNum]],ТабЗаказы[#Data],MATCH("Percent",ТабЗаказы[#Headers],0),0))/100,200/COUNTIF(ТабПозиции[orderNum],ТабПозиции[[#This Row],[orderNum]])),0),"")</f>
        <v>13</v>
      </c>
      <c r="P1556">
        <f>IF(OR(ТабПозиции[[#This Row],[item]]="По штрихкоду",ТабПозиции[[#This Row],[item]]="Посылка"),ТабПозиции[[#This Row],[deliverySumm]]+ТабПозиции[[#This Row],[deliveryPost]],SUM(M1556:O1556))</f>
        <v>99</v>
      </c>
      <c r="Q1556" s="57">
        <v>99</v>
      </c>
      <c r="R1556" s="62">
        <f>ТабПозиции[[#This Row],[totalSumm]]-ТабПозиции[[#This Row],[payment]]</f>
        <v>0</v>
      </c>
      <c r="S1556" s="34" t="s">
        <v>1011</v>
      </c>
      <c r="T1556" s="56" t="s">
        <v>3061</v>
      </c>
      <c r="U1556" s="56" t="str">
        <f>IF(AND(ТабПозиции[[#This Row],[Остаток]]=0,ТабПозиции[[#This Row],[ord]]="true"),"true","false")</f>
        <v>true</v>
      </c>
      <c r="V1556" s="56" t="str">
        <f>IF(AND(ТабПозиции[[#This Row],[Остаток]]=0,ТабПозиции[[#This Row],[ord]]="true"),"true","false")</f>
        <v>true</v>
      </c>
      <c r="W1556" s="7"/>
      <c r="X1556"/>
    </row>
    <row r="1557" spans="1:24" x14ac:dyDescent="0.25">
      <c r="A1557" s="26">
        <v>403</v>
      </c>
      <c r="B1557" s="1">
        <f>IFERROR(VLOOKUP(ТабПозиции[[#This Row],[orderNum]],ТабЗаказы[#Data],MATCH(B$7,ТабЗаказы[#Headers],0),0),"")</f>
        <v>45649</v>
      </c>
      <c r="C1557" t="str">
        <f>MONTH(ТабПозиции[[#This Row],[date]])&amp;"/"&amp;YEAR(ТабПозиции[[#This Row],[date]])</f>
        <v>12/2024</v>
      </c>
      <c r="D1557" s="1" t="str">
        <f>IFERROR(VLOOKUP(ТабПозиции[[#This Row],[orderNum]],ТабЗаказы[#Data],MATCH(D$7,ТабЗаказы[#Headers],0),0),"")</f>
        <v>Галина Агабекова(церковь)</v>
      </c>
      <c r="E1557" s="32" t="s">
        <v>2188</v>
      </c>
      <c r="F1557" s="56" t="s">
        <v>3061</v>
      </c>
      <c r="H1557" s="34"/>
      <c r="I1557" s="26">
        <v>1</v>
      </c>
      <c r="J1557" s="26">
        <v>104</v>
      </c>
      <c r="K1557">
        <f>ТабПозиции[[#This Row],[discountPrice]]*ТабПозиции[[#This Row],[quantity]]</f>
        <v>104</v>
      </c>
      <c r="L1557" s="26">
        <v>140</v>
      </c>
      <c r="M1557">
        <f t="shared" si="29"/>
        <v>140</v>
      </c>
      <c r="O155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Row],[orderNum]],ТабПозиции[orderSumm])&gt;1500),ABS(M1557*VLOOKUP(ТабПозиции[[#This Row],[orderNum]],ТабЗаказы[#Data],MATCH("Percent",ТабЗаказы[#Headers],0),0))/100,200/COUNTIF(ТабПозиции[orderNum],ТабПозиции[[#This Row],[orderNum]])),0),"")</f>
        <v>21</v>
      </c>
      <c r="P1557">
        <f>IF(OR(ТабПозиции[[#This Row],[item]]="По штрихкоду",ТабПозиции[[#This Row],[item]]="Посылка"),ТабПозиции[[#This Row],[deliverySumm]]+ТабПозиции[[#This Row],[deliveryPost]],SUM(M1557:O1557))</f>
        <v>161</v>
      </c>
      <c r="Q1557" s="57">
        <v>161</v>
      </c>
      <c r="R1557" s="62">
        <f>ТабПозиции[[#This Row],[totalSumm]]-ТабПозиции[[#This Row],[payment]]</f>
        <v>0</v>
      </c>
      <c r="S1557" s="34" t="s">
        <v>1011</v>
      </c>
      <c r="T1557" s="56" t="s">
        <v>3061</v>
      </c>
      <c r="U1557" s="56" t="str">
        <f>IF(AND(ТабПозиции[[#This Row],[Остаток]]=0,ТабПозиции[[#This Row],[ord]]="true"),"true","false")</f>
        <v>true</v>
      </c>
      <c r="V1557" s="56" t="str">
        <f>IF(AND(ТабПозиции[[#This Row],[Остаток]]=0,ТабПозиции[[#This Row],[ord]]="true"),"true","false")</f>
        <v>true</v>
      </c>
      <c r="W1557" s="7"/>
      <c r="X1557"/>
    </row>
    <row r="1558" spans="1:24" x14ac:dyDescent="0.25">
      <c r="A1558" s="26">
        <v>403</v>
      </c>
      <c r="B1558" s="1">
        <f>IFERROR(VLOOKUP(ТабПозиции[[#This Row],[orderNum]],ТабЗаказы[#Data],MATCH(B$7,ТабЗаказы[#Headers],0),0),"")</f>
        <v>45649</v>
      </c>
      <c r="C1558" t="str">
        <f>MONTH(ТабПозиции[[#This Row],[date]])&amp;"/"&amp;YEAR(ТабПозиции[[#This Row],[date]])</f>
        <v>12/2024</v>
      </c>
      <c r="D1558" s="1" t="str">
        <f>IFERROR(VLOOKUP(ТабПозиции[[#This Row],[orderNum]],ТабЗаказы[#Data],MATCH(D$7,ТабЗаказы[#Headers],0),0),"")</f>
        <v>Галина Агабекова(церковь)</v>
      </c>
      <c r="E1558" s="32" t="s">
        <v>2189</v>
      </c>
      <c r="F1558" s="56" t="s">
        <v>3061</v>
      </c>
      <c r="H1558" s="34"/>
      <c r="I1558" s="26">
        <v>1</v>
      </c>
      <c r="J1558" s="26">
        <v>113</v>
      </c>
      <c r="K1558">
        <f>ТабПозиции[[#This Row],[discountPrice]]*ТабПозиции[[#This Row],[quantity]]</f>
        <v>113</v>
      </c>
      <c r="L1558" s="26">
        <v>154</v>
      </c>
      <c r="M1558">
        <f t="shared" si="29"/>
        <v>154</v>
      </c>
      <c r="O155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Row],[orderNum]],ТабПозиции[orderSumm])&gt;1500),ABS(M1558*VLOOKUP(ТабПозиции[[#This Row],[orderNum]],ТабЗаказы[#Data],MATCH("Percent",ТабЗаказы[#Headers],0),0))/100,200/COUNTIF(ТабПозиции[orderNum],ТабПозиции[[#This Row],[orderNum]])),0),"")</f>
        <v>23</v>
      </c>
      <c r="P1558">
        <f>IF(OR(ТабПозиции[[#This Row],[item]]="По штрихкоду",ТабПозиции[[#This Row],[item]]="Посылка"),ТабПозиции[[#This Row],[deliverySumm]]+ТабПозиции[[#This Row],[deliveryPost]],SUM(M1558:O1558))</f>
        <v>177</v>
      </c>
      <c r="Q1558" s="57">
        <v>177</v>
      </c>
      <c r="R1558" s="62">
        <f>ТабПозиции[[#This Row],[totalSumm]]-ТабПозиции[[#This Row],[payment]]</f>
        <v>0</v>
      </c>
      <c r="S1558" s="34" t="s">
        <v>1011</v>
      </c>
      <c r="T1558" s="56" t="s">
        <v>3061</v>
      </c>
      <c r="U1558" s="56" t="str">
        <f>IF(AND(ТабПозиции[[#This Row],[Остаток]]=0,ТабПозиции[[#This Row],[ord]]="true"),"true","false")</f>
        <v>true</v>
      </c>
      <c r="V1558" s="56" t="str">
        <f>IF(AND(ТабПозиции[[#This Row],[Остаток]]=0,ТабПозиции[[#This Row],[ord]]="true"),"true","false")</f>
        <v>true</v>
      </c>
      <c r="W1558" s="7"/>
      <c r="X1558"/>
    </row>
    <row r="1559" spans="1:24" x14ac:dyDescent="0.25">
      <c r="A1559" s="26">
        <v>403</v>
      </c>
      <c r="B1559" s="1">
        <f>IFERROR(VLOOKUP(ТабПозиции[[#This Row],[orderNum]],ТабЗаказы[#Data],MATCH(B$7,ТабЗаказы[#Headers],0),0),"")</f>
        <v>45649</v>
      </c>
      <c r="C1559" t="str">
        <f>MONTH(ТабПозиции[[#This Row],[date]])&amp;"/"&amp;YEAR(ТабПозиции[[#This Row],[date]])</f>
        <v>12/2024</v>
      </c>
      <c r="D1559" s="1" t="str">
        <f>IFERROR(VLOOKUP(ТабПозиции[[#This Row],[orderNum]],ТабЗаказы[#Data],MATCH(D$7,ТабЗаказы[#Headers],0),0),"")</f>
        <v>Галина Агабекова(церковь)</v>
      </c>
      <c r="E1559" s="32" t="s">
        <v>2190</v>
      </c>
      <c r="F1559" s="56" t="s">
        <v>3061</v>
      </c>
      <c r="H1559" s="34"/>
      <c r="I1559" s="26">
        <v>1</v>
      </c>
      <c r="J1559" s="26">
        <v>113</v>
      </c>
      <c r="K1559">
        <f>ТабПозиции[[#This Row],[discountPrice]]*ТабПозиции[[#This Row],[quantity]]</f>
        <v>113</v>
      </c>
      <c r="L1559" s="26">
        <v>154</v>
      </c>
      <c r="M1559">
        <f t="shared" si="29"/>
        <v>154</v>
      </c>
      <c r="O155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Row],[orderNum]],ТабПозиции[orderSumm])&gt;1500),ABS(M1559*VLOOKUP(ТабПозиции[[#This Row],[orderNum]],ТабЗаказы[#Data],MATCH("Percent",ТабЗаказы[#Headers],0),0))/100,200/COUNTIF(ТабПозиции[orderNum],ТабПозиции[[#This Row],[orderNum]])),0),"")</f>
        <v>23</v>
      </c>
      <c r="P1559">
        <f>IF(OR(ТабПозиции[[#This Row],[item]]="По штрихкоду",ТабПозиции[[#This Row],[item]]="Посылка"),ТабПозиции[[#This Row],[deliverySumm]]+ТабПозиции[[#This Row],[deliveryPost]],SUM(M1559:O1559))</f>
        <v>177</v>
      </c>
      <c r="Q1559" s="57">
        <v>177</v>
      </c>
      <c r="R1559" s="62">
        <f>ТабПозиции[[#This Row],[totalSumm]]-ТабПозиции[[#This Row],[payment]]</f>
        <v>0</v>
      </c>
      <c r="S1559" s="34" t="s">
        <v>1011</v>
      </c>
      <c r="T1559" s="56" t="s">
        <v>3061</v>
      </c>
      <c r="U1559" s="56" t="str">
        <f>IF(AND(ТабПозиции[[#This Row],[Остаток]]=0,ТабПозиции[[#This Row],[ord]]="true"),"true","false")</f>
        <v>true</v>
      </c>
      <c r="V1559" s="56" t="str">
        <f>IF(AND(ТабПозиции[[#This Row],[Остаток]]=0,ТабПозиции[[#This Row],[ord]]="true"),"true","false")</f>
        <v>true</v>
      </c>
      <c r="W1559" s="7"/>
      <c r="X1559"/>
    </row>
    <row r="1560" spans="1:24" x14ac:dyDescent="0.25">
      <c r="A1560" s="26">
        <v>403</v>
      </c>
      <c r="B1560" s="1">
        <f>IFERROR(VLOOKUP(ТабПозиции[[#This Row],[orderNum]],ТабЗаказы[#Data],MATCH(B$7,ТабЗаказы[#Headers],0),0),"")</f>
        <v>45649</v>
      </c>
      <c r="C1560" t="str">
        <f>MONTH(ТабПозиции[[#This Row],[date]])&amp;"/"&amp;YEAR(ТабПозиции[[#This Row],[date]])</f>
        <v>12/2024</v>
      </c>
      <c r="D1560" s="1" t="str">
        <f>IFERROR(VLOOKUP(ТабПозиции[[#This Row],[orderNum]],ТабЗаказы[#Data],MATCH(D$7,ТабЗаказы[#Headers],0),0),"")</f>
        <v>Галина Агабекова(церковь)</v>
      </c>
      <c r="E1560" s="32" t="s">
        <v>2191</v>
      </c>
      <c r="F1560" s="56" t="s">
        <v>3061</v>
      </c>
      <c r="H1560" s="34"/>
      <c r="I1560" s="26">
        <v>1</v>
      </c>
      <c r="J1560" s="26">
        <v>48</v>
      </c>
      <c r="K1560">
        <f>ТабПозиции[[#This Row],[discountPrice]]*ТабПозиции[[#This Row],[quantity]]</f>
        <v>48</v>
      </c>
      <c r="L1560" s="26">
        <v>64</v>
      </c>
      <c r="M1560">
        <f t="shared" si="29"/>
        <v>64</v>
      </c>
      <c r="N1560" s="26">
        <v>258</v>
      </c>
      <c r="O156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Row],[orderNum]],ТабПозиции[orderSumm])&gt;1500),ABS(M1560*VLOOKUP(ТабПозиции[[#This Row],[orderNum]],ТабЗаказы[#Data],MATCH("Percent",ТабЗаказы[#Headers],0),0))/100,200/COUNTIF(ТабПозиции[orderNum],ТабПозиции[[#This Row],[orderNum]])),0),"")</f>
        <v>10</v>
      </c>
      <c r="P1560">
        <f>IF(OR(ТабПозиции[[#This Row],[item]]="По штрихкоду",ТабПозиции[[#This Row],[item]]="Посылка"),ТабПозиции[[#This Row],[deliverySumm]]+ТабПозиции[[#This Row],[deliveryPost]],SUM(M1560:O1560))</f>
        <v>332</v>
      </c>
      <c r="Q1560" s="57">
        <v>332</v>
      </c>
      <c r="R1560" s="62">
        <f>ТабПозиции[[#This Row],[totalSumm]]-ТабПозиции[[#This Row],[payment]]</f>
        <v>0</v>
      </c>
      <c r="S1560" s="34" t="s">
        <v>1011</v>
      </c>
      <c r="T1560" s="56" t="s">
        <v>3061</v>
      </c>
      <c r="U1560" s="56" t="str">
        <f>IF(AND(ТабПозиции[[#This Row],[Остаток]]=0,ТабПозиции[[#This Row],[ord]]="true"),"true","false")</f>
        <v>true</v>
      </c>
      <c r="V1560" s="56" t="str">
        <f>IF(AND(ТабПозиции[[#This Row],[Остаток]]=0,ТабПозиции[[#This Row],[ord]]="true"),"true","false")</f>
        <v>true</v>
      </c>
      <c r="W1560" s="7"/>
      <c r="X1560"/>
    </row>
    <row r="1561" spans="1:24" x14ac:dyDescent="0.25">
      <c r="A1561" s="26">
        <v>410</v>
      </c>
      <c r="B1561" s="1">
        <f>IFERROR(VLOOKUP(ТабПозиции[[#This Row],[orderNum]],ТабЗаказы[#Data],MATCH(B$7,ТабЗаказы[#Headers],0),0),"")</f>
        <v>45652</v>
      </c>
      <c r="C1561" t="str">
        <f>MONTH(ТабПозиции[[#This Row],[date]])&amp;"/"&amp;YEAR(ТабПозиции[[#This Row],[date]])</f>
        <v>12/2024</v>
      </c>
      <c r="D1561" s="1" t="str">
        <f>IFERROR(VLOOKUP(ТабПозиции[[#This Row],[orderNum]],ТабЗаказы[#Data],MATCH(D$7,ТабЗаказы[#Headers],0),0),"")</f>
        <v>Дарья Урицкого</v>
      </c>
      <c r="E1561" s="26" t="s">
        <v>815</v>
      </c>
      <c r="F1561" s="56" t="s">
        <v>3061</v>
      </c>
      <c r="G1561" s="84" t="s">
        <v>2193</v>
      </c>
      <c r="H1561" s="34">
        <v>45648</v>
      </c>
      <c r="I1561" s="26">
        <v>1</v>
      </c>
      <c r="K1561">
        <f>ТабПозиции[[#This Row],[discountPrice]]*ТабПозиции[[#This Row],[quantity]]</f>
        <v>0</v>
      </c>
      <c r="M1561">
        <f t="shared" si="29"/>
        <v>0</v>
      </c>
      <c r="O156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Row],[orderNum]],ТабПозиции[orderSumm])&gt;1500),ABS(M1561*VLOOKUP(ТабПозиции[[#This Row],[orderNum]],ТабЗаказы[#Data],MATCH("Percent",ТабЗаказы[#Headers],0),0))/100,200/COUNTIF(ТабПозиции[orderNum],ТабПозиции[[#This Row],[orderNum]])),0),"")</f>
        <v>0</v>
      </c>
      <c r="P1561">
        <f>IF(OR(ТабПозиции[[#This Row],[item]]="По штрихкоду",ТабПозиции[[#This Row],[item]]="Посылка"),ТабПозиции[[#This Row],[deliverySumm]]+ТабПозиции[[#This Row],[deliveryPost]],SUM(M1561:O1561))</f>
        <v>0</v>
      </c>
      <c r="R1561" s="62">
        <f>ТабПозиции[[#This Row],[totalSumm]]-ТабПозиции[[#This Row],[payment]]</f>
        <v>0</v>
      </c>
      <c r="S1561" s="34" t="s">
        <v>1016</v>
      </c>
      <c r="T1561" s="56" t="s">
        <v>3061</v>
      </c>
      <c r="U1561" s="56" t="str">
        <f>IF(AND(ТабПозиции[[#This Row],[Остаток]]=0,ТабПозиции[[#This Row],[ord]]="true"),"true","false")</f>
        <v>true</v>
      </c>
      <c r="V1561" s="56" t="s">
        <v>3061</v>
      </c>
      <c r="W1561" s="7"/>
      <c r="X1561"/>
    </row>
    <row r="1562" spans="1:24" x14ac:dyDescent="0.25">
      <c r="A1562" s="26">
        <v>410</v>
      </c>
      <c r="B1562" s="1">
        <f>IFERROR(VLOOKUP(ТабПозиции[[#This Row],[orderNum]],ТабЗаказы[#Data],MATCH(B$7,ТабЗаказы[#Headers],0),0),"")</f>
        <v>45652</v>
      </c>
      <c r="C1562" t="str">
        <f>MONTH(ТабПозиции[[#This Row],[date]])&amp;"/"&amp;YEAR(ТабПозиции[[#This Row],[date]])</f>
        <v>12/2024</v>
      </c>
      <c r="D1562" s="1" t="str">
        <f>IFERROR(VLOOKUP(ТабПозиции[[#This Row],[orderNum]],ТабЗаказы[#Data],MATCH(D$7,ТабЗаказы[#Headers],0),0),"")</f>
        <v>Дарья Урицкого</v>
      </c>
      <c r="E1562" s="26" t="s">
        <v>815</v>
      </c>
      <c r="F1562" s="56" t="s">
        <v>3061</v>
      </c>
      <c r="G1562" s="28" t="s">
        <v>2194</v>
      </c>
      <c r="H1562" s="34">
        <v>45647</v>
      </c>
      <c r="I1562" s="26">
        <v>1</v>
      </c>
      <c r="J1562" s="26">
        <v>6368</v>
      </c>
      <c r="K1562">
        <f>ТабПозиции[[#This Row],[discountPrice]]*ТабПозиции[[#This Row],[quantity]]</f>
        <v>6368</v>
      </c>
      <c r="L1562" s="26">
        <v>6368</v>
      </c>
      <c r="M1562">
        <f t="shared" si="29"/>
        <v>6368</v>
      </c>
      <c r="O156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Row],[orderNum]],ТабПозиции[orderSumm])&gt;1500),ABS(M1562*VLOOKUP(ТабПозиции[[#This Row],[orderNum]],ТабЗаказы[#Data],MATCH("Percent",ТабЗаказы[#Headers],0),0))/100,200/COUNTIF(ТабПозиции[orderNum],ТабПозиции[[#This Row],[orderNum]])),0),"")</f>
        <v>955</v>
      </c>
      <c r="P1562">
        <f>IF(OR(ТабПозиции[[#This Row],[item]]="По штрихкоду",ТабПозиции[[#This Row],[item]]="Посылка"),ТабПозиции[[#This Row],[deliverySumm]]+ТабПозиции[[#This Row],[deliveryPost]],SUM(M1562:O1562))</f>
        <v>955</v>
      </c>
      <c r="Q1562" s="57">
        <v>955</v>
      </c>
      <c r="R1562" s="62">
        <f>ТабПозиции[[#This Row],[totalSumm]]-ТабПозиции[[#This Row],[payment]]</f>
        <v>0</v>
      </c>
      <c r="S1562" s="34" t="s">
        <v>1016</v>
      </c>
      <c r="T1562" s="56" t="s">
        <v>3061</v>
      </c>
      <c r="U1562" s="56" t="str">
        <f>IF(AND(ТабПозиции[[#This Row],[Остаток]]=0,ТабПозиции[[#This Row],[ord]]="true"),"true","false")</f>
        <v>true</v>
      </c>
      <c r="V1562" s="56" t="s">
        <v>3061</v>
      </c>
      <c r="W1562" s="7"/>
      <c r="X1562"/>
    </row>
    <row r="1563" spans="1:24" x14ac:dyDescent="0.25">
      <c r="A1563" s="26">
        <v>410</v>
      </c>
      <c r="B1563" s="1">
        <f>IFERROR(VLOOKUP(ТабПозиции[[#This Row],[orderNum]],ТабЗаказы[#Data],MATCH(B$7,ТабЗаказы[#Headers],0),0),"")</f>
        <v>45652</v>
      </c>
      <c r="C1563" t="str">
        <f>MONTH(ТабПозиции[[#This Row],[date]])&amp;"/"&amp;YEAR(ТабПозиции[[#This Row],[date]])</f>
        <v>12/2024</v>
      </c>
      <c r="D1563" s="1" t="str">
        <f>IFERROR(VLOOKUP(ТабПозиции[[#This Row],[orderNum]],ТабЗаказы[#Data],MATCH(D$7,ТабЗаказы[#Headers],0),0),"")</f>
        <v>Дарья Урицкого</v>
      </c>
      <c r="E1563" s="26" t="s">
        <v>32</v>
      </c>
      <c r="F1563" s="56" t="s">
        <v>3061</v>
      </c>
      <c r="H1563" s="34">
        <v>45653</v>
      </c>
      <c r="I1563" s="26">
        <v>1</v>
      </c>
      <c r="J1563" s="26">
        <v>1437</v>
      </c>
      <c r="K1563">
        <f>ТабПозиции[[#This Row],[discountPrice]]*ТабПозиции[[#This Row],[quantity]]</f>
        <v>1437</v>
      </c>
      <c r="L1563" s="26">
        <v>1437</v>
      </c>
      <c r="M1563">
        <f t="shared" si="29"/>
        <v>1437</v>
      </c>
      <c r="O156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Row],[orderNum]],ТабПозиции[orderSumm])&gt;1500),ABS(M1563*VLOOKUP(ТабПозиции[[#This Row],[orderNum]],ТабЗаказы[#Data],MATCH("Percent",ТабЗаказы[#Headers],0),0))/100,200/COUNTIF(ТабПозиции[orderNum],ТабПозиции[[#This Row],[orderNum]])),0),"")</f>
        <v>216</v>
      </c>
      <c r="P1563">
        <f>IF(OR(ТабПозиции[[#This Row],[item]]="По штрихкоду",ТабПозиции[[#This Row],[item]]="Посылка"),ТабПозиции[[#This Row],[deliverySumm]]+ТабПозиции[[#This Row],[deliveryPost]],SUM(M1563:O1563))</f>
        <v>216</v>
      </c>
      <c r="Q1563" s="57">
        <v>216</v>
      </c>
      <c r="R1563" s="62">
        <f>ТабПозиции[[#This Row],[totalSumm]]-ТабПозиции[[#This Row],[payment]]</f>
        <v>0</v>
      </c>
      <c r="S1563" s="34" t="s">
        <v>955</v>
      </c>
      <c r="T1563" s="56" t="s">
        <v>3061</v>
      </c>
      <c r="U1563" s="56" t="str">
        <f>IF(AND(ТабПозиции[[#This Row],[Остаток]]=0,ТабПозиции[[#This Row],[ord]]="true"),"true","false")</f>
        <v>true</v>
      </c>
      <c r="V1563" s="56" t="s">
        <v>3061</v>
      </c>
      <c r="W1563" s="7"/>
      <c r="X1563"/>
    </row>
    <row r="1564" spans="1:24" x14ac:dyDescent="0.25">
      <c r="A1564" s="26">
        <v>411</v>
      </c>
      <c r="B1564" s="1">
        <f>IFERROR(VLOOKUP(ТабПозиции[[#This Row],[orderNum]],ТабЗаказы[#Data],MATCH(B$7,ТабЗаказы[#Headers],0),0),"")</f>
        <v>45653</v>
      </c>
      <c r="C1564" t="str">
        <f>MONTH(ТабПозиции[[#This Row],[date]])&amp;"/"&amp;YEAR(ТабПозиции[[#This Row],[date]])</f>
        <v>12/2024</v>
      </c>
      <c r="D1564" s="1" t="str">
        <f>IFERROR(VLOOKUP(ТабПозиции[[#This Row],[orderNum]],ТабЗаказы[#Data],MATCH(D$7,ТабЗаказы[#Headers],0),0),"")</f>
        <v>Алена Бондаренко</v>
      </c>
      <c r="E1564" s="26" t="s">
        <v>32</v>
      </c>
      <c r="F1564" s="56" t="s">
        <v>3061</v>
      </c>
      <c r="H1564" s="34">
        <v>45653</v>
      </c>
      <c r="I1564" s="26">
        <v>1</v>
      </c>
      <c r="J1564" s="26">
        <f>5223+2805</f>
        <v>8028</v>
      </c>
      <c r="K1564">
        <f>ТабПозиции[[#This Row],[discountPrice]]*ТабПозиции[[#This Row],[quantity]]</f>
        <v>8028</v>
      </c>
      <c r="L1564" s="26">
        <v>8028</v>
      </c>
      <c r="M1564">
        <f t="shared" si="29"/>
        <v>8028</v>
      </c>
      <c r="N1564" s="26">
        <v>200</v>
      </c>
      <c r="O156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Row],[orderNum]],ТабПозиции[orderSumm])&gt;1500),ABS(M1564*VLOOKUP(ТабПозиции[[#This Row],[orderNum]],ТабЗаказы[#Data],MATCH("Percent",ТабЗаказы[#Headers],0),0))/100,200/COUNTIF(ТабПозиции[orderNum],ТабПозиции[[#This Row],[orderNum]])),0),"")</f>
        <v>803</v>
      </c>
      <c r="P1564">
        <f>IF(OR(ТабПозиции[[#This Row],[item]]="По штрихкоду",ТабПозиции[[#This Row],[item]]="Посылка"),ТабПозиции[[#This Row],[deliverySumm]]+ТабПозиции[[#This Row],[deliveryPost]],SUM(M1564:O1564))</f>
        <v>1003</v>
      </c>
      <c r="Q1564" s="57">
        <v>1003</v>
      </c>
      <c r="R1564" s="62">
        <f>ТабПозиции[[#This Row],[totalSumm]]-ТабПозиции[[#This Row],[payment]]</f>
        <v>0</v>
      </c>
      <c r="S1564" s="34" t="s">
        <v>955</v>
      </c>
      <c r="T1564" s="56" t="s">
        <v>3061</v>
      </c>
      <c r="U1564" s="56" t="str">
        <f>IF(AND(ТабПозиции[[#This Row],[Остаток]]=0,ТабПозиции[[#This Row],[ord]]="true"),"true","false")</f>
        <v>true</v>
      </c>
      <c r="V1564" s="56" t="s">
        <v>3061</v>
      </c>
      <c r="W1564" s="7"/>
      <c r="X1564"/>
    </row>
    <row r="1565" spans="1:24" x14ac:dyDescent="0.25">
      <c r="A1565" s="26">
        <v>412</v>
      </c>
      <c r="B1565" s="1">
        <f>IFERROR(VLOOKUP(ТабПозиции[[#This Row],[orderNum]],ТабЗаказы[#Data],MATCH(B$7,ТабЗаказы[#Headers],0),0),"")</f>
        <v>45653</v>
      </c>
      <c r="C1565" t="str">
        <f>MONTH(ТабПозиции[[#This Row],[date]])&amp;"/"&amp;YEAR(ТабПозиции[[#This Row],[date]])</f>
        <v>12/2024</v>
      </c>
      <c r="D1565" s="1" t="str">
        <f>IFERROR(VLOOKUP(ТабПозиции[[#This Row],[orderNum]],ТабЗаказы[#Data],MATCH(D$7,ТабЗаказы[#Headers],0),0),"")</f>
        <v>Наталья Лунина 13</v>
      </c>
      <c r="E1565" s="26" t="s">
        <v>32</v>
      </c>
      <c r="F1565" s="56" t="s">
        <v>3061</v>
      </c>
      <c r="H1565" s="34">
        <v>45653</v>
      </c>
      <c r="I1565" s="26">
        <v>1</v>
      </c>
      <c r="J1565" s="26">
        <v>1229</v>
      </c>
      <c r="K1565">
        <f>ТабПозиции[[#This Row],[discountPrice]]*ТабПозиции[[#This Row],[quantity]]</f>
        <v>1229</v>
      </c>
      <c r="L1565" s="26">
        <v>1229</v>
      </c>
      <c r="M1565">
        <f t="shared" si="29"/>
        <v>1229</v>
      </c>
      <c r="O156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Row],[orderNum]],ТабПозиции[orderSumm])&gt;1500),ABS(M1565*VLOOKUP(ТабПозиции[[#This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565">
        <f>IF(OR(ТабПозиции[[#This Row],[item]]="По штрихкоду",ТабПозиции[[#This Row],[item]]="Посылка"),ТабПозиции[[#This Row],[deliverySumm]]+ТабПозиции[[#This Row],[deliveryPost]],SUM(M1565:O1565))</f>
        <v>200</v>
      </c>
      <c r="Q1565" s="57">
        <v>200</v>
      </c>
      <c r="R1565" s="62">
        <f>ТабПозиции[[#This Row],[totalSumm]]-ТабПозиции[[#This Row],[payment]]</f>
        <v>0</v>
      </c>
      <c r="S1565" s="34" t="s">
        <v>955</v>
      </c>
      <c r="T1565" s="56" t="s">
        <v>3061</v>
      </c>
      <c r="U1565" s="56" t="str">
        <f>IF(AND(ТабПозиции[[#This Row],[Остаток]]=0,ТабПозиции[[#This Row],[ord]]="true"),"true","false")</f>
        <v>true</v>
      </c>
      <c r="V1565" s="56" t="s">
        <v>3061</v>
      </c>
      <c r="W1565" s="7"/>
      <c r="X1565"/>
    </row>
    <row r="1566" spans="1:24" x14ac:dyDescent="0.25">
      <c r="A1566" s="26">
        <v>413</v>
      </c>
      <c r="B1566" s="1">
        <f>IFERROR(VLOOKUP(ТабПозиции[[#This Row],[orderNum]],ТабЗаказы[#Data],MATCH(B$7,ТабЗаказы[#Headers],0),0),"")</f>
        <v>45653</v>
      </c>
      <c r="C1566" t="str">
        <f>MONTH(ТабПозиции[[#This Row],[date]])&amp;"/"&amp;YEAR(ТабПозиции[[#This Row],[date]])</f>
        <v>12/2024</v>
      </c>
      <c r="D1566" s="1" t="str">
        <f>IFERROR(VLOOKUP(ТабПозиции[[#This Row],[orderNum]],ТабЗаказы[#Data],MATCH(D$7,ТабЗаказы[#Headers],0),0),"")</f>
        <v>АлисаСофия</v>
      </c>
      <c r="E1566" s="26" t="s">
        <v>32</v>
      </c>
      <c r="F1566" s="56" t="s">
        <v>3061</v>
      </c>
      <c r="H1566" s="34">
        <v>45653</v>
      </c>
      <c r="I1566" s="26">
        <v>1</v>
      </c>
      <c r="J1566" s="26">
        <v>8468</v>
      </c>
      <c r="K1566">
        <f>ТабПозиции[[#This Row],[discountPrice]]*ТабПозиции[[#This Row],[quantity]]</f>
        <v>8468</v>
      </c>
      <c r="L1566" s="26">
        <v>8468</v>
      </c>
      <c r="M1566">
        <f t="shared" si="29"/>
        <v>8468</v>
      </c>
      <c r="O156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Row],[orderNum]],ТабПозиции[orderSumm])&gt;1500),ABS(M1566*VLOOKUP(ТабПозиции[[#This Row],[orderNum]],ТабЗаказы[#Data],MATCH("Percent",ТабЗаказы[#Headers],0),0))/100,200/COUNTIF(ТабПозиции[orderNum],ТабПозиции[[#This Row],[orderNum]])),0),"")</f>
        <v>1270</v>
      </c>
      <c r="P1566">
        <f>IF(OR(ТабПозиции[[#This Row],[item]]="По штрихкоду",ТабПозиции[[#This Row],[item]]="Посылка"),ТабПозиции[[#This Row],[deliverySumm]]+ТабПозиции[[#This Row],[deliveryPost]],SUM(M1566:O1566))</f>
        <v>1270</v>
      </c>
      <c r="Q1566" s="57">
        <v>1270</v>
      </c>
      <c r="R1566" s="62">
        <f>ТабПозиции[[#This Row],[totalSumm]]-ТабПозиции[[#This Row],[payment]]</f>
        <v>0</v>
      </c>
      <c r="S1566" s="34" t="s">
        <v>955</v>
      </c>
      <c r="T1566" s="56" t="s">
        <v>3061</v>
      </c>
      <c r="U1566" s="56" t="str">
        <f>IF(AND(ТабПозиции[[#This Row],[Остаток]]=0,ТабПозиции[[#This Row],[ord]]="true"),"true","false")</f>
        <v>true</v>
      </c>
      <c r="V1566" s="56" t="s">
        <v>3061</v>
      </c>
      <c r="W1566" s="7"/>
      <c r="X1566"/>
    </row>
    <row r="1567" spans="1:24" x14ac:dyDescent="0.25">
      <c r="A1567" s="26">
        <v>414</v>
      </c>
      <c r="B1567" s="1">
        <f>IFERROR(VLOOKUP(ТабПозиции[[#This Row],[orderNum]],ТабЗаказы[#Data],MATCH(B$7,ТабЗаказы[#Headers],0),0),"")</f>
        <v>46019</v>
      </c>
      <c r="C1567" t="str">
        <f>MONTH(ТабПозиции[[#This Row],[date]])&amp;"/"&amp;YEAR(ТабПозиции[[#This Row],[date]])</f>
        <v>12/2025</v>
      </c>
      <c r="D1567" s="1" t="str">
        <f>IFERROR(VLOOKUP(ТабПозиции[[#This Row],[orderNum]],ТабЗаказы[#Data],MATCH(D$7,ТабЗаказы[#Headers],0),0),"")</f>
        <v>Максим рюкзак</v>
      </c>
      <c r="E1567" s="85" t="s">
        <v>1348</v>
      </c>
      <c r="F1567" s="56" t="s">
        <v>3061</v>
      </c>
      <c r="H1567" s="34">
        <v>45655</v>
      </c>
      <c r="I1567" s="26">
        <v>1</v>
      </c>
      <c r="J1567" s="26">
        <v>200</v>
      </c>
      <c r="K1567">
        <f>ТабПозиции[[#This Row],[discountPrice]]*ТабПозиции[[#This Row],[quantity]]</f>
        <v>200</v>
      </c>
      <c r="L1567" s="26">
        <v>207</v>
      </c>
      <c r="M1567">
        <f t="shared" si="29"/>
        <v>207</v>
      </c>
      <c r="O156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Row],[orderNum]],ТабПозиции[orderSumm])&gt;1500),ABS(M1567*VLOOKUP(ТабПозиции[[#This Row],[orderNum]],ТабЗаказы[#Data],MATCH("Percent",ТабЗаказы[#Headers],0),0))/100,200/COUNTIF(ТабПозиции[orderNum],ТабПозиции[[#This Row],[orderNum]])),0),"")</f>
        <v>100</v>
      </c>
      <c r="P1567">
        <f>IF(OR(ТабПозиции[[#This Row],[item]]="По штрихкоду",ТабПозиции[[#This Row],[item]]="Посылка"),ТабПозиции[[#This Row],[deliverySumm]]+ТабПозиции[[#This Row],[deliveryPost]],SUM(M1567:O1567))</f>
        <v>307</v>
      </c>
      <c r="Q1567" s="57">
        <v>307</v>
      </c>
      <c r="R1567" s="62">
        <f>ТабПозиции[[#This Row],[totalSumm]]-ТабПозиции[[#This Row],[payment]]</f>
        <v>0</v>
      </c>
      <c r="S1567" s="34" t="s">
        <v>955</v>
      </c>
      <c r="T1567" s="56" t="s">
        <v>3061</v>
      </c>
      <c r="U1567" s="56" t="str">
        <f>IF(AND(ТабПозиции[[#This Row],[Остаток]]=0,ТабПозиции[[#This Row],[ord]]="true"),"true","false")</f>
        <v>true</v>
      </c>
      <c r="V1567" s="56" t="str">
        <f>IF(AND(ТабПозиции[[#This Row],[Остаток]]=0,ТабПозиции[[#This Row],[ord]]="true"),"true","false")</f>
        <v>true</v>
      </c>
      <c r="W1567" s="7"/>
      <c r="X1567"/>
    </row>
    <row r="1568" spans="1:24" x14ac:dyDescent="0.25">
      <c r="A1568" s="26">
        <v>414</v>
      </c>
      <c r="B1568" s="1">
        <f>IFERROR(VLOOKUP(ТабПозиции[[#This Row],[orderNum]],ТабЗаказы[#Data],MATCH(B$7,ТабЗаказы[#Headers],0),0),"")</f>
        <v>46019</v>
      </c>
      <c r="C1568" t="str">
        <f>MONTH(ТабПозиции[[#This Row],[date]])&amp;"/"&amp;YEAR(ТабПозиции[[#This Row],[date]])</f>
        <v>12/2025</v>
      </c>
      <c r="D1568" s="1" t="str">
        <f>IFERROR(VLOOKUP(ТабПозиции[[#This Row],[orderNum]],ТабЗаказы[#Data],MATCH(D$7,ТабЗаказы[#Headers],0),0),"")</f>
        <v>Максим рюкзак</v>
      </c>
      <c r="E1568" s="85" t="s">
        <v>2207</v>
      </c>
      <c r="F1568" s="56" t="s">
        <v>3061</v>
      </c>
      <c r="G1568" s="28" t="s">
        <v>2222</v>
      </c>
      <c r="H1568" s="34">
        <v>45316</v>
      </c>
      <c r="I1568" s="26">
        <v>1</v>
      </c>
      <c r="J1568" s="26">
        <v>641</v>
      </c>
      <c r="K1568">
        <f>ТабПозиции[[#This Row],[discountPrice]]*ТабПозиции[[#This Row],[quantity]]</f>
        <v>641</v>
      </c>
      <c r="L1568" s="26">
        <v>683</v>
      </c>
      <c r="M1568">
        <f t="shared" si="29"/>
        <v>683</v>
      </c>
      <c r="O156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Row],[orderNum]],ТабПозиции[orderSumm])&gt;1500),ABS(M1568*VLOOKUP(ТабПозиции[[#This Row],[orderNum]],ТабЗаказы[#Data],MATCH("Percent",ТабЗаказы[#Headers],0),0))/100,200/COUNTIF(ТабПозиции[orderNum],ТабПозиции[[#This Row],[orderNum]])),0),"")</f>
        <v>100</v>
      </c>
      <c r="P1568">
        <f>IF(OR(ТабПозиции[[#This Row],[item]]="По штрихкоду",ТабПозиции[[#This Row],[item]]="Посылка"),ТабПозиции[[#This Row],[deliverySumm]]+ТабПозиции[[#This Row],[deliveryPost]],SUM(M1568:O1568))</f>
        <v>783</v>
      </c>
      <c r="Q1568" s="57">
        <v>783</v>
      </c>
      <c r="R1568" s="62">
        <f>ТабПозиции[[#This Row],[totalSumm]]-ТабПозиции[[#This Row],[payment]]</f>
        <v>0</v>
      </c>
      <c r="S1568" s="34" t="s">
        <v>955</v>
      </c>
      <c r="T1568" s="56" t="s">
        <v>3061</v>
      </c>
      <c r="U1568" s="56" t="str">
        <f>IF(AND(ТабПозиции[[#This Row],[Остаток]]=0,ТабПозиции[[#This Row],[ord]]="true"),"true","false")</f>
        <v>true</v>
      </c>
      <c r="V1568" s="56" t="s">
        <v>3061</v>
      </c>
      <c r="W1568" s="7"/>
      <c r="X1568"/>
    </row>
    <row r="1569" spans="1:26" x14ac:dyDescent="0.25">
      <c r="A1569" s="26">
        <v>415</v>
      </c>
      <c r="B1569" s="1">
        <f>IFERROR(VLOOKUP(ТабПозиции[[#This Row],[orderNum]],ТабЗаказы[#Data],MATCH(B$7,ТабЗаказы[#Headers],0),0),"")</f>
        <v>45656</v>
      </c>
      <c r="C1569" t="str">
        <f>MONTH(ТабПозиции[[#This Row],[date]])&amp;"/"&amp;YEAR(ТабПозиции[[#This Row],[date]])</f>
        <v>12/2024</v>
      </c>
      <c r="D1569" s="1" t="str">
        <f>IFERROR(VLOOKUP(ТабПозиции[[#This Row],[orderNum]],ТабЗаказы[#Data],MATCH(D$7,ТабЗаказы[#Headers],0),0),"")</f>
        <v>Антон Старокрымский</v>
      </c>
      <c r="E1569" s="85" t="s">
        <v>2212</v>
      </c>
      <c r="F1569" s="56" t="s">
        <v>3061</v>
      </c>
      <c r="H1569" s="34">
        <v>45321</v>
      </c>
      <c r="I1569" s="26">
        <v>1</v>
      </c>
      <c r="J1569" s="26">
        <v>470</v>
      </c>
      <c r="K1569">
        <f>ТабПозиции[[#This Row],[discountPrice]]*ТабПозиции[[#This Row],[quantity]]</f>
        <v>470</v>
      </c>
      <c r="L1569" s="26">
        <v>501</v>
      </c>
      <c r="M1569">
        <f t="shared" si="29"/>
        <v>501</v>
      </c>
      <c r="O156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Row],[orderNum]],ТабПозиции[orderSumm])&gt;1500),ABS(M1569*VLOOKUP(ТабПозиции[[#This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569">
        <f>IF(OR(ТабПозиции[[#This Row],[item]]="По штрихкоду",ТабПозиции[[#This Row],[item]]="Посылка"),ТабПозиции[[#This Row],[deliverySumm]]+ТабПозиции[[#This Row],[deliveryPost]],SUM(M1569:O1569))</f>
        <v>701</v>
      </c>
      <c r="Q1569" s="57">
        <v>701</v>
      </c>
      <c r="R1569" s="62">
        <f>ТабПозиции[[#This Row],[totalSumm]]-ТабПозиции[[#This Row],[payment]]</f>
        <v>0</v>
      </c>
      <c r="S1569" s="34" t="s">
        <v>955</v>
      </c>
      <c r="T1569" s="56" t="s">
        <v>3061</v>
      </c>
      <c r="U1569" s="56" t="str">
        <f>IF(AND(ТабПозиции[[#This Row],[Остаток]]=0,ТабПозиции[[#This Row],[ord]]="true"),"true","false")</f>
        <v>true</v>
      </c>
      <c r="V1569" s="56" t="s">
        <v>3061</v>
      </c>
      <c r="W1569" s="7"/>
      <c r="X1569"/>
    </row>
    <row r="1570" spans="1:26" x14ac:dyDescent="0.25">
      <c r="A1570" s="26">
        <v>416</v>
      </c>
      <c r="B1570" s="1">
        <f>IFERROR(VLOOKUP(ТабПозиции[[#This Row],[orderNum]],ТабЗаказы[#Data],MATCH(B$7,ТабЗаказы[#Headers],0),0),"")</f>
        <v>45656</v>
      </c>
      <c r="C1570" t="str">
        <f>MONTH(ТабПозиции[[#This Row],[date]])&amp;"/"&amp;YEAR(ТабПозиции[[#This Row],[date]])</f>
        <v>12/2024</v>
      </c>
      <c r="D1570" s="1" t="str">
        <f>IFERROR(VLOOKUP(ТабПозиции[[#This Row],[orderNum]],ТабЗаказы[#Data],MATCH(D$7,ТабЗаказы[#Headers],0),0),"")</f>
        <v>Наталья 12</v>
      </c>
      <c r="E1570" s="85" t="s">
        <v>1811</v>
      </c>
      <c r="F1570" s="56" t="s">
        <v>3061</v>
      </c>
      <c r="G1570" s="28" t="s">
        <v>2335</v>
      </c>
      <c r="H1570" s="34">
        <v>45303</v>
      </c>
      <c r="I1570" s="26">
        <v>1</v>
      </c>
      <c r="J1570" s="26">
        <v>842</v>
      </c>
      <c r="K1570">
        <f>ТабПозиции[[#This Row],[discountPrice]]*ТабПозиции[[#This Row],[quantity]]</f>
        <v>842</v>
      </c>
      <c r="L1570" s="26">
        <v>906</v>
      </c>
      <c r="M1570">
        <f t="shared" si="29"/>
        <v>906</v>
      </c>
      <c r="O157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Row],[orderNum]],ТабПозиции[orderSumm])&gt;1500),ABS(M1570*VLOOKUP(ТабПозиции[[#This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570">
        <f>IF(OR(ТабПозиции[[#This Row],[item]]="По штрихкоду",ТабПозиции[[#This Row],[item]]="Посылка"),ТабПозиции[[#This Row],[deliverySumm]]+ТабПозиции[[#This Row],[deliveryPost]],SUM(M1570:O1570))</f>
        <v>1106</v>
      </c>
      <c r="Q1570" s="57">
        <v>1106</v>
      </c>
      <c r="R1570" s="62">
        <f>ТабПозиции[[#This Row],[totalSumm]]-ТабПозиции[[#This Row],[payment]]</f>
        <v>0</v>
      </c>
      <c r="S1570" s="34" t="s">
        <v>955</v>
      </c>
      <c r="T1570" s="56" t="s">
        <v>3061</v>
      </c>
      <c r="U1570" s="56" t="str">
        <f>IF(AND(ТабПозиции[[#This Row],[Остаток]]=0,ТабПозиции[[#This Row],[ord]]="true"),"true","false")</f>
        <v>true</v>
      </c>
      <c r="V1570" s="56" t="s">
        <v>3061</v>
      </c>
      <c r="W1570" s="7"/>
      <c r="X1570"/>
    </row>
    <row r="1571" spans="1:26" x14ac:dyDescent="0.25">
      <c r="A1571" s="26">
        <v>417</v>
      </c>
      <c r="B1571" s="1">
        <f>IFERROR(VLOOKUP(ТабПозиции[[#This Row],[orderNum]],ТабЗаказы[#Data],MATCH(B$7,ТабЗаказы[#Headers],0),0),"")</f>
        <v>45656</v>
      </c>
      <c r="C1571" t="str">
        <f>MONTH(ТабПозиции[[#This Row],[date]])&amp;"/"&amp;YEAR(ТабПозиции[[#This Row],[date]])</f>
        <v>12/2024</v>
      </c>
      <c r="D1571" s="1" t="str">
        <f>IFERROR(VLOOKUP(ТабПозиции[[#This Row],[orderNum]],ТабЗаказы[#Data],MATCH(D$7,ТабЗаказы[#Headers],0),0),"")</f>
        <v>Коля Чунихин</v>
      </c>
      <c r="E1571" s="85" t="s">
        <v>2213</v>
      </c>
      <c r="F1571" s="56" t="s">
        <v>3061</v>
      </c>
      <c r="H1571" s="34">
        <v>45293</v>
      </c>
      <c r="I1571" s="26">
        <v>1</v>
      </c>
      <c r="J1571" s="26">
        <v>1188</v>
      </c>
      <c r="K1571">
        <f>ТабПозиции[[#This Row],[discountPrice]]*ТабПозиции[[#This Row],[quantity]]</f>
        <v>1188</v>
      </c>
      <c r="L1571" s="26">
        <v>1188</v>
      </c>
      <c r="M1571">
        <f t="shared" si="29"/>
        <v>1188</v>
      </c>
      <c r="O157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Row],[orderNum]],ТабПозиции[orderSumm])&gt;1500),ABS(M1571*VLOOKUP(ТабПозиции[[#This Row],[orderNum]],ТабЗаказы[#Data],MATCH("Percent",ТабЗаказы[#Headers],0),0))/100,200/COUNTIF(ТабПозиции[orderNum],ТабПозиции[[#This Row],[orderNum]])),0),"")</f>
        <v>178</v>
      </c>
      <c r="P1571">
        <f>IF(OR(ТабПозиции[[#This Row],[item]]="По штрихкоду",ТабПозиции[[#This Row],[item]]="Посылка"),ТабПозиции[[#This Row],[deliverySumm]]+ТабПозиции[[#This Row],[deliveryPost]],SUM(M1571:O1571))</f>
        <v>1366</v>
      </c>
      <c r="Q1571" s="57">
        <v>1366</v>
      </c>
      <c r="R1571" s="62">
        <f>ТабПозиции[[#This Row],[totalSumm]]-ТабПозиции[[#This Row],[payment]]</f>
        <v>0</v>
      </c>
      <c r="S1571" s="34" t="s">
        <v>965</v>
      </c>
      <c r="T1571" s="56" t="s">
        <v>3061</v>
      </c>
      <c r="U1571" s="56" t="str">
        <f>IF(AND(ТабПозиции[[#This Row],[Остаток]]=0,ТабПозиции[[#This Row],[ord]]="true"),"true","false")</f>
        <v>true</v>
      </c>
      <c r="V1571" s="56" t="s">
        <v>3061</v>
      </c>
      <c r="W1571" s="7"/>
      <c r="X1571"/>
    </row>
    <row r="1572" spans="1:26" x14ac:dyDescent="0.25">
      <c r="A1572" s="26">
        <v>417</v>
      </c>
      <c r="B1572" s="1">
        <f>IFERROR(VLOOKUP(ТабПозиции[[#This Row],[orderNum]],ТабЗаказы[#Data],MATCH(B$7,ТабЗаказы[#Headers],0),0),"")</f>
        <v>45656</v>
      </c>
      <c r="C1572" t="str">
        <f>MONTH(ТабПозиции[[#This Row],[date]])&amp;"/"&amp;YEAR(ТабПозиции[[#This Row],[date]])</f>
        <v>12/2024</v>
      </c>
      <c r="D1572" s="1" t="str">
        <f>IFERROR(VLOOKUP(ТабПозиции[[#This Row],[orderNum]],ТабЗаказы[#Data],MATCH(D$7,ТабЗаказы[#Headers],0),0),"")</f>
        <v>Коля Чунихин</v>
      </c>
      <c r="E1572" s="85" t="s">
        <v>2214</v>
      </c>
      <c r="F1572" s="56" t="s">
        <v>3061</v>
      </c>
      <c r="H1572" s="34">
        <v>45295</v>
      </c>
      <c r="I1572" s="26">
        <v>1</v>
      </c>
      <c r="J1572" s="26">
        <v>826</v>
      </c>
      <c r="K1572">
        <f>ТабПозиции[[#This Row],[discountPrice]]*ТабПозиции[[#This Row],[quantity]]</f>
        <v>826</v>
      </c>
      <c r="L1572" s="26">
        <v>826</v>
      </c>
      <c r="M1572">
        <f t="shared" si="29"/>
        <v>826</v>
      </c>
      <c r="O157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Row],[orderNum]],ТабПозиции[orderSumm])&gt;1500),ABS(M1572*VLOOKUP(ТабПозиции[[#This Row],[orderNum]],ТабЗаказы[#Data],MATCH("Percent",ТабЗаказы[#Headers],0),0))/100,200/COUNTIF(ТабПозиции[orderNum],ТабПозиции[[#This Row],[orderNum]])),0),"")</f>
        <v>124</v>
      </c>
      <c r="P1572">
        <f>IF(OR(ТабПозиции[[#This Row],[item]]="По штрихкоду",ТабПозиции[[#This Row],[item]]="Посылка"),ТабПозиции[[#This Row],[deliverySumm]]+ТабПозиции[[#This Row],[deliveryPost]],SUM(M1572:O1572))</f>
        <v>950</v>
      </c>
      <c r="Q1572" s="57">
        <v>950</v>
      </c>
      <c r="R1572" s="62">
        <f>ТабПозиции[[#This Row],[totalSumm]]-ТабПозиции[[#This Row],[payment]]</f>
        <v>0</v>
      </c>
      <c r="S1572" s="34" t="s">
        <v>965</v>
      </c>
      <c r="T1572" s="56" t="s">
        <v>3061</v>
      </c>
      <c r="U1572" s="56" t="str">
        <f>IF(AND(ТабПозиции[[#This Row],[Остаток]]=0,ТабПозиции[[#This Row],[ord]]="true"),"true","false")</f>
        <v>true</v>
      </c>
      <c r="V1572" s="56" t="str">
        <f>IF(AND(ТабПозиции[[#This Row],[Остаток]]=0,ТабПозиции[[#This Row],[ord]]="true"),"true","false")</f>
        <v>true</v>
      </c>
      <c r="W1572" s="7"/>
      <c r="X1572"/>
    </row>
    <row r="1573" spans="1:26" x14ac:dyDescent="0.25">
      <c r="A1573" s="26">
        <v>417</v>
      </c>
      <c r="B1573" s="1">
        <f>IFERROR(VLOOKUP(ТабПозиции[[#This Row],[orderNum]],ТабЗаказы[#Data],MATCH(B$7,ТабЗаказы[#Headers],0),0),"")</f>
        <v>45656</v>
      </c>
      <c r="C1573" t="str">
        <f>MONTH(ТабПозиции[[#This Row],[date]])&amp;"/"&amp;YEAR(ТабПозиции[[#This Row],[date]])</f>
        <v>12/2024</v>
      </c>
      <c r="D1573" s="1" t="str">
        <f>IFERROR(VLOOKUP(ТабПозиции[[#This Row],[orderNum]],ТабЗаказы[#Data],MATCH(D$7,ТабЗаказы[#Headers],0),0),"")</f>
        <v>Коля Чунихин</v>
      </c>
      <c r="E1573" s="26" t="s">
        <v>2215</v>
      </c>
      <c r="F1573" s="56" t="s">
        <v>3061</v>
      </c>
      <c r="H1573" s="34">
        <v>45681</v>
      </c>
      <c r="I1573" s="26">
        <v>1</v>
      </c>
      <c r="J1573" s="26">
        <v>836</v>
      </c>
      <c r="K1573">
        <f>ТабПозиции[[#This Row],[discountPrice]]*ТабПозиции[[#This Row],[quantity]]</f>
        <v>836</v>
      </c>
      <c r="L1573" s="26">
        <v>836</v>
      </c>
      <c r="M1573">
        <f t="shared" si="29"/>
        <v>836</v>
      </c>
      <c r="O157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Row],[orderNum]],ТабПозиции[orderSumm])&gt;1500),ABS(M1573*VLOOKUP(ТабПозиции[[#This Row],[orderNum]],ТабЗаказы[#Data],MATCH("Percent",ТабЗаказы[#Headers],0),0))/100,200/COUNTIF(ТабПозиции[orderNum],ТабПозиции[[#This Row],[orderNum]])),0),"")</f>
        <v>125</v>
      </c>
      <c r="P1573">
        <f>IF(OR(ТабПозиции[[#This Row],[item]]="По штрихкоду",ТабПозиции[[#This Row],[item]]="Посылка"),ТабПозиции[[#This Row],[deliverySumm]]+ТабПозиции[[#This Row],[deliveryPost]],SUM(M1573:O1573))</f>
        <v>961</v>
      </c>
      <c r="Q1573" s="57">
        <v>961</v>
      </c>
      <c r="R1573" s="62">
        <f>ТабПозиции[[#This Row],[totalSumm]]-ТабПозиции[[#This Row],[payment]]</f>
        <v>0</v>
      </c>
      <c r="S1573" s="34" t="s">
        <v>2218</v>
      </c>
      <c r="T1573" s="56" t="s">
        <v>3061</v>
      </c>
      <c r="U1573" s="56" t="str">
        <f>IF(AND(ТабПозиции[[#This Row],[Остаток]]=0,ТабПозиции[[#This Row],[ord]]="true"),"true","false")</f>
        <v>true</v>
      </c>
      <c r="V1573" s="56" t="s">
        <v>3061</v>
      </c>
      <c r="W1573" s="7"/>
      <c r="X1573"/>
    </row>
    <row r="1574" spans="1:26" x14ac:dyDescent="0.25">
      <c r="A1574" s="26">
        <v>417</v>
      </c>
      <c r="B1574" s="1">
        <f>IFERROR(VLOOKUP(ТабПозиции[[#This Row],[orderNum]],ТабЗаказы[#Data],MATCH(B$7,ТабЗаказы[#Headers],0),0),"")</f>
        <v>45656</v>
      </c>
      <c r="C1574" t="str">
        <f>MONTH(ТабПозиции[[#This Row],[date]])&amp;"/"&amp;YEAR(ТабПозиции[[#This Row],[date]])</f>
        <v>12/2024</v>
      </c>
      <c r="D1574" s="1" t="str">
        <f>IFERROR(VLOOKUP(ТабПозиции[[#This Row],[orderNum]],ТабЗаказы[#Data],MATCH(D$7,ТабЗаказы[#Headers],0),0),"")</f>
        <v>Коля Чунихин</v>
      </c>
      <c r="E1574" s="26" t="s">
        <v>2216</v>
      </c>
      <c r="F1574" s="56" t="s">
        <v>3061</v>
      </c>
      <c r="H1574" s="34">
        <v>45681</v>
      </c>
      <c r="I1574" s="26">
        <v>1</v>
      </c>
      <c r="J1574" s="26">
        <v>1188</v>
      </c>
      <c r="K1574">
        <f>ТабПозиции[[#This Row],[discountPrice]]*ТабПозиции[[#This Row],[quantity]]</f>
        <v>1188</v>
      </c>
      <c r="L1574" s="26">
        <v>1188</v>
      </c>
      <c r="M1574">
        <f t="shared" si="29"/>
        <v>1188</v>
      </c>
      <c r="O157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Row],[orderNum]],ТабПозиции[orderSumm])&gt;1500),ABS(M1574*VLOOKUP(ТабПозиции[[#This Row],[orderNum]],ТабЗаказы[#Data],MATCH("Percent",ТабЗаказы[#Headers],0),0))/100,200/COUNTIF(ТабПозиции[orderNum],ТабПозиции[[#This Row],[orderNum]])),0),"")</f>
        <v>178</v>
      </c>
      <c r="P1574">
        <f>IF(OR(ТабПозиции[[#This Row],[item]]="По штрихкоду",ТабПозиции[[#This Row],[item]]="Посылка"),ТабПозиции[[#This Row],[deliverySumm]]+ТабПозиции[[#This Row],[deliveryPost]],SUM(M1574:O1574))</f>
        <v>1366</v>
      </c>
      <c r="Q1574" s="57">
        <v>1366</v>
      </c>
      <c r="R1574" s="62">
        <f>ТабПозиции[[#This Row],[totalSumm]]-ТабПозиции[[#This Row],[payment]]</f>
        <v>0</v>
      </c>
      <c r="S1574" s="34" t="s">
        <v>2218</v>
      </c>
      <c r="T1574" s="56" t="s">
        <v>3061</v>
      </c>
      <c r="U1574" s="56" t="str">
        <f>IF(AND(ТабПозиции[[#This Row],[Остаток]]=0,ТабПозиции[[#This Row],[ord]]="true"),"true","false")</f>
        <v>true</v>
      </c>
      <c r="V1574" s="56" t="s">
        <v>3061</v>
      </c>
      <c r="W1574" s="7"/>
      <c r="X1574"/>
    </row>
    <row r="1575" spans="1:26" x14ac:dyDescent="0.25">
      <c r="A1575" s="26">
        <v>417</v>
      </c>
      <c r="B1575" s="1">
        <f>IFERROR(VLOOKUP(ТабПозиции[[#This Row],[orderNum]],ТабЗаказы[#Data],MATCH(B$7,ТабЗаказы[#Headers],0),0),"")</f>
        <v>45656</v>
      </c>
      <c r="C1575" t="str">
        <f>MONTH(ТабПозиции[[#This Row],[date]])&amp;"/"&amp;YEAR(ТабПозиции[[#This Row],[date]])</f>
        <v>12/2024</v>
      </c>
      <c r="D1575" s="1" t="str">
        <f>IFERROR(VLOOKUP(ТабПозиции[[#This Row],[orderNum]],ТабЗаказы[#Data],MATCH(D$7,ТабЗаказы[#Headers],0),0),"")</f>
        <v>Коля Чунихин</v>
      </c>
      <c r="E1575" s="26" t="s">
        <v>2217</v>
      </c>
      <c r="F1575" s="56" t="s">
        <v>3061</v>
      </c>
      <c r="H1575" s="34">
        <v>45681</v>
      </c>
      <c r="I1575" s="26">
        <v>1</v>
      </c>
      <c r="J1575" s="26">
        <v>792</v>
      </c>
      <c r="K1575">
        <f>ТабПозиции[[#This Row],[discountPrice]]*ТабПозиции[[#This Row],[quantity]]</f>
        <v>792</v>
      </c>
      <c r="L1575" s="26">
        <v>792</v>
      </c>
      <c r="M1575">
        <f t="shared" si="29"/>
        <v>792</v>
      </c>
      <c r="N1575" s="26">
        <v>389</v>
      </c>
      <c r="O157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Row],[orderNum]],ТабПозиции[orderSumm])&gt;1500),ABS(M1575*VLOOKUP(ТабПозиции[[#This Row],[orderNum]],ТабЗаказы[#Data],MATCH("Percent",ТабЗаказы[#Headers],0),0))/100,200/COUNTIF(ТабПозиции[orderNum],ТабПозиции[[#This Row],[orderNum]])),0),"")</f>
        <v>119</v>
      </c>
      <c r="P1575">
        <f>IF(OR(ТабПозиции[[#This Row],[item]]="По штрихкоду",ТабПозиции[[#This Row],[item]]="Посылка"),ТабПозиции[[#This Row],[deliverySumm]]+ТабПозиции[[#This Row],[deliveryPost]],SUM(M1575:O1575))</f>
        <v>1300</v>
      </c>
      <c r="Q1575" s="57">
        <v>1300</v>
      </c>
      <c r="R1575" s="62">
        <f>ТабПозиции[[#This Row],[totalSumm]]-ТабПозиции[[#This Row],[payment]]</f>
        <v>0</v>
      </c>
      <c r="S1575" s="34" t="s">
        <v>2218</v>
      </c>
      <c r="T1575" s="56" t="s">
        <v>3061</v>
      </c>
      <c r="U1575" s="56" t="str">
        <f>IF(AND(ТабПозиции[[#This Row],[Остаток]]=0,ТабПозиции[[#This Row],[ord]]="true"),"true","false")</f>
        <v>true</v>
      </c>
      <c r="V1575" s="56" t="s">
        <v>3061</v>
      </c>
      <c r="W1575" s="7"/>
      <c r="X1575"/>
    </row>
    <row r="1576" spans="1:26" x14ac:dyDescent="0.25">
      <c r="A1576" s="26">
        <v>326</v>
      </c>
      <c r="B1576" s="1">
        <f>IFERROR(VLOOKUP(ТабПозиции[[#This Row],[orderNum]],ТабЗаказы[#Data],MATCH(B$7,ТабЗаказы[#Headers],0),0),"")</f>
        <v>46020</v>
      </c>
      <c r="C1576" t="str">
        <f>MONTH(ТабПозиции[[#This Row],[date]])&amp;"/"&amp;YEAR(ТабПозиции[[#This Row],[date]])</f>
        <v>12/2025</v>
      </c>
      <c r="D1576" s="1" t="str">
        <f>IFERROR(VLOOKUP(ТабПозиции[[#This Row],[orderNum]],ТабЗаказы[#Data],MATCH(D$7,ТабЗаказы[#Headers],0),0),"")</f>
        <v>Михаил Куприна</v>
      </c>
      <c r="E1576" s="85" t="s">
        <v>2219</v>
      </c>
      <c r="F1576" s="56" t="s">
        <v>3061</v>
      </c>
      <c r="H1576" s="34">
        <v>45660</v>
      </c>
      <c r="I1576" s="26">
        <v>1</v>
      </c>
      <c r="J1576" s="26">
        <v>1133</v>
      </c>
      <c r="K1576">
        <f>ТабПозиции[[#This Row],[discountPrice]]*ТабПозиции[[#This Row],[quantity]]</f>
        <v>1133</v>
      </c>
      <c r="L1576" s="26">
        <v>1177</v>
      </c>
      <c r="M1576">
        <f t="shared" si="29"/>
        <v>1177</v>
      </c>
      <c r="O157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Row],[orderNum]],ТабПозиции[orderSumm])&gt;1500),ABS(M1576*VLOOKUP(ТабПозиции[[#This Row],[orderNum]],ТабЗаказы[#Data],MATCH("Percent",ТабЗаказы[#Headers],0),0))/100,200/COUNTIF(ТабПозиции[orderNum],ТабПозиции[[#This Row],[orderNum]])),0),"")</f>
        <v>177</v>
      </c>
      <c r="P1576">
        <f>IF(OR(ТабПозиции[[#This Row],[item]]="По штрихкоду",ТабПозиции[[#This Row],[item]]="Посылка"),ТабПозиции[[#This Row],[deliverySumm]]+ТабПозиции[[#This Row],[deliveryPost]],SUM(M1576:O1576))</f>
        <v>1354</v>
      </c>
      <c r="Q1576" s="57">
        <v>1354</v>
      </c>
      <c r="R1576" s="62">
        <f>ТабПозиции[[#This Row],[totalSumm]]-ТабПозиции[[#This Row],[payment]]</f>
        <v>0</v>
      </c>
      <c r="S1576" s="34" t="s">
        <v>955</v>
      </c>
      <c r="T1576" s="56" t="s">
        <v>3061</v>
      </c>
      <c r="U1576" s="56" t="str">
        <f>IF(AND(ТабПозиции[[#This Row],[Остаток]]=0,ТабПозиции[[#This Row],[ord]]="true"),"true","false")</f>
        <v>true</v>
      </c>
      <c r="V1576" s="56" t="s">
        <v>3061</v>
      </c>
      <c r="W1576" s="7"/>
      <c r="X1576"/>
    </row>
    <row r="1577" spans="1:26" x14ac:dyDescent="0.25">
      <c r="A1577" s="26">
        <v>326</v>
      </c>
      <c r="B1577" s="1">
        <f>IFERROR(VLOOKUP(ТабПозиции[[#This Row],[orderNum]],ТабЗаказы[#Data],MATCH(B$7,ТабЗаказы[#Headers],0),0),"")</f>
        <v>46020</v>
      </c>
      <c r="C1577" t="str">
        <f>MONTH(ТабПозиции[[#This Row],[date]])&amp;"/"&amp;YEAR(ТабПозиции[[#This Row],[date]])</f>
        <v>12/2025</v>
      </c>
      <c r="D1577" s="1" t="str">
        <f>IFERROR(VLOOKUP(ТабПозиции[[#This Row],[orderNum]],ТабЗаказы[#Data],MATCH(D$7,ТабЗаказы[#Headers],0),0),"")</f>
        <v>Михаил Куприна</v>
      </c>
      <c r="E1577" s="85" t="s">
        <v>2220</v>
      </c>
      <c r="F1577" s="56" t="s">
        <v>3061</v>
      </c>
      <c r="H1577" s="34">
        <v>45660</v>
      </c>
      <c r="I1577" s="26">
        <v>1</v>
      </c>
      <c r="J1577" s="26">
        <v>546</v>
      </c>
      <c r="K1577">
        <f>ТабПозиции[[#This Row],[discountPrice]]*ТабПозиции[[#This Row],[quantity]]</f>
        <v>546</v>
      </c>
      <c r="L1577" s="26">
        <v>572</v>
      </c>
      <c r="M1577">
        <f t="shared" si="29"/>
        <v>572</v>
      </c>
      <c r="O157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Row],[orderNum]],ТабПозиции[orderSumm])&gt;1500),ABS(M1577*VLOOKUP(ТабПозиции[[#This Row],[orderNum]],ТабЗаказы[#Data],MATCH("Percent",ТабЗаказы[#Headers],0),0))/100,200/COUNTIF(ТабПозиции[orderNum],ТабПозиции[[#This Row],[orderNum]])),0),"")</f>
        <v>86</v>
      </c>
      <c r="P1577">
        <f>IF(OR(ТабПозиции[[#This Row],[item]]="По штрихкоду",ТабПозиции[[#This Row],[item]]="Посылка"),ТабПозиции[[#This Row],[deliverySumm]]+ТабПозиции[[#This Row],[deliveryPost]],SUM(M1577:O1577))</f>
        <v>658</v>
      </c>
      <c r="Q1577" s="57">
        <v>658</v>
      </c>
      <c r="R1577" s="62">
        <f>ТабПозиции[[#This Row],[totalSumm]]-ТабПозиции[[#This Row],[payment]]</f>
        <v>0</v>
      </c>
      <c r="S1577" s="34" t="s">
        <v>955</v>
      </c>
      <c r="T1577" s="56" t="s">
        <v>3061</v>
      </c>
      <c r="U1577" s="56" t="str">
        <f>IF(AND(ТабПозиции[[#This Row],[Остаток]]=0,ТабПозиции[[#This Row],[ord]]="true"),"true","false")</f>
        <v>true</v>
      </c>
      <c r="V1577" s="56" t="s">
        <v>3061</v>
      </c>
      <c r="W1577" s="7"/>
      <c r="X1577"/>
      <c r="Y1577" s="25"/>
      <c r="Z1577" s="25"/>
    </row>
    <row r="1578" spans="1:26" x14ac:dyDescent="0.25">
      <c r="A1578" s="26">
        <v>326</v>
      </c>
      <c r="B1578" s="1">
        <f>IFERROR(VLOOKUP(ТабПозиции[[#This Row],[orderNum]],ТабЗаказы[#Data],MATCH(B$7,ТабЗаказы[#Headers],0),0),"")</f>
        <v>46020</v>
      </c>
      <c r="C1578" t="str">
        <f>MONTH(ТабПозиции[[#This Row],[date]])&amp;"/"&amp;YEAR(ТабПозиции[[#This Row],[date]])</f>
        <v>12/2025</v>
      </c>
      <c r="D1578" s="1" t="str">
        <f>IFERROR(VLOOKUP(ТабПозиции[[#This Row],[orderNum]],ТабЗаказы[#Data],MATCH(D$7,ТабЗаказы[#Headers],0),0),"")</f>
        <v>Михаил Куприна</v>
      </c>
      <c r="E1578" s="85" t="s">
        <v>2221</v>
      </c>
      <c r="F1578" s="56" t="s">
        <v>3061</v>
      </c>
      <c r="H1578" s="34">
        <v>45660</v>
      </c>
      <c r="I1578" s="26">
        <v>1</v>
      </c>
      <c r="J1578" s="26">
        <v>535</v>
      </c>
      <c r="K1578">
        <f>ТабПозиции[[#This Row],[discountPrice]]*ТабПозиции[[#This Row],[quantity]]</f>
        <v>535</v>
      </c>
      <c r="L1578" s="26">
        <v>609</v>
      </c>
      <c r="M1578">
        <f t="shared" si="29"/>
        <v>609</v>
      </c>
      <c r="O157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Row],[orderNum]],ТабПозиции[orderSumm])&gt;1500),ABS(M1578*VLOOKUP(ТабПозиции[[#This Row],[orderNum]],ТабЗаказы[#Data],MATCH("Percent",ТабЗаказы[#Headers],0),0))/100,200/COUNTIF(ТабПозиции[orderNum],ТабПозиции[[#This Row],[orderNum]])),0),"")</f>
        <v>91</v>
      </c>
      <c r="P1578">
        <f>IF(OR(ТабПозиции[[#This Row],[item]]="По штрихкоду",ТабПозиции[[#This Row],[item]]="Посылка"),ТабПозиции[[#This Row],[deliverySumm]]+ТабПозиции[[#This Row],[deliveryPost]],SUM(M1578:O1578))</f>
        <v>700</v>
      </c>
      <c r="Q1578" s="57">
        <v>700</v>
      </c>
      <c r="R1578" s="62">
        <f>ТабПозиции[[#This Row],[totalSumm]]-ТабПозиции[[#This Row],[payment]]</f>
        <v>0</v>
      </c>
      <c r="S1578" s="34" t="s">
        <v>955</v>
      </c>
      <c r="T1578" s="56" t="s">
        <v>3061</v>
      </c>
      <c r="U1578" s="56" t="str">
        <f>IF(AND(ТабПозиции[[#This Row],[Остаток]]=0,ТабПозиции[[#This Row],[ord]]="true"),"true","false")</f>
        <v>true</v>
      </c>
      <c r="V1578" s="56" t="s">
        <v>3061</v>
      </c>
      <c r="W1578" s="7"/>
      <c r="X1578"/>
      <c r="Y1578" s="25"/>
      <c r="Z1578" s="25"/>
    </row>
    <row r="1579" spans="1:26" x14ac:dyDescent="0.25">
      <c r="A1579" s="26">
        <v>418</v>
      </c>
      <c r="B1579" s="1">
        <f>IFERROR(VLOOKUP(ТабПозиции[[#This Row],[orderNum]],ТабЗаказы[#Data],MATCH(B$7,ТабЗаказы[#Headers],0),0),"")</f>
        <v>45661</v>
      </c>
      <c r="C1579" t="str">
        <f>MONTH(ТабПозиции[[#This Row],[date]])&amp;"/"&amp;YEAR(ТабПозиции[[#This Row],[date]])</f>
        <v>1/2025</v>
      </c>
      <c r="D1579" s="1" t="str">
        <f>IFERROR(VLOOKUP(ТабПозиции[[#This Row],[orderNum]],ТабЗаказы[#Data],MATCH(D$7,ТабЗаказы[#Headers],0),0),"")</f>
        <v>Александр Каскад</v>
      </c>
      <c r="E1579" s="85" t="s">
        <v>1907</v>
      </c>
      <c r="F1579" s="56" t="s">
        <v>3061</v>
      </c>
      <c r="H1579" s="34">
        <v>45662</v>
      </c>
      <c r="I1579" s="26">
        <v>1</v>
      </c>
      <c r="J1579" s="26">
        <v>860</v>
      </c>
      <c r="K1579">
        <f>ТабПозиции[[#This Row],[discountPrice]]*ТабПозиции[[#This Row],[quantity]]</f>
        <v>860</v>
      </c>
      <c r="L1579" s="26">
        <v>923</v>
      </c>
      <c r="M1579">
        <f t="shared" si="29"/>
        <v>923</v>
      </c>
      <c r="O157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Row],[orderNum]],ТабПозиции[orderSumm])&gt;1500),ABS(M1579*VLOOKUP(ТабПозиции[[#This Row],[orderNum]],ТабЗаказы[#Data],MATCH("Percent",ТабЗаказы[#Headers],0),0))/100,200/COUNTIF(ТабПозиции[orderNum],ТабПозиции[[#This Row],[orderNum]])),0),"")</f>
        <v>138</v>
      </c>
      <c r="P1579">
        <f>IF(OR(ТабПозиции[[#This Row],[item]]="По штрихкоду",ТабПозиции[[#This Row],[item]]="Посылка"),ТабПозиции[[#This Row],[deliverySumm]]+ТабПозиции[[#This Row],[deliveryPost]],SUM(M1579:O1579))</f>
        <v>1061</v>
      </c>
      <c r="Q1579" s="57">
        <v>1061</v>
      </c>
      <c r="R1579" s="62">
        <f>ТабПозиции[[#This Row],[totalSumm]]-ТабПозиции[[#This Row],[payment]]</f>
        <v>0</v>
      </c>
      <c r="S1579" s="34" t="s">
        <v>955</v>
      </c>
      <c r="T1579" s="56" t="s">
        <v>3061</v>
      </c>
      <c r="U1579" s="56" t="str">
        <f>IF(AND(ТабПозиции[[#This Row],[Остаток]]=0,ТабПозиции[[#This Row],[ord]]="true"),"true","false")</f>
        <v>true</v>
      </c>
      <c r="V1579" s="56" t="str">
        <f>IF(AND(ТабПозиции[[#This Row],[Остаток]]=0,ТабПозиции[[#This Row],[ord]]="true"),"true","false")</f>
        <v>true</v>
      </c>
      <c r="W1579" s="7"/>
      <c r="X1579"/>
      <c r="Y1579" s="25"/>
      <c r="Z1579" s="25"/>
    </row>
    <row r="1580" spans="1:26" x14ac:dyDescent="0.25">
      <c r="A1580" s="26">
        <v>418</v>
      </c>
      <c r="B1580" s="1">
        <f>IFERROR(VLOOKUP(ТабПозиции[[#This Row],[orderNum]],ТабЗаказы[#Data],MATCH(B$7,ТабЗаказы[#Headers],0),0),"")</f>
        <v>45661</v>
      </c>
      <c r="C1580" t="str">
        <f>MONTH(ТабПозиции[[#This Row],[date]])&amp;"/"&amp;YEAR(ТабПозиции[[#This Row],[date]])</f>
        <v>1/2025</v>
      </c>
      <c r="D1580" s="1" t="str">
        <f>IFERROR(VLOOKUP(ТабПозиции[[#This Row],[orderNum]],ТабЗаказы[#Data],MATCH(D$7,ТабЗаказы[#Headers],0),0),"")</f>
        <v>Александр Каскад</v>
      </c>
      <c r="E1580" s="85" t="s">
        <v>2232</v>
      </c>
      <c r="F1580" s="56" t="s">
        <v>3061</v>
      </c>
      <c r="H1580" s="34">
        <v>45663</v>
      </c>
      <c r="I1580" s="26">
        <v>1</v>
      </c>
      <c r="J1580" s="26">
        <v>1627</v>
      </c>
      <c r="K1580">
        <f>ТабПозиции[[#This Row],[discountPrice]]*ТабПозиции[[#This Row],[quantity]]</f>
        <v>1627</v>
      </c>
      <c r="L1580" s="26">
        <v>1730</v>
      </c>
      <c r="M1580">
        <f t="shared" si="29"/>
        <v>1730</v>
      </c>
      <c r="O158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Row],[orderNum]],ТабПозиции[orderSumm])&gt;1500),ABS(M1580*VLOOKUP(ТабПозиции[[#This Row],[orderNum]],ТабЗаказы[#Data],MATCH("Percent",ТабЗаказы[#Headers],0),0))/100,200/COUNTIF(ТабПозиции[orderNum],ТабПозиции[[#This Row],[orderNum]])),0),"")</f>
        <v>260</v>
      </c>
      <c r="P1580">
        <f>IF(OR(ТабПозиции[[#This Row],[item]]="По штрихкоду",ТабПозиции[[#This Row],[item]]="Посылка"),ТабПозиции[[#This Row],[deliverySumm]]+ТабПозиции[[#This Row],[deliveryPost]],SUM(M1580:O1580))</f>
        <v>1990</v>
      </c>
      <c r="Q1580" s="57">
        <v>1990</v>
      </c>
      <c r="R1580" s="62">
        <f>ТабПозиции[[#This Row],[totalSumm]]-ТабПозиции[[#This Row],[payment]]</f>
        <v>0</v>
      </c>
      <c r="S1580" s="34" t="s">
        <v>955</v>
      </c>
      <c r="T1580" s="56" t="s">
        <v>3061</v>
      </c>
      <c r="U1580" s="56" t="str">
        <f>IF(AND(ТабПозиции[[#This Row],[Остаток]]=0,ТабПозиции[[#This Row],[ord]]="true"),"true","false")</f>
        <v>true</v>
      </c>
      <c r="V1580" s="56" t="str">
        <f>IF(AND(ТабПозиции[[#This Row],[Остаток]]=0,ТабПозиции[[#This Row],[ord]]="true"),"true","false")</f>
        <v>true</v>
      </c>
      <c r="W1580" s="7"/>
      <c r="X1580"/>
    </row>
    <row r="1581" spans="1:26" x14ac:dyDescent="0.25">
      <c r="A1581" s="26">
        <v>418</v>
      </c>
      <c r="B1581" s="1">
        <f>IFERROR(VLOOKUP(ТабПозиции[[#This Row],[orderNum]],ТабЗаказы[#Data],MATCH(B$7,ТабЗаказы[#Headers],0),0),"")</f>
        <v>45661</v>
      </c>
      <c r="C1581" t="str">
        <f>MONTH(ТабПозиции[[#This Row],[date]])&amp;"/"&amp;YEAR(ТабПозиции[[#This Row],[date]])</f>
        <v>1/2025</v>
      </c>
      <c r="D1581" s="1" t="str">
        <f>IFERROR(VLOOKUP(ТабПозиции[[#This Row],[orderNum]],ТабЗаказы[#Data],MATCH(D$7,ТабЗаказы[#Headers],0),0),"")</f>
        <v>Александр Каскад</v>
      </c>
      <c r="E1581" s="85" t="s">
        <v>2255</v>
      </c>
      <c r="F1581" s="56" t="s">
        <v>3061</v>
      </c>
      <c r="H1581" s="34">
        <v>45664</v>
      </c>
      <c r="I1581" s="26">
        <v>1</v>
      </c>
      <c r="J1581" s="26">
        <v>1943</v>
      </c>
      <c r="K1581">
        <f>ТабПозиции[[#This Row],[discountPrice]]*ТабПозиции[[#This Row],[quantity]]</f>
        <v>1943</v>
      </c>
      <c r="L1581" s="26">
        <v>2089</v>
      </c>
      <c r="M1581">
        <f t="shared" si="29"/>
        <v>2089</v>
      </c>
      <c r="O158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Row],[orderNum]],ТабПозиции[orderSumm])&gt;1500),ABS(M1581*VLOOKUP(ТабПозиции[[#This Row],[orderNum]],ТабЗаказы[#Data],MATCH("Percent",ТабЗаказы[#Headers],0),0))/100,200/COUNTIF(ТабПозиции[orderNum],ТабПозиции[[#This Row],[orderNum]])),0),"")</f>
        <v>313</v>
      </c>
      <c r="P1581">
        <f>IF(OR(ТабПозиции[[#This Row],[item]]="По штрихкоду",ТабПозиции[[#This Row],[item]]="Посылка"),ТабПозиции[[#This Row],[deliverySumm]]+ТабПозиции[[#This Row],[deliveryPost]],SUM(M1581:O1581))</f>
        <v>2402</v>
      </c>
      <c r="Q1581" s="57">
        <v>2402</v>
      </c>
      <c r="R1581" s="62">
        <f>ТабПозиции[[#This Row],[totalSumm]]-ТабПозиции[[#This Row],[payment]]</f>
        <v>0</v>
      </c>
      <c r="S1581" s="34" t="s">
        <v>955</v>
      </c>
      <c r="T1581" s="56" t="s">
        <v>3061</v>
      </c>
      <c r="U1581" s="56" t="str">
        <f>IF(AND(ТабПозиции[[#This Row],[Остаток]]=0,ТабПозиции[[#This Row],[ord]]="true"),"true","false")</f>
        <v>true</v>
      </c>
      <c r="V1581" s="56" t="str">
        <f>IF(AND(ТабПозиции[[#This Row],[Остаток]]=0,ТабПозиции[[#This Row],[ord]]="true"),"true","false")</f>
        <v>true</v>
      </c>
      <c r="W1581" s="7"/>
      <c r="X1581"/>
    </row>
    <row r="1582" spans="1:26" x14ac:dyDescent="0.25">
      <c r="A1582" s="26">
        <v>418</v>
      </c>
      <c r="B1582" s="1">
        <f>IFERROR(VLOOKUP(ТабПозиции[[#This Row],[orderNum]],ТабЗаказы[#Data],MATCH(B$7,ТабЗаказы[#Headers],0),0),"")</f>
        <v>45661</v>
      </c>
      <c r="C1582" t="str">
        <f>MONTH(ТабПозиции[[#This Row],[date]])&amp;"/"&amp;YEAR(ТабПозиции[[#This Row],[date]])</f>
        <v>1/2025</v>
      </c>
      <c r="D1582" s="1" t="str">
        <f>IFERROR(VLOOKUP(ТабПозиции[[#This Row],[orderNum]],ТабЗаказы[#Data],MATCH(D$7,ТабЗаказы[#Headers],0),0),"")</f>
        <v>Александр Каскад</v>
      </c>
      <c r="E1582" s="85" t="s">
        <v>2233</v>
      </c>
      <c r="F1582" s="56" t="s">
        <v>3061</v>
      </c>
      <c r="H1582" s="34">
        <v>45675</v>
      </c>
      <c r="I1582" s="26">
        <v>0</v>
      </c>
      <c r="J1582" s="26">
        <v>2000</v>
      </c>
      <c r="K1582">
        <f>ТабПозиции[[#This Row],[discountPrice]]*ТабПозиции[[#This Row],[quantity]]</f>
        <v>0</v>
      </c>
      <c r="L1582" s="26">
        <v>2000</v>
      </c>
      <c r="M1582">
        <f t="shared" si="29"/>
        <v>0</v>
      </c>
      <c r="O158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Row],[orderNum]],ТабПозиции[orderSumm])&gt;1500),ABS(M1582*VLOOKUP(ТабПозиции[[#This Row],[orderNum]],ТабЗаказы[#Data],MATCH("Percent",ТабЗаказы[#Headers],0),0))/100,200/COUNTIF(ТабПозиции[orderNum],ТабПозиции[[#This Row],[orderNum]])),0),"")</f>
        <v>0</v>
      </c>
      <c r="P1582">
        <f>IF(OR(ТабПозиции[[#This Row],[item]]="По штрихкоду",ТабПозиции[[#This Row],[item]]="Посылка"),ТабПозиции[[#This Row],[deliverySumm]]+ТабПозиции[[#This Row],[deliveryPost]],SUM(M1582:O1582))</f>
        <v>0</v>
      </c>
      <c r="Q1582" s="57">
        <v>0</v>
      </c>
      <c r="R1582" s="62">
        <f>ТабПозиции[[#This Row],[totalSumm]]-ТабПозиции[[#This Row],[payment]]</f>
        <v>0</v>
      </c>
      <c r="S1582" s="34" t="s">
        <v>1011</v>
      </c>
      <c r="T1582" s="56" t="s">
        <v>3061</v>
      </c>
      <c r="U1582" s="56" t="str">
        <f>IF(AND(ТабПозиции[[#This Row],[Остаток]]=0,ТабПозиции[[#This Row],[ord]]="true"),"true","false")</f>
        <v>true</v>
      </c>
      <c r="V1582" s="56" t="s">
        <v>3061</v>
      </c>
      <c r="W1582" s="7"/>
      <c r="X1582"/>
    </row>
    <row r="1583" spans="1:26" x14ac:dyDescent="0.25">
      <c r="A1583" s="26">
        <v>419</v>
      </c>
      <c r="B1583" s="1">
        <f>IFERROR(VLOOKUP(ТабПозиции[[#This Row],[orderNum]],ТабЗаказы[#Data],MATCH(B$7,ТабЗаказы[#Headers],0),0),"")</f>
        <v>45661</v>
      </c>
      <c r="C1583" t="str">
        <f>MONTH(ТабПозиции[[#This Row],[date]])&amp;"/"&amp;YEAR(ТабПозиции[[#This Row],[date]])</f>
        <v>1/2025</v>
      </c>
      <c r="D1583" s="1" t="str">
        <f>IFERROR(VLOOKUP(ТабПозиции[[#This Row],[orderNum]],ТабЗаказы[#Data],MATCH(D$7,ТабЗаказы[#Headers],0),0),"")</f>
        <v>Руденко Юля</v>
      </c>
      <c r="E1583" s="85" t="s">
        <v>2234</v>
      </c>
      <c r="F1583" s="56" t="s">
        <v>3061</v>
      </c>
      <c r="H1583" s="34">
        <v>45663</v>
      </c>
      <c r="I1583" s="26">
        <v>1</v>
      </c>
      <c r="J1583" s="26">
        <v>195</v>
      </c>
      <c r="K1583">
        <f>ТабПозиции[[#This Row],[discountPrice]]*ТабПозиции[[#This Row],[quantity]]</f>
        <v>195</v>
      </c>
      <c r="L1583" s="26">
        <v>206</v>
      </c>
      <c r="M1583">
        <f t="shared" si="29"/>
        <v>206</v>
      </c>
      <c r="O158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Row],[orderNum]],ТабПозиции[orderSumm])&gt;1500),ABS(M1583*VLOOKUP(ТабПозиции[[#This Row],[orderNum]],ТабЗаказы[#Data],MATCH("Percent",ТабЗаказы[#Headers],0),0))/100,200/COUNTIF(ТабПозиции[orderNum],ТабПозиции[[#This Row],[orderNum]])),0),"")</f>
        <v>21</v>
      </c>
      <c r="P1583">
        <f>IF(OR(ТабПозиции[[#This Row],[item]]="По штрихкоду",ТабПозиции[[#This Row],[item]]="Посылка"),ТабПозиции[[#This Row],[deliverySumm]]+ТабПозиции[[#This Row],[deliveryPost]],SUM(M1583:O1583))</f>
        <v>227</v>
      </c>
      <c r="Q1583" s="57">
        <v>227</v>
      </c>
      <c r="R1583" s="62">
        <f>ТабПозиции[[#This Row],[totalSumm]]-ТабПозиции[[#This Row],[payment]]</f>
        <v>0</v>
      </c>
      <c r="S1583" s="34" t="s">
        <v>965</v>
      </c>
      <c r="T1583" s="56" t="s">
        <v>3061</v>
      </c>
      <c r="U1583" s="56" t="str">
        <f>IF(AND(ТабПозиции[[#This Row],[Остаток]]=0,ТабПозиции[[#This Row],[ord]]="true"),"true","false")</f>
        <v>true</v>
      </c>
      <c r="V1583" s="56" t="str">
        <f>IF(AND(ТабПозиции[[#This Row],[Остаток]]=0,ТабПозиции[[#This Row],[ord]]="true"),"true","false")</f>
        <v>true</v>
      </c>
      <c r="W1583" s="7"/>
      <c r="X1583"/>
    </row>
    <row r="1584" spans="1:26" x14ac:dyDescent="0.25">
      <c r="A1584" s="26">
        <v>419</v>
      </c>
      <c r="B1584" s="1">
        <f>IFERROR(VLOOKUP(ТабПозиции[[#This Row],[orderNum]],ТабЗаказы[#Data],MATCH(B$7,ТабЗаказы[#Headers],0),0),"")</f>
        <v>45661</v>
      </c>
      <c r="C1584" t="str">
        <f>MONTH(ТабПозиции[[#This Row],[date]])&amp;"/"&amp;YEAR(ТабПозиции[[#This Row],[date]])</f>
        <v>1/2025</v>
      </c>
      <c r="D1584" s="1" t="str">
        <f>IFERROR(VLOOKUP(ТабПозиции[[#This Row],[orderNum]],ТабЗаказы[#Data],MATCH(D$7,ТабЗаказы[#Headers],0),0),"")</f>
        <v>Руденко Юля</v>
      </c>
      <c r="E1584" s="85" t="s">
        <v>2250</v>
      </c>
      <c r="F1584" s="56" t="s">
        <v>3061</v>
      </c>
      <c r="H1584" s="34">
        <v>45663</v>
      </c>
      <c r="I1584" s="26">
        <v>1</v>
      </c>
      <c r="J1584" s="26">
        <v>2695</v>
      </c>
      <c r="K1584">
        <f>ТабПозиции[[#This Row],[discountPrice]]*ТабПозиции[[#This Row],[quantity]]</f>
        <v>2695</v>
      </c>
      <c r="L1584" s="26">
        <v>2837</v>
      </c>
      <c r="M1584">
        <f t="shared" si="29"/>
        <v>2837</v>
      </c>
      <c r="O158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Row],[orderNum]],ТабПозиции[orderSumm])&gt;1500),ABS(M1584*VLOOKUP(ТабПозиции[[#This Row],[orderNum]],ТабЗаказы[#Data],MATCH("Percent",ТабЗаказы[#Headers],0),0))/100,200/COUNTIF(ТабПозиции[orderNum],ТабПозиции[[#This Row],[orderNum]])),0),"")</f>
        <v>284</v>
      </c>
      <c r="P1584">
        <f>IF(OR(ТабПозиции[[#This Row],[item]]="По штрихкоду",ТабПозиции[[#This Row],[item]]="Посылка"),ТабПозиции[[#This Row],[deliverySumm]]+ТабПозиции[[#This Row],[deliveryPost]],SUM(M1584:O1584))</f>
        <v>3121</v>
      </c>
      <c r="Q1584" s="57">
        <v>3121</v>
      </c>
      <c r="R1584" s="62">
        <f>ТабПозиции[[#This Row],[totalSumm]]-ТабПозиции[[#This Row],[payment]]</f>
        <v>0</v>
      </c>
      <c r="S1584" s="34" t="s">
        <v>965</v>
      </c>
      <c r="T1584" s="56" t="s">
        <v>3061</v>
      </c>
      <c r="U1584" s="56" t="str">
        <f>IF(AND(ТабПозиции[[#This Row],[Остаток]]=0,ТабПозиции[[#This Row],[ord]]="true"),"true","false")</f>
        <v>true</v>
      </c>
      <c r="V1584" s="56" t="str">
        <f>IF(AND(ТабПозиции[[#This Row],[Остаток]]=0,ТабПозиции[[#This Row],[ord]]="true"),"true","false")</f>
        <v>true</v>
      </c>
      <c r="W1584" s="7"/>
      <c r="X1584"/>
    </row>
    <row r="1585" spans="1:24" x14ac:dyDescent="0.25">
      <c r="A1585" s="26">
        <v>419</v>
      </c>
      <c r="B1585" s="1">
        <f>IFERROR(VLOOKUP(ТабПозиции[[#This Row],[orderNum]],ТабЗаказы[#Data],MATCH(B$7,ТабЗаказы[#Headers],0),0),"")</f>
        <v>45661</v>
      </c>
      <c r="C1585" t="str">
        <f>MONTH(ТабПозиции[[#This Row],[date]])&amp;"/"&amp;YEAR(ТабПозиции[[#This Row],[date]])</f>
        <v>1/2025</v>
      </c>
      <c r="D1585" s="1" t="str">
        <f>IFERROR(VLOOKUP(ТабПозиции[[#This Row],[orderNum]],ТабЗаказы[#Data],MATCH(D$7,ТабЗаказы[#Headers],0),0),"")</f>
        <v>Руденко Юля</v>
      </c>
      <c r="E1585" s="85" t="s">
        <v>1741</v>
      </c>
      <c r="F1585" s="56" t="s">
        <v>3061</v>
      </c>
      <c r="H1585" s="34">
        <v>45664</v>
      </c>
      <c r="I1585" s="26">
        <v>1</v>
      </c>
      <c r="J1585" s="26">
        <v>677</v>
      </c>
      <c r="K1585">
        <f>ТабПозиции[[#This Row],[discountPrice]]*ТабПозиции[[#This Row],[quantity]]</f>
        <v>677</v>
      </c>
      <c r="L1585" s="26">
        <v>713</v>
      </c>
      <c r="M1585">
        <f t="shared" si="29"/>
        <v>713</v>
      </c>
      <c r="O158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Row],[orderNum]],ТабПозиции[orderSumm])&gt;1500),ABS(M1585*VLOOKUP(ТабПозиции[[#This Row],[orderNum]],ТабЗаказы[#Data],MATCH("Percent",ТабЗаказы[#Headers],0),0))/100,200/COUNTIF(ТабПозиции[orderNum],ТабПозиции[[#This Row],[orderNum]])),0),"")</f>
        <v>71</v>
      </c>
      <c r="P1585">
        <f>IF(OR(ТабПозиции[[#This Row],[item]]="По штрихкоду",ТабПозиции[[#This Row],[item]]="Посылка"),ТабПозиции[[#This Row],[deliverySumm]]+ТабПозиции[[#This Row],[deliveryPost]],SUM(M1585:O1585))</f>
        <v>784</v>
      </c>
      <c r="Q1585" s="57">
        <v>784</v>
      </c>
      <c r="R1585" s="62">
        <f>ТабПозиции[[#This Row],[totalSumm]]-ТабПозиции[[#This Row],[payment]]</f>
        <v>0</v>
      </c>
      <c r="S1585" s="34" t="s">
        <v>965</v>
      </c>
      <c r="T1585" s="56" t="s">
        <v>3061</v>
      </c>
      <c r="U1585" s="56" t="str">
        <f>IF(AND(ТабПозиции[[#This Row],[Остаток]]=0,ТабПозиции[[#This Row],[ord]]="true"),"true","false")</f>
        <v>true</v>
      </c>
      <c r="V1585" s="56" t="str">
        <f>IF(AND(ТабПозиции[[#This Row],[Остаток]]=0,ТабПозиции[[#This Row],[ord]]="true"),"true","false")</f>
        <v>true</v>
      </c>
      <c r="W1585" s="7"/>
      <c r="X1585"/>
    </row>
    <row r="1586" spans="1:24" x14ac:dyDescent="0.25">
      <c r="A1586" s="26">
        <v>419</v>
      </c>
      <c r="B1586" s="1">
        <f>IFERROR(VLOOKUP(ТабПозиции[[#This Row],[orderNum]],ТабЗаказы[#Data],MATCH(B$7,ТабЗаказы[#Headers],0),0),"")</f>
        <v>45661</v>
      </c>
      <c r="C1586" t="str">
        <f>MONTH(ТабПозиции[[#This Row],[date]])&amp;"/"&amp;YEAR(ТабПозиции[[#This Row],[date]])</f>
        <v>1/2025</v>
      </c>
      <c r="D1586" s="1" t="str">
        <f>IFERROR(VLOOKUP(ТабПозиции[[#This Row],[orderNum]],ТабЗаказы[#Data],MATCH(D$7,ТабЗаказы[#Headers],0),0),"")</f>
        <v>Руденко Юля</v>
      </c>
      <c r="E1586" s="85" t="s">
        <v>2235</v>
      </c>
      <c r="F1586" s="56" t="s">
        <v>3061</v>
      </c>
      <c r="H1586" s="34">
        <v>45663</v>
      </c>
      <c r="I1586" s="26">
        <v>1</v>
      </c>
      <c r="J1586" s="26">
        <v>1406</v>
      </c>
      <c r="K1586">
        <f>ТабПозиции[[#This Row],[discountPrice]]*ТабПозиции[[#This Row],[quantity]]</f>
        <v>1406</v>
      </c>
      <c r="L1586" s="26">
        <v>1481</v>
      </c>
      <c r="M1586">
        <f t="shared" si="29"/>
        <v>1481</v>
      </c>
      <c r="O158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Row],[orderNum]],ТабПозиции[orderSumm])&gt;1500),ABS(M1586*VLOOKUP(ТабПозиции[[#This Row],[orderNum]],ТабЗаказы[#Data],MATCH("Percent",ТабЗаказы[#Headers],0),0))/100,200/COUNTIF(ТабПозиции[orderNum],ТабПозиции[[#This Row],[orderNum]])),0),"")</f>
        <v>148</v>
      </c>
      <c r="P1586">
        <f>IF(OR(ТабПозиции[[#This Row],[item]]="По штрихкоду",ТабПозиции[[#This Row],[item]]="Посылка"),ТабПозиции[[#This Row],[deliverySumm]]+ТабПозиции[[#This Row],[deliveryPost]],SUM(M1586:O1586))</f>
        <v>1629</v>
      </c>
      <c r="Q1586" s="57">
        <v>1629</v>
      </c>
      <c r="R1586" s="62">
        <f>ТабПозиции[[#This Row],[totalSumm]]-ТабПозиции[[#This Row],[payment]]</f>
        <v>0</v>
      </c>
      <c r="S1586" s="34" t="s">
        <v>965</v>
      </c>
      <c r="T1586" s="56" t="s">
        <v>3061</v>
      </c>
      <c r="U1586" s="56" t="str">
        <f>IF(AND(ТабПозиции[[#This Row],[Остаток]]=0,ТабПозиции[[#This Row],[ord]]="true"),"true","false")</f>
        <v>true</v>
      </c>
      <c r="V1586" s="56" t="str">
        <f>IF(AND(ТабПозиции[[#This Row],[Остаток]]=0,ТабПозиции[[#This Row],[ord]]="true"),"true","false")</f>
        <v>true</v>
      </c>
      <c r="W1586" s="7"/>
      <c r="X1586"/>
    </row>
    <row r="1587" spans="1:24" x14ac:dyDescent="0.25">
      <c r="A1587" s="26">
        <v>419</v>
      </c>
      <c r="B1587" s="1">
        <f>IFERROR(VLOOKUP(ТабПозиции[[#This Row],[orderNum]],ТабЗаказы[#Data],MATCH(B$7,ТабЗаказы[#Headers],0),0),"")</f>
        <v>45661</v>
      </c>
      <c r="C1587" t="str">
        <f>MONTH(ТабПозиции[[#This Row],[date]])&amp;"/"&amp;YEAR(ТабПозиции[[#This Row],[date]])</f>
        <v>1/2025</v>
      </c>
      <c r="D1587" s="1" t="str">
        <f>IFERROR(VLOOKUP(ТабПозиции[[#This Row],[orderNum]],ТабЗаказы[#Data],MATCH(D$7,ТабЗаказы[#Headers],0),0),"")</f>
        <v>Руденко Юля</v>
      </c>
      <c r="E1587" s="85" t="s">
        <v>2236</v>
      </c>
      <c r="F1587" s="56" t="s">
        <v>3061</v>
      </c>
      <c r="H1587" s="34">
        <v>45664</v>
      </c>
      <c r="I1587" s="26">
        <v>1</v>
      </c>
      <c r="J1587" s="26">
        <v>285</v>
      </c>
      <c r="K1587">
        <f>ТабПозиции[[#This Row],[discountPrice]]*ТабПозиции[[#This Row],[quantity]]</f>
        <v>285</v>
      </c>
      <c r="L1587" s="26">
        <v>301</v>
      </c>
      <c r="M1587">
        <f t="shared" si="29"/>
        <v>301</v>
      </c>
      <c r="O158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Row],[orderNum]],ТабПозиции[orderSumm])&gt;1500),ABS(M1587*VLOOKUP(ТабПозиции[[#This Row],[orderNum]],ТабЗаказы[#Data],MATCH("Percent",ТабЗаказы[#Headers],0),0))/100,200/COUNTIF(ТабПозиции[orderNum],ТабПозиции[[#This Row],[orderNum]])),0),"")</f>
        <v>30</v>
      </c>
      <c r="P1587">
        <f>IF(OR(ТабПозиции[[#This Row],[item]]="По штрихкоду",ТабПозиции[[#This Row],[item]]="Посылка"),ТабПозиции[[#This Row],[deliverySumm]]+ТабПозиции[[#This Row],[deliveryPost]],SUM(M1587:O1587))</f>
        <v>331</v>
      </c>
      <c r="Q1587" s="57">
        <v>331</v>
      </c>
      <c r="R1587" s="62">
        <f>ТабПозиции[[#This Row],[totalSumm]]-ТабПозиции[[#This Row],[payment]]</f>
        <v>0</v>
      </c>
      <c r="S1587" s="34" t="s">
        <v>965</v>
      </c>
      <c r="T1587" s="56" t="s">
        <v>3061</v>
      </c>
      <c r="U1587" s="56" t="str">
        <f>IF(AND(ТабПозиции[[#This Row],[Остаток]]=0,ТабПозиции[[#This Row],[ord]]="true"),"true","false")</f>
        <v>true</v>
      </c>
      <c r="V1587" s="56" t="str">
        <f>IF(AND(ТабПозиции[[#This Row],[Остаток]]=0,ТабПозиции[[#This Row],[ord]]="true"),"true","false")</f>
        <v>true</v>
      </c>
      <c r="W1587" s="7"/>
      <c r="X1587"/>
    </row>
    <row r="1588" spans="1:24" x14ac:dyDescent="0.25">
      <c r="A1588" s="26">
        <v>419</v>
      </c>
      <c r="B1588" s="1">
        <f>IFERROR(VLOOKUP(ТабПозиции[[#This Row],[orderNum]],ТабЗаказы[#Data],MATCH(B$7,ТабЗаказы[#Headers],0),0),"")</f>
        <v>45661</v>
      </c>
      <c r="C1588" t="str">
        <f>MONTH(ТабПозиции[[#This Row],[date]])&amp;"/"&amp;YEAR(ТабПозиции[[#This Row],[date]])</f>
        <v>1/2025</v>
      </c>
      <c r="D1588" s="1" t="str">
        <f>IFERROR(VLOOKUP(ТабПозиции[[#This Row],[orderNum]],ТабЗаказы[#Data],MATCH(D$7,ТабЗаказы[#Headers],0),0),"")</f>
        <v>Руденко Юля</v>
      </c>
      <c r="E1588" s="85" t="s">
        <v>676</v>
      </c>
      <c r="F1588" s="56" t="s">
        <v>3061</v>
      </c>
      <c r="H1588" s="34">
        <v>45664</v>
      </c>
      <c r="I1588" s="26">
        <v>1</v>
      </c>
      <c r="J1588" s="26">
        <v>298</v>
      </c>
      <c r="K1588">
        <f>ТабПозиции[[#This Row],[discountPrice]]*ТабПозиции[[#This Row],[quantity]]</f>
        <v>298</v>
      </c>
      <c r="L1588" s="26">
        <v>314</v>
      </c>
      <c r="M1588">
        <f t="shared" si="29"/>
        <v>314</v>
      </c>
      <c r="O158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Row],[orderNum]],ТабПозиции[orderSumm])&gt;1500),ABS(M1588*VLOOKUP(ТабПозиции[[#This Row],[orderNum]],ТабЗаказы[#Data],MATCH("Percent",ТабЗаказы[#Headers],0),0))/100,200/COUNTIF(ТабПозиции[orderNum],ТабПозиции[[#This Row],[orderNum]])),0),"")</f>
        <v>31</v>
      </c>
      <c r="P1588">
        <f>IF(OR(ТабПозиции[[#This Row],[item]]="По штрихкоду",ТабПозиции[[#This Row],[item]]="Посылка"),ТабПозиции[[#This Row],[deliverySumm]]+ТабПозиции[[#This Row],[deliveryPost]],SUM(M1588:O1588))</f>
        <v>345</v>
      </c>
      <c r="Q1588" s="57">
        <v>345</v>
      </c>
      <c r="R1588" s="62">
        <f>ТабПозиции[[#This Row],[totalSumm]]-ТабПозиции[[#This Row],[payment]]</f>
        <v>0</v>
      </c>
      <c r="S1588" s="34" t="s">
        <v>965</v>
      </c>
      <c r="T1588" s="56" t="s">
        <v>3061</v>
      </c>
      <c r="U1588" s="56" t="str">
        <f>IF(AND(ТабПозиции[[#This Row],[Остаток]]=0,ТабПозиции[[#This Row],[ord]]="true"),"true","false")</f>
        <v>true</v>
      </c>
      <c r="V1588" s="56" t="str">
        <f>IF(AND(ТабПозиции[[#This Row],[Остаток]]=0,ТабПозиции[[#This Row],[ord]]="true"),"true","false")</f>
        <v>true</v>
      </c>
      <c r="W1588" s="7"/>
      <c r="X1588"/>
    </row>
    <row r="1589" spans="1:24" x14ac:dyDescent="0.25">
      <c r="A1589" s="26">
        <v>262</v>
      </c>
      <c r="B1589" s="1">
        <f>IFERROR(VLOOKUP(ТабПозиции[[#This Row],[orderNum]],ТабЗаказы[#Data],MATCH(B$7,ТабЗаказы[#Headers],0),0),"")</f>
        <v>45663</v>
      </c>
      <c r="C1589" t="str">
        <f>MONTH(ТабПозиции[[#This Row],[date]])&amp;"/"&amp;YEAR(ТабПозиции[[#This Row],[date]])</f>
        <v>1/2025</v>
      </c>
      <c r="D1589" s="1" t="str">
        <f>IFERROR(VLOOKUP(ТабПозиции[[#This Row],[orderNum]],ТабЗаказы[#Data],MATCH(D$7,ТабЗаказы[#Headers],0),0),"")</f>
        <v>Светлана от Александра</v>
      </c>
      <c r="E1589" s="85" t="s">
        <v>2237</v>
      </c>
      <c r="F1589" s="56" t="s">
        <v>3061</v>
      </c>
      <c r="H1589" s="34">
        <v>45665</v>
      </c>
      <c r="I1589" s="26">
        <v>1</v>
      </c>
      <c r="J1589" s="26">
        <v>320</v>
      </c>
      <c r="K1589">
        <f>ТабПозиции[[#This Row],[discountPrice]]*ТабПозиции[[#This Row],[quantity]]</f>
        <v>320</v>
      </c>
      <c r="L1589" s="26">
        <v>337</v>
      </c>
      <c r="M1589">
        <f t="shared" si="29"/>
        <v>337</v>
      </c>
      <c r="O158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Row],[orderNum]],ТабПозиции[orderSumm])&gt;1500),ABS(M1589*VLOOKUP(ТабПозиции[[#This Row],[orderNum]],ТабЗаказы[#Data],MATCH("Percent",ТабЗаказы[#Headers],0),0))/100,200/COUNTIF(ТабПозиции[orderNum],ТабПозиции[[#This Row],[orderNum]])),0),"")</f>
        <v>51</v>
      </c>
      <c r="P1589">
        <f>IF(OR(ТабПозиции[[#This Row],[item]]="По штрихкоду",ТабПозиции[[#This Row],[item]]="Посылка"),ТабПозиции[[#This Row],[deliverySumm]]+ТабПозиции[[#This Row],[deliveryPost]],SUM(M1589:O1589))</f>
        <v>388</v>
      </c>
      <c r="Q1589" s="57">
        <v>388</v>
      </c>
      <c r="R1589" s="62">
        <f>ТабПозиции[[#This Row],[totalSumm]]-ТабПозиции[[#This Row],[payment]]</f>
        <v>0</v>
      </c>
      <c r="S1589" s="34" t="s">
        <v>965</v>
      </c>
      <c r="T1589" s="56" t="s">
        <v>3061</v>
      </c>
      <c r="U1589" s="56" t="str">
        <f>IF(AND(ТабПозиции[[#This Row],[Остаток]]=0,ТабПозиции[[#This Row],[ord]]="true"),"true","false")</f>
        <v>true</v>
      </c>
      <c r="V1589" s="56" t="str">
        <f>IF(AND(ТабПозиции[[#This Row],[Остаток]]=0,ТабПозиции[[#This Row],[ord]]="true"),"true","false")</f>
        <v>true</v>
      </c>
      <c r="W1589" s="7"/>
      <c r="X1589"/>
    </row>
    <row r="1590" spans="1:24" x14ac:dyDescent="0.25">
      <c r="A1590" s="26">
        <v>262</v>
      </c>
      <c r="B1590" s="1">
        <f>IFERROR(VLOOKUP(ТабПозиции[[#This Row],[orderNum]],ТабЗаказы[#Data],MATCH(B$7,ТабЗаказы[#Headers],0),0),"")</f>
        <v>45663</v>
      </c>
      <c r="C1590" t="str">
        <f>MONTH(ТабПозиции[[#This Row],[date]])&amp;"/"&amp;YEAR(ТабПозиции[[#This Row],[date]])</f>
        <v>1/2025</v>
      </c>
      <c r="D1590" s="1" t="str">
        <f>IFERROR(VLOOKUP(ТабПозиции[[#This Row],[orderNum]],ТабЗаказы[#Data],MATCH(D$7,ТабЗаказы[#Headers],0),0),"")</f>
        <v>Светлана от Александра</v>
      </c>
      <c r="E1590" s="85" t="s">
        <v>2238</v>
      </c>
      <c r="F1590" s="56" t="s">
        <v>3061</v>
      </c>
      <c r="H1590" s="34">
        <v>45667</v>
      </c>
      <c r="I1590" s="26">
        <v>1</v>
      </c>
      <c r="J1590" s="26">
        <v>2713</v>
      </c>
      <c r="K1590">
        <f>ТабПозиции[[#This Row],[discountPrice]]*ТабПозиции[[#This Row],[quantity]]</f>
        <v>2713</v>
      </c>
      <c r="L1590" s="26">
        <v>2856</v>
      </c>
      <c r="M1590">
        <f t="shared" si="29"/>
        <v>2856</v>
      </c>
      <c r="O159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Row],[orderNum]],ТабПозиции[orderSumm])&gt;1500),ABS(M1590*VLOOKUP(ТабПозиции[[#This Row],[orderNum]],ТабЗаказы[#Data],MATCH("Percent",ТабЗаказы[#Headers],0),0))/100,200/COUNTIF(ТабПозиции[orderNum],ТабПозиции[[#This Row],[orderNum]])),0),"")</f>
        <v>428</v>
      </c>
      <c r="P1590">
        <f>IF(OR(ТабПозиции[[#This Row],[item]]="По штрихкоду",ТабПозиции[[#This Row],[item]]="Посылка"),ТабПозиции[[#This Row],[deliverySumm]]+ТабПозиции[[#This Row],[deliveryPost]],SUM(M1590:O1590))</f>
        <v>3284</v>
      </c>
      <c r="Q1590" s="57">
        <v>3284</v>
      </c>
      <c r="R1590" s="62">
        <f>ТабПозиции[[#This Row],[totalSumm]]-ТабПозиции[[#This Row],[payment]]</f>
        <v>0</v>
      </c>
      <c r="S1590" s="34" t="s">
        <v>965</v>
      </c>
      <c r="T1590" s="56" t="s">
        <v>3061</v>
      </c>
      <c r="U1590" s="56" t="str">
        <f>IF(AND(ТабПозиции[[#This Row],[Остаток]]=0,ТабПозиции[[#This Row],[ord]]="true"),"true","false")</f>
        <v>true</v>
      </c>
      <c r="V1590" s="56" t="s">
        <v>3061</v>
      </c>
      <c r="W1590" s="7"/>
      <c r="X1590"/>
    </row>
    <row r="1591" spans="1:24" x14ac:dyDescent="0.25">
      <c r="A1591" s="26">
        <v>262</v>
      </c>
      <c r="B1591" s="1">
        <f>IFERROR(VLOOKUP(ТабПозиции[[#This Row],[orderNum]],ТабЗаказы[#Data],MATCH(B$7,ТабЗаказы[#Headers],0),0),"")</f>
        <v>45663</v>
      </c>
      <c r="C1591" t="str">
        <f>MONTH(ТабПозиции[[#This Row],[date]])&amp;"/"&amp;YEAR(ТабПозиции[[#This Row],[date]])</f>
        <v>1/2025</v>
      </c>
      <c r="D1591" s="1" t="str">
        <f>IFERROR(VLOOKUP(ТабПозиции[[#This Row],[orderNum]],ТабЗаказы[#Data],MATCH(D$7,ТабЗаказы[#Headers],0),0),"")</f>
        <v>Светлана от Александра</v>
      </c>
      <c r="E1591" s="85" t="s">
        <v>2239</v>
      </c>
      <c r="F1591" s="56" t="s">
        <v>3061</v>
      </c>
      <c r="H1591" s="34">
        <v>45667</v>
      </c>
      <c r="I1591" s="26">
        <v>1</v>
      </c>
      <c r="J1591" s="26">
        <v>362</v>
      </c>
      <c r="K1591">
        <f>ТабПозиции[[#This Row],[discountPrice]]*ТабПозиции[[#This Row],[quantity]]</f>
        <v>362</v>
      </c>
      <c r="L1591" s="26">
        <v>382</v>
      </c>
      <c r="M1591">
        <f t="shared" si="29"/>
        <v>382</v>
      </c>
      <c r="O159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Row],[orderNum]],ТабПозиции[orderSumm])&gt;1500),ABS(M1591*VLOOKUP(ТабПозиции[[#This Row],[orderNum]],ТабЗаказы[#Data],MATCH("Percent",ТабЗаказы[#Headers],0),0))/100,200/COUNTIF(ТабПозиции[orderNum],ТабПозиции[[#This Row],[orderNum]])),0),"")</f>
        <v>57</v>
      </c>
      <c r="P1591">
        <f>IF(OR(ТабПозиции[[#This Row],[item]]="По штрихкоду",ТабПозиции[[#This Row],[item]]="Посылка"),ТабПозиции[[#This Row],[deliverySumm]]+ТабПозиции[[#This Row],[deliveryPost]],SUM(M1591:O1591))</f>
        <v>439</v>
      </c>
      <c r="Q1591" s="57">
        <v>439</v>
      </c>
      <c r="R1591" s="62">
        <f>ТабПозиции[[#This Row],[totalSumm]]-ТабПозиции[[#This Row],[payment]]</f>
        <v>0</v>
      </c>
      <c r="S1591" s="34" t="s">
        <v>965</v>
      </c>
      <c r="T1591" s="56" t="s">
        <v>3061</v>
      </c>
      <c r="U1591" s="56" t="str">
        <f>IF(AND(ТабПозиции[[#This Row],[Остаток]]=0,ТабПозиции[[#This Row],[ord]]="true"),"true","false")</f>
        <v>true</v>
      </c>
      <c r="V1591" s="56" t="str">
        <f>IF(AND(ТабПозиции[[#This Row],[Остаток]]=0,ТабПозиции[[#This Row],[ord]]="true"),"true","false")</f>
        <v>true</v>
      </c>
      <c r="W1591" s="7"/>
      <c r="X1591"/>
    </row>
    <row r="1592" spans="1:24" x14ac:dyDescent="0.25">
      <c r="A1592" s="26">
        <v>262</v>
      </c>
      <c r="B1592" s="1">
        <f>IFERROR(VLOOKUP(ТабПозиции[[#This Row],[orderNum]],ТабЗаказы[#Data],MATCH(B$7,ТабЗаказы[#Headers],0),0),"")</f>
        <v>45663</v>
      </c>
      <c r="C1592" t="str">
        <f>MONTH(ТабПозиции[[#This Row],[date]])&amp;"/"&amp;YEAR(ТабПозиции[[#This Row],[date]])</f>
        <v>1/2025</v>
      </c>
      <c r="D1592" s="1" t="str">
        <f>IFERROR(VLOOKUP(ТабПозиции[[#This Row],[orderNum]],ТабЗаказы[#Data],MATCH(D$7,ТабЗаказы[#Headers],0),0),"")</f>
        <v>Светлана от Александра</v>
      </c>
      <c r="E1592" s="85" t="s">
        <v>2036</v>
      </c>
      <c r="F1592" s="56" t="s">
        <v>3061</v>
      </c>
      <c r="H1592" s="34">
        <v>45669</v>
      </c>
      <c r="I1592" s="26">
        <v>1</v>
      </c>
      <c r="J1592" s="26">
        <v>447</v>
      </c>
      <c r="K1592">
        <f>ТабПозиции[[#This Row],[discountPrice]]*ТабПозиции[[#This Row],[quantity]]</f>
        <v>447</v>
      </c>
      <c r="L1592" s="26">
        <v>471</v>
      </c>
      <c r="M1592">
        <f t="shared" si="29"/>
        <v>471</v>
      </c>
      <c r="O159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Row],[orderNum]],ТабПозиции[orderSumm])&gt;1500),ABS(M1592*VLOOKUP(ТабПозиции[[#This Row],[orderNum]],ТабЗаказы[#Data],MATCH("Percent",ТабЗаказы[#Headers],0),0))/100,200/COUNTIF(ТабПозиции[orderNum],ТабПозиции[[#This Row],[orderNum]])),0),"")</f>
        <v>71</v>
      </c>
      <c r="P1592">
        <f>IF(OR(ТабПозиции[[#This Row],[item]]="По штрихкоду",ТабПозиции[[#This Row],[item]]="Посылка"),ТабПозиции[[#This Row],[deliverySumm]]+ТабПозиции[[#This Row],[deliveryPost]],SUM(M1592:O1592))</f>
        <v>542</v>
      </c>
      <c r="Q1592" s="57">
        <v>542</v>
      </c>
      <c r="R1592" s="62">
        <f>ТабПозиции[[#This Row],[totalSumm]]-ТабПозиции[[#This Row],[payment]]</f>
        <v>0</v>
      </c>
      <c r="S1592" s="34" t="s">
        <v>965</v>
      </c>
      <c r="T1592" s="56" t="s">
        <v>3061</v>
      </c>
      <c r="U1592" s="56" t="str">
        <f>IF(AND(ТабПозиции[[#This Row],[Остаток]]=0,ТабПозиции[[#This Row],[ord]]="true"),"true","false")</f>
        <v>true</v>
      </c>
      <c r="V1592" s="56" t="s">
        <v>3061</v>
      </c>
      <c r="W1592" s="7"/>
      <c r="X1592"/>
    </row>
    <row r="1593" spans="1:24" x14ac:dyDescent="0.25">
      <c r="A1593" s="26">
        <v>262</v>
      </c>
      <c r="B1593" s="1">
        <f>IFERROR(VLOOKUP(ТабПозиции[[#This Row],[orderNum]],ТабЗаказы[#Data],MATCH(B$7,ТабЗаказы[#Headers],0),0),"")</f>
        <v>45663</v>
      </c>
      <c r="C1593" t="str">
        <f>MONTH(ТабПозиции[[#This Row],[date]])&amp;"/"&amp;YEAR(ТабПозиции[[#This Row],[date]])</f>
        <v>1/2025</v>
      </c>
      <c r="D1593" s="1" t="str">
        <f>IFERROR(VLOOKUP(ТабПозиции[[#This Row],[orderNum]],ТабЗаказы[#Data],MATCH(D$7,ТабЗаказы[#Headers],0),0),"")</f>
        <v>Светлана от Александра</v>
      </c>
      <c r="E1593" s="85" t="s">
        <v>1799</v>
      </c>
      <c r="F1593" s="56" t="s">
        <v>3061</v>
      </c>
      <c r="H1593" s="34">
        <v>45668</v>
      </c>
      <c r="I1593" s="26">
        <v>1</v>
      </c>
      <c r="J1593" s="26">
        <v>502</v>
      </c>
      <c r="K1593">
        <f>ТабПозиции[[#This Row],[discountPrice]]*ТабПозиции[[#This Row],[quantity]]</f>
        <v>502</v>
      </c>
      <c r="L1593" s="26">
        <v>529</v>
      </c>
      <c r="M1593">
        <f t="shared" si="29"/>
        <v>529</v>
      </c>
      <c r="O159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Row],[orderNum]],ТабПозиции[orderSumm])&gt;1500),ABS(M1593*VLOOKUP(ТабПозиции[[#This Row],[orderNum]],ТабЗаказы[#Data],MATCH("Percent",ТабЗаказы[#Headers],0),0))/100,200/COUNTIF(ТабПозиции[orderNum],ТабПозиции[[#This Row],[orderNum]])),0),"")</f>
        <v>79</v>
      </c>
      <c r="P1593">
        <f>IF(OR(ТабПозиции[[#This Row],[item]]="По штрихкоду",ТабПозиции[[#This Row],[item]]="Посылка"),ТабПозиции[[#This Row],[deliverySumm]]+ТабПозиции[[#This Row],[deliveryPost]],SUM(M1593:O1593))</f>
        <v>608</v>
      </c>
      <c r="Q1593" s="57">
        <v>608</v>
      </c>
      <c r="R1593" s="62">
        <f>ТабПозиции[[#This Row],[totalSumm]]-ТабПозиции[[#This Row],[payment]]</f>
        <v>0</v>
      </c>
      <c r="S1593" s="34" t="s">
        <v>965</v>
      </c>
      <c r="T1593" s="56" t="s">
        <v>3061</v>
      </c>
      <c r="U1593" s="56" t="str">
        <f>IF(AND(ТабПозиции[[#This Row],[Остаток]]=0,ТабПозиции[[#This Row],[ord]]="true"),"true","false")</f>
        <v>true</v>
      </c>
      <c r="V1593" s="56" t="str">
        <f>IF(AND(ТабПозиции[[#This Row],[Остаток]]=0,ТабПозиции[[#This Row],[ord]]="true"),"true","false")</f>
        <v>true</v>
      </c>
      <c r="W1593" s="7"/>
      <c r="X1593"/>
    </row>
    <row r="1594" spans="1:24" x14ac:dyDescent="0.25">
      <c r="A1594" s="26">
        <v>262</v>
      </c>
      <c r="B1594" s="1">
        <f>IFERROR(VLOOKUP(ТабПозиции[[#This Row],[orderNum]],ТабЗаказы[#Data],MATCH(B$7,ТабЗаказы[#Headers],0),0),"")</f>
        <v>45663</v>
      </c>
      <c r="C1594" t="str">
        <f>MONTH(ТабПозиции[[#This Row],[date]])&amp;"/"&amp;YEAR(ТабПозиции[[#This Row],[date]])</f>
        <v>1/2025</v>
      </c>
      <c r="D1594" s="1" t="str">
        <f>IFERROR(VLOOKUP(ТабПозиции[[#This Row],[orderNum]],ТабЗаказы[#Data],MATCH(D$7,ТабЗаказы[#Headers],0),0),"")</f>
        <v>Светлана от Александра</v>
      </c>
      <c r="E1594" s="85" t="s">
        <v>2240</v>
      </c>
      <c r="F1594" s="56" t="s">
        <v>3061</v>
      </c>
      <c r="H1594" s="34">
        <v>45668</v>
      </c>
      <c r="I1594" s="26">
        <v>1</v>
      </c>
      <c r="J1594" s="26">
        <v>397</v>
      </c>
      <c r="K1594">
        <f>ТабПозиции[[#This Row],[discountPrice]]*ТабПозиции[[#This Row],[quantity]]</f>
        <v>397</v>
      </c>
      <c r="L1594" s="26">
        <v>418</v>
      </c>
      <c r="M1594">
        <f t="shared" si="29"/>
        <v>418</v>
      </c>
      <c r="O159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Row],[orderNum]],ТабПозиции[orderSumm])&gt;1500),ABS(M1594*VLOOKUP(ТабПозиции[[#This Row],[orderNum]],ТабЗаказы[#Data],MATCH("Percent",ТабЗаказы[#Headers],0),0))/100,200/COUNTIF(ТабПозиции[orderNum],ТабПозиции[[#This Row],[orderNum]])),0),"")</f>
        <v>63</v>
      </c>
      <c r="P1594">
        <f>IF(OR(ТабПозиции[[#This Row],[item]]="По штрихкоду",ТабПозиции[[#This Row],[item]]="Посылка"),ТабПозиции[[#This Row],[deliverySumm]]+ТабПозиции[[#This Row],[deliveryPost]],SUM(M1594:O1594))</f>
        <v>481</v>
      </c>
      <c r="Q1594" s="57">
        <v>481</v>
      </c>
      <c r="R1594" s="62">
        <f>ТабПозиции[[#This Row],[totalSumm]]-ТабПозиции[[#This Row],[payment]]</f>
        <v>0</v>
      </c>
      <c r="S1594" s="34" t="s">
        <v>965</v>
      </c>
      <c r="T1594" s="56" t="s">
        <v>3061</v>
      </c>
      <c r="U1594" s="56" t="str">
        <f>IF(AND(ТабПозиции[[#This Row],[Остаток]]=0,ТабПозиции[[#This Row],[ord]]="true"),"true","false")</f>
        <v>true</v>
      </c>
      <c r="V1594" s="56" t="s">
        <v>3061</v>
      </c>
      <c r="W1594" s="7"/>
      <c r="X1594"/>
    </row>
    <row r="1595" spans="1:24" x14ac:dyDescent="0.25">
      <c r="A1595" s="26">
        <v>262</v>
      </c>
      <c r="B1595" s="1">
        <f>IFERROR(VLOOKUP(ТабПозиции[[#This Row],[orderNum]],ТабЗаказы[#Data],MATCH(B$7,ТабЗаказы[#Headers],0),0),"")</f>
        <v>45663</v>
      </c>
      <c r="C1595" t="str">
        <f>MONTH(ТабПозиции[[#This Row],[date]])&amp;"/"&amp;YEAR(ТабПозиции[[#This Row],[date]])</f>
        <v>1/2025</v>
      </c>
      <c r="D1595" s="1" t="str">
        <f>IFERROR(VLOOKUP(ТабПозиции[[#This Row],[orderNum]],ТабЗаказы[#Data],MATCH(D$7,ТабЗаказы[#Headers],0),0),"")</f>
        <v>Светлана от Александра</v>
      </c>
      <c r="E1595" s="85" t="s">
        <v>2241</v>
      </c>
      <c r="F1595" s="56" t="s">
        <v>3061</v>
      </c>
      <c r="H1595" s="34">
        <v>45667</v>
      </c>
      <c r="I1595" s="26">
        <v>1</v>
      </c>
      <c r="J1595" s="26">
        <v>156</v>
      </c>
      <c r="K1595">
        <f>ТабПозиции[[#This Row],[discountPrice]]*ТабПозиции[[#This Row],[quantity]]</f>
        <v>156</v>
      </c>
      <c r="L1595" s="26">
        <v>165</v>
      </c>
      <c r="M1595">
        <f t="shared" si="29"/>
        <v>165</v>
      </c>
      <c r="O159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Row],[orderNum]],ТабПозиции[orderSumm])&gt;1500),ABS(M1595*VLOOKUP(ТабПозиции[[#This Row],[orderNum]],ТабЗаказы[#Data],MATCH("Percent",ТабЗаказы[#Headers],0),0))/100,200/COUNTIF(ТабПозиции[orderNum],ТабПозиции[[#This Row],[orderNum]])),0),"")</f>
        <v>25</v>
      </c>
      <c r="P1595">
        <f>IF(OR(ТабПозиции[[#This Row],[item]]="По штрихкоду",ТабПозиции[[#This Row],[item]]="Посылка"),ТабПозиции[[#This Row],[deliverySumm]]+ТабПозиции[[#This Row],[deliveryPost]],SUM(M1595:O1595))</f>
        <v>190</v>
      </c>
      <c r="Q1595" s="57">
        <v>190</v>
      </c>
      <c r="R1595" s="62">
        <f>ТабПозиции[[#This Row],[totalSumm]]-ТабПозиции[[#This Row],[payment]]</f>
        <v>0</v>
      </c>
      <c r="S1595" s="34" t="s">
        <v>965</v>
      </c>
      <c r="T1595" s="56" t="s">
        <v>3061</v>
      </c>
      <c r="U1595" s="56" t="str">
        <f>IF(AND(ТабПозиции[[#This Row],[Остаток]]=0,ТабПозиции[[#This Row],[ord]]="true"),"true","false")</f>
        <v>true</v>
      </c>
      <c r="V1595" s="56" t="str">
        <f>IF(AND(ТабПозиции[[#This Row],[Остаток]]=0,ТабПозиции[[#This Row],[ord]]="true"),"true","false")</f>
        <v>true</v>
      </c>
      <c r="W1595" s="7"/>
      <c r="X1595"/>
    </row>
    <row r="1596" spans="1:24" x14ac:dyDescent="0.25">
      <c r="A1596" s="26">
        <v>262</v>
      </c>
      <c r="B1596" s="1">
        <f>IFERROR(VLOOKUP(ТабПозиции[[#This Row],[orderNum]],ТабЗаказы[#Data],MATCH(B$7,ТабЗаказы[#Headers],0),0),"")</f>
        <v>45663</v>
      </c>
      <c r="C1596" t="str">
        <f>MONTH(ТабПозиции[[#This Row],[date]])&amp;"/"&amp;YEAR(ТабПозиции[[#This Row],[date]])</f>
        <v>1/2025</v>
      </c>
      <c r="D1596" s="1" t="str">
        <f>IFERROR(VLOOKUP(ТабПозиции[[#This Row],[orderNum]],ТабЗаказы[#Data],MATCH(D$7,ТабЗаказы[#Headers],0),0),"")</f>
        <v>Светлана от Александра</v>
      </c>
      <c r="E1596" s="85" t="s">
        <v>2242</v>
      </c>
      <c r="F1596" s="56" t="s">
        <v>3061</v>
      </c>
      <c r="H1596" s="34">
        <v>45667</v>
      </c>
      <c r="I1596" s="26">
        <v>1</v>
      </c>
      <c r="J1596" s="26">
        <v>1423</v>
      </c>
      <c r="K1596">
        <f>ТабПозиции[[#This Row],[discountPrice]]*ТабПозиции[[#This Row],[quantity]]</f>
        <v>1423</v>
      </c>
      <c r="L1596" s="26">
        <v>1498</v>
      </c>
      <c r="M1596">
        <f t="shared" si="29"/>
        <v>1498</v>
      </c>
      <c r="O159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Row],[orderNum]],ТабПозиции[orderSumm])&gt;1500),ABS(M1596*VLOOKUP(ТабПозиции[[#This Row],[orderNum]],ТабЗаказы[#Data],MATCH("Percent",ТабЗаказы[#Headers],0),0))/100,200/COUNTIF(ТабПозиции[orderNum],ТабПозиции[[#This Row],[orderNum]])),0),"")</f>
        <v>225</v>
      </c>
      <c r="P1596">
        <f>IF(OR(ТабПозиции[[#This Row],[item]]="По штрихкоду",ТабПозиции[[#This Row],[item]]="Посылка"),ТабПозиции[[#This Row],[deliverySumm]]+ТабПозиции[[#This Row],[deliveryPost]],SUM(M1596:O1596))</f>
        <v>1723</v>
      </c>
      <c r="Q1596" s="57">
        <v>1723</v>
      </c>
      <c r="R1596" s="62">
        <f>ТабПозиции[[#This Row],[totalSumm]]-ТабПозиции[[#This Row],[payment]]</f>
        <v>0</v>
      </c>
      <c r="S1596" s="34" t="s">
        <v>965</v>
      </c>
      <c r="T1596" s="56" t="s">
        <v>3061</v>
      </c>
      <c r="U1596" s="56" t="str">
        <f>IF(AND(ТабПозиции[[#This Row],[Остаток]]=0,ТабПозиции[[#This Row],[ord]]="true"),"true","false")</f>
        <v>true</v>
      </c>
      <c r="V1596" s="56" t="s">
        <v>3061</v>
      </c>
      <c r="W1596" s="7"/>
      <c r="X1596"/>
    </row>
    <row r="1597" spans="1:24" x14ac:dyDescent="0.25">
      <c r="A1597" s="26">
        <v>420</v>
      </c>
      <c r="B1597" s="1">
        <f>IFERROR(VLOOKUP(ТабПозиции[[#This Row],[orderNum]],ТабЗаказы[#Data],MATCH(B$7,ТабЗаказы[#Headers],0),0),"")</f>
        <v>45665</v>
      </c>
      <c r="C1597" t="str">
        <f>MONTH(ТабПозиции[[#This Row],[date]])&amp;"/"&amp;YEAR(ТабПозиции[[#This Row],[date]])</f>
        <v>1/2025</v>
      </c>
      <c r="D1597" s="1" t="str">
        <f>IFERROR(VLOOKUP(ТабПозиции[[#This Row],[orderNum]],ТабЗаказы[#Data],MATCH(D$7,ТабЗаказы[#Headers],0),0),"")</f>
        <v>Юля Ларисына</v>
      </c>
      <c r="E1597" s="85" t="s">
        <v>2243</v>
      </c>
      <c r="F1597" s="56" t="s">
        <v>3061</v>
      </c>
      <c r="H1597" s="34">
        <v>45668</v>
      </c>
      <c r="I1597" s="26">
        <v>1</v>
      </c>
      <c r="J1597" s="26">
        <v>1228</v>
      </c>
      <c r="K1597">
        <f>ТабПозиции[[#This Row],[discountPrice]]*ТабПозиции[[#This Row],[quantity]]</f>
        <v>1228</v>
      </c>
      <c r="L1597" s="26">
        <v>1293</v>
      </c>
      <c r="M1597">
        <f t="shared" si="29"/>
        <v>1293</v>
      </c>
      <c r="O159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Row],[orderNum]],ТабПозиции[orderSumm])&gt;1500),ABS(M1597*VLOOKUP(ТабПозиции[[#This Row],[orderNum]],ТабЗаказы[#Data],MATCH("Percent",ТабЗаказы[#Headers],0),0))/100,200/COUNTIF(ТабПозиции[orderNum],ТабПозиции[[#This Row],[orderNum]])),0),"")</f>
        <v>194</v>
      </c>
      <c r="P1597">
        <f>IF(OR(ТабПозиции[[#This Row],[item]]="По штрихкоду",ТабПозиции[[#This Row],[item]]="Посылка"),ТабПозиции[[#This Row],[deliverySumm]]+ТабПозиции[[#This Row],[deliveryPost]],SUM(M1597:O1597))</f>
        <v>1487</v>
      </c>
      <c r="Q1597" s="57">
        <v>1487</v>
      </c>
      <c r="R1597" s="62">
        <f>ТабПозиции[[#This Row],[totalSumm]]-ТабПозиции[[#This Row],[payment]]</f>
        <v>0</v>
      </c>
      <c r="S1597" s="34" t="s">
        <v>965</v>
      </c>
      <c r="T1597" s="56" t="s">
        <v>3061</v>
      </c>
      <c r="U1597" s="56" t="str">
        <f>IF(AND(ТабПозиции[[#This Row],[Остаток]]=0,ТабПозиции[[#This Row],[ord]]="true"),"true","false")</f>
        <v>true</v>
      </c>
      <c r="V1597" s="56" t="s">
        <v>3061</v>
      </c>
      <c r="W1597" s="7"/>
      <c r="X1597"/>
    </row>
    <row r="1598" spans="1:24" x14ac:dyDescent="0.25">
      <c r="A1598" s="26">
        <v>420</v>
      </c>
      <c r="B1598" s="1">
        <f>IFERROR(VLOOKUP(ТабПозиции[[#This Row],[orderNum]],ТабЗаказы[#Data],MATCH(B$7,ТабЗаказы[#Headers],0),0),"")</f>
        <v>45665</v>
      </c>
      <c r="C1598" t="str">
        <f>MONTH(ТабПозиции[[#This Row],[date]])&amp;"/"&amp;YEAR(ТабПозиции[[#This Row],[date]])</f>
        <v>1/2025</v>
      </c>
      <c r="D1598" s="1" t="str">
        <f>IFERROR(VLOOKUP(ТабПозиции[[#This Row],[orderNum]],ТабЗаказы[#Data],MATCH(D$7,ТабЗаказы[#Headers],0),0),"")</f>
        <v>Юля Ларисына</v>
      </c>
      <c r="E1598" s="85" t="s">
        <v>2031</v>
      </c>
      <c r="F1598" s="56" t="s">
        <v>3061</v>
      </c>
      <c r="H1598" s="34">
        <v>45669</v>
      </c>
      <c r="I1598" s="26">
        <v>1</v>
      </c>
      <c r="J1598" s="26">
        <v>320</v>
      </c>
      <c r="K1598">
        <f>ТабПозиции[[#This Row],[discountPrice]]*ТабПозиции[[#This Row],[quantity]]</f>
        <v>320</v>
      </c>
      <c r="L1598" s="26">
        <v>337</v>
      </c>
      <c r="M1598">
        <f t="shared" si="29"/>
        <v>337</v>
      </c>
      <c r="O159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Row],[orderNum]],ТабПозиции[orderSumm])&gt;1500),ABS(M1598*VLOOKUP(ТабПозиции[[#This Row],[orderNum]],ТабЗаказы[#Data],MATCH("Percent",ТабЗаказы[#Headers],0),0))/100,200/COUNTIF(ТабПозиции[orderNum],ТабПозиции[[#This Row],[orderNum]])),0),"")</f>
        <v>51</v>
      </c>
      <c r="P1598">
        <f>IF(OR(ТабПозиции[[#This Row],[item]]="По штрихкоду",ТабПозиции[[#This Row],[item]]="Посылка"),ТабПозиции[[#This Row],[deliverySumm]]+ТабПозиции[[#This Row],[deliveryPost]],SUM(M1598:O1598))</f>
        <v>388</v>
      </c>
      <c r="Q1598" s="57">
        <v>388</v>
      </c>
      <c r="R1598" s="62">
        <f>ТабПозиции[[#This Row],[totalSumm]]-ТабПозиции[[#This Row],[payment]]</f>
        <v>0</v>
      </c>
      <c r="S1598" s="34" t="s">
        <v>965</v>
      </c>
      <c r="T1598" s="56" t="s">
        <v>3061</v>
      </c>
      <c r="U1598" s="56" t="str">
        <f>IF(AND(ТабПозиции[[#This Row],[Остаток]]=0,ТабПозиции[[#This Row],[ord]]="true"),"true","false")</f>
        <v>true</v>
      </c>
      <c r="V1598" s="56" t="s">
        <v>3061</v>
      </c>
      <c r="W1598" s="7"/>
      <c r="X1598"/>
    </row>
    <row r="1599" spans="1:24" x14ac:dyDescent="0.25">
      <c r="A1599" s="26">
        <v>420</v>
      </c>
      <c r="B1599" s="1">
        <f>IFERROR(VLOOKUP(ТабПозиции[[#This Row],[orderNum]],ТабЗаказы[#Data],MATCH(B$7,ТабЗаказы[#Headers],0),0),"")</f>
        <v>45665</v>
      </c>
      <c r="C1599" t="str">
        <f>MONTH(ТабПозиции[[#This Row],[date]])&amp;"/"&amp;YEAR(ТабПозиции[[#This Row],[date]])</f>
        <v>1/2025</v>
      </c>
      <c r="D1599" s="1" t="str">
        <f>IFERROR(VLOOKUP(ТабПозиции[[#This Row],[orderNum]],ТабЗаказы[#Data],MATCH(D$7,ТабЗаказы[#Headers],0),0),"")</f>
        <v>Юля Ларисына</v>
      </c>
      <c r="E1599" s="85" t="s">
        <v>2244</v>
      </c>
      <c r="F1599" s="56" t="s">
        <v>3061</v>
      </c>
      <c r="H1599" s="34">
        <v>45667</v>
      </c>
      <c r="I1599" s="26">
        <v>1</v>
      </c>
      <c r="J1599" s="26">
        <v>247</v>
      </c>
      <c r="K1599">
        <f>ТабПозиции[[#This Row],[discountPrice]]*ТабПозиции[[#This Row],[quantity]]</f>
        <v>247</v>
      </c>
      <c r="L1599" s="26">
        <v>261</v>
      </c>
      <c r="M1599">
        <f t="shared" si="29"/>
        <v>261</v>
      </c>
      <c r="O159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Row],[orderNum]],ТабПозиции[orderSumm])&gt;1500),ABS(M1599*VLOOKUP(ТабПозиции[[#This Row],[orderNum]],ТабЗаказы[#Data],MATCH("Percent",ТабЗаказы[#Headers],0),0))/100,200/COUNTIF(ТабПозиции[orderNum],ТабПозиции[[#This Row],[orderNum]])),0),"")</f>
        <v>39</v>
      </c>
      <c r="P1599">
        <f>IF(OR(ТабПозиции[[#This Row],[item]]="По штрихкоду",ТабПозиции[[#This Row],[item]]="Посылка"),ТабПозиции[[#This Row],[deliverySumm]]+ТабПозиции[[#This Row],[deliveryPost]],SUM(M1599:O1599))</f>
        <v>300</v>
      </c>
      <c r="Q1599" s="57">
        <v>300</v>
      </c>
      <c r="R1599" s="62">
        <f>ТабПозиции[[#This Row],[totalSumm]]-ТабПозиции[[#This Row],[payment]]</f>
        <v>0</v>
      </c>
      <c r="S1599" s="34" t="s">
        <v>965</v>
      </c>
      <c r="T1599" s="56" t="s">
        <v>3061</v>
      </c>
      <c r="U1599" s="56" t="str">
        <f>IF(AND(ТабПозиции[[#This Row],[Остаток]]=0,ТабПозиции[[#This Row],[ord]]="true"),"true","false")</f>
        <v>true</v>
      </c>
      <c r="V1599" s="56" t="s">
        <v>3061</v>
      </c>
      <c r="W1599" s="7"/>
      <c r="X1599"/>
    </row>
    <row r="1600" spans="1:24" x14ac:dyDescent="0.25">
      <c r="A1600" s="26">
        <v>420</v>
      </c>
      <c r="B1600" s="1">
        <f>IFERROR(VLOOKUP(ТабПозиции[[#This Row],[orderNum]],ТабЗаказы[#Data],MATCH(B$7,ТабЗаказы[#Headers],0),0),"")</f>
        <v>45665</v>
      </c>
      <c r="C1600" t="str">
        <f>MONTH(ТабПозиции[[#This Row],[date]])&amp;"/"&amp;YEAR(ТабПозиции[[#This Row],[date]])</f>
        <v>1/2025</v>
      </c>
      <c r="D1600" s="1" t="str">
        <f>IFERROR(VLOOKUP(ТабПозиции[[#This Row],[orderNum]],ТабЗаказы[#Data],MATCH(D$7,ТабЗаказы[#Headers],0),0),"")</f>
        <v>Юля Ларисына</v>
      </c>
      <c r="E1600" s="85" t="s">
        <v>2245</v>
      </c>
      <c r="F1600" s="56" t="s">
        <v>3061</v>
      </c>
      <c r="H1600" s="34">
        <v>45669</v>
      </c>
      <c r="I1600" s="26">
        <v>1</v>
      </c>
      <c r="J1600" s="26">
        <v>323</v>
      </c>
      <c r="K1600">
        <f>ТабПозиции[[#This Row],[discountPrice]]*ТабПозиции[[#This Row],[quantity]]</f>
        <v>323</v>
      </c>
      <c r="L1600" s="26">
        <v>340</v>
      </c>
      <c r="M1600">
        <f t="shared" si="29"/>
        <v>340</v>
      </c>
      <c r="O160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Row],[orderNum]],ТабПозиции[orderSumm])&gt;1500),ABS(M1600*VLOOKUP(ТабПозиции[[#This Row],[orderNum]],ТабЗаказы[#Data],MATCH("Percent",ТабЗаказы[#Headers],0),0))/100,200/COUNTIF(ТабПозиции[orderNum],ТабПозиции[[#This Row],[orderNum]])),0),"")</f>
        <v>51</v>
      </c>
      <c r="P1600">
        <f>IF(OR(ТабПозиции[[#This Row],[item]]="По штрихкоду",ТабПозиции[[#This Row],[item]]="Посылка"),ТабПозиции[[#This Row],[deliverySumm]]+ТабПозиции[[#This Row],[deliveryPost]],SUM(M1600:O1600))</f>
        <v>391</v>
      </c>
      <c r="Q1600" s="57">
        <v>391</v>
      </c>
      <c r="R1600" s="62">
        <f>ТабПозиции[[#This Row],[totalSumm]]-ТабПозиции[[#This Row],[payment]]</f>
        <v>0</v>
      </c>
      <c r="S1600" s="34" t="s">
        <v>965</v>
      </c>
      <c r="T1600" s="56" t="s">
        <v>3061</v>
      </c>
      <c r="U1600" s="56" t="str">
        <f>IF(AND(ТабПозиции[[#This Row],[Остаток]]=0,ТабПозиции[[#This Row],[ord]]="true"),"true","false")</f>
        <v>true</v>
      </c>
      <c r="V1600" s="56" t="s">
        <v>3061</v>
      </c>
      <c r="W1600" s="7"/>
      <c r="X1600"/>
    </row>
    <row r="1601" spans="1:24" x14ac:dyDescent="0.25">
      <c r="A1601" s="26">
        <v>420</v>
      </c>
      <c r="B1601" s="1">
        <f>IFERROR(VLOOKUP(ТабПозиции[[#This Row],[orderNum]],ТабЗаказы[#Data],MATCH(B$7,ТабЗаказы[#Headers],0),0),"")</f>
        <v>45665</v>
      </c>
      <c r="C1601" t="str">
        <f>MONTH(ТабПозиции[[#This Row],[date]])&amp;"/"&amp;YEAR(ТабПозиции[[#This Row],[date]])</f>
        <v>1/2025</v>
      </c>
      <c r="D1601" s="1" t="str">
        <f>IFERROR(VLOOKUP(ТабПозиции[[#This Row],[orderNum]],ТабЗаказы[#Data],MATCH(D$7,ТабЗаказы[#Headers],0),0),"")</f>
        <v>Юля Ларисына</v>
      </c>
      <c r="E1601" s="85" t="s">
        <v>2246</v>
      </c>
      <c r="F1601" s="56" t="s">
        <v>3061</v>
      </c>
      <c r="H1601" s="34">
        <v>45668</v>
      </c>
      <c r="I1601" s="26">
        <v>1</v>
      </c>
      <c r="J1601" s="26">
        <v>717</v>
      </c>
      <c r="K1601">
        <f>ТабПозиции[[#This Row],[discountPrice]]*ТабПозиции[[#This Row],[quantity]]</f>
        <v>717</v>
      </c>
      <c r="L1601" s="26">
        <v>755</v>
      </c>
      <c r="M1601">
        <f t="shared" si="29"/>
        <v>755</v>
      </c>
      <c r="O160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Row],[orderNum]],ТабПозиции[orderSumm])&gt;1500),ABS(M1601*VLOOKUP(ТабПозиции[[#This Row],[orderNum]],ТабЗаказы[#Data],MATCH("Percent",ТабЗаказы[#Headers],0),0))/100,200/COUNTIF(ТабПозиции[orderNum],ТабПозиции[[#This Row],[orderNum]])),0),"")</f>
        <v>113</v>
      </c>
      <c r="P1601">
        <f>IF(OR(ТабПозиции[[#This Row],[item]]="По штрихкоду",ТабПозиции[[#This Row],[item]]="Посылка"),ТабПозиции[[#This Row],[deliverySumm]]+ТабПозиции[[#This Row],[deliveryPost]],SUM(M1601:O1601))</f>
        <v>868</v>
      </c>
      <c r="Q1601" s="57">
        <v>868</v>
      </c>
      <c r="R1601" s="62">
        <f>ТабПозиции[[#This Row],[totalSumm]]-ТабПозиции[[#This Row],[payment]]</f>
        <v>0</v>
      </c>
      <c r="S1601" s="34" t="s">
        <v>965</v>
      </c>
      <c r="T1601" s="56" t="s">
        <v>3061</v>
      </c>
      <c r="U1601" s="56" t="str">
        <f>IF(AND(ТабПозиции[[#This Row],[Остаток]]=0,ТабПозиции[[#This Row],[ord]]="true"),"true","false")</f>
        <v>true</v>
      </c>
      <c r="V1601" s="56" t="s">
        <v>3061</v>
      </c>
      <c r="W1601" s="7"/>
      <c r="X1601"/>
    </row>
    <row r="1602" spans="1:24" x14ac:dyDescent="0.25">
      <c r="A1602" s="26">
        <v>262</v>
      </c>
      <c r="B1602" s="1">
        <f>IFERROR(VLOOKUP(ТабПозиции[[#This Row],[orderNum]],ТабЗаказы[#Data],MATCH(B$7,ТабЗаказы[#Headers],0),0),"")</f>
        <v>45663</v>
      </c>
      <c r="C1602" t="str">
        <f>MONTH(ТабПозиции[[#This Row],[date]])&amp;"/"&amp;YEAR(ТабПозиции[[#This Row],[date]])</f>
        <v>1/2025</v>
      </c>
      <c r="D1602" s="1" t="str">
        <f>IFERROR(VLOOKUP(ТабПозиции[[#This Row],[orderNum]],ТабЗаказы[#Data],MATCH(D$7,ТабЗаказы[#Headers],0),0),"")</f>
        <v>Светлана от Александра</v>
      </c>
      <c r="E1602" s="85" t="s">
        <v>2089</v>
      </c>
      <c r="F1602" s="56" t="s">
        <v>3061</v>
      </c>
      <c r="H1602" s="34">
        <v>45668</v>
      </c>
      <c r="I1602" s="26">
        <v>1</v>
      </c>
      <c r="J1602" s="26">
        <v>612</v>
      </c>
      <c r="K1602">
        <f>ТабПозиции[[#This Row],[discountPrice]]*ТабПозиции[[#This Row],[quantity]]</f>
        <v>612</v>
      </c>
      <c r="L1602" s="26">
        <v>645</v>
      </c>
      <c r="M1602">
        <f t="shared" si="29"/>
        <v>645</v>
      </c>
      <c r="O160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Row],[orderNum]],ТабПозиции[orderSumm])&gt;1500),ABS(M1602*VLOOKUP(ТабПозиции[[#This Row],[orderNum]],ТабЗаказы[#Data],MATCH("Percent",ТабЗаказы[#Headers],0),0))/100,200/COUNTIF(ТабПозиции[orderNum],ТабПозиции[[#This Row],[orderNum]])),0),"")</f>
        <v>97</v>
      </c>
      <c r="P1602">
        <f>IF(OR(ТабПозиции[[#This Row],[item]]="По штрихкоду",ТабПозиции[[#This Row],[item]]="Посылка"),ТабПозиции[[#This Row],[deliverySumm]]+ТабПозиции[[#This Row],[deliveryPost]],SUM(M1602:O1602))</f>
        <v>742</v>
      </c>
      <c r="Q1602" s="57">
        <v>742</v>
      </c>
      <c r="R1602" s="62">
        <f>ТабПозиции[[#This Row],[totalSumm]]-ТабПозиции[[#This Row],[payment]]</f>
        <v>0</v>
      </c>
      <c r="S1602" s="34" t="s">
        <v>965</v>
      </c>
      <c r="T1602" s="56" t="s">
        <v>3061</v>
      </c>
      <c r="U1602" s="56" t="str">
        <f>IF(AND(ТабПозиции[[#This Row],[Остаток]]=0,ТабПозиции[[#This Row],[ord]]="true"),"true","false")</f>
        <v>true</v>
      </c>
      <c r="V1602" s="56" t="s">
        <v>3061</v>
      </c>
      <c r="W1602" s="7"/>
      <c r="X1602"/>
    </row>
    <row r="1603" spans="1:24" x14ac:dyDescent="0.25">
      <c r="A1603" s="26">
        <v>262</v>
      </c>
      <c r="B1603" s="1">
        <f>IFERROR(VLOOKUP(ТабПозиции[[#This Row],[orderNum]],ТабЗаказы[#Data],MATCH(B$7,ТабЗаказы[#Headers],0),0),"")</f>
        <v>45663</v>
      </c>
      <c r="C1603" t="str">
        <f>MONTH(ТабПозиции[[#This Row],[date]])&amp;"/"&amp;YEAR(ТабПозиции[[#This Row],[date]])</f>
        <v>1/2025</v>
      </c>
      <c r="D1603" s="1" t="str">
        <f>IFERROR(VLOOKUP(ТабПозиции[[#This Row],[orderNum]],ТабЗаказы[#Data],MATCH(D$7,ТабЗаказы[#Headers],0),0),"")</f>
        <v>Светлана от Александра</v>
      </c>
      <c r="E1603" s="85" t="s">
        <v>2100</v>
      </c>
      <c r="F1603" s="56" t="s">
        <v>3061</v>
      </c>
      <c r="H1603" s="34">
        <v>45671</v>
      </c>
      <c r="I1603" s="26">
        <v>1</v>
      </c>
      <c r="J1603" s="26">
        <v>211</v>
      </c>
      <c r="K1603">
        <f>ТабПозиции[[#This Row],[discountPrice]]*ТабПозиции[[#This Row],[quantity]]</f>
        <v>211</v>
      </c>
      <c r="L1603" s="26">
        <v>223</v>
      </c>
      <c r="M1603">
        <f t="shared" si="29"/>
        <v>223</v>
      </c>
      <c r="O160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Row],[orderNum]],ТабПозиции[orderSumm])&gt;1500),ABS(M1603*VLOOKUP(ТабПозиции[[#This Row],[orderNum]],ТабЗаказы[#Data],MATCH("Percent",ТабЗаказы[#Headers],0),0))/100,200/COUNTIF(ТабПозиции[orderNum],ТабПозиции[[#This Row],[orderNum]])),0),"")</f>
        <v>33</v>
      </c>
      <c r="P1603">
        <f>IF(OR(ТабПозиции[[#This Row],[item]]="По штрихкоду",ТабПозиции[[#This Row],[item]]="Посылка"),ТабПозиции[[#This Row],[deliverySumm]]+ТабПозиции[[#This Row],[deliveryPost]],SUM(M1603:O1603))</f>
        <v>256</v>
      </c>
      <c r="Q1603" s="57">
        <v>256</v>
      </c>
      <c r="R1603" s="62">
        <f>ТабПозиции[[#This Row],[totalSumm]]-ТабПозиции[[#This Row],[payment]]</f>
        <v>0</v>
      </c>
      <c r="S1603" s="34" t="s">
        <v>965</v>
      </c>
      <c r="T1603" s="56" t="s">
        <v>3061</v>
      </c>
      <c r="U1603" s="56" t="str">
        <f>IF(AND(ТабПозиции[[#This Row],[Остаток]]=0,ТабПозиции[[#This Row],[ord]]="true"),"true","false")</f>
        <v>true</v>
      </c>
      <c r="V1603" s="56" t="s">
        <v>3061</v>
      </c>
      <c r="W1603" s="7"/>
      <c r="X1603"/>
    </row>
    <row r="1604" spans="1:24" x14ac:dyDescent="0.25">
      <c r="A1604" s="26">
        <v>421</v>
      </c>
      <c r="B1604" s="1">
        <f>IFERROR(VLOOKUP(ТабПозиции[[#This Row],[orderNum]],ТабЗаказы[#Data],MATCH(B$7,ТабЗаказы[#Headers],0),0),"")</f>
        <v>45666</v>
      </c>
      <c r="C1604" t="str">
        <f>MONTH(ТабПозиции[[#This Row],[date]])&amp;"/"&amp;YEAR(ТабПозиции[[#This Row],[date]])</f>
        <v>1/2025</v>
      </c>
      <c r="D1604" s="1" t="str">
        <f>IFERROR(VLOOKUP(ТабПозиции[[#This Row],[orderNum]],ТабЗаказы[#Data],MATCH(D$7,ТабЗаказы[#Headers],0),0),"")</f>
        <v>Алексей Бамси</v>
      </c>
      <c r="E1604" s="26" t="s">
        <v>815</v>
      </c>
      <c r="F1604" s="56" t="s">
        <v>3061</v>
      </c>
      <c r="G1604" s="28" t="s">
        <v>2247</v>
      </c>
      <c r="H1604" s="34">
        <v>45667</v>
      </c>
      <c r="I1604" s="26">
        <v>1</v>
      </c>
      <c r="J1604" s="26">
        <v>5200</v>
      </c>
      <c r="K1604">
        <f>ТабПозиции[[#This Row],[discountPrice]]*ТабПозиции[[#This Row],[quantity]]</f>
        <v>5200</v>
      </c>
      <c r="L1604" s="26">
        <v>5200</v>
      </c>
      <c r="M1604">
        <f t="shared" si="29"/>
        <v>5200</v>
      </c>
      <c r="N1604" s="26">
        <v>740</v>
      </c>
      <c r="O160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Row],[orderNum]],ТабПозиции[orderSumm])&gt;1500),ABS(M1604*VLOOKUP(ТабПозиции[[#This Row],[orderNum]],ТабЗаказы[#Data],MATCH("Percent",ТабЗаказы[#Headers],0),0))/100,200/COUNTIF(ТабПозиции[orderNum],ТабПозиции[[#This Row],[orderNum]])),0),"")</f>
        <v>780</v>
      </c>
      <c r="P1604">
        <f>IF(OR(ТабПозиции[[#This Row],[item]]="По штрихкоду",ТабПозиции[[#This Row],[item]]="Посылка"),ТабПозиции[[#This Row],[deliverySumm]]+ТабПозиции[[#This Row],[deliveryPost]],SUM(M1604:O1604))</f>
        <v>1520</v>
      </c>
      <c r="Q1604" s="57">
        <v>1520</v>
      </c>
      <c r="R1604" s="62">
        <f>ТабПозиции[[#This Row],[totalSumm]]-ТабПозиции[[#This Row],[payment]]</f>
        <v>0</v>
      </c>
      <c r="S1604" s="34" t="s">
        <v>1016</v>
      </c>
      <c r="T1604" s="56" t="s">
        <v>3061</v>
      </c>
      <c r="U1604" s="56" t="str">
        <f>IF(AND(ТабПозиции[[#This Row],[Остаток]]=0,ТабПозиции[[#This Row],[ord]]="true"),"true","false")</f>
        <v>true</v>
      </c>
      <c r="V1604" s="56" t="s">
        <v>3061</v>
      </c>
      <c r="W1604" s="7"/>
      <c r="X1604"/>
    </row>
    <row r="1605" spans="1:24" x14ac:dyDescent="0.25">
      <c r="A1605" s="26">
        <v>423</v>
      </c>
      <c r="B1605" s="1">
        <f>IFERROR(VLOOKUP(ТабПозиции[[#This Row],[orderNum]],ТабЗаказы[#Data],MATCH(B$7,ТабЗаказы[#Headers],0),0),"")</f>
        <v>45667</v>
      </c>
      <c r="C1605" t="str">
        <f>MONTH(ТабПозиции[[#This Row],[date]])&amp;"/"&amp;YEAR(ТабПозиции[[#This Row],[date]])</f>
        <v>1/2025</v>
      </c>
      <c r="D1605" s="1" t="str">
        <f>IFERROR(VLOOKUP(ТабПозиции[[#This Row],[orderNum]],ТабЗаказы[#Data],MATCH(D$7,ТабЗаказы[#Headers],0),0),"")</f>
        <v>Вита Строителей</v>
      </c>
      <c r="E1605" s="85" t="s">
        <v>2254</v>
      </c>
      <c r="F1605" s="56" t="s">
        <v>3061</v>
      </c>
      <c r="H1605" s="34">
        <v>45669</v>
      </c>
      <c r="I1605" s="26">
        <v>1</v>
      </c>
      <c r="J1605" s="26">
        <v>647</v>
      </c>
      <c r="K1605">
        <f>ТабПозиции[[#This Row],[discountPrice]]*ТабПозиции[[#This Row],[quantity]]</f>
        <v>647</v>
      </c>
      <c r="L1605" s="26">
        <v>682</v>
      </c>
      <c r="M1605">
        <f t="shared" ref="M1605:M1873" si="30">L1605*I1605</f>
        <v>682</v>
      </c>
      <c r="O160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Row],[orderNum]],ТабПозиции[orderSumm])&gt;1500),ABS(M1605*VLOOKUP(ТабПозиции[[#This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605">
        <f>IF(OR(ТабПозиции[[#This Row],[item]]="По штрихкоду",ТабПозиции[[#This Row],[item]]="Посылка"),ТабПозиции[[#This Row],[deliverySumm]]+ТабПозиции[[#This Row],[deliveryPost]],SUM(M1605:O1605))</f>
        <v>882</v>
      </c>
      <c r="Q1605" s="57">
        <v>882</v>
      </c>
      <c r="R1605" s="62">
        <f>ТабПозиции[[#This Row],[totalSumm]]-ТабПозиции[[#This Row],[payment]]</f>
        <v>0</v>
      </c>
      <c r="S1605" s="34" t="s">
        <v>965</v>
      </c>
      <c r="T1605" s="56" t="s">
        <v>3061</v>
      </c>
      <c r="U1605" s="56" t="str">
        <f>IF(AND(ТабПозиции[[#This Row],[Остаток]]=0,ТабПозиции[[#This Row],[ord]]="true"),"true","false")</f>
        <v>true</v>
      </c>
      <c r="V1605" s="56" t="s">
        <v>3061</v>
      </c>
      <c r="W1605" s="7"/>
      <c r="X1605"/>
    </row>
    <row r="1606" spans="1:24" x14ac:dyDescent="0.25">
      <c r="A1606" s="26">
        <v>426</v>
      </c>
      <c r="B1606" s="1">
        <f>IFERROR(VLOOKUP(ТабПозиции[[#This Row],[orderNum]],ТабЗаказы[#Data],MATCH(B$7,ТабЗаказы[#Headers],0),0),"")</f>
        <v>45667</v>
      </c>
      <c r="C1606" t="str">
        <f>MONTH(ТабПозиции[[#This Row],[date]])&amp;"/"&amp;YEAR(ТабПозиции[[#This Row],[date]])</f>
        <v>1/2025</v>
      </c>
      <c r="D1606" s="1" t="str">
        <f>IFERROR(VLOOKUP(ТабПозиции[[#This Row],[orderNum]],ТабЗаказы[#Data],MATCH(D$7,ТабЗаказы[#Headers],0),0),"")</f>
        <v>Наталья 12</v>
      </c>
      <c r="E1606" s="26" t="s">
        <v>815</v>
      </c>
      <c r="F1606" s="56" t="s">
        <v>3061</v>
      </c>
      <c r="H1606" s="34">
        <v>45667</v>
      </c>
      <c r="I1606" s="26">
        <v>1</v>
      </c>
      <c r="J1606" s="26">
        <v>4666</v>
      </c>
      <c r="K1606">
        <f>ТабПозиции[[#This Row],[discountPrice]]*ТабПозиции[[#This Row],[quantity]]</f>
        <v>4666</v>
      </c>
      <c r="L1606" s="26">
        <v>4666</v>
      </c>
      <c r="M1606">
        <f t="shared" si="30"/>
        <v>4666</v>
      </c>
      <c r="O160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Row],[orderNum]],ТабПозиции[orderSumm])&gt;1500),ABS(M1606*VLOOKUP(ТабПозиции[[#This Row],[orderNum]],ТабЗаказы[#Data],MATCH("Percent",ТабЗаказы[#Headers],0),0))/100,200/COUNTIF(ТабПозиции[orderNum],ТабПозиции[[#This Row],[orderNum]])),0),"")</f>
        <v>700</v>
      </c>
      <c r="P1606">
        <f>IF(OR(ТабПозиции[[#This Row],[item]]="По штрихкоду",ТабПозиции[[#This Row],[item]]="Посылка"),ТабПозиции[[#This Row],[deliverySumm]]+ТабПозиции[[#This Row],[deliveryPost]],SUM(M1606:O1606))</f>
        <v>700</v>
      </c>
      <c r="Q1606" s="57">
        <v>700</v>
      </c>
      <c r="R1606" s="62">
        <f>ТабПозиции[[#This Row],[totalSumm]]-ТабПозиции[[#This Row],[payment]]</f>
        <v>0</v>
      </c>
      <c r="S1606" s="34" t="s">
        <v>2259</v>
      </c>
      <c r="T1606" s="56" t="s">
        <v>3061</v>
      </c>
      <c r="U1606" s="56" t="str">
        <f>IF(AND(ТабПозиции[[#This Row],[Остаток]]=0,ТабПозиции[[#This Row],[ord]]="true"),"true","false")</f>
        <v>true</v>
      </c>
      <c r="V1606" s="56" t="str">
        <f>IF(AND(ТабПозиции[[#This Row],[Остаток]]=0,ТабПозиции[[#This Row],[ord]]="true"),"true","false")</f>
        <v>true</v>
      </c>
      <c r="W1606" s="7"/>
      <c r="X1606"/>
    </row>
    <row r="1607" spans="1:24" x14ac:dyDescent="0.25">
      <c r="A1607" s="26">
        <v>424</v>
      </c>
      <c r="B1607" s="1">
        <f>IFERROR(VLOOKUP(ТабПозиции[[#This Row],[orderNum]],ТабЗаказы[#Data],MATCH(B$7,ТабЗаказы[#Headers],0),0),"")</f>
        <v>45667</v>
      </c>
      <c r="C1607" t="str">
        <f>MONTH(ТабПозиции[[#This Row],[date]])&amp;"/"&amp;YEAR(ТабПозиции[[#This Row],[date]])</f>
        <v>1/2025</v>
      </c>
      <c r="D1607" s="1" t="str">
        <f>IFERROR(VLOOKUP(ТабПозиции[[#This Row],[orderNum]],ТабЗаказы[#Data],MATCH(D$7,ТабЗаказы[#Headers],0),0),"")</f>
        <v>Аннет</v>
      </c>
      <c r="E1607" s="26" t="s">
        <v>815</v>
      </c>
      <c r="F1607" s="56" t="s">
        <v>3061</v>
      </c>
      <c r="H1607" s="34">
        <v>45667</v>
      </c>
      <c r="I1607" s="26">
        <v>1</v>
      </c>
      <c r="J1607" s="26">
        <v>8543</v>
      </c>
      <c r="K1607">
        <f>ТабПозиции[[#This Row],[discountPrice]]*ТабПозиции[[#This Row],[quantity]]</f>
        <v>8543</v>
      </c>
      <c r="L1607" s="26">
        <v>8543</v>
      </c>
      <c r="M1607">
        <f t="shared" si="30"/>
        <v>8543</v>
      </c>
      <c r="O160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Row],[orderNum]],ТабПозиции[orderSumm])&gt;1500),ABS(M1607*VLOOKUP(ТабПозиции[[#This Row],[orderNum]],ТабЗаказы[#Data],MATCH("Percent",ТабЗаказы[#Headers],0),0))/100,200/COUNTIF(ТабПозиции[orderNum],ТабПозиции[[#This Row],[orderNum]])),0),"")</f>
        <v>1281</v>
      </c>
      <c r="P1607">
        <f>IF(OR(ТабПозиции[[#This Row],[item]]="По штрихкоду",ТабПозиции[[#This Row],[item]]="Посылка"),ТабПозиции[[#This Row],[deliverySumm]]+ТабПозиции[[#This Row],[deliveryPost]],SUM(M1607:O1607))</f>
        <v>1281</v>
      </c>
      <c r="Q1607" s="57">
        <v>1281</v>
      </c>
      <c r="R1607" s="62">
        <f>ТабПозиции[[#This Row],[totalSumm]]-ТабПозиции[[#This Row],[payment]]</f>
        <v>0</v>
      </c>
      <c r="S1607" s="34" t="s">
        <v>955</v>
      </c>
      <c r="T1607" s="56" t="s">
        <v>3061</v>
      </c>
      <c r="U1607" s="56" t="str">
        <f>IF(AND(ТабПозиции[[#This Row],[Остаток]]=0,ТабПозиции[[#This Row],[ord]]="true"),"true","false")</f>
        <v>true</v>
      </c>
      <c r="V1607" s="56" t="str">
        <f>IF(AND(ТабПозиции[[#This Row],[Остаток]]=0,ТабПозиции[[#This Row],[ord]]="true"),"true","false")</f>
        <v>true</v>
      </c>
      <c r="W1607" s="7"/>
      <c r="X1607"/>
    </row>
    <row r="1608" spans="1:24" x14ac:dyDescent="0.25">
      <c r="A1608" s="26">
        <v>425</v>
      </c>
      <c r="B1608" s="1">
        <f>IFERROR(VLOOKUP(ТабПозиции[[#This Row],[orderNum]],ТабЗаказы[#Data],MATCH(B$7,ТабЗаказы[#Headers],0),0),"")</f>
        <v>45667</v>
      </c>
      <c r="C1608" t="str">
        <f>MONTH(ТабПозиции[[#This Row],[date]])&amp;"/"&amp;YEAR(ТабПозиции[[#This Row],[date]])</f>
        <v>1/2025</v>
      </c>
      <c r="D1608" s="1" t="s">
        <v>456</v>
      </c>
      <c r="E1608" s="26" t="s">
        <v>815</v>
      </c>
      <c r="F1608" s="56" t="s">
        <v>3061</v>
      </c>
      <c r="H1608" s="34">
        <v>45667</v>
      </c>
      <c r="I1608" s="26">
        <v>1</v>
      </c>
      <c r="J1608" s="26">
        <v>2450</v>
      </c>
      <c r="K1608">
        <f>ТабПозиции[[#This Row],[discountPrice]]*ТабПозиции[[#This Row],[quantity]]</f>
        <v>2450</v>
      </c>
      <c r="L1608" s="26">
        <v>2450</v>
      </c>
      <c r="M1608">
        <f t="shared" si="30"/>
        <v>2450</v>
      </c>
      <c r="O160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Row],[orderNum]],ТабПозиции[orderSumm])&gt;1500),ABS(M1608*VLOOKUP(ТабПозиции[[#This Row],[orderNum]],ТабЗаказы[#Data],MATCH("Percent",ТабЗаказы[#Headers],0),0))/100,200/COUNTIF(ТабПозиции[orderNum],ТабПозиции[[#This Row],[orderNum]])),0),"")</f>
        <v>368</v>
      </c>
      <c r="P1608">
        <f>IF(OR(ТабПозиции[[#This Row],[item]]="По штрихкоду",ТабПозиции[[#This Row],[item]]="Посылка"),ТабПозиции[[#This Row],[deliverySumm]]+ТабПозиции[[#This Row],[deliveryPost]],SUM(M1608:O1608))</f>
        <v>368</v>
      </c>
      <c r="Q1608" s="57">
        <v>368</v>
      </c>
      <c r="R1608" s="62">
        <f>ТабПозиции[[#This Row],[totalSumm]]-ТабПозиции[[#This Row],[payment]]</f>
        <v>0</v>
      </c>
      <c r="S1608" s="34" t="s">
        <v>955</v>
      </c>
      <c r="T1608" s="56" t="s">
        <v>3061</v>
      </c>
      <c r="U1608" s="56" t="str">
        <f>IF(AND(ТабПозиции[[#This Row],[Остаток]]=0,ТабПозиции[[#This Row],[ord]]="true"),"true","false")</f>
        <v>true</v>
      </c>
      <c r="V1608" s="56" t="str">
        <f>IF(AND(ТабПозиции[[#This Row],[Остаток]]=0,ТабПозиции[[#This Row],[ord]]="true"),"true","false")</f>
        <v>true</v>
      </c>
      <c r="W1608" s="7"/>
      <c r="X1608"/>
    </row>
    <row r="1609" spans="1:24" x14ac:dyDescent="0.25">
      <c r="A1609" s="26">
        <v>427</v>
      </c>
      <c r="B1609" s="1">
        <f>IFERROR(VLOOKUP(ТабПозиции[[#This Row],[orderNum]],ТабЗаказы[#Data],MATCH(B$7,ТабЗаказы[#Headers],0),0),"")</f>
        <v>45667</v>
      </c>
      <c r="C1609" t="str">
        <f>MONTH(ТабПозиции[[#This Row],[date]])&amp;"/"&amp;YEAR(ТабПозиции[[#This Row],[date]])</f>
        <v>1/2025</v>
      </c>
      <c r="D1609" s="1" t="str">
        <f>IFERROR(VLOOKUP(ТабПозиции[[#This Row],[orderNum]],ТабЗаказы[#Data],MATCH(D$7,ТабЗаказы[#Headers],0),0),"")</f>
        <v>Ярослав Еременко</v>
      </c>
      <c r="E1609" s="26" t="s">
        <v>815</v>
      </c>
      <c r="F1609" s="56" t="s">
        <v>3061</v>
      </c>
      <c r="H1609" s="34">
        <v>45667</v>
      </c>
      <c r="I1609" s="26">
        <v>1</v>
      </c>
      <c r="J1609" s="26">
        <v>31000</v>
      </c>
      <c r="K1609">
        <f>ТабПозиции[[#This Row],[discountPrice]]*ТабПозиции[[#This Row],[quantity]]</f>
        <v>31000</v>
      </c>
      <c r="L1609" s="26">
        <v>31000</v>
      </c>
      <c r="M1609">
        <f t="shared" si="30"/>
        <v>31000</v>
      </c>
      <c r="N1609" s="26">
        <f>1153+200</f>
        <v>1353</v>
      </c>
      <c r="O160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Row],[orderNum]],ТабПозиции[orderSumm])&gt;1500),ABS(M1609*VLOOKUP(ТабПозиции[[#This Row],[orderNum]],ТабЗаказы[#Data],MATCH("Percent",ТабЗаказы[#Headers],0),0))/100,200/COUNTIF(ТабПозиции[orderNum],ТабПозиции[[#This Row],[orderNum]])),0),"")</f>
        <v>3100</v>
      </c>
      <c r="P1609">
        <f>IF(OR(ТабПозиции[[#This Row],[item]]="По штрихкоду",ТабПозиции[[#This Row],[item]]="Посылка"),ТабПозиции[[#This Row],[deliverySumm]]+ТабПозиции[[#This Row],[deliveryPost]],SUM(M1609:O1609))</f>
        <v>4453</v>
      </c>
      <c r="Q1609" s="57">
        <v>4453</v>
      </c>
      <c r="R1609" s="62">
        <f>ТабПозиции[[#This Row],[totalSumm]]-ТабПозиции[[#This Row],[payment]]</f>
        <v>0</v>
      </c>
      <c r="S1609" s="34" t="s">
        <v>2260</v>
      </c>
      <c r="T1609" s="56" t="s">
        <v>3061</v>
      </c>
      <c r="U1609" s="56" t="str">
        <f>IF(AND(ТабПозиции[[#This Row],[Остаток]]=0,ТабПозиции[[#This Row],[ord]]="true"),"true","false")</f>
        <v>true</v>
      </c>
      <c r="V1609" s="56" t="str">
        <f>IF(AND(ТабПозиции[[#This Row],[Остаток]]=0,ТабПозиции[[#This Row],[ord]]="true"),"true","false")</f>
        <v>true</v>
      </c>
      <c r="W1609" s="7"/>
      <c r="X1609"/>
    </row>
    <row r="1610" spans="1:24" x14ac:dyDescent="0.25">
      <c r="A1610" s="26">
        <v>428</v>
      </c>
      <c r="B1610" s="1">
        <f>IFERROR(VLOOKUP(ТабПозиции[[#This Row],[orderNum]],ТабЗаказы[#Data],MATCH(B$7,ТабЗаказы[#Headers],0),0),"")</f>
        <v>45667</v>
      </c>
      <c r="C1610" t="str">
        <f>MONTH(ТабПозиции[[#This Row],[date]])&amp;"/"&amp;YEAR(ТабПозиции[[#This Row],[date]])</f>
        <v>1/2025</v>
      </c>
      <c r="D1610" s="1" t="str">
        <f>IFERROR(VLOOKUP(ТабПозиции[[#This Row],[orderNum]],ТабЗаказы[#Data],MATCH(D$7,ТабЗаказы[#Headers],0),0),"")</f>
        <v>Светлана от Александра</v>
      </c>
      <c r="E1610" s="85" t="s">
        <v>2266</v>
      </c>
      <c r="F1610" s="56" t="s">
        <v>3061</v>
      </c>
      <c r="H1610" s="34">
        <v>45669</v>
      </c>
      <c r="I1610" s="26">
        <v>1</v>
      </c>
      <c r="J1610" s="26">
        <v>444</v>
      </c>
      <c r="K1610">
        <f>ТабПозиции[[#This Row],[discountPrice]]*ТабПозиции[[#This Row],[quantity]]</f>
        <v>444</v>
      </c>
      <c r="L1610" s="26">
        <v>468</v>
      </c>
      <c r="M1610">
        <f t="shared" si="30"/>
        <v>468</v>
      </c>
      <c r="O161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Row],[orderNum]],ТабПозиции[orderSumm])&gt;1500),ABS(M1610*VLOOKUP(ТабПозиции[[#This Row],[orderNum]],ТабЗаказы[#Data],MATCH("Percent",ТабЗаказы[#Headers],0),0))/100,200/COUNTIF(ТабПозиции[orderNum],ТабПозиции[[#This Row],[orderNum]])),0),"")</f>
        <v>70</v>
      </c>
      <c r="P1610">
        <f>IF(OR(ТабПозиции[[#This Row],[item]]="По штрихкоду",ТабПозиции[[#This Row],[item]]="Посылка"),ТабПозиции[[#This Row],[deliverySumm]]+ТабПозиции[[#This Row],[deliveryPost]],SUM(M1610:O1610))</f>
        <v>538</v>
      </c>
      <c r="Q1610" s="57">
        <v>538</v>
      </c>
      <c r="R1610" s="62">
        <f>ТабПозиции[[#This Row],[totalSumm]]-ТабПозиции[[#This Row],[payment]]</f>
        <v>0</v>
      </c>
      <c r="S1610" s="34" t="s">
        <v>965</v>
      </c>
      <c r="T1610" s="56" t="s">
        <v>3061</v>
      </c>
      <c r="U1610" s="56" t="str">
        <f>IF(AND(ТабПозиции[[#This Row],[Остаток]]=0,ТабПозиции[[#This Row],[ord]]="true"),"true","false")</f>
        <v>true</v>
      </c>
      <c r="V1610" s="56" t="s">
        <v>3061</v>
      </c>
      <c r="W1610" s="7"/>
      <c r="X1610"/>
    </row>
    <row r="1611" spans="1:24" x14ac:dyDescent="0.25">
      <c r="A1611" s="26">
        <v>428</v>
      </c>
      <c r="B1611" s="1">
        <f>IFERROR(VLOOKUP(ТабПозиции[[#This Row],[orderNum]],ТабЗаказы[#Data],MATCH(B$7,ТабЗаказы[#Headers],0),0),"")</f>
        <v>45667</v>
      </c>
      <c r="C1611" t="str">
        <f>MONTH(ТабПозиции[[#This Row],[date]])&amp;"/"&amp;YEAR(ТабПозиции[[#This Row],[date]])</f>
        <v>1/2025</v>
      </c>
      <c r="D1611" s="1" t="str">
        <f>IFERROR(VLOOKUP(ТабПозиции[[#This Row],[orderNum]],ТабЗаказы[#Data],MATCH(D$7,ТабЗаказы[#Headers],0),0),"")</f>
        <v>Светлана от Александра</v>
      </c>
      <c r="E1611" s="85" t="s">
        <v>2267</v>
      </c>
      <c r="F1611" s="56" t="s">
        <v>3061</v>
      </c>
      <c r="H1611" s="34">
        <v>45670</v>
      </c>
      <c r="I1611" s="26">
        <v>1</v>
      </c>
      <c r="J1611" s="26">
        <v>402</v>
      </c>
      <c r="K1611">
        <f>ТабПозиции[[#This Row],[discountPrice]]*ТабПозиции[[#This Row],[quantity]]</f>
        <v>402</v>
      </c>
      <c r="L1611" s="26">
        <v>424</v>
      </c>
      <c r="M1611">
        <f t="shared" si="30"/>
        <v>424</v>
      </c>
      <c r="O161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Row],[orderNum]],ТабПозиции[orderSumm])&gt;1500),ABS(M1611*VLOOKUP(ТабПозиции[[#This Row],[orderNum]],ТабЗаказы[#Data],MATCH("Percent",ТабЗаказы[#Headers],0),0))/100,200/COUNTIF(ТабПозиции[orderNum],ТабПозиции[[#This Row],[orderNum]])),0),"")</f>
        <v>64</v>
      </c>
      <c r="P1611">
        <f>IF(OR(ТабПозиции[[#This Row],[item]]="По штрихкоду",ТабПозиции[[#This Row],[item]]="Посылка"),ТабПозиции[[#This Row],[deliverySumm]]+ТабПозиции[[#This Row],[deliveryPost]],SUM(M1611:O1611))</f>
        <v>488</v>
      </c>
      <c r="Q1611" s="57">
        <v>488</v>
      </c>
      <c r="R1611" s="62">
        <f>ТабПозиции[[#This Row],[totalSumm]]-ТабПозиции[[#This Row],[payment]]</f>
        <v>0</v>
      </c>
      <c r="S1611" s="34" t="s">
        <v>965</v>
      </c>
      <c r="T1611" s="56" t="s">
        <v>3061</v>
      </c>
      <c r="U1611" s="56" t="str">
        <f>IF(AND(ТабПозиции[[#This Row],[Остаток]]=0,ТабПозиции[[#This Row],[ord]]="true"),"true","false")</f>
        <v>true</v>
      </c>
      <c r="V1611" s="56" t="s">
        <v>3061</v>
      </c>
      <c r="W1611" s="7"/>
      <c r="X1611"/>
    </row>
    <row r="1612" spans="1:24" x14ac:dyDescent="0.25">
      <c r="A1612" s="26">
        <v>428</v>
      </c>
      <c r="B1612" s="1">
        <f>IFERROR(VLOOKUP(ТабПозиции[[#This Row],[orderNum]],ТабЗаказы[#Data],MATCH(B$7,ТабЗаказы[#Headers],0),0),"")</f>
        <v>45667</v>
      </c>
      <c r="C1612" t="str">
        <f>MONTH(ТабПозиции[[#This Row],[date]])&amp;"/"&amp;YEAR(ТабПозиции[[#This Row],[date]])</f>
        <v>1/2025</v>
      </c>
      <c r="D1612" s="1" t="str">
        <f>IFERROR(VLOOKUP(ТабПозиции[[#This Row],[orderNum]],ТабЗаказы[#Data],MATCH(D$7,ТабЗаказы[#Headers],0),0),"")</f>
        <v>Светлана от Александра</v>
      </c>
      <c r="E1612" s="85" t="s">
        <v>2268</v>
      </c>
      <c r="F1612" s="56" t="s">
        <v>3061</v>
      </c>
      <c r="H1612" s="34">
        <v>45670</v>
      </c>
      <c r="I1612" s="26">
        <v>2</v>
      </c>
      <c r="J1612" s="26">
        <v>415</v>
      </c>
      <c r="K1612">
        <f>ТабПозиции[[#This Row],[discountPrice]]*ТабПозиции[[#This Row],[quantity]]</f>
        <v>830</v>
      </c>
      <c r="L1612" s="26">
        <v>437</v>
      </c>
      <c r="M1612">
        <f t="shared" si="30"/>
        <v>874</v>
      </c>
      <c r="O161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Row],[orderNum]],ТабПозиции[orderSumm])&gt;1500),ABS(M1612*VLOOKUP(ТабПозиции[[#This Row],[orderNum]],ТабЗаказы[#Data],MATCH("Percent",ТабЗаказы[#Headers],0),0))/100,200/COUNTIF(ТабПозиции[orderNum],ТабПозиции[[#This Row],[orderNum]])),0),"")</f>
        <v>131</v>
      </c>
      <c r="P1612">
        <f>IF(OR(ТабПозиции[[#This Row],[item]]="По штрихкоду",ТабПозиции[[#This Row],[item]]="Посылка"),ТабПозиции[[#This Row],[deliverySumm]]+ТабПозиции[[#This Row],[deliveryPost]],SUM(M1612:O1612))</f>
        <v>1005</v>
      </c>
      <c r="Q1612" s="57">
        <v>1005</v>
      </c>
      <c r="R1612" s="62">
        <f>ТабПозиции[[#This Row],[totalSumm]]-ТабПозиции[[#This Row],[payment]]</f>
        <v>0</v>
      </c>
      <c r="S1612" s="34" t="s">
        <v>965</v>
      </c>
      <c r="T1612" s="56" t="s">
        <v>3061</v>
      </c>
      <c r="U1612" s="56" t="str">
        <f>IF(AND(ТабПозиции[[#This Row],[Остаток]]=0,ТабПозиции[[#This Row],[ord]]="true"),"true","false")</f>
        <v>true</v>
      </c>
      <c r="V1612" s="56" t="s">
        <v>3061</v>
      </c>
      <c r="W1612" s="7"/>
      <c r="X1612"/>
    </row>
    <row r="1613" spans="1:24" x14ac:dyDescent="0.25">
      <c r="A1613" s="26">
        <v>428</v>
      </c>
      <c r="B1613" s="1">
        <f>IFERROR(VLOOKUP(ТабПозиции[[#This Row],[orderNum]],ТабЗаказы[#Data],MATCH(B$7,ТабЗаказы[#Headers],0),0),"")</f>
        <v>45667</v>
      </c>
      <c r="C1613" t="str">
        <f>MONTH(ТабПозиции[[#This Row],[date]])&amp;"/"&amp;YEAR(ТабПозиции[[#This Row],[date]])</f>
        <v>1/2025</v>
      </c>
      <c r="D1613" s="1" t="str">
        <f>IFERROR(VLOOKUP(ТабПозиции[[#This Row],[orderNum]],ТабЗаказы[#Data],MATCH(D$7,ТабЗаказы[#Headers],0),0),"")</f>
        <v>Светлана от Александра</v>
      </c>
      <c r="E1613" s="85" t="s">
        <v>2269</v>
      </c>
      <c r="F1613" s="56" t="s">
        <v>3061</v>
      </c>
      <c r="H1613" s="34">
        <v>45673</v>
      </c>
      <c r="I1613" s="26">
        <v>1</v>
      </c>
      <c r="J1613" s="26">
        <v>584</v>
      </c>
      <c r="K1613">
        <f>ТабПозиции[[#This Row],[discountPrice]]*ТабПозиции[[#This Row],[quantity]]</f>
        <v>584</v>
      </c>
      <c r="L1613" s="26">
        <v>615</v>
      </c>
      <c r="M1613">
        <f t="shared" si="30"/>
        <v>615</v>
      </c>
      <c r="O161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Row],[orderNum]],ТабПозиции[orderSumm])&gt;1500),ABS(M1613*VLOOKUP(ТабПозиции[[#This Row],[orderNum]],ТабЗаказы[#Data],MATCH("Percent",ТабЗаказы[#Headers],0),0))/100,200/COUNTIF(ТабПозиции[orderNum],ТабПозиции[[#This Row],[orderNum]])),0),"")</f>
        <v>92</v>
      </c>
      <c r="P1613">
        <f>IF(OR(ТабПозиции[[#This Row],[item]]="По штрихкоду",ТабПозиции[[#This Row],[item]]="Посылка"),ТабПозиции[[#This Row],[deliverySumm]]+ТабПозиции[[#This Row],[deliveryPost]],SUM(M1613:O1613))</f>
        <v>707</v>
      </c>
      <c r="Q1613" s="57">
        <v>707</v>
      </c>
      <c r="R1613" s="62">
        <f>ТабПозиции[[#This Row],[totalSumm]]-ТабПозиции[[#This Row],[payment]]</f>
        <v>0</v>
      </c>
      <c r="S1613" s="34" t="s">
        <v>965</v>
      </c>
      <c r="T1613" s="56" t="s">
        <v>3061</v>
      </c>
      <c r="U1613" s="56" t="str">
        <f>IF(AND(ТабПозиции[[#This Row],[Остаток]]=0,ТабПозиции[[#This Row],[ord]]="true"),"true","false")</f>
        <v>true</v>
      </c>
      <c r="V1613" s="56" t="s">
        <v>3061</v>
      </c>
      <c r="W1613" s="7"/>
      <c r="X1613"/>
    </row>
    <row r="1614" spans="1:24" x14ac:dyDescent="0.25">
      <c r="A1614" s="26">
        <v>428</v>
      </c>
      <c r="B1614" s="1">
        <f>IFERROR(VLOOKUP(ТабПозиции[[#This Row],[orderNum]],ТабЗаказы[#Data],MATCH(B$7,ТабЗаказы[#Headers],0),0),"")</f>
        <v>45667</v>
      </c>
      <c r="C1614" t="str">
        <f>MONTH(ТабПозиции[[#This Row],[date]])&amp;"/"&amp;YEAR(ТабПозиции[[#This Row],[date]])</f>
        <v>1/2025</v>
      </c>
      <c r="D1614" s="1" t="str">
        <f>IFERROR(VLOOKUP(ТабПозиции[[#This Row],[orderNum]],ТабЗаказы[#Data],MATCH(D$7,ТабЗаказы[#Headers],0),0),"")</f>
        <v>Светлана от Александра</v>
      </c>
      <c r="E1614" s="85" t="s">
        <v>2270</v>
      </c>
      <c r="F1614" s="56" t="s">
        <v>3061</v>
      </c>
      <c r="H1614" s="34">
        <v>45671</v>
      </c>
      <c r="I1614" s="26">
        <v>2</v>
      </c>
      <c r="J1614" s="26">
        <v>252</v>
      </c>
      <c r="K1614">
        <f>ТабПозиции[[#This Row],[discountPrice]]*ТабПозиции[[#This Row],[quantity]]</f>
        <v>504</v>
      </c>
      <c r="L1614" s="26">
        <v>266</v>
      </c>
      <c r="M1614">
        <f t="shared" si="30"/>
        <v>532</v>
      </c>
      <c r="O161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Row],[orderNum]],ТабПозиции[orderSumm])&gt;1500),ABS(M1614*VLOOKUP(ТабПозиции[[#This Row],[orderNum]],ТабЗаказы[#Data],MATCH("Percent",ТабЗаказы[#Headers],0),0))/100,200/COUNTIF(ТабПозиции[orderNum],ТабПозиции[[#This Row],[orderNum]])),0),"")</f>
        <v>80</v>
      </c>
      <c r="P1614">
        <f>IF(OR(ТабПозиции[[#This Row],[item]]="По штрихкоду",ТабПозиции[[#This Row],[item]]="Посылка"),ТабПозиции[[#This Row],[deliverySumm]]+ТабПозиции[[#This Row],[deliveryPost]],SUM(M1614:O1614))</f>
        <v>612</v>
      </c>
      <c r="Q1614" s="57">
        <v>612</v>
      </c>
      <c r="R1614" s="62">
        <f>ТабПозиции[[#This Row],[totalSumm]]-ТабПозиции[[#This Row],[payment]]</f>
        <v>0</v>
      </c>
      <c r="S1614" s="34" t="s">
        <v>965</v>
      </c>
      <c r="T1614" s="56" t="s">
        <v>3061</v>
      </c>
      <c r="U1614" s="56" t="str">
        <f>IF(AND(ТабПозиции[[#This Row],[Остаток]]=0,ТабПозиции[[#This Row],[ord]]="true"),"true","false")</f>
        <v>true</v>
      </c>
      <c r="V1614" s="56" t="s">
        <v>3061</v>
      </c>
      <c r="W1614" s="7"/>
      <c r="X1614"/>
    </row>
    <row r="1615" spans="1:24" x14ac:dyDescent="0.25">
      <c r="A1615" s="26">
        <v>428</v>
      </c>
      <c r="B1615" s="1">
        <f>IFERROR(VLOOKUP(ТабПозиции[[#This Row],[orderNum]],ТабЗаказы[#Data],MATCH(B$7,ТабЗаказы[#Headers],0),0),"")</f>
        <v>45667</v>
      </c>
      <c r="C1615" t="str">
        <f>MONTH(ТабПозиции[[#This Row],[date]])&amp;"/"&amp;YEAR(ТабПозиции[[#This Row],[date]])</f>
        <v>1/2025</v>
      </c>
      <c r="D1615" s="1" t="str">
        <f>IFERROR(VLOOKUP(ТабПозиции[[#This Row],[orderNum]],ТабЗаказы[#Data],MATCH(D$7,ТабЗаказы[#Headers],0),0),"")</f>
        <v>Светлана от Александра</v>
      </c>
      <c r="E1615" s="85" t="s">
        <v>2271</v>
      </c>
      <c r="F1615" s="56" t="s">
        <v>3061</v>
      </c>
      <c r="H1615" s="34">
        <v>45670</v>
      </c>
      <c r="I1615" s="26">
        <v>1</v>
      </c>
      <c r="J1615" s="26">
        <v>550</v>
      </c>
      <c r="K1615">
        <f>ТабПозиции[[#This Row],[discountPrice]]*ТабПозиции[[#This Row],[quantity]]</f>
        <v>550</v>
      </c>
      <c r="L1615" s="26">
        <v>579</v>
      </c>
      <c r="M1615">
        <f t="shared" si="30"/>
        <v>579</v>
      </c>
      <c r="O161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Row],[orderNum]],ТабПозиции[orderSumm])&gt;1500),ABS(M1615*VLOOKUP(ТабПозиции[[#This Row],[orderNum]],ТабЗаказы[#Data],MATCH("Percent",ТабЗаказы[#Headers],0),0))/100,200/COUNTIF(ТабПозиции[orderNum],ТабПозиции[[#This Row],[orderNum]])),0),"")</f>
        <v>87</v>
      </c>
      <c r="P1615">
        <f>IF(OR(ТабПозиции[[#This Row],[item]]="По штрихкоду",ТабПозиции[[#This Row],[item]]="Посылка"),ТабПозиции[[#This Row],[deliverySumm]]+ТабПозиции[[#This Row],[deliveryPost]],SUM(M1615:O1615))</f>
        <v>666</v>
      </c>
      <c r="Q1615" s="57">
        <v>666</v>
      </c>
      <c r="R1615" s="62">
        <f>ТабПозиции[[#This Row],[totalSumm]]-ТабПозиции[[#This Row],[payment]]</f>
        <v>0</v>
      </c>
      <c r="S1615" s="34" t="s">
        <v>965</v>
      </c>
      <c r="T1615" s="56" t="s">
        <v>3061</v>
      </c>
      <c r="U1615" s="56" t="str">
        <f>IF(AND(ТабПозиции[[#This Row],[Остаток]]=0,ТабПозиции[[#This Row],[ord]]="true"),"true","false")</f>
        <v>true</v>
      </c>
      <c r="V1615" s="56" t="s">
        <v>3061</v>
      </c>
      <c r="W1615" s="7"/>
      <c r="X1615"/>
    </row>
    <row r="1616" spans="1:24" x14ac:dyDescent="0.25">
      <c r="A1616" s="26">
        <v>429</v>
      </c>
      <c r="B1616" s="1">
        <f>IFERROR(VLOOKUP(ТабПозиции[[#This Row],[orderNum]],ТабЗаказы[#Data],MATCH(B$7,ТабЗаказы[#Headers],0),0),"")</f>
        <v>45668</v>
      </c>
      <c r="C1616" t="str">
        <f>MONTH(ТабПозиции[[#This Row],[date]])&amp;"/"&amp;YEAR(ТабПозиции[[#This Row],[date]])</f>
        <v>1/2025</v>
      </c>
      <c r="D1616" s="1" t="str">
        <f>IFERROR(VLOOKUP(ТабПозиции[[#This Row],[orderNum]],ТабЗаказы[#Data],MATCH(D$7,ТабЗаказы[#Headers],0),0),"")</f>
        <v>Руденко Юля</v>
      </c>
      <c r="E1616" s="85" t="s">
        <v>683</v>
      </c>
      <c r="F1616" s="56" t="s">
        <v>3061</v>
      </c>
      <c r="H1616" s="34">
        <v>45672</v>
      </c>
      <c r="I1616" s="26">
        <v>1</v>
      </c>
      <c r="J1616" s="26">
        <v>3038</v>
      </c>
      <c r="K1616">
        <f>ТабПозиции[[#This Row],[discountPrice]]*ТабПозиции[[#This Row],[quantity]]</f>
        <v>3038</v>
      </c>
      <c r="L1616" s="26">
        <v>3198</v>
      </c>
      <c r="M1616">
        <f t="shared" si="30"/>
        <v>3198</v>
      </c>
      <c r="O161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Row],[orderNum]],ТабПозиции[orderSumm])&gt;1500),ABS(M1616*VLOOKUP(ТабПозиции[[#This Row],[orderNum]],ТабЗаказы[#Data],MATCH("Percent",ТабЗаказы[#Headers],0),0))/100,200/COUNTIF(ТабПозиции[orderNum],ТабПозиции[[#This Row],[orderNum]])),0),"")</f>
        <v>320</v>
      </c>
      <c r="P1616">
        <f>IF(OR(ТабПозиции[[#This Row],[item]]="По штрихкоду",ТабПозиции[[#This Row],[item]]="Посылка"),ТабПозиции[[#This Row],[deliverySumm]]+ТабПозиции[[#This Row],[deliveryPost]],SUM(M1616:O1616))</f>
        <v>3518</v>
      </c>
      <c r="Q1616" s="57">
        <v>3518</v>
      </c>
      <c r="R1616" s="62">
        <f>ТабПозиции[[#This Row],[totalSumm]]-ТабПозиции[[#This Row],[payment]]</f>
        <v>0</v>
      </c>
      <c r="S1616" s="34" t="s">
        <v>965</v>
      </c>
      <c r="T1616" s="56" t="s">
        <v>3061</v>
      </c>
      <c r="U1616" s="56" t="str">
        <f>IF(AND(ТабПозиции[[#This Row],[Остаток]]=0,ТабПозиции[[#This Row],[ord]]="true"),"true","false")</f>
        <v>true</v>
      </c>
      <c r="V1616" s="56" t="s">
        <v>3061</v>
      </c>
      <c r="W1616" s="7"/>
      <c r="X1616"/>
    </row>
    <row r="1617" spans="1:24" x14ac:dyDescent="0.25">
      <c r="A1617" s="26">
        <v>429</v>
      </c>
      <c r="B1617" s="1">
        <f>IFERROR(VLOOKUP(ТабПозиции[[#This Row],[orderNum]],ТабЗаказы[#Data],MATCH(B$7,ТабЗаказы[#Headers],0),0),"")</f>
        <v>45668</v>
      </c>
      <c r="C1617" t="str">
        <f>MONTH(ТабПозиции[[#This Row],[date]])&amp;"/"&amp;YEAR(ТабПозиции[[#This Row],[date]])</f>
        <v>1/2025</v>
      </c>
      <c r="D1617" s="1" t="str">
        <f>IFERROR(VLOOKUP(ТабПозиции[[#This Row],[orderNum]],ТабЗаказы[#Data],MATCH(D$7,ТабЗаказы[#Headers],0),0),"")</f>
        <v>Руденко Юля</v>
      </c>
      <c r="E1617" s="85" t="s">
        <v>2272</v>
      </c>
      <c r="F1617" s="56" t="s">
        <v>3061</v>
      </c>
      <c r="H1617" s="34">
        <v>45674</v>
      </c>
      <c r="I1617" s="26">
        <v>1</v>
      </c>
      <c r="J1617" s="26">
        <v>638</v>
      </c>
      <c r="K1617">
        <f>ТабПозиции[[#This Row],[discountPrice]]*ТабПозиции[[#This Row],[quantity]]</f>
        <v>638</v>
      </c>
      <c r="L1617" s="26">
        <v>672</v>
      </c>
      <c r="M1617">
        <f t="shared" si="30"/>
        <v>672</v>
      </c>
      <c r="O161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Row],[orderNum]],ТабПозиции[orderSumm])&gt;1500),ABS(M1617*VLOOKUP(ТабПозиции[[#This Row],[orderNum]],ТабЗаказы[#Data],MATCH("Percent",ТабЗаказы[#Headers],0),0))/100,200/COUNTIF(ТабПозиции[orderNum],ТабПозиции[[#This Row],[orderNum]])),0),"")</f>
        <v>67</v>
      </c>
      <c r="P1617">
        <f>IF(OR(ТабПозиции[[#This Row],[item]]="По штрихкоду",ТабПозиции[[#This Row],[item]]="Посылка"),ТабПозиции[[#This Row],[deliverySumm]]+ТабПозиции[[#This Row],[deliveryPost]],SUM(M1617:O1617))</f>
        <v>739</v>
      </c>
      <c r="Q1617" s="57">
        <v>739</v>
      </c>
      <c r="R1617" s="62">
        <f>ТабПозиции[[#This Row],[totalSumm]]-ТабПозиции[[#This Row],[payment]]</f>
        <v>0</v>
      </c>
      <c r="S1617" s="34" t="s">
        <v>965</v>
      </c>
      <c r="T1617" s="56" t="s">
        <v>3061</v>
      </c>
      <c r="U1617" s="56" t="str">
        <f>IF(AND(ТабПозиции[[#This Row],[Остаток]]=0,ТабПозиции[[#This Row],[ord]]="true"),"true","false")</f>
        <v>true</v>
      </c>
      <c r="V1617" s="56" t="s">
        <v>3061</v>
      </c>
      <c r="W1617" s="7"/>
      <c r="X1617"/>
    </row>
    <row r="1618" spans="1:24" x14ac:dyDescent="0.25">
      <c r="A1618" s="26">
        <v>429</v>
      </c>
      <c r="B1618" s="1">
        <f>IFERROR(VLOOKUP(ТабПозиции[[#This Row],[orderNum]],ТабЗаказы[#Data],MATCH(B$7,ТабЗаказы[#Headers],0),0),"")</f>
        <v>45668</v>
      </c>
      <c r="C1618" t="str">
        <f>MONTH(ТабПозиции[[#This Row],[date]])&amp;"/"&amp;YEAR(ТабПозиции[[#This Row],[date]])</f>
        <v>1/2025</v>
      </c>
      <c r="D1618" s="1" t="str">
        <f>IFERROR(VLOOKUP(ТабПозиции[[#This Row],[orderNum]],ТабЗаказы[#Data],MATCH(D$7,ТабЗаказы[#Headers],0),0),"")</f>
        <v>Руденко Юля</v>
      </c>
      <c r="E1618" s="85" t="s">
        <v>2273</v>
      </c>
      <c r="F1618" s="56" t="s">
        <v>3061</v>
      </c>
      <c r="H1618" s="34">
        <v>45672</v>
      </c>
      <c r="I1618" s="26">
        <v>0</v>
      </c>
      <c r="J1618" s="26">
        <v>1353</v>
      </c>
      <c r="K1618">
        <f>ТабПозиции[[#This Row],[discountPrice]]*ТабПозиции[[#This Row],[quantity]]</f>
        <v>0</v>
      </c>
      <c r="L1618" s="26">
        <v>1425</v>
      </c>
      <c r="M1618">
        <f t="shared" si="30"/>
        <v>0</v>
      </c>
      <c r="O161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Row],[orderNum]],ТабПозиции[orderSumm])&gt;1500),ABS(M1618*VLOOKUP(ТабПозиции[[#This Row],[orderNum]],ТабЗаказы[#Data],MATCH("Percent",ТабЗаказы[#Headers],0),0))/100,200/COUNTIF(ТабПозиции[orderNum],ТабПозиции[[#This Row],[orderNum]])),0),"")</f>
        <v>0</v>
      </c>
      <c r="P1618">
        <f>IF(OR(ТабПозиции[[#This Row],[item]]="По штрихкоду",ТабПозиции[[#This Row],[item]]="Посылка"),ТабПозиции[[#This Row],[deliverySumm]]+ТабПозиции[[#This Row],[deliveryPost]],SUM(M1618:O1618))</f>
        <v>0</v>
      </c>
      <c r="R1618" s="62">
        <f>ТабПозиции[[#This Row],[totalSumm]]-ТабПозиции[[#This Row],[payment]]</f>
        <v>0</v>
      </c>
      <c r="S1618" s="34" t="s">
        <v>965</v>
      </c>
      <c r="T1618" s="56" t="s">
        <v>3061</v>
      </c>
      <c r="U1618" s="56" t="str">
        <f>IF(AND(ТабПозиции[[#This Row],[Остаток]]=0,ТабПозиции[[#This Row],[ord]]="true"),"true","false")</f>
        <v>true</v>
      </c>
      <c r="V1618" s="56" t="s">
        <v>3061</v>
      </c>
      <c r="W1618" s="7"/>
      <c r="X1618"/>
    </row>
    <row r="1619" spans="1:24" x14ac:dyDescent="0.25">
      <c r="A1619" s="26">
        <v>429</v>
      </c>
      <c r="B1619" s="1">
        <f>IFERROR(VLOOKUP(ТабПозиции[[#This Row],[orderNum]],ТабЗаказы[#Data],MATCH(B$7,ТабЗаказы[#Headers],0),0),"")</f>
        <v>45668</v>
      </c>
      <c r="C1619" t="str">
        <f>MONTH(ТабПозиции[[#This Row],[date]])&amp;"/"&amp;YEAR(ТабПозиции[[#This Row],[date]])</f>
        <v>1/2025</v>
      </c>
      <c r="D1619" s="1" t="str">
        <f>IFERROR(VLOOKUP(ТабПозиции[[#This Row],[orderNum]],ТабЗаказы[#Data],MATCH(D$7,ТабЗаказы[#Headers],0),0),"")</f>
        <v>Руденко Юля</v>
      </c>
      <c r="E1619" s="85" t="s">
        <v>2274</v>
      </c>
      <c r="F1619" s="56" t="s">
        <v>3061</v>
      </c>
      <c r="H1619" s="34">
        <v>45670</v>
      </c>
      <c r="I1619" s="26">
        <v>1</v>
      </c>
      <c r="J1619" s="26">
        <v>189</v>
      </c>
      <c r="K1619">
        <f>ТабПозиции[[#This Row],[discountPrice]]*ТабПозиции[[#This Row],[quantity]]</f>
        <v>189</v>
      </c>
      <c r="L1619" s="26">
        <v>199</v>
      </c>
      <c r="M1619">
        <f t="shared" si="30"/>
        <v>199</v>
      </c>
      <c r="O161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Row],[orderNum]],ТабПозиции[orderSumm])&gt;1500),ABS(M1619*VLOOKUP(ТабПозиции[[#This Row],[orderNum]],ТабЗаказы[#Data],MATCH("Percent",ТабЗаказы[#Headers],0),0))/100,200/COUNTIF(ТабПозиции[orderNum],ТабПозиции[[#This Row],[orderNum]])),0),"")</f>
        <v>20</v>
      </c>
      <c r="P1619">
        <f>IF(OR(ТабПозиции[[#This Row],[item]]="По штрихкоду",ТабПозиции[[#This Row],[item]]="Посылка"),ТабПозиции[[#This Row],[deliverySumm]]+ТабПозиции[[#This Row],[deliveryPost]],SUM(M1619:O1619))</f>
        <v>219</v>
      </c>
      <c r="Q1619" s="57">
        <v>219</v>
      </c>
      <c r="R1619" s="62">
        <f>ТабПозиции[[#This Row],[totalSumm]]-ТабПозиции[[#This Row],[payment]]</f>
        <v>0</v>
      </c>
      <c r="S1619" s="34" t="s">
        <v>965</v>
      </c>
      <c r="T1619" s="56" t="s">
        <v>3061</v>
      </c>
      <c r="U1619" s="56" t="str">
        <f>IF(AND(ТабПозиции[[#This Row],[Остаток]]=0,ТабПозиции[[#This Row],[ord]]="true"),"true","false")</f>
        <v>true</v>
      </c>
      <c r="V1619" s="56" t="s">
        <v>3061</v>
      </c>
      <c r="W1619" s="7"/>
      <c r="X1619"/>
    </row>
    <row r="1620" spans="1:24" x14ac:dyDescent="0.25">
      <c r="A1620" s="26">
        <v>429</v>
      </c>
      <c r="B1620" s="1">
        <f>IFERROR(VLOOKUP(ТабПозиции[[#This Row],[orderNum]],ТабЗаказы[#Data],MATCH(B$7,ТабЗаказы[#Headers],0),0),"")</f>
        <v>45668</v>
      </c>
      <c r="C1620" t="str">
        <f>MONTH(ТабПозиции[[#This Row],[date]])&amp;"/"&amp;YEAR(ТабПозиции[[#This Row],[date]])</f>
        <v>1/2025</v>
      </c>
      <c r="D1620" s="1" t="str">
        <f>IFERROR(VLOOKUP(ТабПозиции[[#This Row],[orderNum]],ТабЗаказы[#Data],MATCH(D$7,ТабЗаказы[#Headers],0),0),"")</f>
        <v>Руденко Юля</v>
      </c>
      <c r="E1620" s="85" t="s">
        <v>2275</v>
      </c>
      <c r="F1620" s="56" t="s">
        <v>3061</v>
      </c>
      <c r="H1620" s="34">
        <v>45671</v>
      </c>
      <c r="I1620" s="26">
        <v>1</v>
      </c>
      <c r="J1620" s="26">
        <v>504</v>
      </c>
      <c r="K1620">
        <f>ТабПозиции[[#This Row],[discountPrice]]*ТабПозиции[[#This Row],[quantity]]</f>
        <v>504</v>
      </c>
      <c r="L1620" s="26">
        <v>531</v>
      </c>
      <c r="M1620">
        <f t="shared" si="30"/>
        <v>531</v>
      </c>
      <c r="O162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Row],[orderNum]],ТабПозиции[orderSumm])&gt;1500),ABS(M1620*VLOOKUP(ТабПозиции[[#This Row],[orderNum]],ТабЗаказы[#Data],MATCH("Percent",ТабЗаказы[#Headers],0),0))/100,200/COUNTIF(ТабПозиции[orderNum],ТабПозиции[[#This Row],[orderNum]])),0),"")</f>
        <v>53</v>
      </c>
      <c r="P1620">
        <f>IF(OR(ТабПозиции[[#This Row],[item]]="По штрихкоду",ТабПозиции[[#This Row],[item]]="Посылка"),ТабПозиции[[#This Row],[deliverySumm]]+ТабПозиции[[#This Row],[deliveryPost]],SUM(M1620:O1620))</f>
        <v>584</v>
      </c>
      <c r="Q1620" s="57">
        <v>584</v>
      </c>
      <c r="R1620" s="62">
        <f>ТабПозиции[[#This Row],[totalSumm]]-ТабПозиции[[#This Row],[payment]]</f>
        <v>0</v>
      </c>
      <c r="S1620" s="34" t="s">
        <v>965</v>
      </c>
      <c r="T1620" s="56" t="s">
        <v>3061</v>
      </c>
      <c r="U1620" s="56" t="str">
        <f>IF(AND(ТабПозиции[[#This Row],[Остаток]]=0,ТабПозиции[[#This Row],[ord]]="true"),"true","false")</f>
        <v>true</v>
      </c>
      <c r="V1620" s="56" t="s">
        <v>3061</v>
      </c>
      <c r="W1620" s="7"/>
      <c r="X1620"/>
    </row>
    <row r="1621" spans="1:24" x14ac:dyDescent="0.25">
      <c r="A1621" s="26">
        <v>429</v>
      </c>
      <c r="B1621" s="1">
        <f>IFERROR(VLOOKUP(ТабПозиции[[#This Row],[orderNum]],ТабЗаказы[#Data],MATCH(B$7,ТабЗаказы[#Headers],0),0),"")</f>
        <v>45668</v>
      </c>
      <c r="C1621" t="str">
        <f>MONTH(ТабПозиции[[#This Row],[date]])&amp;"/"&amp;YEAR(ТабПозиции[[#This Row],[date]])</f>
        <v>1/2025</v>
      </c>
      <c r="D1621" s="1" t="str">
        <f>IFERROR(VLOOKUP(ТабПозиции[[#This Row],[orderNum]],ТабЗаказы[#Data],MATCH(D$7,ТабЗаказы[#Headers],0),0),"")</f>
        <v>Руденко Юля</v>
      </c>
      <c r="E1621" s="85" t="s">
        <v>2272</v>
      </c>
      <c r="F1621" s="56" t="s">
        <v>3061</v>
      </c>
      <c r="H1621" s="34">
        <v>45672</v>
      </c>
      <c r="I1621" s="26">
        <v>1</v>
      </c>
      <c r="J1621" s="26">
        <v>646</v>
      </c>
      <c r="K1621">
        <f>ТабПозиции[[#This Row],[discountPrice]]*ТабПозиции[[#This Row],[quantity]]</f>
        <v>646</v>
      </c>
      <c r="L1621" s="26">
        <v>680</v>
      </c>
      <c r="M1621">
        <f t="shared" si="30"/>
        <v>680</v>
      </c>
      <c r="O162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Row],[orderNum]],ТабПозиции[orderSumm])&gt;1500),ABS(M1621*VLOOKUP(ТабПозиции[[#This Row],[orderNum]],ТабЗаказы[#Data],MATCH("Percent",ТабЗаказы[#Headers],0),0))/100,200/COUNTIF(ТабПозиции[orderNum],ТабПозиции[[#This Row],[orderNum]])),0),"")</f>
        <v>68</v>
      </c>
      <c r="P1621">
        <f>IF(OR(ТабПозиции[[#This Row],[item]]="По штрихкоду",ТабПозиции[[#This Row],[item]]="Посылка"),ТабПозиции[[#This Row],[deliverySumm]]+ТабПозиции[[#This Row],[deliveryPost]],SUM(M1621:O1621))</f>
        <v>748</v>
      </c>
      <c r="Q1621" s="57">
        <v>748</v>
      </c>
      <c r="R1621" s="62">
        <f>ТабПозиции[[#This Row],[totalSumm]]-ТабПозиции[[#This Row],[payment]]</f>
        <v>0</v>
      </c>
      <c r="S1621" s="34" t="s">
        <v>965</v>
      </c>
      <c r="T1621" s="56" t="s">
        <v>3061</v>
      </c>
      <c r="U1621" s="56" t="str">
        <f>IF(AND(ТабПозиции[[#This Row],[Остаток]]=0,ТабПозиции[[#This Row],[ord]]="true"),"true","false")</f>
        <v>true</v>
      </c>
      <c r="V1621" s="56" t="s">
        <v>3061</v>
      </c>
      <c r="W1621" s="7"/>
      <c r="X1621"/>
    </row>
    <row r="1622" spans="1:24" x14ac:dyDescent="0.25">
      <c r="A1622" s="26">
        <v>428</v>
      </c>
      <c r="B1622" s="1">
        <f>IFERROR(VLOOKUP(ТабПозиции[[#This Row],[orderNum]],ТабЗаказы[#Data],MATCH(B$7,ТабЗаказы[#Headers],0),0),"")</f>
        <v>45667</v>
      </c>
      <c r="C1622" t="str">
        <f>MONTH(ТабПозиции[[#This Row],[date]])&amp;"/"&amp;YEAR(ТабПозиции[[#This Row],[date]])</f>
        <v>1/2025</v>
      </c>
      <c r="D1622" s="1" t="str">
        <f>IFERROR(VLOOKUP(ТабПозиции[[#This Row],[orderNum]],ТабЗаказы[#Data],MATCH(D$7,ТабЗаказы[#Headers],0),0),"")</f>
        <v>Светлана от Александра</v>
      </c>
      <c r="E1622" s="85" t="s">
        <v>1799</v>
      </c>
      <c r="F1622" s="56" t="s">
        <v>3061</v>
      </c>
      <c r="H1622" s="34">
        <v>45671</v>
      </c>
      <c r="I1622" s="26">
        <v>1</v>
      </c>
      <c r="J1622" s="26">
        <v>433</v>
      </c>
      <c r="K1622">
        <f>ТабПозиции[[#This Row],[discountPrice]]*ТабПозиции[[#This Row],[quantity]]</f>
        <v>433</v>
      </c>
      <c r="L1622" s="26">
        <v>456</v>
      </c>
      <c r="M1622">
        <f t="shared" si="30"/>
        <v>456</v>
      </c>
      <c r="O162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Row],[orderNum]],ТабПозиции[orderSumm])&gt;1500),ABS(M1622*VLOOKUP(ТабПозиции[[#This Row],[orderNum]],ТабЗаказы[#Data],MATCH("Percent",ТабЗаказы[#Headers],0),0))/100,200/COUNTIF(ТабПозиции[orderNum],ТабПозиции[[#This Row],[orderNum]])),0),"")</f>
        <v>68</v>
      </c>
      <c r="P1622">
        <f>IF(OR(ТабПозиции[[#This Row],[item]]="По штрихкоду",ТабПозиции[[#This Row],[item]]="Посылка"),ТабПозиции[[#This Row],[deliverySumm]]+ТабПозиции[[#This Row],[deliveryPost]],SUM(M1622:O1622))</f>
        <v>524</v>
      </c>
      <c r="Q1622" s="57">
        <v>524</v>
      </c>
      <c r="R1622" s="62">
        <f>ТабПозиции[[#This Row],[totalSumm]]-ТабПозиции[[#This Row],[payment]]</f>
        <v>0</v>
      </c>
      <c r="S1622" s="34" t="s">
        <v>965</v>
      </c>
      <c r="T1622" s="56" t="s">
        <v>3061</v>
      </c>
      <c r="U1622" s="56" t="str">
        <f>IF(AND(ТабПозиции[[#This Row],[Остаток]]=0,ТабПозиции[[#This Row],[ord]]="true"),"true","false")</f>
        <v>true</v>
      </c>
      <c r="V1622" s="56" t="s">
        <v>3061</v>
      </c>
      <c r="W1622" s="7"/>
      <c r="X1622"/>
    </row>
    <row r="1623" spans="1:24" x14ac:dyDescent="0.25">
      <c r="A1623" s="26">
        <v>428</v>
      </c>
      <c r="B1623" s="1">
        <f>IFERROR(VLOOKUP(ТабПозиции[[#This Row],[orderNum]],ТабЗаказы[#Data],MATCH(B$7,ТабЗаказы[#Headers],0),0),"")</f>
        <v>45667</v>
      </c>
      <c r="C1623" t="str">
        <f>MONTH(ТабПозиции[[#This Row],[date]])&amp;"/"&amp;YEAR(ТабПозиции[[#This Row],[date]])</f>
        <v>1/2025</v>
      </c>
      <c r="D1623" s="1" t="str">
        <f>IFERROR(VLOOKUP(ТабПозиции[[#This Row],[orderNum]],ТабЗаказы[#Data],MATCH(D$7,ТабЗаказы[#Headers],0),0),"")</f>
        <v>Светлана от Александра</v>
      </c>
      <c r="E1623" s="85" t="s">
        <v>1799</v>
      </c>
      <c r="F1623" s="56" t="s">
        <v>3061</v>
      </c>
      <c r="H1623" s="34">
        <v>45673</v>
      </c>
      <c r="I1623" s="26">
        <v>1</v>
      </c>
      <c r="J1623" s="26">
        <v>295</v>
      </c>
      <c r="K1623">
        <f>ТабПозиции[[#This Row],[discountPrice]]*ТабПозиции[[#This Row],[quantity]]</f>
        <v>295</v>
      </c>
      <c r="L1623" s="26">
        <v>311</v>
      </c>
      <c r="M1623">
        <f t="shared" ref="M1623:M1633" si="31">L1623*I1623</f>
        <v>311</v>
      </c>
      <c r="O162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Row],[orderNum]],ТабПозиции[orderSumm])&gt;1500),ABS(M1623*VLOOKUP(ТабПозиции[[#This Row],[orderNum]],ТабЗаказы[#Data],MATCH("Percent",ТабЗаказы[#Headers],0),0))/100,200/COUNTIF(ТабПозиции[orderNum],ТабПозиции[[#This Row],[orderNum]])),0),"")</f>
        <v>47</v>
      </c>
      <c r="P1623">
        <f>IF(OR(ТабПозиции[[#This Row],[item]]="По штрихкоду",ТабПозиции[[#This Row],[item]]="Посылка"),ТабПозиции[[#This Row],[deliverySumm]]+ТабПозиции[[#This Row],[deliveryPost]],SUM(M1623:O1623))</f>
        <v>358</v>
      </c>
      <c r="Q1623" s="57">
        <v>358</v>
      </c>
      <c r="R1623" s="62">
        <f>ТабПозиции[[#This Row],[totalSumm]]-ТабПозиции[[#This Row],[payment]]</f>
        <v>0</v>
      </c>
      <c r="S1623" s="34" t="s">
        <v>965</v>
      </c>
      <c r="T1623" s="56" t="s">
        <v>3061</v>
      </c>
      <c r="U1623" s="56" t="str">
        <f>IF(AND(ТабПозиции[[#This Row],[Остаток]]=0,ТабПозиции[[#This Row],[ord]]="true"),"true","false")</f>
        <v>true</v>
      </c>
      <c r="V1623" s="56" t="s">
        <v>3061</v>
      </c>
      <c r="W1623" s="7"/>
      <c r="X1623"/>
    </row>
    <row r="1624" spans="1:24" x14ac:dyDescent="0.25">
      <c r="A1624" s="26">
        <v>428</v>
      </c>
      <c r="B1624" s="1">
        <f>IFERROR(VLOOKUP(ТабПозиции[[#This Row],[orderNum]],ТабЗаказы[#Data],MATCH(B$7,ТабЗаказы[#Headers],0),0),"")</f>
        <v>45667</v>
      </c>
      <c r="C1624" t="str">
        <f>MONTH(ТабПозиции[[#This Row],[date]])&amp;"/"&amp;YEAR(ТабПозиции[[#This Row],[date]])</f>
        <v>1/2025</v>
      </c>
      <c r="D1624" s="1" t="str">
        <f>IFERROR(VLOOKUP(ТабПозиции[[#This Row],[orderNum]],ТабЗаказы[#Data],MATCH(D$7,ТабЗаказы[#Headers],0),0),"")</f>
        <v>Светлана от Александра</v>
      </c>
      <c r="E1624" s="85" t="s">
        <v>2207</v>
      </c>
      <c r="F1624" s="56" t="s">
        <v>3061</v>
      </c>
      <c r="H1624" s="34">
        <v>45670</v>
      </c>
      <c r="I1624" s="26">
        <v>1</v>
      </c>
      <c r="J1624" s="26">
        <v>1237</v>
      </c>
      <c r="K1624">
        <f>ТабПозиции[[#This Row],[discountPrice]]*ТабПозиции[[#This Row],[quantity]]</f>
        <v>1237</v>
      </c>
      <c r="L1624" s="26">
        <v>1303</v>
      </c>
      <c r="M1624">
        <f t="shared" si="31"/>
        <v>1303</v>
      </c>
      <c r="O162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Row],[orderNum]],ТабПозиции[orderSumm])&gt;1500),ABS(M1624*VLOOKUP(ТабПозиции[[#This Row],[orderNum]],ТабЗаказы[#Data],MATCH("Percent",ТабЗаказы[#Headers],0),0))/100,200/COUNTIF(ТабПозиции[orderNum],ТабПозиции[[#This Row],[orderNum]])),0),"")</f>
        <v>195</v>
      </c>
      <c r="P1624">
        <f>IF(OR(ТабПозиции[[#This Row],[item]]="По штрихкоду",ТабПозиции[[#This Row],[item]]="Посылка"),ТабПозиции[[#This Row],[deliverySumm]]+ТабПозиции[[#This Row],[deliveryPost]],SUM(M1624:O1624))</f>
        <v>1498</v>
      </c>
      <c r="Q1624" s="57">
        <v>1498</v>
      </c>
      <c r="R1624" s="62">
        <f>ТабПозиции[[#This Row],[totalSumm]]-ТабПозиции[[#This Row],[payment]]</f>
        <v>0</v>
      </c>
      <c r="S1624" s="34" t="s">
        <v>965</v>
      </c>
      <c r="T1624" s="56" t="s">
        <v>3061</v>
      </c>
      <c r="U1624" s="56" t="str">
        <f>IF(AND(ТабПозиции[[#This Row],[Остаток]]=0,ТабПозиции[[#This Row],[ord]]="true"),"true","false")</f>
        <v>true</v>
      </c>
      <c r="V1624" s="56" t="s">
        <v>3061</v>
      </c>
      <c r="W1624" s="7"/>
      <c r="X1624"/>
    </row>
    <row r="1625" spans="1:24" x14ac:dyDescent="0.25">
      <c r="A1625" s="26">
        <v>430</v>
      </c>
      <c r="B1625" s="1">
        <f>IFERROR(VLOOKUP(ТабПозиции[[#This Row],[orderNum]],ТабЗаказы[#Data],MATCH(B$7,ТабЗаказы[#Headers],0),0),"")</f>
        <v>45669</v>
      </c>
      <c r="C1625" t="str">
        <f>MONTH(ТабПозиции[[#This Row],[date]])&amp;"/"&amp;YEAR(ТабПозиции[[#This Row],[date]])</f>
        <v>1/2025</v>
      </c>
      <c r="D1625" s="1" t="str">
        <f>IFERROR(VLOOKUP(ТабПозиции[[#This Row],[orderNum]],ТабЗаказы[#Data],MATCH(D$7,ТабЗаказы[#Headers],0),0),"")</f>
        <v>Вячеслав Протонов</v>
      </c>
      <c r="E1625" s="85" t="s">
        <v>2280</v>
      </c>
      <c r="F1625" s="56" t="s">
        <v>3061</v>
      </c>
      <c r="H1625" s="34">
        <v>45671</v>
      </c>
      <c r="I1625" s="26">
        <v>1</v>
      </c>
      <c r="J1625" s="26">
        <v>720</v>
      </c>
      <c r="K1625">
        <f>ТабПозиции[[#This Row],[discountPrice]]*ТабПозиции[[#This Row],[quantity]]</f>
        <v>720</v>
      </c>
      <c r="L1625" s="26">
        <v>758</v>
      </c>
      <c r="M1625">
        <f t="shared" si="31"/>
        <v>758</v>
      </c>
      <c r="O162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Row],[orderNum]],ТабПозиции[orderSumm])&gt;1500),ABS(M1625*VLOOKUP(ТабПозиции[[#This Row],[orderNum]],ТабЗаказы[#Data],MATCH("Percent",ТабЗаказы[#Headers],0),0))/100,200/COUNTIF(ТабПозиции[orderNum],ТабПозиции[[#This Row],[orderNum]])),0),"")</f>
        <v>114</v>
      </c>
      <c r="P1625">
        <f>IF(OR(ТабПозиции[[#This Row],[item]]="По штрихкоду",ТабПозиции[[#This Row],[item]]="Посылка"),ТабПозиции[[#This Row],[deliverySumm]]+ТабПозиции[[#This Row],[deliveryPost]],SUM(M1625:O1625))</f>
        <v>872</v>
      </c>
      <c r="Q1625" s="57">
        <v>872</v>
      </c>
      <c r="R1625" s="62">
        <f>ТабПозиции[[#This Row],[totalSumm]]-ТабПозиции[[#This Row],[payment]]</f>
        <v>0</v>
      </c>
      <c r="S1625" s="34" t="s">
        <v>965</v>
      </c>
      <c r="T1625" s="56" t="s">
        <v>3061</v>
      </c>
      <c r="U1625" s="56" t="str">
        <f>IF(AND(ТабПозиции[[#This Row],[Остаток]]=0,ТабПозиции[[#This Row],[ord]]="true"),"true","false")</f>
        <v>true</v>
      </c>
      <c r="V1625" s="56" t="s">
        <v>3061</v>
      </c>
      <c r="W1625" s="7"/>
      <c r="X1625"/>
    </row>
    <row r="1626" spans="1:24" x14ac:dyDescent="0.25">
      <c r="A1626" s="26">
        <v>430</v>
      </c>
      <c r="B1626" s="1">
        <f>IFERROR(VLOOKUP(ТабПозиции[[#This Row],[orderNum]],ТабЗаказы[#Data],MATCH(B$7,ТабЗаказы[#Headers],0),0),"")</f>
        <v>45669</v>
      </c>
      <c r="C1626" t="str">
        <f>MONTH(ТабПозиции[[#This Row],[date]])&amp;"/"&amp;YEAR(ТабПозиции[[#This Row],[date]])</f>
        <v>1/2025</v>
      </c>
      <c r="D1626" s="1" t="str">
        <f>IFERROR(VLOOKUP(ТабПозиции[[#This Row],[orderNum]],ТабЗаказы[#Data],MATCH(D$7,ТабЗаказы[#Headers],0),0),"")</f>
        <v>Вячеслав Протонов</v>
      </c>
      <c r="E1626" s="85" t="s">
        <v>2281</v>
      </c>
      <c r="F1626" s="56" t="s">
        <v>3061</v>
      </c>
      <c r="H1626" s="34">
        <v>45672</v>
      </c>
      <c r="I1626" s="26">
        <v>1</v>
      </c>
      <c r="J1626" s="26">
        <v>2156</v>
      </c>
      <c r="K1626">
        <f>ТабПозиции[[#This Row],[discountPrice]]*ТабПозиции[[#This Row],[quantity]]</f>
        <v>2156</v>
      </c>
      <c r="L1626" s="26">
        <v>2270</v>
      </c>
      <c r="M1626">
        <f t="shared" si="31"/>
        <v>2270</v>
      </c>
      <c r="O162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Row],[orderNum]],ТабПозиции[orderSumm])&gt;1500),ABS(M1626*VLOOKUP(ТабПозиции[[#This Row],[orderNum]],ТабЗаказы[#Data],MATCH("Percent",ТабЗаказы[#Headers],0),0))/100,200/COUNTIF(ТабПозиции[orderNum],ТабПозиции[[#This Row],[orderNum]])),0),"")</f>
        <v>341</v>
      </c>
      <c r="P1626">
        <f>IF(OR(ТабПозиции[[#This Row],[item]]="По штрихкоду",ТабПозиции[[#This Row],[item]]="Посылка"),ТабПозиции[[#This Row],[deliverySumm]]+ТабПозиции[[#This Row],[deliveryPost]],SUM(M1626:O1626))</f>
        <v>2611</v>
      </c>
      <c r="Q1626" s="57">
        <v>2611</v>
      </c>
      <c r="R1626" s="62">
        <f>ТабПозиции[[#This Row],[totalSumm]]-ТабПозиции[[#This Row],[payment]]</f>
        <v>0</v>
      </c>
      <c r="S1626" s="34" t="s">
        <v>965</v>
      </c>
      <c r="T1626" s="56" t="s">
        <v>3061</v>
      </c>
      <c r="U1626" s="56" t="str">
        <f>IF(AND(ТабПозиции[[#This Row],[Остаток]]=0,ТабПозиции[[#This Row],[ord]]="true"),"true","false")</f>
        <v>true</v>
      </c>
      <c r="V1626" s="56" t="s">
        <v>3061</v>
      </c>
      <c r="W1626" s="7"/>
      <c r="X1626"/>
    </row>
    <row r="1627" spans="1:24" x14ac:dyDescent="0.25">
      <c r="A1627" s="26">
        <v>430</v>
      </c>
      <c r="B1627" s="1">
        <f>IFERROR(VLOOKUP(ТабПозиции[[#This Row],[orderNum]],ТабЗаказы[#Data],MATCH(B$7,ТабЗаказы[#Headers],0),0),"")</f>
        <v>45669</v>
      </c>
      <c r="C1627" t="str">
        <f>MONTH(ТабПозиции[[#This Row],[date]])&amp;"/"&amp;YEAR(ТабПозиции[[#This Row],[date]])</f>
        <v>1/2025</v>
      </c>
      <c r="D1627" s="1" t="str">
        <f>IFERROR(VLOOKUP(ТабПозиции[[#This Row],[orderNum]],ТабЗаказы[#Data],MATCH(D$7,ТабЗаказы[#Headers],0),0),"")</f>
        <v>Вячеслав Протонов</v>
      </c>
      <c r="E1627" s="85" t="s">
        <v>2282</v>
      </c>
      <c r="F1627" s="56" t="s">
        <v>3061</v>
      </c>
      <c r="H1627" s="34">
        <v>45671</v>
      </c>
      <c r="I1627" s="26">
        <v>1</v>
      </c>
      <c r="J1627" s="26">
        <v>562</v>
      </c>
      <c r="K1627">
        <f>ТабПозиции[[#This Row],[discountPrice]]*ТабПозиции[[#This Row],[quantity]]</f>
        <v>562</v>
      </c>
      <c r="L1627" s="26">
        <v>592</v>
      </c>
      <c r="M1627">
        <f t="shared" si="31"/>
        <v>592</v>
      </c>
      <c r="O162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Row],[orderNum]],ТабПозиции[orderSumm])&gt;1500),ABS(M1627*VLOOKUP(ТабПозиции[[#This Row],[orderNum]],ТабЗаказы[#Data],MATCH("Percent",ТабЗаказы[#Headers],0),0))/100,200/COUNTIF(ТабПозиции[orderNum],ТабПозиции[[#This Row],[orderNum]])),0),"")</f>
        <v>89</v>
      </c>
      <c r="P1627">
        <f>IF(OR(ТабПозиции[[#This Row],[item]]="По штрихкоду",ТабПозиции[[#This Row],[item]]="Посылка"),ТабПозиции[[#This Row],[deliverySumm]]+ТабПозиции[[#This Row],[deliveryPost]],SUM(M1627:O1627))</f>
        <v>681</v>
      </c>
      <c r="Q1627" s="57">
        <v>681</v>
      </c>
      <c r="R1627" s="62">
        <f>ТабПозиции[[#This Row],[totalSumm]]-ТабПозиции[[#This Row],[payment]]</f>
        <v>0</v>
      </c>
      <c r="S1627" s="34" t="s">
        <v>965</v>
      </c>
      <c r="T1627" s="56" t="s">
        <v>3061</v>
      </c>
      <c r="U1627" s="56" t="str">
        <f>IF(AND(ТабПозиции[[#This Row],[Остаток]]=0,ТабПозиции[[#This Row],[ord]]="true"),"true","false")</f>
        <v>true</v>
      </c>
      <c r="V1627" s="56" t="s">
        <v>3061</v>
      </c>
    </row>
    <row r="1628" spans="1:24" x14ac:dyDescent="0.25">
      <c r="A1628" s="26">
        <v>430</v>
      </c>
      <c r="B1628" s="1">
        <f>IFERROR(VLOOKUP(ТабПозиции[[#This Row],[orderNum]],ТабЗаказы[#Data],MATCH(B$7,ТабЗаказы[#Headers],0),0),"")</f>
        <v>45669</v>
      </c>
      <c r="C1628" t="str">
        <f>MONTH(ТабПозиции[[#This Row],[date]])&amp;"/"&amp;YEAR(ТабПозиции[[#This Row],[date]])</f>
        <v>1/2025</v>
      </c>
      <c r="D1628" s="1" t="str">
        <f>IFERROR(VLOOKUP(ТабПозиции[[#This Row],[orderNum]],ТабЗаказы[#Data],MATCH(D$7,ТабЗаказы[#Headers],0),0),"")</f>
        <v>Вячеслав Протонов</v>
      </c>
      <c r="E1628" s="85" t="s">
        <v>2283</v>
      </c>
      <c r="F1628" s="56" t="s">
        <v>3061</v>
      </c>
      <c r="H1628" s="34">
        <v>45673</v>
      </c>
      <c r="I1628" s="26">
        <v>1</v>
      </c>
      <c r="J1628" s="26">
        <v>548</v>
      </c>
      <c r="K1628">
        <f>ТабПозиции[[#This Row],[discountPrice]]*ТабПозиции[[#This Row],[quantity]]</f>
        <v>548</v>
      </c>
      <c r="L1628" s="26">
        <v>577</v>
      </c>
      <c r="M1628">
        <f t="shared" si="31"/>
        <v>577</v>
      </c>
      <c r="O162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Row],[orderNum]],ТабПозиции[orderSumm])&gt;1500),ABS(M1628*VLOOKUP(ТабПозиции[[#This Row],[orderNum]],ТабЗаказы[#Data],MATCH("Percent",ТабЗаказы[#Headers],0),0))/100,200/COUNTIF(ТабПозиции[orderNum],ТабПозиции[[#This Row],[orderNum]])),0),"")</f>
        <v>87</v>
      </c>
      <c r="P1628">
        <f>IF(OR(ТабПозиции[[#This Row],[item]]="По штрихкоду",ТабПозиции[[#This Row],[item]]="Посылка"),ТабПозиции[[#This Row],[deliverySumm]]+ТабПозиции[[#This Row],[deliveryPost]],SUM(M1628:O1628))</f>
        <v>664</v>
      </c>
      <c r="Q1628" s="57">
        <v>664</v>
      </c>
      <c r="R1628" s="62">
        <f>ТабПозиции[[#This Row],[totalSumm]]-ТабПозиции[[#This Row],[payment]]</f>
        <v>0</v>
      </c>
      <c r="S1628" s="34" t="s">
        <v>965</v>
      </c>
      <c r="T1628" s="56" t="s">
        <v>3061</v>
      </c>
      <c r="U1628" s="56" t="str">
        <f>IF(AND(ТабПозиции[[#This Row],[Остаток]]=0,ТабПозиции[[#This Row],[ord]]="true"),"true","false")</f>
        <v>true</v>
      </c>
      <c r="V1628" s="56" t="s">
        <v>3061</v>
      </c>
    </row>
    <row r="1629" spans="1:24" x14ac:dyDescent="0.25">
      <c r="A1629" s="26">
        <v>429</v>
      </c>
      <c r="B1629" s="1">
        <f>IFERROR(VLOOKUP(ТабПозиции[[#This Row],[orderNum]],ТабЗаказы[#Data],MATCH(B$7,ТабЗаказы[#Headers],0),0),"")</f>
        <v>45668</v>
      </c>
      <c r="C1629" t="str">
        <f>MONTH(ТабПозиции[[#This Row],[date]])&amp;"/"&amp;YEAR(ТабПозиции[[#This Row],[date]])</f>
        <v>1/2025</v>
      </c>
      <c r="D1629" s="1" t="str">
        <f>IFERROR(VLOOKUP(ТабПозиции[[#This Row],[orderNum]],ТабЗаказы[#Data],MATCH(D$7,ТабЗаказы[#Headers],0),0),"")</f>
        <v>Руденко Юля</v>
      </c>
      <c r="E1629" s="85" t="s">
        <v>2284</v>
      </c>
      <c r="F1629" s="56" t="s">
        <v>3061</v>
      </c>
      <c r="H1629" s="34">
        <v>45671</v>
      </c>
      <c r="I1629" s="26">
        <v>1</v>
      </c>
      <c r="J1629" s="26">
        <v>435</v>
      </c>
      <c r="K1629">
        <f>ТабПозиции[[#This Row],[discountPrice]]*ТабПозиции[[#This Row],[quantity]]</f>
        <v>435</v>
      </c>
      <c r="L1629" s="26">
        <v>458</v>
      </c>
      <c r="M1629">
        <f t="shared" si="31"/>
        <v>458</v>
      </c>
      <c r="O162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Row],[orderNum]],ТабПозиции[orderSumm])&gt;1500),ABS(M1629*VLOOKUP(ТабПозиции[[#This Row],[orderNum]],ТабЗаказы[#Data],MATCH("Percent",ТабЗаказы[#Headers],0),0))/100,200/COUNTIF(ТабПозиции[orderNum],ТабПозиции[[#This Row],[orderNum]])),0),"")</f>
        <v>46</v>
      </c>
      <c r="P1629">
        <f>IF(OR(ТабПозиции[[#This Row],[item]]="По штрихкоду",ТабПозиции[[#This Row],[item]]="Посылка"),ТабПозиции[[#This Row],[deliverySumm]]+ТабПозиции[[#This Row],[deliveryPost]],SUM(M1629:O1629))</f>
        <v>504</v>
      </c>
      <c r="Q1629" s="57">
        <v>504</v>
      </c>
      <c r="R1629" s="62">
        <f>ТабПозиции[[#This Row],[totalSumm]]-ТабПозиции[[#This Row],[payment]]</f>
        <v>0</v>
      </c>
      <c r="S1629" s="34" t="s">
        <v>965</v>
      </c>
      <c r="T1629" s="56" t="s">
        <v>3061</v>
      </c>
      <c r="U1629" s="56" t="str">
        <f>IF(AND(ТабПозиции[[#This Row],[Остаток]]=0,ТабПозиции[[#This Row],[ord]]="true"),"true","false")</f>
        <v>true</v>
      </c>
      <c r="V1629" s="56" t="s">
        <v>3061</v>
      </c>
    </row>
    <row r="1630" spans="1:24" x14ac:dyDescent="0.25">
      <c r="A1630" s="26">
        <v>429</v>
      </c>
      <c r="B1630" s="1">
        <f>IFERROR(VLOOKUP(ТабПозиции[[#This Row],[orderNum]],ТабЗаказы[#Data],MATCH(B$7,ТабЗаказы[#Headers],0),0),"")</f>
        <v>45668</v>
      </c>
      <c r="C1630" t="str">
        <f>MONTH(ТабПозиции[[#This Row],[date]])&amp;"/"&amp;YEAR(ТабПозиции[[#This Row],[date]])</f>
        <v>1/2025</v>
      </c>
      <c r="D1630" s="1" t="str">
        <f>IFERROR(VLOOKUP(ТабПозиции[[#This Row],[orderNum]],ТабЗаказы[#Data],MATCH(D$7,ТабЗаказы[#Headers],0),0),"")</f>
        <v>Руденко Юля</v>
      </c>
      <c r="E1630" s="85" t="s">
        <v>2285</v>
      </c>
      <c r="F1630" s="56" t="s">
        <v>3061</v>
      </c>
      <c r="H1630" s="34">
        <v>45671</v>
      </c>
      <c r="I1630" s="26">
        <v>1</v>
      </c>
      <c r="J1630" s="26">
        <v>988</v>
      </c>
      <c r="K1630">
        <f>ТабПозиции[[#This Row],[discountPrice]]*ТабПозиции[[#This Row],[quantity]]</f>
        <v>988</v>
      </c>
      <c r="L1630" s="26">
        <v>1041</v>
      </c>
      <c r="M1630">
        <f t="shared" si="31"/>
        <v>1041</v>
      </c>
      <c r="O163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Row],[orderNum]],ТабПозиции[orderSumm])&gt;1500),ABS(M1630*VLOOKUP(ТабПозиции[[#This Row],[orderNum]],ТабЗаказы[#Data],MATCH("Percent",ТабЗаказы[#Headers],0),0))/100,200/COUNTIF(ТабПозиции[orderNum],ТабПозиции[[#This Row],[orderNum]])),0),"")</f>
        <v>104</v>
      </c>
      <c r="P1630">
        <f>IF(OR(ТабПозиции[[#This Row],[item]]="По штрихкоду",ТабПозиции[[#This Row],[item]]="Посылка"),ТабПозиции[[#This Row],[deliverySumm]]+ТабПозиции[[#This Row],[deliveryPost]],SUM(M1630:O1630))</f>
        <v>1145</v>
      </c>
      <c r="Q1630" s="57">
        <v>1145</v>
      </c>
      <c r="R1630" s="62">
        <f>ТабПозиции[[#This Row],[totalSumm]]-ТабПозиции[[#This Row],[payment]]</f>
        <v>0</v>
      </c>
      <c r="S1630" s="34" t="s">
        <v>965</v>
      </c>
      <c r="T1630" s="56" t="s">
        <v>3061</v>
      </c>
      <c r="U1630" s="56" t="str">
        <f>IF(AND(ТабПозиции[[#This Row],[Остаток]]=0,ТабПозиции[[#This Row],[ord]]="true"),"true","false")</f>
        <v>true</v>
      </c>
      <c r="V1630" s="56" t="s">
        <v>3061</v>
      </c>
    </row>
    <row r="1631" spans="1:24" x14ac:dyDescent="0.25">
      <c r="A1631" s="26">
        <v>418</v>
      </c>
      <c r="B1631" s="1">
        <f>IFERROR(VLOOKUP(ТабПозиции[[#This Row],[orderNum]],ТабЗаказы[#Data],MATCH(B$7,ТабЗаказы[#Headers],0),0),"")</f>
        <v>45661</v>
      </c>
      <c r="C1631" t="str">
        <f>MONTH(ТабПозиции[[#This Row],[date]])&amp;"/"&amp;YEAR(ТабПозиции[[#This Row],[date]])</f>
        <v>1/2025</v>
      </c>
      <c r="D1631" s="1" t="str">
        <f>IFERROR(VLOOKUP(ТабПозиции[[#This Row],[orderNum]],ТабЗаказы[#Data],MATCH(D$7,ТабЗаказы[#Headers],0),0),"")</f>
        <v>Александр Каскад</v>
      </c>
      <c r="E1631" s="26" t="s">
        <v>2233</v>
      </c>
      <c r="F1631" s="56" t="s">
        <v>3061</v>
      </c>
      <c r="H1631" s="34"/>
      <c r="I1631" s="26">
        <v>1</v>
      </c>
      <c r="J1631" s="26">
        <v>3500</v>
      </c>
      <c r="K1631">
        <f>ТабПозиции[[#This Row],[discountPrice]]*ТабПозиции[[#This Row],[quantity]]</f>
        <v>3500</v>
      </c>
      <c r="L1631" s="26">
        <v>3500</v>
      </c>
      <c r="M1631">
        <f t="shared" si="31"/>
        <v>3500</v>
      </c>
      <c r="N1631" s="26">
        <v>2600</v>
      </c>
      <c r="O163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Row],[orderNum]],ТабПозиции[orderSumm])&gt;1500),ABS(M1631*VLOOKUP(ТабПозиции[[#This Row],[orderNum]],ТабЗаказы[#Data],MATCH("Percent",ТабЗаказы[#Headers],0),0))/100,200/COUNTIF(ТабПозиции[orderNum],ТабПозиции[[#This Row],[orderNum]])),0),"")</f>
        <v>525</v>
      </c>
      <c r="P1631">
        <f>IF(OR(ТабПозиции[[#This Row],[item]]="По штрихкоду",ТабПозиции[[#This Row],[item]]="Посылка"),ТабПозиции[[#This Row],[deliverySumm]]+ТабПозиции[[#This Row],[deliveryPost]],SUM(M1631:O1631))</f>
        <v>6625</v>
      </c>
      <c r="Q1631" s="57">
        <v>6625</v>
      </c>
      <c r="R1631" s="62">
        <f>ТабПозиции[[#This Row],[totalSumm]]-ТабПозиции[[#This Row],[payment]]</f>
        <v>0</v>
      </c>
      <c r="S1631" s="34" t="s">
        <v>2289</v>
      </c>
      <c r="T1631" s="56" t="s">
        <v>3061</v>
      </c>
      <c r="U1631" s="56" t="str">
        <f>IF(AND(ТабПозиции[[#This Row],[Остаток]]=0,ТабПозиции[[#This Row],[ord]]="true"),"true","false")</f>
        <v>true</v>
      </c>
      <c r="V1631" s="56" t="s">
        <v>3061</v>
      </c>
    </row>
    <row r="1632" spans="1:24" x14ac:dyDescent="0.25">
      <c r="A1632" s="26">
        <v>431</v>
      </c>
      <c r="B1632" s="1">
        <f>IFERROR(VLOOKUP(ТабПозиции[[#This Row],[orderNum]],ТабЗаказы[#Data],MATCH(B$7,ТабЗаказы[#Headers],0),0),"")</f>
        <v>45671</v>
      </c>
      <c r="C1632" t="str">
        <f>MONTH(ТабПозиции[[#This Row],[date]])&amp;"/"&amp;YEAR(ТабПозиции[[#This Row],[date]])</f>
        <v>1/2025</v>
      </c>
      <c r="D1632" s="1" t="str">
        <f>IFERROR(VLOOKUP(ТабПозиции[[#This Row],[orderNum]],ТабЗаказы[#Data],MATCH(D$7,ТабЗаказы[#Headers],0),0),"")</f>
        <v>Александр Каскад</v>
      </c>
      <c r="E1632" s="85" t="s">
        <v>2286</v>
      </c>
      <c r="F1632" s="56" t="s">
        <v>3061</v>
      </c>
      <c r="H1632" s="34">
        <v>45673</v>
      </c>
      <c r="I1632" s="26">
        <v>1</v>
      </c>
      <c r="J1632" s="26">
        <v>865</v>
      </c>
      <c r="K1632">
        <f>ТабПозиции[[#This Row],[discountPrice]]*ТабПозиции[[#This Row],[quantity]]</f>
        <v>865</v>
      </c>
      <c r="L1632" s="26">
        <v>930</v>
      </c>
      <c r="M1632">
        <f t="shared" si="31"/>
        <v>930</v>
      </c>
      <c r="O163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Row],[orderNum]],ТабПозиции[orderSumm])&gt;1500),ABS(M1632*VLOOKUP(ТабПозиции[[#This Row],[orderNum]],ТабЗаказы[#Data],MATCH("Percent",ТабЗаказы[#Headers],0),0))/100,200/COUNTIF(ТабПозиции[orderNum],ТабПозиции[[#This Row],[orderNum]])),0),"")</f>
        <v>140</v>
      </c>
      <c r="P1632">
        <f>IF(OR(ТабПозиции[[#This Row],[item]]="По штрихкоду",ТабПозиции[[#This Row],[item]]="Посылка"),ТабПозиции[[#This Row],[deliverySumm]]+ТабПозиции[[#This Row],[deliveryPost]],SUM(M1632:O1632))</f>
        <v>1070</v>
      </c>
      <c r="Q1632" s="57">
        <v>1070</v>
      </c>
      <c r="R1632" s="62">
        <f>ТабПозиции[[#This Row],[totalSumm]]-ТабПозиции[[#This Row],[payment]]</f>
        <v>0</v>
      </c>
      <c r="S1632" s="34" t="s">
        <v>955</v>
      </c>
      <c r="T1632" s="56" t="s">
        <v>3061</v>
      </c>
      <c r="U1632" s="56" t="str">
        <f>IF(AND(ТабПозиции[[#This Row],[Остаток]]=0,ТабПозиции[[#This Row],[ord]]="true"),"true","false")</f>
        <v>true</v>
      </c>
      <c r="V1632" s="56" t="s">
        <v>3061</v>
      </c>
    </row>
    <row r="1633" spans="1:22" x14ac:dyDescent="0.25">
      <c r="A1633" s="26">
        <v>431</v>
      </c>
      <c r="B1633" s="1">
        <f>IFERROR(VLOOKUP(ТабПозиции[[#This Row],[orderNum]],ТабЗаказы[#Data],MATCH(B$7,ТабЗаказы[#Headers],0),0),"")</f>
        <v>45671</v>
      </c>
      <c r="C1633" t="str">
        <f>MONTH(ТабПозиции[[#This Row],[date]])&amp;"/"&amp;YEAR(ТабПозиции[[#This Row],[date]])</f>
        <v>1/2025</v>
      </c>
      <c r="D1633" s="1" t="str">
        <f>IFERROR(VLOOKUP(ТабПозиции[[#This Row],[orderNum]],ТабЗаказы[#Data],MATCH(D$7,ТабЗаказы[#Headers],0),0),"")</f>
        <v>Александр Каскад</v>
      </c>
      <c r="E1633" s="85" t="s">
        <v>2287</v>
      </c>
      <c r="F1633" s="56" t="s">
        <v>3061</v>
      </c>
      <c r="H1633" s="34">
        <v>45672</v>
      </c>
      <c r="I1633" s="26">
        <v>1</v>
      </c>
      <c r="J1633" s="26">
        <v>569</v>
      </c>
      <c r="K1633">
        <f>ТабПозиции[[#This Row],[discountPrice]]*ТабПозиции[[#This Row],[quantity]]</f>
        <v>569</v>
      </c>
      <c r="L1633" s="26">
        <v>611</v>
      </c>
      <c r="M1633">
        <f t="shared" si="31"/>
        <v>611</v>
      </c>
      <c r="O163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Row],[orderNum]],ТабПозиции[orderSumm])&gt;1500),ABS(M1633*VLOOKUP(ТабПозиции[[#This Row],[orderNum]],ТабЗаказы[#Data],MATCH("Percent",ТабЗаказы[#Headers],0),0))/100,200/COUNTIF(ТабПозиции[orderNum],ТабПозиции[[#This Row],[orderNum]])),0),"")</f>
        <v>92</v>
      </c>
      <c r="P1633">
        <f>IF(OR(ТабПозиции[[#This Row],[item]]="По штрихкоду",ТабПозиции[[#This Row],[item]]="Посылка"),ТабПозиции[[#This Row],[deliverySumm]]+ТабПозиции[[#This Row],[deliveryPost]],SUM(M1633:O1633))</f>
        <v>703</v>
      </c>
      <c r="Q1633" s="57">
        <v>703</v>
      </c>
      <c r="R1633" s="62">
        <f>ТабПозиции[[#This Row],[totalSumm]]-ТабПозиции[[#This Row],[payment]]</f>
        <v>0</v>
      </c>
      <c r="S1633" s="34" t="s">
        <v>955</v>
      </c>
      <c r="T1633" s="56" t="s">
        <v>3061</v>
      </c>
      <c r="U1633" s="56" t="str">
        <f>IF(AND(ТабПозиции[[#This Row],[Остаток]]=0,ТабПозиции[[#This Row],[ord]]="true"),"true","false")</f>
        <v>true</v>
      </c>
      <c r="V1633" s="56" t="s">
        <v>3061</v>
      </c>
    </row>
    <row r="1634" spans="1:22" x14ac:dyDescent="0.25">
      <c r="A1634" s="26">
        <v>431</v>
      </c>
      <c r="B1634" s="1">
        <f>IFERROR(VLOOKUP(ТабПозиции[[#This Row],[orderNum]],ТабЗаказы[#Data],MATCH(B$7,ТабЗаказы[#Headers],0),0),"")</f>
        <v>45671</v>
      </c>
      <c r="C1634" t="str">
        <f>MONTH(ТабПозиции[[#This Row],[date]])&amp;"/"&amp;YEAR(ТабПозиции[[#This Row],[date]])</f>
        <v>1/2025</v>
      </c>
      <c r="D1634" s="1" t="str">
        <f>IFERROR(VLOOKUP(ТабПозиции[[#This Row],[orderNum]],ТабЗаказы[#Data],MATCH(D$7,ТабЗаказы[#Headers],0),0),"")</f>
        <v>Александр Каскад</v>
      </c>
      <c r="E1634" s="85" t="s">
        <v>2287</v>
      </c>
      <c r="F1634" s="56" t="s">
        <v>3061</v>
      </c>
      <c r="H1634" s="34">
        <v>45673</v>
      </c>
      <c r="I1634" s="26">
        <v>1</v>
      </c>
      <c r="J1634" s="26">
        <v>580</v>
      </c>
      <c r="K1634">
        <f>ТабПозиции[[#This Row],[discountPrice]]*ТабПозиции[[#This Row],[quantity]]</f>
        <v>580</v>
      </c>
      <c r="L1634" s="26">
        <v>623</v>
      </c>
      <c r="M1634">
        <f t="shared" ref="M1634:M1644" si="32">L1634*I1634</f>
        <v>623</v>
      </c>
      <c r="O163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Row],[orderNum]],ТабПозиции[orderSumm])&gt;1500),ABS(M1634*VLOOKUP(ТабПозиции[[#This Row],[orderNum]],ТабЗаказы[#Data],MATCH("Percent",ТабЗаказы[#Headers],0),0))/100,200/COUNTIF(ТабПозиции[orderNum],ТабПозиции[[#This Row],[orderNum]])),0),"")</f>
        <v>93</v>
      </c>
      <c r="P1634">
        <f>IF(OR(ТабПозиции[[#This Row],[item]]="По штрихкоду",ТабПозиции[[#This Row],[item]]="Посылка"),ТабПозиции[[#This Row],[deliverySumm]]+ТабПозиции[[#This Row],[deliveryPost]],SUM(M1634:O1634))</f>
        <v>716</v>
      </c>
      <c r="Q1634" s="57">
        <v>716</v>
      </c>
      <c r="R1634" s="62">
        <f>ТабПозиции[[#This Row],[totalSumm]]-ТабПозиции[[#This Row],[payment]]</f>
        <v>0</v>
      </c>
      <c r="S1634" s="34" t="s">
        <v>955</v>
      </c>
      <c r="T1634" s="56" t="s">
        <v>3061</v>
      </c>
      <c r="U1634" s="56" t="str">
        <f>IF(AND(ТабПозиции[[#This Row],[Остаток]]=0,ТабПозиции[[#This Row],[ord]]="true"),"true","false")</f>
        <v>true</v>
      </c>
      <c r="V1634" s="56" t="s">
        <v>3061</v>
      </c>
    </row>
    <row r="1635" spans="1:22" x14ac:dyDescent="0.25">
      <c r="A1635" s="26">
        <v>432</v>
      </c>
      <c r="B1635" s="1">
        <f>IFERROR(VLOOKUP(ТабПозиции[[#This Row],[orderNum]],ТабЗаказы[#Data],MATCH(B$7,ТабЗаказы[#Headers],0),0),"")</f>
        <v>45671</v>
      </c>
      <c r="C1635" t="str">
        <f>MONTH(ТабПозиции[[#This Row],[date]])&amp;"/"&amp;YEAR(ТабПозиции[[#This Row],[date]])</f>
        <v>1/2025</v>
      </c>
      <c r="D1635" s="1" t="str">
        <f>IFERROR(VLOOKUP(ТабПозиции[[#This Row],[orderNum]],ТабЗаказы[#Data],MATCH(D$7,ТабЗаказы[#Headers],0),0),"")</f>
        <v>Кирилл Куприна</v>
      </c>
      <c r="E1635" s="85" t="s">
        <v>2288</v>
      </c>
      <c r="F1635" s="56" t="s">
        <v>3061</v>
      </c>
      <c r="H1635" s="34">
        <v>45673</v>
      </c>
      <c r="I1635" s="26">
        <v>1</v>
      </c>
      <c r="J1635" s="26">
        <v>2476</v>
      </c>
      <c r="K1635">
        <f>ТабПозиции[[#This Row],[discountPrice]]*ТабПозиции[[#This Row],[quantity]]</f>
        <v>2476</v>
      </c>
      <c r="L1635" s="26">
        <v>2607</v>
      </c>
      <c r="M1635">
        <f t="shared" si="32"/>
        <v>2607</v>
      </c>
      <c r="O163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Row],[orderNum]],ТабПозиции[orderSumm])&gt;1500),ABS(M1635*VLOOKUP(ТабПозиции[[#This Row],[orderNum]],ТабЗаказы[#Data],MATCH("Percent",ТабЗаказы[#Headers],0),0))/100,200/COUNTIF(ТабПозиции[orderNum],ТабПозиции[[#This Row],[orderNum]])),0),"")</f>
        <v>391</v>
      </c>
      <c r="P1635">
        <f>IF(OR(ТабПозиции[[#This Row],[item]]="По штрихкоду",ТабПозиции[[#This Row],[item]]="Посылка"),ТабПозиции[[#This Row],[deliverySumm]]+ТабПозиции[[#This Row],[deliveryPost]],SUM(M1635:O1635))</f>
        <v>2998</v>
      </c>
      <c r="Q1635" s="57">
        <v>2998</v>
      </c>
      <c r="R1635" s="62">
        <f>ТабПозиции[[#This Row],[totalSumm]]-ТабПозиции[[#This Row],[payment]]</f>
        <v>0</v>
      </c>
      <c r="S1635" s="34" t="s">
        <v>965</v>
      </c>
      <c r="T1635" s="56" t="s">
        <v>3061</v>
      </c>
      <c r="U1635" s="56" t="str">
        <f>IF(AND(ТабПозиции[[#This Row],[Остаток]]=0,ТабПозиции[[#This Row],[ord]]="true"),"true","false")</f>
        <v>true</v>
      </c>
      <c r="V1635" s="56" t="s">
        <v>3061</v>
      </c>
    </row>
    <row r="1636" spans="1:22" x14ac:dyDescent="0.25">
      <c r="A1636" s="26">
        <v>432</v>
      </c>
      <c r="B1636" s="1">
        <f>IFERROR(VLOOKUP(ТабПозиции[[#This Row],[orderNum]],ТабЗаказы[#Data],MATCH(B$7,ТабЗаказы[#Headers],0),0),"")</f>
        <v>45671</v>
      </c>
      <c r="C1636" t="str">
        <f>MONTH(ТабПозиции[[#This Row],[date]])&amp;"/"&amp;YEAR(ТабПозиции[[#This Row],[date]])</f>
        <v>1/2025</v>
      </c>
      <c r="D1636" s="1" t="str">
        <f>IFERROR(VLOOKUP(ТабПозиции[[#This Row],[orderNum]],ТабЗаказы[#Data],MATCH(D$7,ТабЗаказы[#Headers],0),0),"")</f>
        <v>Кирилл Куприна</v>
      </c>
      <c r="E1636" s="85" t="s">
        <v>1519</v>
      </c>
      <c r="F1636" s="56" t="s">
        <v>3061</v>
      </c>
      <c r="H1636" s="34">
        <v>45673</v>
      </c>
      <c r="I1636" s="26">
        <v>1</v>
      </c>
      <c r="J1636" s="26">
        <v>1083</v>
      </c>
      <c r="K1636">
        <f>ТабПозиции[[#This Row],[discountPrice]]*ТабПозиции[[#This Row],[quantity]]</f>
        <v>1083</v>
      </c>
      <c r="L1636" s="26">
        <v>1140</v>
      </c>
      <c r="M1636">
        <f t="shared" si="32"/>
        <v>1140</v>
      </c>
      <c r="O163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Row],[orderNum]],ТабПозиции[orderSumm])&gt;1500),ABS(M1636*VLOOKUP(ТабПозиции[[#This Row],[orderNum]],ТабЗаказы[#Data],MATCH("Percent",ТабЗаказы[#Headers],0),0))/100,200/COUNTIF(ТабПозиции[orderNum],ТабПозиции[[#This Row],[orderNum]])),0),"")</f>
        <v>171</v>
      </c>
      <c r="P1636">
        <f>IF(OR(ТабПозиции[[#This Row],[item]]="По штрихкоду",ТабПозиции[[#This Row],[item]]="Посылка"),ТабПозиции[[#This Row],[deliverySumm]]+ТабПозиции[[#This Row],[deliveryPost]],SUM(M1636:O1636))</f>
        <v>1311</v>
      </c>
      <c r="Q1636" s="57">
        <v>1311</v>
      </c>
      <c r="R1636" s="62">
        <f>ТабПозиции[[#This Row],[totalSumm]]-ТабПозиции[[#This Row],[payment]]</f>
        <v>0</v>
      </c>
      <c r="S1636" s="34" t="s">
        <v>965</v>
      </c>
      <c r="T1636" s="56" t="s">
        <v>3061</v>
      </c>
      <c r="U1636" s="56" t="str">
        <f>IF(AND(ТабПозиции[[#This Row],[Остаток]]=0,ТабПозиции[[#This Row],[ord]]="true"),"true","false")</f>
        <v>true</v>
      </c>
      <c r="V1636" s="56" t="s">
        <v>3061</v>
      </c>
    </row>
    <row r="1637" spans="1:22" x14ac:dyDescent="0.25">
      <c r="A1637" s="26">
        <v>432</v>
      </c>
      <c r="B1637" s="1">
        <f>IFERROR(VLOOKUP(ТабПозиции[[#This Row],[orderNum]],ТабЗаказы[#Data],MATCH(B$7,ТабЗаказы[#Headers],0),0),"")</f>
        <v>45671</v>
      </c>
      <c r="C1637" t="str">
        <f>MONTH(ТабПозиции[[#This Row],[date]])&amp;"/"&amp;YEAR(ТабПозиции[[#This Row],[date]])</f>
        <v>1/2025</v>
      </c>
      <c r="D1637" s="1" t="str">
        <f>IFERROR(VLOOKUP(ТабПозиции[[#This Row],[orderNum]],ТабЗаказы[#Data],MATCH(D$7,ТабЗаказы[#Headers],0),0),"")</f>
        <v>Кирилл Куприна</v>
      </c>
      <c r="E1637" s="85" t="s">
        <v>2290</v>
      </c>
      <c r="F1637" s="56" t="s">
        <v>3061</v>
      </c>
      <c r="H1637" s="34">
        <v>45673</v>
      </c>
      <c r="I1637" s="26">
        <v>1</v>
      </c>
      <c r="J1637" s="26">
        <v>487</v>
      </c>
      <c r="K1637">
        <f>ТабПозиции[[#This Row],[discountPrice]]*ТабПозиции[[#This Row],[quantity]]</f>
        <v>487</v>
      </c>
      <c r="L1637" s="26">
        <v>513</v>
      </c>
      <c r="M1637">
        <f t="shared" si="32"/>
        <v>513</v>
      </c>
      <c r="O163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Row],[orderNum]],ТабПозиции[orderSumm])&gt;1500),ABS(M1637*VLOOKUP(ТабПозиции[[#This Row],[orderNum]],ТабЗаказы[#Data],MATCH("Percent",ТабЗаказы[#Headers],0),0))/100,200/COUNTIF(ТабПозиции[orderNum],ТабПозиции[[#This Row],[orderNum]])),0),"")</f>
        <v>77</v>
      </c>
      <c r="P1637">
        <f>IF(OR(ТабПозиции[[#This Row],[item]]="По штрихкоду",ТабПозиции[[#This Row],[item]]="Посылка"),ТабПозиции[[#This Row],[deliverySumm]]+ТабПозиции[[#This Row],[deliveryPost]],SUM(M1637:O1637))</f>
        <v>590</v>
      </c>
      <c r="Q1637" s="57">
        <v>590</v>
      </c>
      <c r="R1637" s="62">
        <f>ТабПозиции[[#This Row],[totalSumm]]-ТабПозиции[[#This Row],[payment]]</f>
        <v>0</v>
      </c>
      <c r="S1637" s="34" t="s">
        <v>965</v>
      </c>
      <c r="T1637" s="56" t="s">
        <v>3061</v>
      </c>
      <c r="U1637" s="56" t="str">
        <f>IF(AND(ТабПозиции[[#This Row],[Остаток]]=0,ТабПозиции[[#This Row],[ord]]="true"),"true","false")</f>
        <v>true</v>
      </c>
      <c r="V1637" s="56" t="s">
        <v>3061</v>
      </c>
    </row>
    <row r="1638" spans="1:22" x14ac:dyDescent="0.25">
      <c r="A1638" s="26">
        <v>432</v>
      </c>
      <c r="B1638" s="1">
        <f>IFERROR(VLOOKUP(ТабПозиции[[#This Row],[orderNum]],ТабЗаказы[#Data],MATCH(B$7,ТабЗаказы[#Headers],0),0),"")</f>
        <v>45671</v>
      </c>
      <c r="C1638" t="str">
        <f>MONTH(ТабПозиции[[#This Row],[date]])&amp;"/"&amp;YEAR(ТабПозиции[[#This Row],[date]])</f>
        <v>1/2025</v>
      </c>
      <c r="D1638" s="1" t="str">
        <f>IFERROR(VLOOKUP(ТабПозиции[[#This Row],[orderNum]],ТабЗаказы[#Data],MATCH(D$7,ТабЗаказы[#Headers],0),0),"")</f>
        <v>Кирилл Куприна</v>
      </c>
      <c r="E1638" s="85" t="s">
        <v>1458</v>
      </c>
      <c r="F1638" s="56" t="s">
        <v>3061</v>
      </c>
      <c r="H1638" s="34">
        <v>45673</v>
      </c>
      <c r="I1638" s="26">
        <v>1</v>
      </c>
      <c r="J1638" s="26">
        <v>1323</v>
      </c>
      <c r="K1638">
        <f>ТабПозиции[[#This Row],[discountPrice]]*ТабПозиции[[#This Row],[quantity]]</f>
        <v>1323</v>
      </c>
      <c r="L1638" s="26">
        <v>1393</v>
      </c>
      <c r="M1638">
        <f t="shared" si="32"/>
        <v>1393</v>
      </c>
      <c r="O163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Row],[orderNum]],ТабПозиции[orderSumm])&gt;1500),ABS(M1638*VLOOKUP(ТабПозиции[[#This Row],[orderNum]],ТабЗаказы[#Data],MATCH("Percent",ТабЗаказы[#Headers],0),0))/100,200/COUNTIF(ТабПозиции[orderNum],ТабПозиции[[#This Row],[orderNum]])),0),"")</f>
        <v>209</v>
      </c>
      <c r="P1638">
        <f>IF(OR(ТабПозиции[[#This Row],[item]]="По штрихкоду",ТабПозиции[[#This Row],[item]]="Посылка"),ТабПозиции[[#This Row],[deliverySumm]]+ТабПозиции[[#This Row],[deliveryPost]],SUM(M1638:O1638))</f>
        <v>1602</v>
      </c>
      <c r="Q1638" s="57">
        <v>1602</v>
      </c>
      <c r="R1638" s="62">
        <f>ТабПозиции[[#This Row],[totalSumm]]-ТабПозиции[[#This Row],[payment]]</f>
        <v>0</v>
      </c>
      <c r="S1638" s="34" t="s">
        <v>965</v>
      </c>
      <c r="T1638" s="56" t="s">
        <v>3061</v>
      </c>
      <c r="U1638" s="56" t="str">
        <f>IF(AND(ТабПозиции[[#This Row],[Остаток]]=0,ТабПозиции[[#This Row],[ord]]="true"),"true","false")</f>
        <v>true</v>
      </c>
      <c r="V1638" s="56" t="s">
        <v>3061</v>
      </c>
    </row>
    <row r="1639" spans="1:22" x14ac:dyDescent="0.25">
      <c r="A1639" s="26">
        <v>432</v>
      </c>
      <c r="B1639" s="1">
        <f>IFERROR(VLOOKUP(ТабПозиции[[#This Row],[orderNum]],ТабЗаказы[#Data],MATCH(B$7,ТабЗаказы[#Headers],0),0),"")</f>
        <v>45671</v>
      </c>
      <c r="C1639" t="str">
        <f>MONTH(ТабПозиции[[#This Row],[date]])&amp;"/"&amp;YEAR(ТабПозиции[[#This Row],[date]])</f>
        <v>1/2025</v>
      </c>
      <c r="D1639" s="1" t="str">
        <f>IFERROR(VLOOKUP(ТабПозиции[[#This Row],[orderNum]],ТабЗаказы[#Data],MATCH(D$7,ТабЗаказы[#Headers],0),0),"")</f>
        <v>Кирилл Куприна</v>
      </c>
      <c r="E1639" s="85" t="s">
        <v>1589</v>
      </c>
      <c r="F1639" s="56" t="s">
        <v>3061</v>
      </c>
      <c r="H1639" s="34">
        <v>45673</v>
      </c>
      <c r="I1639" s="26">
        <v>1</v>
      </c>
      <c r="J1639" s="26">
        <v>338</v>
      </c>
      <c r="K1639">
        <f>ТабПозиции[[#This Row],[discountPrice]]*ТабПозиции[[#This Row],[quantity]]</f>
        <v>338</v>
      </c>
      <c r="L1639" s="26">
        <v>356</v>
      </c>
      <c r="M1639">
        <f t="shared" si="32"/>
        <v>356</v>
      </c>
      <c r="O163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Row],[orderNum]],ТабПозиции[orderSumm])&gt;1500),ABS(M1639*VLOOKUP(ТабПозиции[[#This Row],[orderNum]],ТабЗаказы[#Data],MATCH("Percent",ТабЗаказы[#Headers],0),0))/100,200/COUNTIF(ТабПозиции[orderNum],ТабПозиции[[#This Row],[orderNum]])),0),"")</f>
        <v>53</v>
      </c>
      <c r="P1639">
        <f>IF(OR(ТабПозиции[[#This Row],[item]]="По штрихкоду",ТабПозиции[[#This Row],[item]]="Посылка"),ТабПозиции[[#This Row],[deliverySumm]]+ТабПозиции[[#This Row],[deliveryPost]],SUM(M1639:O1639))</f>
        <v>409</v>
      </c>
      <c r="Q1639" s="57">
        <v>409</v>
      </c>
      <c r="R1639" s="62">
        <f>ТабПозиции[[#This Row],[totalSumm]]-ТабПозиции[[#This Row],[payment]]</f>
        <v>0</v>
      </c>
      <c r="S1639" s="34" t="s">
        <v>965</v>
      </c>
      <c r="T1639" s="56" t="s">
        <v>3061</v>
      </c>
      <c r="U1639" s="56" t="str">
        <f>IF(AND(ТабПозиции[[#This Row],[Остаток]]=0,ТабПозиции[[#This Row],[ord]]="true"),"true","false")</f>
        <v>true</v>
      </c>
      <c r="V1639" s="56" t="s">
        <v>3061</v>
      </c>
    </row>
    <row r="1640" spans="1:22" x14ac:dyDescent="0.25">
      <c r="A1640" s="26">
        <v>428</v>
      </c>
      <c r="B1640" s="1">
        <f>IFERROR(VLOOKUP(ТабПозиции[[#This Row],[orderNum]],ТабЗаказы[#Data],MATCH(B$7,ТабЗаказы[#Headers],0),0),"")</f>
        <v>45667</v>
      </c>
      <c r="C1640" t="str">
        <f>MONTH(ТабПозиции[[#This Row],[date]])&amp;"/"&amp;YEAR(ТабПозиции[[#This Row],[date]])</f>
        <v>1/2025</v>
      </c>
      <c r="D1640" s="1" t="str">
        <f>IFERROR(VLOOKUP(ТабПозиции[[#This Row],[orderNum]],ТабЗаказы[#Data],MATCH(D$7,ТабЗаказы[#Headers],0),0),"")</f>
        <v>Светлана от Александра</v>
      </c>
      <c r="E1640" s="85" t="s">
        <v>628</v>
      </c>
      <c r="F1640" s="56" t="s">
        <v>3061</v>
      </c>
      <c r="H1640" s="34">
        <v>45674</v>
      </c>
      <c r="I1640" s="26">
        <v>1</v>
      </c>
      <c r="J1640" s="26">
        <v>1548</v>
      </c>
      <c r="K1640">
        <f>ТабПозиции[[#This Row],[discountPrice]]*ТабПозиции[[#This Row],[quantity]]</f>
        <v>1548</v>
      </c>
      <c r="L1640" s="26">
        <v>1630</v>
      </c>
      <c r="M1640">
        <f t="shared" si="32"/>
        <v>1630</v>
      </c>
      <c r="O164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Row],[orderNum]],ТабПозиции[orderSumm])&gt;1500),ABS(M1640*VLOOKUP(ТабПозиции[[#This Row],[orderNum]],ТабЗаказы[#Data],MATCH("Percent",ТабЗаказы[#Headers],0),0))/100,200/COUNTIF(ТабПозиции[orderNum],ТабПозиции[[#This Row],[orderNum]])),0),"")</f>
        <v>245</v>
      </c>
      <c r="P1640">
        <f>IF(OR(ТабПозиции[[#This Row],[item]]="По штрихкоду",ТабПозиции[[#This Row],[item]]="Посылка"),ТабПозиции[[#This Row],[deliverySumm]]+ТабПозиции[[#This Row],[deliveryPost]],SUM(M1640:O1640))</f>
        <v>1875</v>
      </c>
      <c r="Q1640" s="57">
        <v>1875</v>
      </c>
      <c r="R1640" s="62">
        <f>ТабПозиции[[#This Row],[totalSumm]]-ТабПозиции[[#This Row],[payment]]</f>
        <v>0</v>
      </c>
      <c r="S1640" s="34" t="s">
        <v>965</v>
      </c>
      <c r="T1640" s="56" t="s">
        <v>3061</v>
      </c>
      <c r="U1640" s="56" t="str">
        <f>IF(AND(ТабПозиции[[#This Row],[Остаток]]=0,ТабПозиции[[#This Row],[ord]]="true"),"true","false")</f>
        <v>true</v>
      </c>
      <c r="V1640" s="56" t="s">
        <v>3061</v>
      </c>
    </row>
    <row r="1641" spans="1:22" x14ac:dyDescent="0.25">
      <c r="A1641" s="26">
        <v>428</v>
      </c>
      <c r="B1641" s="1">
        <f>IFERROR(VLOOKUP(ТабПозиции[[#This Row],[orderNum]],ТабЗаказы[#Data],MATCH(B$7,ТабЗаказы[#Headers],0),0),"")</f>
        <v>45667</v>
      </c>
      <c r="C1641" t="str">
        <f>MONTH(ТабПозиции[[#This Row],[date]])&amp;"/"&amp;YEAR(ТабПозиции[[#This Row],[date]])</f>
        <v>1/2025</v>
      </c>
      <c r="D1641" s="1" t="str">
        <f>IFERROR(VLOOKUP(ТабПозиции[[#This Row],[orderNum]],ТабЗаказы[#Data],MATCH(D$7,ТабЗаказы[#Headers],0),0),"")</f>
        <v>Светлана от Александра</v>
      </c>
      <c r="E1641" s="85" t="s">
        <v>2291</v>
      </c>
      <c r="F1641" s="56" t="s">
        <v>3061</v>
      </c>
      <c r="H1641" s="34">
        <v>45674</v>
      </c>
      <c r="I1641" s="26">
        <v>1</v>
      </c>
      <c r="J1641" s="26">
        <v>340</v>
      </c>
      <c r="K1641">
        <f>ТабПозиции[[#This Row],[discountPrice]]*ТабПозиции[[#This Row],[quantity]]</f>
        <v>340</v>
      </c>
      <c r="L1641" s="26">
        <v>358</v>
      </c>
      <c r="M1641">
        <f t="shared" si="32"/>
        <v>358</v>
      </c>
      <c r="O164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Row],[orderNum]],ТабПозиции[orderSumm])&gt;1500),ABS(M1641*VLOOKUP(ТабПозиции[[#This Row],[orderNum]],ТабЗаказы[#Data],MATCH("Percent",ТабЗаказы[#Headers],0),0))/100,200/COUNTIF(ТабПозиции[orderNum],ТабПозиции[[#This Row],[orderNum]])),0),"")</f>
        <v>54</v>
      </c>
      <c r="P1641">
        <f>IF(OR(ТабПозиции[[#This Row],[item]]="По штрихкоду",ТабПозиции[[#This Row],[item]]="Посылка"),ТабПозиции[[#This Row],[deliverySumm]]+ТабПозиции[[#This Row],[deliveryPost]],SUM(M1641:O1641))</f>
        <v>412</v>
      </c>
      <c r="Q1641" s="57">
        <v>412</v>
      </c>
      <c r="R1641" s="62">
        <f>ТабПозиции[[#This Row],[totalSumm]]-ТабПозиции[[#This Row],[payment]]</f>
        <v>0</v>
      </c>
      <c r="S1641" s="34" t="s">
        <v>965</v>
      </c>
      <c r="T1641" s="56" t="s">
        <v>3061</v>
      </c>
      <c r="U1641" s="56" t="str">
        <f>IF(AND(ТабПозиции[[#This Row],[Остаток]]=0,ТабПозиции[[#This Row],[ord]]="true"),"true","false")</f>
        <v>true</v>
      </c>
      <c r="V1641" s="56" t="s">
        <v>3061</v>
      </c>
    </row>
    <row r="1642" spans="1:22" x14ac:dyDescent="0.25">
      <c r="A1642" s="26">
        <v>428</v>
      </c>
      <c r="B1642" s="1">
        <f>IFERROR(VLOOKUP(ТабПозиции[[#This Row],[orderNum]],ТабЗаказы[#Data],MATCH(B$7,ТабЗаказы[#Headers],0),0),"")</f>
        <v>45667</v>
      </c>
      <c r="C1642" t="str">
        <f>MONTH(ТабПозиции[[#This Row],[date]])&amp;"/"&amp;YEAR(ТабПозиции[[#This Row],[date]])</f>
        <v>1/2025</v>
      </c>
      <c r="D1642" s="1" t="str">
        <f>IFERROR(VLOOKUP(ТабПозиции[[#This Row],[orderNum]],ТабЗаказы[#Data],MATCH(D$7,ТабЗаказы[#Headers],0),0),"")</f>
        <v>Светлана от Александра</v>
      </c>
      <c r="E1642" s="85" t="s">
        <v>2292</v>
      </c>
      <c r="F1642" s="56" t="s">
        <v>3061</v>
      </c>
      <c r="H1642" s="34">
        <v>45674</v>
      </c>
      <c r="I1642" s="26">
        <v>1</v>
      </c>
      <c r="J1642" s="26">
        <v>166</v>
      </c>
      <c r="K1642">
        <f>ТабПозиции[[#This Row],[discountPrice]]*ТабПозиции[[#This Row],[quantity]]</f>
        <v>166</v>
      </c>
      <c r="L1642" s="26">
        <v>175</v>
      </c>
      <c r="M1642">
        <f t="shared" si="32"/>
        <v>175</v>
      </c>
      <c r="O164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Row],[orderNum]],ТабПозиции[orderSumm])&gt;1500),ABS(M1642*VLOOKUP(ТабПозиции[[#This Row],[orderNum]],ТабЗаказы[#Data],MATCH("Percent",ТабЗаказы[#Headers],0),0))/100,200/COUNTIF(ТабПозиции[orderNum],ТабПозиции[[#This Row],[orderNum]])),0),"")</f>
        <v>26</v>
      </c>
      <c r="P1642">
        <f>IF(OR(ТабПозиции[[#This Row],[item]]="По штрихкоду",ТабПозиции[[#This Row],[item]]="Посылка"),ТабПозиции[[#This Row],[deliverySumm]]+ТабПозиции[[#This Row],[deliveryPost]],SUM(M1642:O1642))</f>
        <v>201</v>
      </c>
      <c r="Q1642" s="57">
        <v>201</v>
      </c>
      <c r="R1642" s="62">
        <f>ТабПозиции[[#This Row],[totalSumm]]-ТабПозиции[[#This Row],[payment]]</f>
        <v>0</v>
      </c>
      <c r="S1642" s="34" t="s">
        <v>965</v>
      </c>
      <c r="T1642" s="56" t="s">
        <v>3061</v>
      </c>
      <c r="U1642" s="56" t="str">
        <f>IF(AND(ТабПозиции[[#This Row],[Остаток]]=0,ТабПозиции[[#This Row],[ord]]="true"),"true","false")</f>
        <v>true</v>
      </c>
      <c r="V1642" s="56" t="s">
        <v>3061</v>
      </c>
    </row>
    <row r="1643" spans="1:22" x14ac:dyDescent="0.25">
      <c r="A1643" s="26">
        <v>433</v>
      </c>
      <c r="B1643" s="1">
        <f>IFERROR(VLOOKUP(ТабПозиции[[#This Row],[orderNum]],ТабЗаказы[#Data],MATCH(B$7,ТабЗаказы[#Headers],0),0),"")</f>
        <v>45673</v>
      </c>
      <c r="C1643" t="str">
        <f>MONTH(ТабПозиции[[#This Row],[date]])&amp;"/"&amp;YEAR(ТабПозиции[[#This Row],[date]])</f>
        <v>1/2025</v>
      </c>
      <c r="D1643" s="1" t="str">
        <f>IFERROR(VLOOKUP(ТабПозиции[[#This Row],[orderNum]],ТабЗаказы[#Data],MATCH(D$7,ТабЗаказы[#Headers],0),0),"")</f>
        <v>Родион</v>
      </c>
      <c r="E1643" s="26" t="s">
        <v>815</v>
      </c>
      <c r="F1643" s="56" t="s">
        <v>3061</v>
      </c>
      <c r="G1643" s="28" t="s">
        <v>2293</v>
      </c>
      <c r="H1643" s="34">
        <v>45680</v>
      </c>
      <c r="I1643" s="26">
        <v>1</v>
      </c>
      <c r="J1643" s="26">
        <v>2000</v>
      </c>
      <c r="K1643">
        <f>ТабПозиции[[#This Row],[discountPrice]]*ТабПозиции[[#This Row],[quantity]]</f>
        <v>2000</v>
      </c>
      <c r="L1643" s="26">
        <v>2000</v>
      </c>
      <c r="M1643">
        <f t="shared" si="32"/>
        <v>2000</v>
      </c>
      <c r="N1643" s="26">
        <v>550</v>
      </c>
      <c r="O164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Row],[orderNum]],ТабПозиции[orderSumm])&gt;1500),ABS(M1643*VLOOKUP(ТабПозиции[[#This Row],[orderNum]],ТабЗаказы[#Data],MATCH("Percent",ТабЗаказы[#Headers],0),0))/100,200/COUNTIF(ТабПозиции[orderNum],ТабПозиции[[#This Row],[orderNum]])),0),"")</f>
        <v>300</v>
      </c>
      <c r="P1643">
        <f>IF(OR(ТабПозиции[[#This Row],[item]]="По штрихкоду",ТабПозиции[[#This Row],[item]]="Посылка"),ТабПозиции[[#This Row],[deliverySumm]]+ТабПозиции[[#This Row],[deliveryPost]],SUM(M1643:O1643))</f>
        <v>850</v>
      </c>
      <c r="Q1643" s="57">
        <v>850</v>
      </c>
      <c r="R1643" s="62">
        <f>ТабПозиции[[#This Row],[totalSumm]]-ТабПозиции[[#This Row],[payment]]</f>
        <v>0</v>
      </c>
      <c r="S1643" s="34" t="s">
        <v>1016</v>
      </c>
      <c r="T1643" s="56" t="s">
        <v>3061</v>
      </c>
      <c r="U1643" s="56" t="str">
        <f>IF(AND(ТабПозиции[[#This Row],[Остаток]]=0,ТабПозиции[[#This Row],[ord]]="true"),"true","false")</f>
        <v>true</v>
      </c>
      <c r="V1643" s="56" t="s">
        <v>3061</v>
      </c>
    </row>
    <row r="1644" spans="1:22" x14ac:dyDescent="0.25">
      <c r="A1644" s="26">
        <v>433</v>
      </c>
      <c r="B1644" s="1">
        <f>IFERROR(VLOOKUP(ТабПозиции[[#This Row],[orderNum]],ТабЗаказы[#Data],MATCH(B$7,ТабЗаказы[#Headers],0),0),"")</f>
        <v>45673</v>
      </c>
      <c r="C1644" t="str">
        <f>MONTH(ТабПозиции[[#This Row],[date]])&amp;"/"&amp;YEAR(ТабПозиции[[#This Row],[date]])</f>
        <v>1/2025</v>
      </c>
      <c r="D1644" s="1" t="str">
        <f>IFERROR(VLOOKUP(ТабПозиции[[#This Row],[orderNum]],ТабЗаказы[#Data],MATCH(D$7,ТабЗаказы[#Headers],0),0),"")</f>
        <v>Родион</v>
      </c>
      <c r="E1644" s="26" t="s">
        <v>815</v>
      </c>
      <c r="F1644" s="56" t="s">
        <v>3061</v>
      </c>
      <c r="G1644" s="28" t="s">
        <v>2294</v>
      </c>
      <c r="H1644" s="34">
        <v>45676</v>
      </c>
      <c r="I1644" s="26">
        <v>1</v>
      </c>
      <c r="J1644" s="26">
        <v>1900</v>
      </c>
      <c r="K1644">
        <f>ТабПозиции[[#This Row],[discountPrice]]*ТабПозиции[[#This Row],[quantity]]</f>
        <v>1900</v>
      </c>
      <c r="L1644" s="26">
        <v>1900</v>
      </c>
      <c r="M1644">
        <f t="shared" si="32"/>
        <v>1900</v>
      </c>
      <c r="N1644" s="26">
        <v>750</v>
      </c>
      <c r="O164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Row],[orderNum]],ТабПозиции[orderSumm])&gt;1500),ABS(M1644*VLOOKUP(ТабПозиции[[#This Row],[orderNum]],ТабЗаказы[#Data],MATCH("Percent",ТабЗаказы[#Headers],0),0))/100,200/COUNTIF(ТабПозиции[orderNum],ТабПозиции[[#This Row],[orderNum]])),0),"")</f>
        <v>285</v>
      </c>
      <c r="P1644">
        <f>IF(OR(ТабПозиции[[#This Row],[item]]="По штрихкоду",ТабПозиции[[#This Row],[item]]="Посылка"),ТабПозиции[[#This Row],[deliverySumm]]+ТабПозиции[[#This Row],[deliveryPost]],SUM(M1644:O1644))</f>
        <v>1035</v>
      </c>
      <c r="Q1644" s="57">
        <v>1035</v>
      </c>
      <c r="R1644" s="62">
        <f>ТабПозиции[[#This Row],[totalSumm]]-ТабПозиции[[#This Row],[payment]]</f>
        <v>0</v>
      </c>
      <c r="S1644" s="34" t="s">
        <v>1016</v>
      </c>
      <c r="T1644" s="56" t="s">
        <v>3061</v>
      </c>
      <c r="U1644" s="56" t="str">
        <f>IF(AND(ТабПозиции[[#This Row],[Остаток]]=0,ТабПозиции[[#This Row],[ord]]="true"),"true","false")</f>
        <v>true</v>
      </c>
      <c r="V1644" s="56" t="s">
        <v>3061</v>
      </c>
    </row>
    <row r="1645" spans="1:22" x14ac:dyDescent="0.25">
      <c r="A1645" s="26">
        <v>422</v>
      </c>
      <c r="B1645" s="1">
        <f>IFERROR(VLOOKUP(ТабПозиции[[#This Row],[orderNum]],ТабЗаказы[#Data],MATCH(B$7,ТабЗаказы[#Headers],0),0),"")</f>
        <v>45674</v>
      </c>
      <c r="C1645" t="str">
        <f>MONTH(ТабПозиции[[#This Row],[date]])&amp;"/"&amp;YEAR(ТабПозиции[[#This Row],[date]])</f>
        <v>1/2025</v>
      </c>
      <c r="D1645" s="1" t="str">
        <f>IFERROR(VLOOKUP(ТабПозиции[[#This Row],[orderNum]],ТабЗаказы[#Data],MATCH(D$7,ТабЗаказы[#Headers],0),0),"")</f>
        <v>Алена Бондаренко</v>
      </c>
      <c r="E1645" s="26" t="s">
        <v>815</v>
      </c>
      <c r="F1645" s="56" t="s">
        <v>3061</v>
      </c>
      <c r="G1645" s="28" t="s">
        <v>2297</v>
      </c>
      <c r="H1645" s="34">
        <v>45674</v>
      </c>
      <c r="I1645" s="26">
        <v>1</v>
      </c>
      <c r="J1645" s="26">
        <v>17200</v>
      </c>
      <c r="K1645">
        <f>ТабПозиции[[#This Row],[discountPrice]]*ТабПозиции[[#This Row],[quantity]]</f>
        <v>17200</v>
      </c>
      <c r="L1645" s="26">
        <v>17200</v>
      </c>
      <c r="M1645">
        <f t="shared" si="30"/>
        <v>17200</v>
      </c>
      <c r="O164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Row],[orderNum]],ТабПозиции[orderSumm])&gt;1500),ABS(M1645*VLOOKUP(ТабПозиции[[#This Row],[orderNum]],ТабЗаказы[#Data],MATCH("Percent",ТабЗаказы[#Headers],0),0))/100,200/COUNTIF(ТабПозиции[orderNum],ТабПозиции[[#This Row],[orderNum]])),0),"")</f>
        <v>1720</v>
      </c>
      <c r="P1645">
        <f>IF(OR(ТабПозиции[[#This Row],[item]]="По штрихкоду",ТабПозиции[[#This Row],[item]]="Посылка"),ТабПозиции[[#This Row],[deliverySumm]]+ТабПозиции[[#This Row],[deliveryPost]],SUM(M1645:O1645))</f>
        <v>1720</v>
      </c>
      <c r="Q1645" s="57">
        <v>1720</v>
      </c>
      <c r="R1645" s="62">
        <f>ТабПозиции[[#This Row],[totalSumm]]-ТабПозиции[[#This Row],[payment]]</f>
        <v>0</v>
      </c>
      <c r="S1645" s="34" t="s">
        <v>1011</v>
      </c>
      <c r="T1645" s="56" t="s">
        <v>3061</v>
      </c>
      <c r="U1645" s="56" t="str">
        <f>IF(AND(ТабПозиции[[#This Row],[Остаток]]=0,ТабПозиции[[#This Row],[ord]]="true"),"true","false")</f>
        <v>true</v>
      </c>
      <c r="V1645" s="56" t="s">
        <v>3061</v>
      </c>
    </row>
    <row r="1646" spans="1:22" x14ac:dyDescent="0.25">
      <c r="A1646" s="26">
        <v>422</v>
      </c>
      <c r="B1646" s="1">
        <f>IFERROR(VLOOKUP(ТабПозиции[[#This Row],[orderNum]],ТабЗаказы[#Data],MATCH(B$7,ТабЗаказы[#Headers],0),0),"")</f>
        <v>45674</v>
      </c>
      <c r="C1646" t="str">
        <f>MONTH(ТабПозиции[[#This Row],[date]])&amp;"/"&amp;YEAR(ТабПозиции[[#This Row],[date]])</f>
        <v>1/2025</v>
      </c>
      <c r="D1646" s="1" t="str">
        <f>IFERROR(VLOOKUP(ТабПозиции[[#This Row],[orderNum]],ТабЗаказы[#Data],MATCH(D$7,ТабЗаказы[#Headers],0),0),"")</f>
        <v>Алена Бондаренко</v>
      </c>
      <c r="E1646" s="26" t="s">
        <v>32</v>
      </c>
      <c r="F1646" s="56" t="s">
        <v>3061</v>
      </c>
      <c r="H1646" s="34">
        <v>45674</v>
      </c>
      <c r="I1646" s="26">
        <v>1</v>
      </c>
      <c r="J1646" s="26">
        <v>6359</v>
      </c>
      <c r="K1646">
        <f>ТабПозиции[[#This Row],[discountPrice]]*ТабПозиции[[#This Row],[quantity]]</f>
        <v>6359</v>
      </c>
      <c r="L1646" s="26">
        <v>6359</v>
      </c>
      <c r="M1646">
        <f t="shared" si="30"/>
        <v>6359</v>
      </c>
      <c r="O164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Row],[orderNum]],ТабПозиции[orderSumm])&gt;1500),ABS(M1646*VLOOKUP(ТабПозиции[[#This Row],[orderNum]],ТабЗаказы[#Data],MATCH("Percent",ТабЗаказы[#Headers],0),0))/100,200/COUNTIF(ТабПозиции[orderNum],ТабПозиции[[#This Row],[orderNum]])),0),"")</f>
        <v>636</v>
      </c>
      <c r="P1646">
        <f>IF(OR(ТабПозиции[[#This Row],[item]]="По штрихкоду",ТабПозиции[[#This Row],[item]]="Посылка"),ТабПозиции[[#This Row],[deliverySumm]]+ТабПозиции[[#This Row],[deliveryPost]],SUM(M1646:O1646))</f>
        <v>636</v>
      </c>
      <c r="Q1646" s="57">
        <v>636</v>
      </c>
      <c r="R1646" s="62">
        <f>ТабПозиции[[#This Row],[totalSumm]]-ТабПозиции[[#This Row],[payment]]</f>
        <v>0</v>
      </c>
      <c r="S1646" s="34" t="s">
        <v>965</v>
      </c>
      <c r="T1646" s="56" t="s">
        <v>3061</v>
      </c>
      <c r="U1646" s="56" t="str">
        <f>IF(AND(ТабПозиции[[#This Row],[Остаток]]=0,ТабПозиции[[#This Row],[ord]]="true"),"true","false")</f>
        <v>true</v>
      </c>
      <c r="V1646" s="56" t="s">
        <v>3061</v>
      </c>
    </row>
    <row r="1647" spans="1:22" x14ac:dyDescent="0.25">
      <c r="A1647" s="26">
        <v>434</v>
      </c>
      <c r="B1647" s="1">
        <f>IFERROR(VLOOKUP(ТабПозиции[[#This Row],[orderNum]],ТабЗаказы[#Data],MATCH(B$7,ТабЗаказы[#Headers],0),0),"")</f>
        <v>45674</v>
      </c>
      <c r="C1647" t="str">
        <f>MONTH(ТабПозиции[[#This Row],[date]])&amp;"/"&amp;YEAR(ТабПозиции[[#This Row],[date]])</f>
        <v>1/2025</v>
      </c>
      <c r="D1647" s="1" t="str">
        <f>IFERROR(VLOOKUP(ТабПозиции[[#This Row],[orderNum]],ТабЗаказы[#Data],MATCH(D$7,ТабЗаказы[#Headers],0),0),"")</f>
        <v>Анна Лавицкого</v>
      </c>
      <c r="E1647" s="26" t="s">
        <v>32</v>
      </c>
      <c r="F1647" s="56" t="s">
        <v>3061</v>
      </c>
      <c r="H1647" s="34">
        <v>45674</v>
      </c>
      <c r="I1647" s="26">
        <v>1</v>
      </c>
      <c r="J1647" s="26">
        <v>16692</v>
      </c>
      <c r="K1647">
        <f>ТабПозиции[[#This Row],[discountPrice]]*ТабПозиции[[#This Row],[quantity]]</f>
        <v>16692</v>
      </c>
      <c r="L1647" s="26">
        <v>16692</v>
      </c>
      <c r="M1647">
        <f t="shared" si="30"/>
        <v>16692</v>
      </c>
      <c r="O164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Row],[orderNum]],ТабПозиции[orderSumm])&gt;1500),ABS(M1647*VLOOKUP(ТабПозиции[[#This Row],[orderNum]],ТабЗаказы[#Data],MATCH("Percent",ТабЗаказы[#Headers],0),0))/100,200/COUNTIF(ТабПозиции[orderNum],ТабПозиции[[#This Row],[orderNum]])),0),"")</f>
        <v>1669</v>
      </c>
      <c r="P1647">
        <f>IF(OR(ТабПозиции[[#This Row],[item]]="По штрихкоду",ТабПозиции[[#This Row],[item]]="Посылка"),ТабПозиции[[#This Row],[deliverySumm]]+ТабПозиции[[#This Row],[deliveryPost]],SUM(M1647:O1647))</f>
        <v>1669</v>
      </c>
      <c r="Q1647" s="57">
        <v>1669</v>
      </c>
      <c r="R1647" s="62">
        <f>ТабПозиции[[#This Row],[totalSumm]]-ТабПозиции[[#This Row],[payment]]</f>
        <v>0</v>
      </c>
      <c r="S1647" s="34" t="s">
        <v>965</v>
      </c>
      <c r="T1647" s="56" t="s">
        <v>3061</v>
      </c>
      <c r="U1647" s="56" t="str">
        <f>IF(AND(ТабПозиции[[#This Row],[Остаток]]=0,ТабПозиции[[#This Row],[ord]]="true"),"true","false")</f>
        <v>true</v>
      </c>
      <c r="V1647" s="56" t="s">
        <v>3061</v>
      </c>
    </row>
    <row r="1648" spans="1:22" x14ac:dyDescent="0.25">
      <c r="A1648" s="26">
        <v>435</v>
      </c>
      <c r="B1648" s="1">
        <f>IFERROR(VLOOKUP(ТабПозиции[[#This Row],[orderNum]],ТабЗаказы[#Data],MATCH(B$7,ТабЗаказы[#Headers],0),0),"")</f>
        <v>45674</v>
      </c>
      <c r="C1648" t="str">
        <f>MONTH(ТабПозиции[[#This Row],[date]])&amp;"/"&amp;YEAR(ТабПозиции[[#This Row],[date]])</f>
        <v>1/2025</v>
      </c>
      <c r="D1648" s="1" t="str">
        <f>IFERROR(VLOOKUP(ТабПозиции[[#This Row],[orderNum]],ТабЗаказы[#Data],MATCH(D$7,ТабЗаказы[#Headers],0),0),"")</f>
        <v>Лана</v>
      </c>
      <c r="E1648" s="26" t="s">
        <v>32</v>
      </c>
      <c r="F1648" s="56" t="s">
        <v>3061</v>
      </c>
      <c r="H1648" s="34">
        <v>45674</v>
      </c>
      <c r="I1648" s="26">
        <v>1</v>
      </c>
      <c r="J1648" s="26">
        <v>2870</v>
      </c>
      <c r="K1648">
        <f>ТабПозиции[[#This Row],[discountPrice]]*ТабПозиции[[#This Row],[quantity]]</f>
        <v>2870</v>
      </c>
      <c r="L1648" s="26">
        <v>2870</v>
      </c>
      <c r="M1648">
        <f t="shared" si="30"/>
        <v>2870</v>
      </c>
      <c r="O164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Row],[orderNum]],ТабПозиции[orderSumm])&gt;1500),ABS(M1648*VLOOKUP(ТабПозиции[[#This Row],[orderNum]],ТабЗаказы[#Data],MATCH("Percent",ТабЗаказы[#Headers],0),0))/100,200/COUNTIF(ТабПозиции[orderNum],ТабПозиции[[#This Row],[orderNum]])),0),"")</f>
        <v>431</v>
      </c>
      <c r="P1648">
        <f>IF(OR(ТабПозиции[[#This Row],[item]]="По штрихкоду",ТабПозиции[[#This Row],[item]]="Посылка"),ТабПозиции[[#This Row],[deliverySumm]]+ТабПозиции[[#This Row],[deliveryPost]],SUM(M1648:O1648))</f>
        <v>431</v>
      </c>
      <c r="Q1648" s="57">
        <v>431</v>
      </c>
      <c r="R1648" s="62">
        <f>ТабПозиции[[#This Row],[totalSumm]]-ТабПозиции[[#This Row],[payment]]</f>
        <v>0</v>
      </c>
      <c r="S1648" s="34" t="s">
        <v>955</v>
      </c>
      <c r="T1648" s="56" t="s">
        <v>3061</v>
      </c>
      <c r="U1648" s="56" t="str">
        <f>IF(AND(ТабПозиции[[#This Row],[Остаток]]=0,ТабПозиции[[#This Row],[ord]]="true"),"true","false")</f>
        <v>true</v>
      </c>
      <c r="V1648" s="56" t="s">
        <v>3061</v>
      </c>
    </row>
    <row r="1649" spans="1:22" x14ac:dyDescent="0.25">
      <c r="A1649" s="26">
        <v>436</v>
      </c>
      <c r="B1649" s="1">
        <f>IFERROR(VLOOKUP(ТабПозиции[[#This Row],[orderNum]],ТабЗаказы[#Data],MATCH(B$7,ТабЗаказы[#Headers],0),0),"")</f>
        <v>45674</v>
      </c>
      <c r="C1649" t="str">
        <f>MONTH(ТабПозиции[[#This Row],[date]])&amp;"/"&amp;YEAR(ТабПозиции[[#This Row],[date]])</f>
        <v>1/2025</v>
      </c>
      <c r="D1649" s="1" t="str">
        <f>IFERROR(VLOOKUP(ТабПозиции[[#This Row],[orderNum]],ТабЗаказы[#Data],MATCH(D$7,ТабЗаказы[#Headers],0),0),"")</f>
        <v>АлисаСофия</v>
      </c>
      <c r="E1649" s="26" t="s">
        <v>32</v>
      </c>
      <c r="F1649" s="56" t="s">
        <v>3061</v>
      </c>
      <c r="H1649" s="34">
        <v>45674</v>
      </c>
      <c r="I1649" s="26">
        <v>1</v>
      </c>
      <c r="J1649" s="26">
        <v>5914</v>
      </c>
      <c r="K1649">
        <f>ТабПозиции[[#This Row],[discountPrice]]*ТабПозиции[[#This Row],[quantity]]</f>
        <v>5914</v>
      </c>
      <c r="L1649" s="26">
        <v>5914</v>
      </c>
      <c r="M1649">
        <f t="shared" si="30"/>
        <v>5914</v>
      </c>
      <c r="O164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Row],[orderNum]],ТабПозиции[orderSumm])&gt;1500),ABS(M1649*VLOOKUP(ТабПозиции[[#This Row],[orderNum]],ТабЗаказы[#Data],MATCH("Percent",ТабЗаказы[#Headers],0),0))/100,200/COUNTIF(ТабПозиции[orderNum],ТабПозиции[[#This Row],[orderNum]])),0),"")</f>
        <v>887</v>
      </c>
      <c r="P1649">
        <f>IF(OR(ТабПозиции[[#This Row],[item]]="По штрихкоду",ТабПозиции[[#This Row],[item]]="Посылка"),ТабПозиции[[#This Row],[deliverySumm]]+ТабПозиции[[#This Row],[deliveryPost]],SUM(M1649:O1649))</f>
        <v>887</v>
      </c>
      <c r="Q1649" s="57">
        <v>887</v>
      </c>
      <c r="R1649" s="62">
        <f>ТабПозиции[[#This Row],[totalSumm]]-ТабПозиции[[#This Row],[payment]]</f>
        <v>0</v>
      </c>
      <c r="S1649" s="34" t="s">
        <v>955</v>
      </c>
      <c r="T1649" s="56" t="s">
        <v>3061</v>
      </c>
      <c r="U1649" s="56" t="str">
        <f>IF(AND(ТабПозиции[[#This Row],[Остаток]]=0,ТабПозиции[[#This Row],[ord]]="true"),"true","false")</f>
        <v>true</v>
      </c>
      <c r="V1649" s="56" t="s">
        <v>3061</v>
      </c>
    </row>
    <row r="1650" spans="1:22" x14ac:dyDescent="0.25">
      <c r="A1650" s="26">
        <v>437</v>
      </c>
      <c r="B1650" s="1">
        <f>IFERROR(VLOOKUP(ТабПозиции[[#This Row],[orderNum]],ТабЗаказы[#Data],MATCH(B$7,ТабЗаказы[#Headers],0),0),"")</f>
        <v>45674</v>
      </c>
      <c r="C1650" t="str">
        <f>MONTH(ТабПозиции[[#This Row],[date]])&amp;"/"&amp;YEAR(ТабПозиции[[#This Row],[date]])</f>
        <v>1/2025</v>
      </c>
      <c r="D1650" s="1" t="str">
        <f>IFERROR(VLOOKUP(ТабПозиции[[#This Row],[orderNum]],ТабЗаказы[#Data],MATCH(D$7,ТабЗаказы[#Headers],0),0),"")</f>
        <v>Наталья Лунина 13</v>
      </c>
      <c r="E1650" s="26" t="s">
        <v>32</v>
      </c>
      <c r="F1650" s="56" t="s">
        <v>3061</v>
      </c>
      <c r="H1650" s="34">
        <v>45674</v>
      </c>
      <c r="I1650" s="26">
        <v>1</v>
      </c>
      <c r="J1650" s="26">
        <v>1601</v>
      </c>
      <c r="K1650">
        <f>ТабПозиции[[#This Row],[discountPrice]]*ТабПозиции[[#This Row],[quantity]]</f>
        <v>1601</v>
      </c>
      <c r="L1650" s="26">
        <v>1601</v>
      </c>
      <c r="M1650">
        <f t="shared" si="30"/>
        <v>1601</v>
      </c>
      <c r="O165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Row],[orderNum]],ТабПозиции[orderSumm])&gt;1500),ABS(M1650*VLOOKUP(ТабПозиции[[#This Row],[orderNum]],ТабЗаказы[#Data],MATCH("Percent",ТабЗаказы[#Headers],0),0))/100,200/COUNTIF(ТабПозиции[orderNum],ТабПозиции[[#This Row],[orderNum]])),0),"")</f>
        <v>240</v>
      </c>
      <c r="P1650">
        <f>IF(OR(ТабПозиции[[#This Row],[item]]="По штрихкоду",ТабПозиции[[#This Row],[item]]="Посылка"),ТабПозиции[[#This Row],[deliverySumm]]+ТабПозиции[[#This Row],[deliveryPost]],SUM(M1650:O1650))</f>
        <v>240</v>
      </c>
      <c r="Q1650" s="57">
        <v>240</v>
      </c>
      <c r="R1650" s="62">
        <f>ТабПозиции[[#This Row],[totalSumm]]-ТабПозиции[[#This Row],[payment]]</f>
        <v>0</v>
      </c>
      <c r="S1650" s="34" t="s">
        <v>965</v>
      </c>
      <c r="T1650" s="56" t="s">
        <v>3061</v>
      </c>
      <c r="U1650" s="56" t="str">
        <f>IF(AND(ТабПозиции[[#This Row],[Остаток]]=0,ТабПозиции[[#This Row],[ord]]="true"),"true","false")</f>
        <v>true</v>
      </c>
      <c r="V1650" s="56" t="s">
        <v>3061</v>
      </c>
    </row>
    <row r="1651" spans="1:22" x14ac:dyDescent="0.25">
      <c r="A1651" s="26">
        <v>438</v>
      </c>
      <c r="B1651" s="1">
        <f>IFERROR(VLOOKUP(ТабПозиции[[#This Row],[orderNum]],ТабЗаказы[#Data],MATCH(B$7,ТабЗаказы[#Headers],0),0),"")</f>
        <v>45677</v>
      </c>
      <c r="C1651" t="str">
        <f>MONTH(ТабПозиции[[#This Row],[date]])&amp;"/"&amp;YEAR(ТабПозиции[[#This Row],[date]])</f>
        <v>1/2025</v>
      </c>
      <c r="D1651" s="1" t="str">
        <f>IFERROR(VLOOKUP(ТабПозиции[[#This Row],[orderNum]],ТабЗаказы[#Data],MATCH(D$7,ТабЗаказы[#Headers],0),0),"")</f>
        <v>Александр Каскад</v>
      </c>
      <c r="E1651" s="26" t="s">
        <v>2286</v>
      </c>
      <c r="F1651" s="56" t="s">
        <v>3061</v>
      </c>
      <c r="H1651" s="34">
        <v>45680</v>
      </c>
      <c r="I1651" s="26">
        <v>2</v>
      </c>
      <c r="J1651" s="26">
        <v>860</v>
      </c>
      <c r="K1651">
        <f>ТабПозиции[[#This Row],[discountPrice]]*ТабПозиции[[#This Row],[quantity]]</f>
        <v>1720</v>
      </c>
      <c r="L1651" s="26">
        <v>922</v>
      </c>
      <c r="M1651">
        <f t="shared" si="30"/>
        <v>1844</v>
      </c>
      <c r="O165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Row],[orderNum]],ТабПозиции[orderSumm])&gt;1500),ABS(M1651*VLOOKUP(ТабПозиции[[#This Row],[orderNum]],ТабЗаказы[#Data],MATCH("Percent",ТабЗаказы[#Headers],0),0))/100,200/COUNTIF(ТабПозиции[orderNum],ТабПозиции[[#This Row],[orderNum]])),0),"")</f>
        <v>277</v>
      </c>
      <c r="P1651">
        <f>IF(OR(ТабПозиции[[#This Row],[item]]="По штрихкоду",ТабПозиции[[#This Row],[item]]="Посылка"),ТабПозиции[[#This Row],[deliverySumm]]+ТабПозиции[[#This Row],[deliveryPost]],SUM(M1651:O1651))</f>
        <v>2121</v>
      </c>
      <c r="Q1651" s="57">
        <v>2121</v>
      </c>
      <c r="R1651" s="62">
        <f>ТабПозиции[[#This Row],[totalSumm]]-ТабПозиции[[#This Row],[payment]]</f>
        <v>0</v>
      </c>
      <c r="S1651" s="34" t="s">
        <v>955</v>
      </c>
      <c r="T1651" s="56" t="s">
        <v>3061</v>
      </c>
      <c r="U1651" s="56" t="str">
        <f>IF(AND(ТабПозиции[[#This Row],[Остаток]]=0,ТабПозиции[[#This Row],[ord]]="true"),"true","false")</f>
        <v>true</v>
      </c>
      <c r="V1651" s="56" t="s">
        <v>3061</v>
      </c>
    </row>
    <row r="1652" spans="1:22" x14ac:dyDescent="0.25">
      <c r="A1652" s="26">
        <v>439</v>
      </c>
      <c r="B1652" s="1">
        <f>IFERROR(VLOOKUP(ТабПозиции[[#This Row],[orderNum]],ТабЗаказы[#Data],MATCH(B$7,ТабЗаказы[#Headers],0),0),"")</f>
        <v>45677</v>
      </c>
      <c r="C1652" t="str">
        <f>MONTH(ТабПозиции[[#This Row],[date]])&amp;"/"&amp;YEAR(ТабПозиции[[#This Row],[date]])</f>
        <v>1/2025</v>
      </c>
      <c r="D1652" s="1" t="str">
        <f>IFERROR(VLOOKUP(ТабПозиции[[#This Row],[orderNum]],ТабЗаказы[#Data],MATCH(D$7,ТабЗаказы[#Headers],0),0),"")</f>
        <v>Руденко Юля</v>
      </c>
      <c r="E1652" s="85" t="s">
        <v>2273</v>
      </c>
      <c r="F1652" s="56" t="s">
        <v>3061</v>
      </c>
      <c r="H1652" s="34">
        <v>45681</v>
      </c>
      <c r="I1652" s="26">
        <v>1</v>
      </c>
      <c r="J1652" s="26">
        <v>1743</v>
      </c>
      <c r="K1652">
        <f>ТабПозиции[[#This Row],[discountPrice]]*ТабПозиции[[#This Row],[quantity]]</f>
        <v>1743</v>
      </c>
      <c r="L1652" s="26">
        <v>1835</v>
      </c>
      <c r="M1652">
        <f t="shared" si="30"/>
        <v>1835</v>
      </c>
      <c r="O165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Row],[orderNum]],ТабПозиции[orderSumm])&gt;1500),ABS(M1652*VLOOKUP(ТабПозиции[[#This Row],[orderNum]],ТабЗаказы[#Data],MATCH("Percent",ТабЗаказы[#Headers],0),0))/100,200/COUNTIF(ТабПозиции[orderNum],ТабПозиции[[#This Row],[orderNum]])),0),"")</f>
        <v>184</v>
      </c>
      <c r="P1652">
        <f>IF(OR(ТабПозиции[[#This Row],[item]]="По штрихкоду",ТабПозиции[[#This Row],[item]]="Посылка"),ТабПозиции[[#This Row],[deliverySumm]]+ТабПозиции[[#This Row],[deliveryPost]],SUM(M1652:O1652))</f>
        <v>2019</v>
      </c>
      <c r="Q1652" s="57">
        <v>2019</v>
      </c>
      <c r="R1652" s="62">
        <f>ТабПозиции[[#This Row],[totalSumm]]-ТабПозиции[[#This Row],[payment]]</f>
        <v>0</v>
      </c>
      <c r="S1652" s="34" t="s">
        <v>965</v>
      </c>
      <c r="T1652" s="56" t="s">
        <v>3061</v>
      </c>
      <c r="U1652" s="56" t="str">
        <f>IF(AND(ТабПозиции[[#This Row],[Остаток]]=0,ТабПозиции[[#This Row],[ord]]="true"),"true","false")</f>
        <v>true</v>
      </c>
      <c r="V1652" s="56" t="s">
        <v>3061</v>
      </c>
    </row>
    <row r="1653" spans="1:22" x14ac:dyDescent="0.25">
      <c r="A1653" s="26">
        <v>439</v>
      </c>
      <c r="B1653" s="1">
        <f>IFERROR(VLOOKUP(ТабПозиции[[#This Row],[orderNum]],ТабЗаказы[#Data],MATCH(B$7,ТабЗаказы[#Headers],0),0),"")</f>
        <v>45677</v>
      </c>
      <c r="C1653" t="str">
        <f>MONTH(ТабПозиции[[#This Row],[date]])&amp;"/"&amp;YEAR(ТабПозиции[[#This Row],[date]])</f>
        <v>1/2025</v>
      </c>
      <c r="D1653" s="1" t="str">
        <f>IFERROR(VLOOKUP(ТабПозиции[[#This Row],[orderNum]],ТабЗаказы[#Data],MATCH(D$7,ТабЗаказы[#Headers],0),0),"")</f>
        <v>Руденко Юля</v>
      </c>
      <c r="E1653" s="85" t="s">
        <v>2311</v>
      </c>
      <c r="F1653" s="56" t="s">
        <v>3061</v>
      </c>
      <c r="H1653" s="34">
        <v>45679</v>
      </c>
      <c r="I1653" s="26">
        <v>1</v>
      </c>
      <c r="J1653" s="26">
        <v>324</v>
      </c>
      <c r="K1653">
        <f>ТабПозиции[[#This Row],[discountPrice]]*ТабПозиции[[#This Row],[quantity]]</f>
        <v>324</v>
      </c>
      <c r="L1653" s="26">
        <v>342</v>
      </c>
      <c r="M1653">
        <f t="shared" si="30"/>
        <v>342</v>
      </c>
      <c r="O165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Row],[orderNum]],ТабПозиции[orderSumm])&gt;1500),ABS(M1653*VLOOKUP(ТабПозиции[[#This Row],[orderNum]],ТабЗаказы[#Data],MATCH("Percent",ТабЗаказы[#Headers],0),0))/100,200/COUNTIF(ТабПозиции[orderNum],ТабПозиции[[#This Row],[orderNum]])),0),"")</f>
        <v>34</v>
      </c>
      <c r="P1653">
        <f>IF(OR(ТабПозиции[[#This Row],[item]]="По штрихкоду",ТабПозиции[[#This Row],[item]]="Посылка"),ТабПозиции[[#This Row],[deliverySumm]]+ТабПозиции[[#This Row],[deliveryPost]],SUM(M1653:O1653))</f>
        <v>376</v>
      </c>
      <c r="Q1653" s="57">
        <v>376</v>
      </c>
      <c r="R1653" s="62">
        <f>ТабПозиции[[#This Row],[totalSumm]]-ТабПозиции[[#This Row],[payment]]</f>
        <v>0</v>
      </c>
      <c r="S1653" s="34" t="s">
        <v>965</v>
      </c>
      <c r="T1653" s="56" t="s">
        <v>3061</v>
      </c>
      <c r="U1653" s="56" t="str">
        <f>IF(AND(ТабПозиции[[#This Row],[Остаток]]=0,ТабПозиции[[#This Row],[ord]]="true"),"true","false")</f>
        <v>true</v>
      </c>
      <c r="V1653" s="56" t="s">
        <v>3061</v>
      </c>
    </row>
    <row r="1654" spans="1:22" x14ac:dyDescent="0.25">
      <c r="A1654" s="26">
        <v>439</v>
      </c>
      <c r="B1654" s="1">
        <f>IFERROR(VLOOKUP(ТабПозиции[[#This Row],[orderNum]],ТабЗаказы[#Data],MATCH(B$7,ТабЗаказы[#Headers],0),0),"")</f>
        <v>45677</v>
      </c>
      <c r="C1654" t="str">
        <f>MONTH(ТабПозиции[[#This Row],[date]])&amp;"/"&amp;YEAR(ТабПозиции[[#This Row],[date]])</f>
        <v>1/2025</v>
      </c>
      <c r="D1654" s="1" t="str">
        <f>IFERROR(VLOOKUP(ТабПозиции[[#This Row],[orderNum]],ТабЗаказы[#Data],MATCH(D$7,ТабЗаказы[#Headers],0),0),"")</f>
        <v>Руденко Юля</v>
      </c>
      <c r="E1654" s="85" t="s">
        <v>1849</v>
      </c>
      <c r="F1654" s="56" t="s">
        <v>3061</v>
      </c>
      <c r="H1654" s="34">
        <v>45679</v>
      </c>
      <c r="I1654" s="26">
        <v>1</v>
      </c>
      <c r="J1654" s="26">
        <v>518</v>
      </c>
      <c r="K1654">
        <f>ТабПозиции[[#This Row],[discountPrice]]*ТабПозиции[[#This Row],[quantity]]</f>
        <v>518</v>
      </c>
      <c r="L1654" s="26">
        <v>546</v>
      </c>
      <c r="M1654">
        <f t="shared" si="30"/>
        <v>546</v>
      </c>
      <c r="O165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Row],[orderNum]],ТабПозиции[orderSumm])&gt;1500),ABS(M1654*VLOOKUP(ТабПозиции[[#This Row],[orderNum]],ТабЗаказы[#Data],MATCH("Percent",ТабЗаказы[#Headers],0),0))/100,200/COUNTIF(ТабПозиции[orderNum],ТабПозиции[[#This Row],[orderNum]])),0),"")</f>
        <v>55</v>
      </c>
      <c r="P1654">
        <f>IF(OR(ТабПозиции[[#This Row],[item]]="По штрихкоду",ТабПозиции[[#This Row],[item]]="Посылка"),ТабПозиции[[#This Row],[deliverySumm]]+ТабПозиции[[#This Row],[deliveryPost]],SUM(M1654:O1654))</f>
        <v>601</v>
      </c>
      <c r="Q1654" s="57">
        <v>601</v>
      </c>
      <c r="R1654" s="62">
        <f>ТабПозиции[[#This Row],[totalSumm]]-ТабПозиции[[#This Row],[payment]]</f>
        <v>0</v>
      </c>
      <c r="S1654" s="34" t="s">
        <v>965</v>
      </c>
      <c r="T1654" s="56" t="s">
        <v>3061</v>
      </c>
      <c r="U1654" s="56" t="str">
        <f>IF(AND(ТабПозиции[[#This Row],[Остаток]]=0,ТабПозиции[[#This Row],[ord]]="true"),"true","false")</f>
        <v>true</v>
      </c>
      <c r="V1654" s="56" t="s">
        <v>3061</v>
      </c>
    </row>
    <row r="1655" spans="1:22" x14ac:dyDescent="0.25">
      <c r="A1655" s="26">
        <v>440</v>
      </c>
      <c r="B1655" s="1">
        <f>IFERROR(VLOOKUP(ТабПозиции[[#This Row],[orderNum]],ТабЗаказы[#Data],MATCH(B$7,ТабЗаказы[#Headers],0),0),"")</f>
        <v>45677</v>
      </c>
      <c r="C1655" t="str">
        <f>MONTH(ТабПозиции[[#This Row],[date]])&amp;"/"&amp;YEAR(ТабПозиции[[#This Row],[date]])</f>
        <v>1/2025</v>
      </c>
      <c r="D1655" s="1" t="str">
        <f>IFERROR(VLOOKUP(ТабПозиции[[#This Row],[orderNum]],ТабЗаказы[#Data],MATCH(D$7,ТабЗаказы[#Headers],0),0),"")</f>
        <v>Сергей Гуржи</v>
      </c>
      <c r="E1655" s="85" t="s">
        <v>2314</v>
      </c>
      <c r="F1655" s="56" t="s">
        <v>3061</v>
      </c>
      <c r="H1655" s="34">
        <v>45682</v>
      </c>
      <c r="I1655" s="26">
        <v>1</v>
      </c>
      <c r="J1655" s="26">
        <v>1171</v>
      </c>
      <c r="K1655">
        <f>ТабПозиции[[#This Row],[discountPrice]]*ТабПозиции[[#This Row],[quantity]]</f>
        <v>1171</v>
      </c>
      <c r="L1655" s="26">
        <v>1233</v>
      </c>
      <c r="M1655">
        <f t="shared" si="30"/>
        <v>1233</v>
      </c>
      <c r="O165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Row],[orderNum]],ТабПозиции[orderSumm])&gt;1500),ABS(M1655*VLOOKUP(ТабПозиции[[#This Row],[orderNum]],ТабЗаказы[#Data],MATCH("Percent",ТабЗаказы[#Headers],0),0))/100,200/COUNTIF(ТабПозиции[orderNum],ТабПозиции[[#This Row],[orderNum]])),0),"")</f>
        <v>185</v>
      </c>
      <c r="P1655">
        <f>IF(OR(ТабПозиции[[#This Row],[item]]="По штрихкоду",ТабПозиции[[#This Row],[item]]="Посылка"),ТабПозиции[[#This Row],[deliverySumm]]+ТабПозиции[[#This Row],[deliveryPost]],SUM(M1655:O1655))</f>
        <v>1418</v>
      </c>
      <c r="Q1655" s="57">
        <v>1418</v>
      </c>
      <c r="R1655" s="62">
        <f>ТабПозиции[[#This Row],[totalSumm]]-ТабПозиции[[#This Row],[payment]]</f>
        <v>0</v>
      </c>
      <c r="S1655" s="34" t="s">
        <v>965</v>
      </c>
      <c r="T1655" s="56" t="s">
        <v>3061</v>
      </c>
      <c r="U1655" s="56" t="str">
        <f>IF(AND(ТабПозиции[[#This Row],[Остаток]]=0,ТабПозиции[[#This Row],[ord]]="true"),"true","false")</f>
        <v>true</v>
      </c>
      <c r="V1655" s="56" t="s">
        <v>3061</v>
      </c>
    </row>
    <row r="1656" spans="1:22" x14ac:dyDescent="0.25">
      <c r="A1656" s="26">
        <v>440</v>
      </c>
      <c r="B1656" s="1">
        <f>IFERROR(VLOOKUP(ТабПозиции[[#This Row],[orderNum]],ТабЗаказы[#Data],MATCH(B$7,ТабЗаказы[#Headers],0),0),"")</f>
        <v>45677</v>
      </c>
      <c r="C1656" t="str">
        <f>MONTH(ТабПозиции[[#This Row],[date]])&amp;"/"&amp;YEAR(ТабПозиции[[#This Row],[date]])</f>
        <v>1/2025</v>
      </c>
      <c r="D1656" s="1" t="str">
        <f>IFERROR(VLOOKUP(ТабПозиции[[#This Row],[orderNum]],ТабЗаказы[#Data],MATCH(D$7,ТабЗаказы[#Headers],0),0),"")</f>
        <v>Сергей Гуржи</v>
      </c>
      <c r="E1656" s="85" t="s">
        <v>628</v>
      </c>
      <c r="F1656" s="56" t="s">
        <v>3061</v>
      </c>
      <c r="H1656" s="34">
        <v>45679</v>
      </c>
      <c r="I1656" s="26">
        <v>1</v>
      </c>
      <c r="J1656" s="26">
        <v>632</v>
      </c>
      <c r="K1656">
        <f>ТабПозиции[[#This Row],[discountPrice]]*ТабПозиции[[#This Row],[quantity]]</f>
        <v>632</v>
      </c>
      <c r="L1656" s="26">
        <v>666</v>
      </c>
      <c r="M1656">
        <f t="shared" si="30"/>
        <v>666</v>
      </c>
      <c r="O165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Row],[orderNum]],ТабПозиции[orderSumm])&gt;1500),ABS(M1656*VLOOKUP(ТабПозиции[[#This Row],[orderNum]],ТабЗаказы[#Data],MATCH("Percent",ТабЗаказы[#Headers],0),0))/100,200/COUNTIF(ТабПозиции[orderNum],ТабПозиции[[#This Row],[orderNum]])),0),"")</f>
        <v>100</v>
      </c>
      <c r="P1656">
        <f>IF(OR(ТабПозиции[[#This Row],[item]]="По штрихкоду",ТабПозиции[[#This Row],[item]]="Посылка"),ТабПозиции[[#This Row],[deliverySumm]]+ТабПозиции[[#This Row],[deliveryPost]],SUM(M1656:O1656))</f>
        <v>766</v>
      </c>
      <c r="Q1656" s="57">
        <v>766</v>
      </c>
      <c r="R1656" s="62">
        <f>ТабПозиции[[#This Row],[totalSumm]]-ТабПозиции[[#This Row],[payment]]</f>
        <v>0</v>
      </c>
      <c r="S1656" s="34" t="s">
        <v>965</v>
      </c>
      <c r="T1656" s="56" t="s">
        <v>3061</v>
      </c>
      <c r="U1656" s="56" t="str">
        <f>IF(AND(ТабПозиции[[#This Row],[Остаток]]=0,ТабПозиции[[#This Row],[ord]]="true"),"true","false")</f>
        <v>true</v>
      </c>
      <c r="V1656" s="56" t="s">
        <v>3061</v>
      </c>
    </row>
    <row r="1657" spans="1:22" x14ac:dyDescent="0.25">
      <c r="A1657" s="26">
        <v>441</v>
      </c>
      <c r="B1657" s="1">
        <f>IFERROR(VLOOKUP(ТабПозиции[[#This Row],[orderNum]],ТабЗаказы[#Data],MATCH(B$7,ТабЗаказы[#Headers],0),0),"")</f>
        <v>45679</v>
      </c>
      <c r="C1657" t="str">
        <f>MONTH(ТабПозиции[[#This Row],[date]])&amp;"/"&amp;YEAR(ТабПозиции[[#This Row],[date]])</f>
        <v>1/2025</v>
      </c>
      <c r="D1657" s="1" t="str">
        <f>IFERROR(VLOOKUP(ТабПозиции[[#This Row],[orderNum]],ТабЗаказы[#Data],MATCH(D$7,ТабЗаказы[#Headers],0),0),"")</f>
        <v>Ренат Строителей 145</v>
      </c>
      <c r="E1657" s="85" t="s">
        <v>2315</v>
      </c>
      <c r="F1657" s="56" t="s">
        <v>3061</v>
      </c>
      <c r="H1657" s="34">
        <v>45681</v>
      </c>
      <c r="I1657" s="26">
        <v>1</v>
      </c>
      <c r="J1657" s="26">
        <v>2793</v>
      </c>
      <c r="K1657">
        <f>ТабПозиции[[#This Row],[discountPrice]]*ТабПозиции[[#This Row],[quantity]]</f>
        <v>2793</v>
      </c>
      <c r="L1657" s="26">
        <v>2941</v>
      </c>
      <c r="M1657">
        <f t="shared" si="30"/>
        <v>2941</v>
      </c>
      <c r="O165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Row],[orderNum]],ТабПозиции[orderSumm])&gt;1500),ABS(M1657*VLOOKUP(ТабПозиции[[#This Row],[orderNum]],ТабЗаказы[#Data],MATCH("Percent",ТабЗаказы[#Headers],0),0))/100,200/COUNTIF(ТабПозиции[orderNum],ТабПозиции[[#This Row],[orderNum]])),0),"")</f>
        <v>294</v>
      </c>
      <c r="P1657">
        <f>IF(OR(ТабПозиции[[#This Row],[item]]="По штрихкоду",ТабПозиции[[#This Row],[item]]="Посылка"),ТабПозиции[[#This Row],[deliverySumm]]+ТабПозиции[[#This Row],[deliveryPost]],SUM(M1657:O1657))</f>
        <v>3235</v>
      </c>
      <c r="Q1657" s="57">
        <v>3235</v>
      </c>
      <c r="R1657" s="62">
        <f>ТабПозиции[[#This Row],[totalSumm]]-ТабПозиции[[#This Row],[payment]]</f>
        <v>0</v>
      </c>
      <c r="S1657" s="34" t="s">
        <v>965</v>
      </c>
      <c r="T1657" s="56" t="s">
        <v>3061</v>
      </c>
      <c r="U1657" s="56" t="str">
        <f>IF(AND(ТабПозиции[[#This Row],[Остаток]]=0,ТабПозиции[[#This Row],[ord]]="true"),"true","false")</f>
        <v>true</v>
      </c>
      <c r="V1657" s="56" t="s">
        <v>3061</v>
      </c>
    </row>
    <row r="1658" spans="1:22" x14ac:dyDescent="0.25">
      <c r="A1658" s="26">
        <v>441</v>
      </c>
      <c r="B1658" s="1">
        <f>IFERROR(VLOOKUP(ТабПозиции[[#This Row],[orderNum]],ТабЗаказы[#Data],MATCH(B$7,ТабЗаказы[#Headers],0),0),"")</f>
        <v>45679</v>
      </c>
      <c r="C1658" t="str">
        <f>MONTH(ТабПозиции[[#This Row],[date]])&amp;"/"&amp;YEAR(ТабПозиции[[#This Row],[date]])</f>
        <v>1/2025</v>
      </c>
      <c r="D1658" s="1" t="str">
        <f>IFERROR(VLOOKUP(ТабПозиции[[#This Row],[orderNum]],ТабЗаказы[#Data],MATCH(D$7,ТабЗаказы[#Headers],0),0),"")</f>
        <v>Ренат Строителей 145</v>
      </c>
      <c r="E1658" s="85" t="s">
        <v>1987</v>
      </c>
      <c r="F1658" s="56" t="s">
        <v>3061</v>
      </c>
      <c r="H1658" s="34">
        <v>45681</v>
      </c>
      <c r="I1658" s="26">
        <v>1</v>
      </c>
      <c r="J1658" s="26">
        <v>1766</v>
      </c>
      <c r="K1658">
        <f>ТабПозиции[[#This Row],[discountPrice]]*ТабПозиции[[#This Row],[quantity]]</f>
        <v>1766</v>
      </c>
      <c r="L1658" s="26">
        <v>1859</v>
      </c>
      <c r="M1658">
        <f t="shared" si="30"/>
        <v>1859</v>
      </c>
      <c r="O165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Row],[orderNum]],ТабПозиции[orderSumm])&gt;1500),ABS(M1658*VLOOKUP(ТабПозиции[[#This Row],[orderNum]],ТабЗаказы[#Data],MATCH("Percent",ТабЗаказы[#Headers],0),0))/100,200/COUNTIF(ТабПозиции[orderNum],ТабПозиции[[#This Row],[orderNum]])),0),"")</f>
        <v>186</v>
      </c>
      <c r="P1658">
        <f>IF(OR(ТабПозиции[[#This Row],[item]]="По штрихкоду",ТабПозиции[[#This Row],[item]]="Посылка"),ТабПозиции[[#This Row],[deliverySumm]]+ТабПозиции[[#This Row],[deliveryPost]],SUM(M1658:O1658))</f>
        <v>2045</v>
      </c>
      <c r="Q1658" s="57">
        <v>2045</v>
      </c>
      <c r="R1658" s="62">
        <f>ТабПозиции[[#This Row],[totalSumm]]-ТабПозиции[[#This Row],[payment]]</f>
        <v>0</v>
      </c>
      <c r="S1658" s="34" t="s">
        <v>965</v>
      </c>
      <c r="T1658" s="56" t="s">
        <v>3061</v>
      </c>
      <c r="U1658" s="56" t="str">
        <f>IF(AND(ТабПозиции[[#This Row],[Остаток]]=0,ТабПозиции[[#This Row],[ord]]="true"),"true","false")</f>
        <v>true</v>
      </c>
      <c r="V1658" s="56" t="s">
        <v>3061</v>
      </c>
    </row>
    <row r="1659" spans="1:22" x14ac:dyDescent="0.25">
      <c r="A1659" s="26">
        <v>441</v>
      </c>
      <c r="B1659" s="1">
        <f>IFERROR(VLOOKUP(ТабПозиции[[#This Row],[orderNum]],ТабЗаказы[#Data],MATCH(B$7,ТабЗаказы[#Headers],0),0),"")</f>
        <v>45679</v>
      </c>
      <c r="C1659" t="str">
        <f>MONTH(ТабПозиции[[#This Row],[date]])&amp;"/"&amp;YEAR(ТабПозиции[[#This Row],[date]])</f>
        <v>1/2025</v>
      </c>
      <c r="D1659" s="1" t="str">
        <f>IFERROR(VLOOKUP(ТабПозиции[[#This Row],[orderNum]],ТабЗаказы[#Data],MATCH(D$7,ТабЗаказы[#Headers],0),0),"")</f>
        <v>Ренат Строителей 145</v>
      </c>
      <c r="E1659" s="85" t="s">
        <v>2316</v>
      </c>
      <c r="F1659" s="56" t="s">
        <v>3061</v>
      </c>
      <c r="H1659" s="34">
        <v>45681</v>
      </c>
      <c r="I1659" s="26">
        <v>1</v>
      </c>
      <c r="J1659" s="26">
        <v>4575</v>
      </c>
      <c r="K1659">
        <f>ТабПозиции[[#This Row],[discountPrice]]*ТабПозиции[[#This Row],[quantity]]</f>
        <v>4575</v>
      </c>
      <c r="L1659" s="26">
        <v>4816</v>
      </c>
      <c r="M1659">
        <f t="shared" si="30"/>
        <v>4816</v>
      </c>
      <c r="O165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Row],[orderNum]],ТабПозиции[orderSumm])&gt;1500),ABS(M1659*VLOOKUP(ТабПозиции[[#This Row],[orderNum]],ТабЗаказы[#Data],MATCH("Percent",ТабЗаказы[#Headers],0),0))/100,200/COUNTIF(ТабПозиции[orderNum],ТабПозиции[[#This Row],[orderNum]])),0),"")</f>
        <v>482</v>
      </c>
      <c r="P1659">
        <f>IF(OR(ТабПозиции[[#This Row],[item]]="По штрихкоду",ТабПозиции[[#This Row],[item]]="Посылка"),ТабПозиции[[#This Row],[deliverySumm]]+ТабПозиции[[#This Row],[deliveryPost]],SUM(M1659:O1659))</f>
        <v>5298</v>
      </c>
      <c r="Q1659" s="57">
        <v>5298</v>
      </c>
      <c r="R1659" s="62">
        <f>ТабПозиции[[#This Row],[totalSumm]]-ТабПозиции[[#This Row],[payment]]</f>
        <v>0</v>
      </c>
      <c r="S1659" s="34" t="s">
        <v>965</v>
      </c>
      <c r="T1659" s="56" t="s">
        <v>3061</v>
      </c>
      <c r="U1659" s="56" t="str">
        <f>IF(AND(ТабПозиции[[#This Row],[Остаток]]=0,ТабПозиции[[#This Row],[ord]]="true"),"true","false")</f>
        <v>true</v>
      </c>
      <c r="V1659" s="56" t="s">
        <v>3061</v>
      </c>
    </row>
    <row r="1660" spans="1:22" x14ac:dyDescent="0.25">
      <c r="A1660" s="26">
        <v>441</v>
      </c>
      <c r="B1660" s="1">
        <f>IFERROR(VLOOKUP(ТабПозиции[[#This Row],[orderNum]],ТабЗаказы[#Data],MATCH(B$7,ТабЗаказы[#Headers],0),0),"")</f>
        <v>45679</v>
      </c>
      <c r="C1660" t="str">
        <f>MONTH(ТабПозиции[[#This Row],[date]])&amp;"/"&amp;YEAR(ТабПозиции[[#This Row],[date]])</f>
        <v>1/2025</v>
      </c>
      <c r="D1660" s="1" t="str">
        <f>IFERROR(VLOOKUP(ТабПозиции[[#This Row],[orderNum]],ТабЗаказы[#Data],MATCH(D$7,ТабЗаказы[#Headers],0),0),"")</f>
        <v>Ренат Строителей 145</v>
      </c>
      <c r="E1660" s="85" t="s">
        <v>2317</v>
      </c>
      <c r="F1660" s="56" t="s">
        <v>3061</v>
      </c>
      <c r="H1660" s="34">
        <v>45683</v>
      </c>
      <c r="I1660" s="26">
        <v>1</v>
      </c>
      <c r="J1660" s="26">
        <v>580</v>
      </c>
      <c r="K1660">
        <f>ТабПозиции[[#This Row],[discountPrice]]*ТабПозиции[[#This Row],[quantity]]</f>
        <v>580</v>
      </c>
      <c r="L1660" s="26">
        <v>611</v>
      </c>
      <c r="M1660">
        <f t="shared" ref="M1660" si="33">L1660*I1660</f>
        <v>611</v>
      </c>
      <c r="O166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Row],[orderNum]],ТабПозиции[orderSumm])&gt;1500),ABS(M1660*VLOOKUP(ТабПозиции[[#This Row],[orderNum]],ТабЗаказы[#Data],MATCH("Percent",ТабЗаказы[#Headers],0),0))/100,200/COUNTIF(ТабПозиции[orderNum],ТабПозиции[[#This Row],[orderNum]])),0),"")</f>
        <v>61</v>
      </c>
      <c r="P1660">
        <f>IF(OR(ТабПозиции[[#This Row],[item]]="По штрихкоду",ТабПозиции[[#This Row],[item]]="Посылка"),ТабПозиции[[#This Row],[deliverySumm]]+ТабПозиции[[#This Row],[deliveryPost]],SUM(M1660:O1660))</f>
        <v>672</v>
      </c>
      <c r="Q1660" s="57">
        <v>672</v>
      </c>
      <c r="R1660" s="62">
        <f>ТабПозиции[[#This Row],[totalSumm]]-ТабПозиции[[#This Row],[payment]]</f>
        <v>0</v>
      </c>
      <c r="S1660" s="34" t="s">
        <v>965</v>
      </c>
      <c r="T1660" s="56" t="s">
        <v>3061</v>
      </c>
      <c r="U1660" s="56" t="str">
        <f>IF(AND(ТабПозиции[[#This Row],[Остаток]]=0,ТабПозиции[[#This Row],[ord]]="true"),"true","false")</f>
        <v>true</v>
      </c>
      <c r="V1660" s="56" t="s">
        <v>3061</v>
      </c>
    </row>
    <row r="1661" spans="1:22" x14ac:dyDescent="0.25">
      <c r="A1661" s="26">
        <v>441</v>
      </c>
      <c r="B1661" s="1">
        <f>IFERROR(VLOOKUP(ТабПозиции[[#This Row],[orderNum]],ТабЗаказы[#Data],MATCH(B$7,ТабЗаказы[#Headers],0),0),"")</f>
        <v>45679</v>
      </c>
      <c r="C1661" t="str">
        <f>MONTH(ТабПозиции[[#This Row],[date]])&amp;"/"&amp;YEAR(ТабПозиции[[#This Row],[date]])</f>
        <v>1/2025</v>
      </c>
      <c r="D1661" s="1" t="str">
        <f>IFERROR(VLOOKUP(ТабПозиции[[#This Row],[orderNum]],ТабЗаказы[#Data],MATCH(D$7,ТабЗаказы[#Headers],0),0),"")</f>
        <v>Ренат Строителей 145</v>
      </c>
      <c r="E1661" s="85" t="s">
        <v>2317</v>
      </c>
      <c r="F1661" s="56" t="s">
        <v>3061</v>
      </c>
      <c r="H1661" s="34">
        <v>45683</v>
      </c>
      <c r="I1661" s="26">
        <v>1</v>
      </c>
      <c r="J1661" s="26">
        <v>580</v>
      </c>
      <c r="K1661">
        <f>ТабПозиции[[#This Row],[discountPrice]]*ТабПозиции[[#This Row],[quantity]]</f>
        <v>580</v>
      </c>
      <c r="L1661" s="26">
        <v>611</v>
      </c>
      <c r="M1661">
        <f t="shared" si="30"/>
        <v>611</v>
      </c>
      <c r="O166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Row],[orderNum]],ТабПозиции[orderSumm])&gt;1500),ABS(M1661*VLOOKUP(ТабПозиции[[#This Row],[orderNum]],ТабЗаказы[#Data],MATCH("Percent",ТабЗаказы[#Headers],0),0))/100,200/COUNTIF(ТабПозиции[orderNum],ТабПозиции[[#This Row],[orderNum]])),0),"")</f>
        <v>61</v>
      </c>
      <c r="P1661">
        <f>IF(OR(ТабПозиции[[#This Row],[item]]="По штрихкоду",ТабПозиции[[#This Row],[item]]="Посылка"),ТабПозиции[[#This Row],[deliverySumm]]+ТабПозиции[[#This Row],[deliveryPost]],SUM(M1661:O1661))</f>
        <v>672</v>
      </c>
      <c r="Q1661" s="57">
        <v>672</v>
      </c>
      <c r="R1661" s="62">
        <f>ТабПозиции[[#This Row],[totalSumm]]-ТабПозиции[[#This Row],[payment]]</f>
        <v>0</v>
      </c>
      <c r="S1661" s="34" t="s">
        <v>965</v>
      </c>
      <c r="T1661" s="56" t="s">
        <v>3061</v>
      </c>
      <c r="U1661" s="56" t="str">
        <f>IF(AND(ТабПозиции[[#This Row],[Остаток]]=0,ТабПозиции[[#This Row],[ord]]="true"),"true","false")</f>
        <v>true</v>
      </c>
      <c r="V1661" s="56" t="s">
        <v>3061</v>
      </c>
    </row>
    <row r="1662" spans="1:22" x14ac:dyDescent="0.25">
      <c r="A1662" s="26">
        <v>441</v>
      </c>
      <c r="B1662" s="1">
        <f>IFERROR(VLOOKUP(ТабПозиции[[#This Row],[orderNum]],ТабЗаказы[#Data],MATCH(B$7,ТабЗаказы[#Headers],0),0),"")</f>
        <v>45679</v>
      </c>
      <c r="C1662" t="str">
        <f>MONTH(ТабПозиции[[#This Row],[date]])&amp;"/"&amp;YEAR(ТабПозиции[[#This Row],[date]])</f>
        <v>1/2025</v>
      </c>
      <c r="D1662" s="1" t="str">
        <f>IFERROR(VLOOKUP(ТабПозиции[[#This Row],[orderNum]],ТабЗаказы[#Data],MATCH(D$7,ТабЗаказы[#Headers],0),0),"")</f>
        <v>Ренат Строителей 145</v>
      </c>
      <c r="E1662" s="85" t="s">
        <v>2318</v>
      </c>
      <c r="F1662" s="56" t="s">
        <v>3061</v>
      </c>
      <c r="H1662" s="34">
        <v>45681</v>
      </c>
      <c r="I1662" s="26">
        <v>1</v>
      </c>
      <c r="J1662" s="26">
        <v>1094</v>
      </c>
      <c r="K1662">
        <f>ТабПозиции[[#This Row],[discountPrice]]*ТабПозиции[[#This Row],[quantity]]</f>
        <v>1094</v>
      </c>
      <c r="L1662" s="26">
        <v>1152</v>
      </c>
      <c r="M1662">
        <f t="shared" si="30"/>
        <v>1152</v>
      </c>
      <c r="O166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Row],[orderNum]],ТабПозиции[orderSumm])&gt;1500),ABS(M1662*VLOOKUP(ТабПозиции[[#This Row],[orderNum]],ТабЗаказы[#Data],MATCH("Percent",ТабЗаказы[#Headers],0),0))/100,200/COUNTIF(ТабПозиции[orderNum],ТабПозиции[[#This Row],[orderNum]])),0),"")</f>
        <v>115</v>
      </c>
      <c r="P1662">
        <f>IF(OR(ТабПозиции[[#This Row],[item]]="По штрихкоду",ТабПозиции[[#This Row],[item]]="Посылка"),ТабПозиции[[#This Row],[deliverySumm]]+ТабПозиции[[#This Row],[deliveryPost]],SUM(M1662:O1662))</f>
        <v>1267</v>
      </c>
      <c r="Q1662" s="57">
        <v>1267</v>
      </c>
      <c r="R1662" s="62">
        <f>ТабПозиции[[#This Row],[totalSumm]]-ТабПозиции[[#This Row],[payment]]</f>
        <v>0</v>
      </c>
      <c r="S1662" s="34" t="s">
        <v>965</v>
      </c>
      <c r="T1662" s="56" t="s">
        <v>3061</v>
      </c>
      <c r="U1662" s="56" t="str">
        <f>IF(AND(ТабПозиции[[#This Row],[Остаток]]=0,ТабПозиции[[#This Row],[ord]]="true"),"true","false")</f>
        <v>true</v>
      </c>
      <c r="V1662" s="56" t="s">
        <v>3061</v>
      </c>
    </row>
    <row r="1663" spans="1:22" x14ac:dyDescent="0.25">
      <c r="A1663" s="26">
        <v>441</v>
      </c>
      <c r="B1663" s="1">
        <f>IFERROR(VLOOKUP(ТабПозиции[[#This Row],[orderNum]],ТабЗаказы[#Data],MATCH(B$7,ТабЗаказы[#Headers],0),0),"")</f>
        <v>45679</v>
      </c>
      <c r="C1663" t="str">
        <f>MONTH(ТабПозиции[[#This Row],[date]])&amp;"/"&amp;YEAR(ТабПозиции[[#This Row],[date]])</f>
        <v>1/2025</v>
      </c>
      <c r="D1663" s="1" t="str">
        <f>IFERROR(VLOOKUP(ТабПозиции[[#This Row],[orderNum]],ТабЗаказы[#Data],MATCH(D$7,ТабЗаказы[#Headers],0),0),"")</f>
        <v>Ренат Строителей 145</v>
      </c>
      <c r="E1663" s="85" t="s">
        <v>2319</v>
      </c>
      <c r="F1663" s="56" t="s">
        <v>3061</v>
      </c>
      <c r="H1663" s="34">
        <v>45681</v>
      </c>
      <c r="I1663" s="26">
        <v>1</v>
      </c>
      <c r="J1663" s="26">
        <v>4770</v>
      </c>
      <c r="K1663">
        <f>ТабПозиции[[#This Row],[discountPrice]]*ТабПозиции[[#This Row],[quantity]]</f>
        <v>4770</v>
      </c>
      <c r="L1663" s="26">
        <v>5022</v>
      </c>
      <c r="M1663">
        <f t="shared" si="30"/>
        <v>5022</v>
      </c>
      <c r="O166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Row],[orderNum]],ТабПозиции[orderSumm])&gt;1500),ABS(M1663*VLOOKUP(ТабПозиции[[#This Row],[orderNum]],ТабЗаказы[#Data],MATCH("Percent",ТабЗаказы[#Headers],0),0))/100,200/COUNTIF(ТабПозиции[orderNum],ТабПозиции[[#This Row],[orderNum]])),0),"")</f>
        <v>502</v>
      </c>
      <c r="P1663">
        <f>IF(OR(ТабПозиции[[#This Row],[item]]="По штрихкоду",ТабПозиции[[#This Row],[item]]="Посылка"),ТабПозиции[[#This Row],[deliverySumm]]+ТабПозиции[[#This Row],[deliveryPost]],SUM(M1663:O1663))</f>
        <v>5524</v>
      </c>
      <c r="Q1663" s="57">
        <v>5524</v>
      </c>
      <c r="R1663" s="62">
        <f>ТабПозиции[[#This Row],[totalSumm]]-ТабПозиции[[#This Row],[payment]]</f>
        <v>0</v>
      </c>
      <c r="S1663" s="34" t="s">
        <v>965</v>
      </c>
      <c r="T1663" s="56" t="s">
        <v>3061</v>
      </c>
      <c r="U1663" s="56" t="str">
        <f>IF(AND(ТабПозиции[[#This Row],[Остаток]]=0,ТабПозиции[[#This Row],[ord]]="true"),"true","false")</f>
        <v>true</v>
      </c>
      <c r="V1663" s="56" t="s">
        <v>3061</v>
      </c>
    </row>
    <row r="1664" spans="1:22" x14ac:dyDescent="0.25">
      <c r="A1664" s="26">
        <v>441</v>
      </c>
      <c r="B1664" s="1">
        <f>IFERROR(VLOOKUP(ТабПозиции[[#This Row],[orderNum]],ТабЗаказы[#Data],MATCH(B$7,ТабЗаказы[#Headers],0),0),"")</f>
        <v>45679</v>
      </c>
      <c r="C1664" t="str">
        <f>MONTH(ТабПозиции[[#This Row],[date]])&amp;"/"&amp;YEAR(ТабПозиции[[#This Row],[date]])</f>
        <v>1/2025</v>
      </c>
      <c r="D1664" s="1" t="str">
        <f>IFERROR(VLOOKUP(ТабПозиции[[#This Row],[orderNum]],ТабЗаказы[#Data],MATCH(D$7,ТабЗаказы[#Headers],0),0),"")</f>
        <v>Ренат Строителей 145</v>
      </c>
      <c r="E1664" s="85" t="s">
        <v>2320</v>
      </c>
      <c r="F1664" s="56" t="s">
        <v>3061</v>
      </c>
      <c r="H1664" s="34">
        <v>45681</v>
      </c>
      <c r="I1664" s="26">
        <v>1</v>
      </c>
      <c r="J1664" s="26">
        <v>2474</v>
      </c>
      <c r="K1664">
        <f>ТабПозиции[[#This Row],[discountPrice]]*ТабПозиции[[#This Row],[quantity]]</f>
        <v>2474</v>
      </c>
      <c r="L1664" s="26">
        <v>2605</v>
      </c>
      <c r="M1664">
        <f t="shared" si="30"/>
        <v>2605</v>
      </c>
      <c r="O166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Row],[orderNum]],ТабПозиции[orderSumm])&gt;1500),ABS(M1664*VLOOKUP(ТабПозиции[[#This Row],[orderNum]],ТабЗаказы[#Data],MATCH("Percent",ТабЗаказы[#Headers],0),0))/100,200/COUNTIF(ТабПозиции[orderNum],ТабПозиции[[#This Row],[orderNum]])),0),"")</f>
        <v>261</v>
      </c>
      <c r="P1664">
        <f>IF(OR(ТабПозиции[[#This Row],[item]]="По штрихкоду",ТабПозиции[[#This Row],[item]]="Посылка"),ТабПозиции[[#This Row],[deliverySumm]]+ТабПозиции[[#This Row],[deliveryPost]],SUM(M1664:O1664))</f>
        <v>2866</v>
      </c>
      <c r="Q1664" s="57">
        <v>2866</v>
      </c>
      <c r="R1664" s="62">
        <f>ТабПозиции[[#This Row],[totalSumm]]-ТабПозиции[[#This Row],[payment]]</f>
        <v>0</v>
      </c>
      <c r="S1664" s="34" t="s">
        <v>965</v>
      </c>
      <c r="T1664" s="56" t="s">
        <v>3061</v>
      </c>
      <c r="U1664" s="56" t="str">
        <f>IF(AND(ТабПозиции[[#This Row],[Остаток]]=0,ТабПозиции[[#This Row],[ord]]="true"),"true","false")</f>
        <v>true</v>
      </c>
      <c r="V1664" s="56" t="s">
        <v>3061</v>
      </c>
    </row>
    <row r="1665" spans="1:26" x14ac:dyDescent="0.25">
      <c r="A1665" s="26">
        <v>441</v>
      </c>
      <c r="B1665" s="1">
        <f>IFERROR(VLOOKUP(ТабПозиции[[#This Row],[orderNum]],ТабЗаказы[#Data],MATCH(B$7,ТабЗаказы[#Headers],0),0),"")</f>
        <v>45679</v>
      </c>
      <c r="C1665" t="str">
        <f>MONTH(ТабПозиции[[#This Row],[date]])&amp;"/"&amp;YEAR(ТабПозиции[[#This Row],[date]])</f>
        <v>1/2025</v>
      </c>
      <c r="D1665" s="1" t="str">
        <f>IFERROR(VLOOKUP(ТабПозиции[[#This Row],[orderNum]],ТабЗаказы[#Data],MATCH(D$7,ТабЗаказы[#Headers],0),0),"")</f>
        <v>Ренат Строителей 145</v>
      </c>
      <c r="E1665" s="85" t="s">
        <v>2317</v>
      </c>
      <c r="F1665" s="56" t="s">
        <v>3061</v>
      </c>
      <c r="H1665" s="34">
        <v>45683</v>
      </c>
      <c r="I1665" s="26">
        <v>1</v>
      </c>
      <c r="J1665" s="26">
        <v>580</v>
      </c>
      <c r="K1665">
        <f>ТабПозиции[[#This Row],[discountPrice]]*ТабПозиции[[#This Row],[quantity]]</f>
        <v>580</v>
      </c>
      <c r="L1665" s="26">
        <v>611</v>
      </c>
      <c r="M1665">
        <f t="shared" si="30"/>
        <v>611</v>
      </c>
      <c r="O166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Row],[orderNum]],ТабПозиции[orderSumm])&gt;1500),ABS(M1665*VLOOKUP(ТабПозиции[[#This Row],[orderNum]],ТабЗаказы[#Data],MATCH("Percent",ТабЗаказы[#Headers],0),0))/100,200/COUNTIF(ТабПозиции[orderNum],ТабПозиции[[#This Row],[orderNum]])),0),"")</f>
        <v>61</v>
      </c>
      <c r="P1665">
        <f>IF(OR(ТабПозиции[[#This Row],[item]]="По штрихкоду",ТабПозиции[[#This Row],[item]]="Посылка"),ТабПозиции[[#This Row],[deliverySumm]]+ТабПозиции[[#This Row],[deliveryPost]],SUM(M1665:O1665))</f>
        <v>672</v>
      </c>
      <c r="Q1665" s="57">
        <v>672</v>
      </c>
      <c r="R1665" s="62">
        <f>ТабПозиции[[#This Row],[totalSumm]]-ТабПозиции[[#This Row],[payment]]</f>
        <v>0</v>
      </c>
      <c r="S1665" s="34" t="s">
        <v>965</v>
      </c>
      <c r="T1665" s="56" t="s">
        <v>3061</v>
      </c>
      <c r="U1665" s="56" t="str">
        <f>IF(AND(ТабПозиции[[#This Row],[Остаток]]=0,ТабПозиции[[#This Row],[ord]]="true"),"true","false")</f>
        <v>true</v>
      </c>
      <c r="V1665" s="56" t="s">
        <v>3061</v>
      </c>
    </row>
    <row r="1666" spans="1:26" x14ac:dyDescent="0.25">
      <c r="A1666" s="26">
        <v>441</v>
      </c>
      <c r="B1666" s="1">
        <f>IFERROR(VLOOKUP(ТабПозиции[[#This Row],[orderNum]],ТабЗаказы[#Data],MATCH(B$7,ТабЗаказы[#Headers],0),0),"")</f>
        <v>45679</v>
      </c>
      <c r="C1666" t="str">
        <f>MONTH(ТабПозиции[[#This Row],[date]])&amp;"/"&amp;YEAR(ТабПозиции[[#This Row],[date]])</f>
        <v>1/2025</v>
      </c>
      <c r="D1666" s="1" t="str">
        <f>IFERROR(VLOOKUP(ТабПозиции[[#This Row],[orderNum]],ТабЗаказы[#Data],MATCH(D$7,ТабЗаказы[#Headers],0),0),"")</f>
        <v>Ренат Строителей 145</v>
      </c>
      <c r="E1666" s="85" t="s">
        <v>2321</v>
      </c>
      <c r="F1666" s="56" t="s">
        <v>3061</v>
      </c>
      <c r="H1666" s="34">
        <v>45681</v>
      </c>
      <c r="I1666" s="26">
        <v>1</v>
      </c>
      <c r="J1666" s="26">
        <v>2149</v>
      </c>
      <c r="K1666">
        <f>ТабПозиции[[#This Row],[discountPrice]]*ТабПозиции[[#This Row],[quantity]]</f>
        <v>2149</v>
      </c>
      <c r="L1666" s="26">
        <v>2263</v>
      </c>
      <c r="M1666">
        <f t="shared" si="30"/>
        <v>2263</v>
      </c>
      <c r="O166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Row],[orderNum]],ТабПозиции[orderSumm])&gt;1500),ABS(M1666*VLOOKUP(ТабПозиции[[#This Row],[orderNum]],ТабЗаказы[#Data],MATCH("Percent",ТабЗаказы[#Headers],0),0))/100,200/COUNTIF(ТабПозиции[orderNum],ТабПозиции[[#This Row],[orderNum]])),0),"")</f>
        <v>226</v>
      </c>
      <c r="P1666">
        <f>IF(OR(ТабПозиции[[#This Row],[item]]="По штрихкоду",ТабПозиции[[#This Row],[item]]="Посылка"),ТабПозиции[[#This Row],[deliverySumm]]+ТабПозиции[[#This Row],[deliveryPost]],SUM(M1666:O1666))</f>
        <v>2489</v>
      </c>
      <c r="Q1666" s="57">
        <v>2489</v>
      </c>
      <c r="R1666" s="62">
        <f>ТабПозиции[[#This Row],[totalSumm]]-ТабПозиции[[#This Row],[payment]]</f>
        <v>0</v>
      </c>
      <c r="S1666" s="34" t="s">
        <v>965</v>
      </c>
      <c r="T1666" s="56" t="s">
        <v>3061</v>
      </c>
      <c r="U1666" s="56" t="str">
        <f>IF(AND(ТабПозиции[[#This Row],[Остаток]]=0,ТабПозиции[[#This Row],[ord]]="true"),"true","false")</f>
        <v>true</v>
      </c>
      <c r="V1666" s="56" t="s">
        <v>3061</v>
      </c>
    </row>
    <row r="1667" spans="1:26" x14ac:dyDescent="0.25">
      <c r="A1667" s="26">
        <v>441</v>
      </c>
      <c r="B1667" s="1">
        <f>IFERROR(VLOOKUP(ТабПозиции[[#This Row],[orderNum]],ТабЗаказы[#Data],MATCH(B$7,ТабЗаказы[#Headers],0),0),"")</f>
        <v>45679</v>
      </c>
      <c r="C1667" t="str">
        <f>MONTH(ТабПозиции[[#This Row],[date]])&amp;"/"&amp;YEAR(ТабПозиции[[#This Row],[date]])</f>
        <v>1/2025</v>
      </c>
      <c r="D1667" s="1" t="str">
        <f>IFERROR(VLOOKUP(ТабПозиции[[#This Row],[orderNum]],ТабЗаказы[#Data],MATCH(D$7,ТабЗаказы[#Headers],0),0),"")</f>
        <v>Ренат Строителей 145</v>
      </c>
      <c r="E1667" s="85" t="s">
        <v>2322</v>
      </c>
      <c r="F1667" s="56" t="s">
        <v>3061</v>
      </c>
      <c r="H1667" s="34">
        <v>45681</v>
      </c>
      <c r="I1667" s="26">
        <v>1</v>
      </c>
      <c r="J1667" s="26">
        <v>2968</v>
      </c>
      <c r="K1667">
        <f>ТабПозиции[[#This Row],[discountPrice]]*ТабПозиции[[#This Row],[quantity]]</f>
        <v>2968</v>
      </c>
      <c r="L1667" s="26">
        <v>3125</v>
      </c>
      <c r="M1667">
        <f t="shared" si="30"/>
        <v>3125</v>
      </c>
      <c r="O166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Row],[orderNum]],ТабПозиции[orderSumm])&gt;1500),ABS(M1667*VLOOKUP(ТабПозиции[[#This Row],[orderNum]],ТабЗаказы[#Data],MATCH("Percent",ТабЗаказы[#Headers],0),0))/100,200/COUNTIF(ТабПозиции[orderNum],ТабПозиции[[#This Row],[orderNum]])),0),"")</f>
        <v>313</v>
      </c>
      <c r="P1667">
        <f>IF(OR(ТабПозиции[[#This Row],[item]]="По штрихкоду",ТабПозиции[[#This Row],[item]]="Посылка"),ТабПозиции[[#This Row],[deliverySumm]]+ТабПозиции[[#This Row],[deliveryPost]],SUM(M1667:O1667))</f>
        <v>3438</v>
      </c>
      <c r="Q1667" s="57">
        <v>3438</v>
      </c>
      <c r="R1667" s="62">
        <f>ТабПозиции[[#This Row],[totalSumm]]-ТабПозиции[[#This Row],[payment]]</f>
        <v>0</v>
      </c>
      <c r="S1667" s="34" t="s">
        <v>965</v>
      </c>
      <c r="T1667" s="56" t="s">
        <v>3061</v>
      </c>
      <c r="U1667" s="56" t="str">
        <f>IF(AND(ТабПозиции[[#This Row],[Остаток]]=0,ТабПозиции[[#This Row],[ord]]="true"),"true","false")</f>
        <v>true</v>
      </c>
      <c r="V1667" s="56" t="s">
        <v>3061</v>
      </c>
    </row>
    <row r="1668" spans="1:26" x14ac:dyDescent="0.25">
      <c r="A1668" s="26">
        <v>441</v>
      </c>
      <c r="B1668" s="1">
        <f>IFERROR(VLOOKUP(ТабПозиции[[#This Row],[orderNum]],ТабЗаказы[#Data],MATCH(B$7,ТабЗаказы[#Headers],0),0),"")</f>
        <v>45679</v>
      </c>
      <c r="C1668" t="str">
        <f>MONTH(ТабПозиции[[#This Row],[date]])&amp;"/"&amp;YEAR(ТабПозиции[[#This Row],[date]])</f>
        <v>1/2025</v>
      </c>
      <c r="D1668" s="1" t="str">
        <f>IFERROR(VLOOKUP(ТабПозиции[[#This Row],[orderNum]],ТабЗаказы[#Data],MATCH(D$7,ТабЗаказы[#Headers],0),0),"")</f>
        <v>Ренат Строителей 145</v>
      </c>
      <c r="E1668" s="85" t="s">
        <v>2323</v>
      </c>
      <c r="F1668" s="56" t="s">
        <v>3061</v>
      </c>
      <c r="H1668" s="34">
        <v>45681</v>
      </c>
      <c r="I1668" s="26">
        <v>1</v>
      </c>
      <c r="J1668" s="26">
        <v>754</v>
      </c>
      <c r="K1668">
        <f>ТабПозиции[[#This Row],[discountPrice]]*ТабПозиции[[#This Row],[quantity]]</f>
        <v>754</v>
      </c>
      <c r="L1668" s="26">
        <v>794</v>
      </c>
      <c r="M1668">
        <f t="shared" si="30"/>
        <v>794</v>
      </c>
      <c r="O166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Row],[orderNum]],ТабПозиции[orderSumm])&gt;1500),ABS(M1668*VLOOKUP(ТабПозиции[[#This Row],[orderNum]],ТабЗаказы[#Data],MATCH("Percent",ТабЗаказы[#Headers],0),0))/100,200/COUNTIF(ТабПозиции[orderNum],ТабПозиции[[#This Row],[orderNum]])),0),"")</f>
        <v>79</v>
      </c>
      <c r="P1668">
        <f>IF(OR(ТабПозиции[[#This Row],[item]]="По штрихкоду",ТабПозиции[[#This Row],[item]]="Посылка"),ТабПозиции[[#This Row],[deliverySumm]]+ТабПозиции[[#This Row],[deliveryPost]],SUM(M1668:O1668))</f>
        <v>873</v>
      </c>
      <c r="Q1668" s="57">
        <v>873</v>
      </c>
      <c r="R1668" s="62">
        <f>ТабПозиции[[#This Row],[totalSumm]]-ТабПозиции[[#This Row],[payment]]</f>
        <v>0</v>
      </c>
      <c r="S1668" s="34" t="s">
        <v>965</v>
      </c>
      <c r="T1668" s="56" t="s">
        <v>3061</v>
      </c>
      <c r="U1668" s="56" t="str">
        <f>IF(AND(ТабПозиции[[#This Row],[Остаток]]=0,ТабПозиции[[#This Row],[ord]]="true"),"true","false")</f>
        <v>true</v>
      </c>
      <c r="V1668" s="56" t="s">
        <v>3061</v>
      </c>
    </row>
    <row r="1669" spans="1:26" x14ac:dyDescent="0.25">
      <c r="A1669" s="26">
        <v>442</v>
      </c>
      <c r="B1669" s="1">
        <f>IFERROR(VLOOKUP(ТабПозиции[[#This Row],[orderNum]],ТабЗаказы[#Data],MATCH(B$7,ТабЗаказы[#Headers],0),0),"")</f>
        <v>45678</v>
      </c>
      <c r="C1669" t="str">
        <f>MONTH(ТабПозиции[[#This Row],[date]])&amp;"/"&amp;YEAR(ТабПозиции[[#This Row],[date]])</f>
        <v>1/2025</v>
      </c>
      <c r="D1669" s="1" t="str">
        <f>IFERROR(VLOOKUP(ТабПозиции[[#This Row],[orderNum]],ТабЗаказы[#Data],MATCH(D$7,ТабЗаказы[#Headers],0),0),"")</f>
        <v>Галина Агабекова(церковь)</v>
      </c>
      <c r="E1669" s="85" t="s">
        <v>2326</v>
      </c>
      <c r="F1669" s="56" t="s">
        <v>3061</v>
      </c>
      <c r="H1669" s="34">
        <v>45680</v>
      </c>
      <c r="I1669" s="26">
        <v>1</v>
      </c>
      <c r="J1669" s="26">
        <v>2229</v>
      </c>
      <c r="K1669">
        <f>ТабПозиции[[#This Row],[discountPrice]]*ТабПозиции[[#This Row],[quantity]]</f>
        <v>2229</v>
      </c>
      <c r="L1669" s="26">
        <v>2350</v>
      </c>
      <c r="M1669">
        <f t="shared" si="30"/>
        <v>2350</v>
      </c>
      <c r="O166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Row],[orderNum]],ТабПозиции[orderSumm])&gt;1500),ABS(M1669*VLOOKUP(ТабПозиции[[#This Row],[orderNum]],ТабЗаказы[#Data],MATCH("Percent",ТабЗаказы[#Headers],0),0))/100,200/COUNTIF(ТабПозиции[orderNum],ТабПозиции[[#This Row],[orderNum]])),0),"")</f>
        <v>353</v>
      </c>
      <c r="P1669">
        <f>IF(OR(ТабПозиции[[#This Row],[item]]="По штрихкоду",ТабПозиции[[#This Row],[item]]="Посылка"),ТабПозиции[[#This Row],[deliverySumm]]+ТабПозиции[[#This Row],[deliveryPost]],SUM(M1669:O1669))</f>
        <v>2703</v>
      </c>
      <c r="Q1669" s="57">
        <v>2703</v>
      </c>
      <c r="R1669" s="62">
        <f>ТабПозиции[[#This Row],[totalSumm]]-ТабПозиции[[#This Row],[payment]]</f>
        <v>0</v>
      </c>
      <c r="S1669" s="34" t="s">
        <v>955</v>
      </c>
      <c r="T1669" s="56" t="s">
        <v>3061</v>
      </c>
      <c r="U1669" s="56" t="str">
        <f>IF(AND(ТабПозиции[[#This Row],[Остаток]]=0,ТабПозиции[[#This Row],[ord]]="true"),"true","false")</f>
        <v>true</v>
      </c>
      <c r="V1669" s="56" t="s">
        <v>3061</v>
      </c>
      <c r="X1669" s="89"/>
      <c r="Z1669" s="89"/>
    </row>
    <row r="1670" spans="1:26" x14ac:dyDescent="0.25">
      <c r="A1670" s="26">
        <v>442</v>
      </c>
      <c r="B1670" s="1">
        <f>IFERROR(VLOOKUP(ТабПозиции[[#This Row],[orderNum]],ТабЗаказы[#Data],MATCH(B$7,ТабЗаказы[#Headers],0),0),"")</f>
        <v>45678</v>
      </c>
      <c r="C1670" t="str">
        <f>MONTH(ТабПозиции[[#This Row],[date]])&amp;"/"&amp;YEAR(ТабПозиции[[#This Row],[date]])</f>
        <v>1/2025</v>
      </c>
      <c r="D1670" s="1" t="str">
        <f>IFERROR(VLOOKUP(ТабПозиции[[#This Row],[orderNum]],ТабЗаказы[#Data],MATCH(D$7,ТабЗаказы[#Headers],0),0),"")</f>
        <v>Галина Агабекова(церковь)</v>
      </c>
      <c r="E1670" s="85" t="s">
        <v>2327</v>
      </c>
      <c r="F1670" s="56" t="s">
        <v>3061</v>
      </c>
      <c r="H1670" s="34">
        <v>45683</v>
      </c>
      <c r="I1670" s="26">
        <v>1</v>
      </c>
      <c r="J1670" s="26">
        <v>4316</v>
      </c>
      <c r="K1670">
        <f>ТабПозиции[[#This Row],[discountPrice]]*ТабПозиции[[#This Row],[quantity]]</f>
        <v>4316</v>
      </c>
      <c r="L1670" s="26">
        <v>4553</v>
      </c>
      <c r="M1670">
        <f t="shared" si="30"/>
        <v>4553</v>
      </c>
      <c r="O167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Row],[orderNum]],ТабПозиции[orderSumm])&gt;1500),ABS(M1670*VLOOKUP(ТабПозиции[[#This Row],[orderNum]],ТабЗаказы[#Data],MATCH("Percent",ТабЗаказы[#Headers],0),0))/100,200/COUNTIF(ТабПозиции[orderNum],ТабПозиции[[#This Row],[orderNum]])),0),"")</f>
        <v>683</v>
      </c>
      <c r="P1670">
        <f>IF(OR(ТабПозиции[[#This Row],[item]]="По штрихкоду",ТабПозиции[[#This Row],[item]]="Посылка"),ТабПозиции[[#This Row],[deliverySumm]]+ТабПозиции[[#This Row],[deliveryPost]],SUM(M1670:O1670))</f>
        <v>5236</v>
      </c>
      <c r="Q1670" s="57">
        <v>5236</v>
      </c>
      <c r="R1670" s="62">
        <f>ТабПозиции[[#This Row],[totalSumm]]-ТабПозиции[[#This Row],[payment]]</f>
        <v>0</v>
      </c>
      <c r="S1670" s="34" t="s">
        <v>955</v>
      </c>
      <c r="T1670" s="56" t="s">
        <v>3061</v>
      </c>
      <c r="U1670" s="56" t="str">
        <f>IF(AND(ТабПозиции[[#This Row],[Остаток]]=0,ТабПозиции[[#This Row],[ord]]="true"),"true","false")</f>
        <v>true</v>
      </c>
      <c r="V1670" s="56" t="s">
        <v>3061</v>
      </c>
      <c r="X1670" s="89"/>
    </row>
    <row r="1671" spans="1:26" x14ac:dyDescent="0.25">
      <c r="A1671" s="26">
        <v>443</v>
      </c>
      <c r="B1671" s="1">
        <f>IFERROR(VLOOKUP(ТабПозиции[[#This Row],[orderNum]],ТабЗаказы[#Data],MATCH(B$7,ТабЗаказы[#Headers],0),0),"")</f>
        <v>45680</v>
      </c>
      <c r="C1671" t="str">
        <f>MONTH(ТабПозиции[[#This Row],[date]])&amp;"/"&amp;YEAR(ТабПозиции[[#This Row],[date]])</f>
        <v>1/2025</v>
      </c>
      <c r="D1671" s="1" t="str">
        <f>IFERROR(VLOOKUP(ТабПозиции[[#This Row],[orderNum]],ТабЗаказы[#Data],MATCH(D$7,ТабЗаказы[#Headers],0),0),"")</f>
        <v>Аленка 3</v>
      </c>
      <c r="E1671" s="26" t="s">
        <v>815</v>
      </c>
      <c r="F1671" s="56" t="s">
        <v>3061</v>
      </c>
      <c r="G1671" s="28" t="s">
        <v>2331</v>
      </c>
      <c r="H1671" s="34">
        <v>45684</v>
      </c>
      <c r="I1671" s="26">
        <v>1</v>
      </c>
      <c r="J1671" s="26">
        <v>1700</v>
      </c>
      <c r="K1671">
        <f>ТабПозиции[[#This Row],[discountPrice]]*ТабПозиции[[#This Row],[quantity]]</f>
        <v>1700</v>
      </c>
      <c r="L1671" s="26">
        <v>1700</v>
      </c>
      <c r="M1671">
        <f t="shared" si="30"/>
        <v>1700</v>
      </c>
      <c r="N1671" s="26">
        <v>415</v>
      </c>
      <c r="O167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Row],[orderNum]],ТабПозиции[orderSumm])&gt;1500),ABS(M1671*VLOOKUP(ТабПозиции[[#This Row],[orderNum]],ТабЗаказы[#Data],MATCH("Percent",ТабЗаказы[#Headers],0),0))/100,200/COUNTIF(ТабПозиции[orderNum],ТабПозиции[[#This Row],[orderNum]])),0),"")</f>
        <v>255</v>
      </c>
      <c r="P1671">
        <f>IF(OR(ТабПозиции[[#This Row],[item]]="По штрихкоду",ТабПозиции[[#This Row],[item]]="Посылка"),ТабПозиции[[#This Row],[deliverySumm]]+ТабПозиции[[#This Row],[deliveryPost]],SUM(M1671:O1671))</f>
        <v>670</v>
      </c>
      <c r="Q1671" s="57">
        <v>670</v>
      </c>
      <c r="R1671" s="62">
        <f>ТабПозиции[[#This Row],[totalSumm]]-ТабПозиции[[#This Row],[payment]]</f>
        <v>0</v>
      </c>
      <c r="S1671" s="34" t="s">
        <v>1016</v>
      </c>
      <c r="T1671" s="56" t="s">
        <v>3061</v>
      </c>
      <c r="U1671" s="56" t="str">
        <f>IF(AND(ТабПозиции[[#This Row],[Остаток]]=0,ТабПозиции[[#This Row],[ord]]="true"),"true","false")</f>
        <v>true</v>
      </c>
      <c r="V1671" s="56" t="s">
        <v>3061</v>
      </c>
      <c r="X1671" s="89"/>
    </row>
    <row r="1672" spans="1:26" x14ac:dyDescent="0.25">
      <c r="A1672" s="26">
        <v>433</v>
      </c>
      <c r="B1672" s="1">
        <f>IFERROR(VLOOKUP(ТабПозиции[[#This Row],[orderNum]],ТабЗаказы[#Data],MATCH(B$7,ТабЗаказы[#Headers],0),0),"")</f>
        <v>45673</v>
      </c>
      <c r="C1672" t="str">
        <f>MONTH(ТабПозиции[[#This Row],[date]])&amp;"/"&amp;YEAR(ТабПозиции[[#This Row],[date]])</f>
        <v>1/2025</v>
      </c>
      <c r="D1672" s="1" t="str">
        <f>IFERROR(VLOOKUP(ТабПозиции[[#This Row],[orderNum]],ТабЗаказы[#Data],MATCH(D$7,ТабЗаказы[#Headers],0),0),"")</f>
        <v>Родион</v>
      </c>
      <c r="E1672" s="26" t="s">
        <v>815</v>
      </c>
      <c r="F1672" s="56" t="s">
        <v>3061</v>
      </c>
      <c r="G1672" s="28" t="s">
        <v>2332</v>
      </c>
      <c r="H1672" s="34">
        <v>45680</v>
      </c>
      <c r="I1672" s="26">
        <v>1</v>
      </c>
      <c r="J1672" s="26">
        <v>1000</v>
      </c>
      <c r="K1672">
        <f>ТабПозиции[[#This Row],[discountPrice]]*ТабПозиции[[#This Row],[quantity]]</f>
        <v>1000</v>
      </c>
      <c r="L1672" s="26">
        <v>1000</v>
      </c>
      <c r="M1672">
        <f t="shared" si="30"/>
        <v>1000</v>
      </c>
      <c r="N1672" s="26">
        <v>450</v>
      </c>
      <c r="O167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Row],[orderNum]],ТабПозиции[orderSumm])&gt;1500),ABS(M1672*VLOOKUP(ТабПозиции[[#This Row],[orderNum]],ТабЗаказы[#Data],MATCH("Percent",ТабЗаказы[#Headers],0),0))/100,200/COUNTIF(ТабПозиции[orderNum],ТабПозиции[[#This Row],[orderNum]])),0),"")</f>
        <v>150</v>
      </c>
      <c r="P1672">
        <f>IF(OR(ТабПозиции[[#This Row],[item]]="По штрихкоду",ТабПозиции[[#This Row],[item]]="Посылка"),ТабПозиции[[#This Row],[deliverySumm]]+ТабПозиции[[#This Row],[deliveryPost]],SUM(M1672:O1672))</f>
        <v>600</v>
      </c>
      <c r="Q1672" s="57">
        <v>600</v>
      </c>
      <c r="R1672" s="62">
        <f>ТабПозиции[[#This Row],[totalSumm]]-ТабПозиции[[#This Row],[payment]]</f>
        <v>0</v>
      </c>
      <c r="S1672" s="34" t="s">
        <v>1016</v>
      </c>
      <c r="T1672" s="56" t="s">
        <v>3061</v>
      </c>
      <c r="U1672" s="56" t="str">
        <f>IF(AND(ТабПозиции[[#This Row],[Остаток]]=0,ТабПозиции[[#This Row],[ord]]="true"),"true","false")</f>
        <v>true</v>
      </c>
      <c r="V1672" s="56" t="s">
        <v>3061</v>
      </c>
    </row>
    <row r="1673" spans="1:26" x14ac:dyDescent="0.25">
      <c r="A1673" s="26">
        <v>444</v>
      </c>
      <c r="B1673" s="1">
        <f>IFERROR(VLOOKUP(ТабПозиции[[#This Row],[orderNum]],ТабЗаказы[#Data],MATCH(B$7,ТабЗаказы[#Headers],0),0),"")</f>
        <v>45681</v>
      </c>
      <c r="C1673" t="str">
        <f>MONTH(ТабПозиции[[#This Row],[date]])&amp;"/"&amp;YEAR(ТабПозиции[[#This Row],[date]])</f>
        <v>1/2025</v>
      </c>
      <c r="D1673" s="1" t="str">
        <f>IFERROR(VLOOKUP(ТабПозиции[[#This Row],[orderNum]],ТабЗаказы[#Data],MATCH(D$7,ТабЗаказы[#Headers],0),0),"")</f>
        <v>Алексей Бамси</v>
      </c>
      <c r="E1673" s="26" t="s">
        <v>2374</v>
      </c>
      <c r="F1673" s="56" t="s">
        <v>3061</v>
      </c>
      <c r="G1673" s="44" t="s">
        <v>2353</v>
      </c>
      <c r="H1673" s="34">
        <v>45685</v>
      </c>
      <c r="I1673" s="26">
        <v>0</v>
      </c>
      <c r="J1673" s="26">
        <v>5200</v>
      </c>
      <c r="K1673">
        <f>ТабПозиции[[#This Row],[discountPrice]]*ТабПозиции[[#This Row],[quantity]]</f>
        <v>0</v>
      </c>
      <c r="L1673" s="26">
        <v>5200</v>
      </c>
      <c r="M1673">
        <f t="shared" ref="M1673:M1687" si="34">L1673*I1673</f>
        <v>0</v>
      </c>
      <c r="O1673">
        <v>0</v>
      </c>
      <c r="P1673">
        <f>IF(OR(ТабПозиции[[#This Row],[item]]="По штрихкоду",ТабПозиции[[#This Row],[item]]="Посылка"),ТабПозиции[[#This Row],[deliverySumm]]+ТабПозиции[[#This Row],[deliveryPost]],SUM(M1673:O1673))</f>
        <v>0</v>
      </c>
      <c r="R1673" s="62">
        <f>ТабПозиции[[#This Row],[totalSumm]]-ТабПозиции[[#This Row],[payment]]</f>
        <v>0</v>
      </c>
      <c r="S1673" s="34" t="s">
        <v>1016</v>
      </c>
      <c r="T1673" s="56" t="s">
        <v>3061</v>
      </c>
      <c r="U1673" s="56" t="str">
        <f>IF(AND(ТабПозиции[[#This Row],[Остаток]]=0,ТабПозиции[[#This Row],[ord]]="true"),"true","false")</f>
        <v>true</v>
      </c>
      <c r="V1673" s="56" t="s">
        <v>3061</v>
      </c>
    </row>
    <row r="1674" spans="1:26" x14ac:dyDescent="0.25">
      <c r="A1674" s="26">
        <v>445</v>
      </c>
      <c r="B1674" s="1">
        <f>IFERROR(VLOOKUP(ТабПозиции[[#This Row],[orderNum]],ТабЗаказы[#Data],MATCH(B$7,ТабЗаказы[#Headers],0),0),"")</f>
        <v>45681</v>
      </c>
      <c r="C1674" t="str">
        <f>MONTH(ТабПозиции[[#This Row],[date]])&amp;"/"&amp;YEAR(ТабПозиции[[#This Row],[date]])</f>
        <v>1/2025</v>
      </c>
      <c r="D1674" s="1" t="str">
        <f>IFERROR(VLOOKUP(ТабПозиции[[#This Row],[orderNum]],ТабЗаказы[#Data],MATCH(D$7,ТабЗаказы[#Headers],0),0),"")</f>
        <v>Олег Федоров</v>
      </c>
      <c r="E1674" s="26" t="s">
        <v>815</v>
      </c>
      <c r="F1674" s="56" t="s">
        <v>3061</v>
      </c>
      <c r="H1674" s="34">
        <v>45681</v>
      </c>
      <c r="I1674" s="26">
        <v>1</v>
      </c>
      <c r="J1674" s="26">
        <v>478</v>
      </c>
      <c r="K1674">
        <f>ТабПозиции[[#This Row],[discountPrice]]*ТабПозиции[[#This Row],[quantity]]</f>
        <v>478</v>
      </c>
      <c r="L1674" s="26">
        <v>478</v>
      </c>
      <c r="M1674">
        <f t="shared" si="34"/>
        <v>478</v>
      </c>
      <c r="O167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Row],[orderNum]],ТабПозиции[orderSumm])&gt;1500),ABS(M1674*VLOOKUP(ТабПозиции[[#This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674">
        <f>IF(OR(ТабПозиции[[#This Row],[item]]="По штрихкоду",ТабПозиции[[#This Row],[item]]="Посылка"),ТабПозиции[[#This Row],[deliverySumm]]+ТабПозиции[[#This Row],[deliveryPost]],SUM(M1674:O1674))</f>
        <v>200</v>
      </c>
      <c r="Q1674" s="57">
        <v>200</v>
      </c>
      <c r="R1674" s="62">
        <f>ТабПозиции[[#This Row],[totalSumm]]-ТабПозиции[[#This Row],[payment]]</f>
        <v>0</v>
      </c>
      <c r="S1674" s="34" t="s">
        <v>2337</v>
      </c>
      <c r="T1674" s="56" t="s">
        <v>3061</v>
      </c>
      <c r="U1674" s="56" t="str">
        <f>IF(AND(ТабПозиции[[#This Row],[Остаток]]=0,ТабПозиции[[#This Row],[ord]]="true"),"true","false")</f>
        <v>true</v>
      </c>
      <c r="V1674" s="56" t="s">
        <v>3061</v>
      </c>
    </row>
    <row r="1675" spans="1:26" x14ac:dyDescent="0.25">
      <c r="A1675" s="26">
        <v>446</v>
      </c>
      <c r="B1675" s="1">
        <f>IFERROR(VLOOKUP(ТабПозиции[[#This Row],[orderNum]],ТабЗаказы[#Data],MATCH(B$7,ТабЗаказы[#Headers],0),0),"")</f>
        <v>45681</v>
      </c>
      <c r="C1675" t="str">
        <f>MONTH(ТабПозиции[[#This Row],[date]])&amp;"/"&amp;YEAR(ТабПозиции[[#This Row],[date]])</f>
        <v>1/2025</v>
      </c>
      <c r="D1675" s="1" t="str">
        <f>IFERROR(VLOOKUP(ТабПозиции[[#This Row],[orderNum]],ТабЗаказы[#Data],MATCH(D$7,ТабЗаказы[#Headers],0),0),"")</f>
        <v>Андрей Бердянское</v>
      </c>
      <c r="E1675" s="26" t="s">
        <v>32</v>
      </c>
      <c r="F1675" s="56" t="s">
        <v>3061</v>
      </c>
      <c r="H1675" s="34">
        <v>45681</v>
      </c>
      <c r="I1675" s="26">
        <v>1</v>
      </c>
      <c r="J1675" s="26">
        <v>10915</v>
      </c>
      <c r="K1675">
        <f>ТабПозиции[[#This Row],[discountPrice]]*ТабПозиции[[#This Row],[quantity]]</f>
        <v>10915</v>
      </c>
      <c r="L1675" s="26">
        <v>10915</v>
      </c>
      <c r="M1675">
        <f t="shared" si="34"/>
        <v>10915</v>
      </c>
      <c r="N1675" s="26">
        <v>200</v>
      </c>
      <c r="O167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Row],[orderNum]],ТабПозиции[orderSumm])&gt;1500),ABS(M1675*VLOOKUP(ТабПозиции[[#This Row],[orderNum]],ТабЗаказы[#Data],MATCH("Percent",ТабЗаказы[#Headers],0),0))/100,200/COUNTIF(ТабПозиции[orderNum],ТабПозиции[[#This Row],[orderNum]])),0),"")</f>
        <v>1092</v>
      </c>
      <c r="P1675">
        <f>IF(OR(ТабПозиции[[#This Row],[item]]="По штрихкоду",ТабПозиции[[#This Row],[item]]="Посылка"),ТабПозиции[[#This Row],[deliverySumm]]+ТабПозиции[[#This Row],[deliveryPost]],SUM(M1675:O1675))</f>
        <v>1292</v>
      </c>
      <c r="Q1675" s="57">
        <v>1292</v>
      </c>
      <c r="R1675" s="62">
        <f>ТабПозиции[[#This Row],[totalSumm]]-ТабПозиции[[#This Row],[payment]]</f>
        <v>0</v>
      </c>
      <c r="S1675" s="34" t="s">
        <v>955</v>
      </c>
      <c r="T1675" s="56" t="s">
        <v>3061</v>
      </c>
      <c r="U1675" s="56" t="str">
        <f>IF(AND(ТабПозиции[[#This Row],[Остаток]]=0,ТабПозиции[[#This Row],[ord]]="true"),"true","false")</f>
        <v>true</v>
      </c>
      <c r="V1675" s="56" t="s">
        <v>3061</v>
      </c>
    </row>
    <row r="1676" spans="1:26" x14ac:dyDescent="0.25">
      <c r="A1676" s="26">
        <v>447</v>
      </c>
      <c r="B1676" s="1">
        <f>IFERROR(VLOOKUP(ТабПозиции[[#This Row],[orderNum]],ТабЗаказы[#Data],MATCH(B$7,ТабЗаказы[#Headers],0),0),"")</f>
        <v>45681</v>
      </c>
      <c r="C1676" t="str">
        <f>MONTH(ТабПозиции[[#This Row],[date]])&amp;"/"&amp;YEAR(ТабПозиции[[#This Row],[date]])</f>
        <v>1/2025</v>
      </c>
      <c r="D1676" s="1" t="str">
        <f>IFERROR(VLOOKUP(ТабПозиции[[#This Row],[orderNum]],ТабЗаказы[#Data],MATCH(D$7,ТабЗаказы[#Headers],0),0),"")</f>
        <v>Лана</v>
      </c>
      <c r="E1676" s="26" t="s">
        <v>32</v>
      </c>
      <c r="F1676" s="56" t="s">
        <v>3061</v>
      </c>
      <c r="H1676" s="34">
        <v>45681</v>
      </c>
      <c r="I1676" s="26">
        <v>1</v>
      </c>
      <c r="J1676" s="26">
        <v>612</v>
      </c>
      <c r="K1676">
        <f>ТабПозиции[[#This Row],[discountPrice]]*ТабПозиции[[#This Row],[quantity]]</f>
        <v>612</v>
      </c>
      <c r="L1676" s="26">
        <v>612</v>
      </c>
      <c r="M1676">
        <f t="shared" si="34"/>
        <v>612</v>
      </c>
      <c r="O167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Row],[orderNum]],ТабПозиции[orderSumm])&gt;1500),ABS(M1676*VLOOKUP(ТабПозиции[[#This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676">
        <f>IF(OR(ТабПозиции[[#This Row],[item]]="По штрихкоду",ТабПозиции[[#This Row],[item]]="Посылка"),ТабПозиции[[#This Row],[deliverySumm]]+ТабПозиции[[#This Row],[deliveryPost]],SUM(M1676:O1676))</f>
        <v>200</v>
      </c>
      <c r="Q1676" s="57">
        <v>200</v>
      </c>
      <c r="R1676" s="62">
        <f>ТабПозиции[[#This Row],[totalSumm]]-ТабПозиции[[#This Row],[payment]]</f>
        <v>0</v>
      </c>
      <c r="S1676" s="34" t="s">
        <v>955</v>
      </c>
      <c r="T1676" s="56" t="s">
        <v>3061</v>
      </c>
      <c r="U1676" s="56" t="str">
        <f>IF(AND(ТабПозиции[[#This Row],[Остаток]]=0,ТабПозиции[[#This Row],[ord]]="true"),"true","false")</f>
        <v>true</v>
      </c>
      <c r="V1676" s="56" t="s">
        <v>3061</v>
      </c>
    </row>
    <row r="1677" spans="1:26" x14ac:dyDescent="0.25">
      <c r="A1677" s="26">
        <v>448</v>
      </c>
      <c r="B1677" s="1">
        <f>IFERROR(VLOOKUP(ТабПозиции[[#This Row],[orderNum]],ТабЗаказы[#Data],MATCH(B$7,ТабЗаказы[#Headers],0),0),"")</f>
        <v>45681</v>
      </c>
      <c r="C1677" t="str">
        <f>MONTH(ТабПозиции[[#This Row],[date]])&amp;"/"&amp;YEAR(ТабПозиции[[#This Row],[date]])</f>
        <v>1/2025</v>
      </c>
      <c r="D1677" s="1" t="str">
        <f>IFERROR(VLOOKUP(ТабПозиции[[#This Row],[orderNum]],ТабЗаказы[#Data],MATCH(D$7,ТабЗаказы[#Headers],0),0),"")</f>
        <v>Наталья Лунина 13</v>
      </c>
      <c r="E1677" s="26" t="s">
        <v>32</v>
      </c>
      <c r="F1677" s="56" t="s">
        <v>3061</v>
      </c>
      <c r="H1677" s="34">
        <v>45681</v>
      </c>
      <c r="I1677" s="26">
        <v>1</v>
      </c>
      <c r="J1677" s="26">
        <v>2642</v>
      </c>
      <c r="K1677">
        <f>ТабПозиции[[#This Row],[discountPrice]]*ТабПозиции[[#This Row],[quantity]]</f>
        <v>2642</v>
      </c>
      <c r="L1677" s="26">
        <v>2642</v>
      </c>
      <c r="M1677">
        <f t="shared" si="34"/>
        <v>2642</v>
      </c>
      <c r="O167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Row],[orderNum]],ТабПозиции[orderSumm])&gt;1500),ABS(M1677*VLOOKUP(ТабПозиции[[#This Row],[orderNum]],ТабЗаказы[#Data],MATCH("Percent",ТабЗаказы[#Headers],0),0))/100,200/COUNTIF(ТабПозиции[orderNum],ТабПозиции[[#This Row],[orderNum]])),0),"")</f>
        <v>396</v>
      </c>
      <c r="P1677">
        <f>IF(OR(ТабПозиции[[#This Row],[item]]="По штрихкоду",ТабПозиции[[#This Row],[item]]="Посылка"),ТабПозиции[[#This Row],[deliverySumm]]+ТабПозиции[[#This Row],[deliveryPost]],SUM(M1677:O1677))</f>
        <v>396</v>
      </c>
      <c r="Q1677" s="57">
        <v>396</v>
      </c>
      <c r="R1677" s="62">
        <f>ТабПозиции[[#This Row],[totalSumm]]-ТабПозиции[[#This Row],[payment]]</f>
        <v>0</v>
      </c>
      <c r="S1677" s="34" t="s">
        <v>965</v>
      </c>
      <c r="T1677" s="56" t="s">
        <v>3061</v>
      </c>
      <c r="U1677" s="56" t="str">
        <f>IF(AND(ТабПозиции[[#This Row],[Остаток]]=0,ТабПозиции[[#This Row],[ord]]="true"),"true","false")</f>
        <v>true</v>
      </c>
      <c r="V1677" s="56" t="s">
        <v>3061</v>
      </c>
    </row>
    <row r="1678" spans="1:26" x14ac:dyDescent="0.25">
      <c r="A1678" s="26">
        <v>450</v>
      </c>
      <c r="B1678" s="1">
        <f>IFERROR(VLOOKUP(ТабПозиции[[#This Row],[orderNum]],ТабЗаказы[#Data],MATCH(B$7,ТабЗаказы[#Headers],0),0),"")</f>
        <v>45683</v>
      </c>
      <c r="C1678" t="str">
        <f>MONTH(ТабПозиции[[#This Row],[date]])&amp;"/"&amp;YEAR(ТабПозиции[[#This Row],[date]])</f>
        <v>1/2025</v>
      </c>
      <c r="D1678" s="1" t="str">
        <f>IFERROR(VLOOKUP(ТабПозиции[[#This Row],[orderNum]],ТабЗаказы[#Data],MATCH(D$7,ТабЗаказы[#Headers],0),0),"")</f>
        <v>Коля Чунихин</v>
      </c>
      <c r="E1678" s="26" t="s">
        <v>2350</v>
      </c>
      <c r="F1678" s="56" t="s">
        <v>3061</v>
      </c>
      <c r="H1678" s="34">
        <v>45688</v>
      </c>
      <c r="I1678" s="26">
        <v>1</v>
      </c>
      <c r="J1678" s="26">
        <v>902</v>
      </c>
      <c r="K1678">
        <f>ТабПозиции[[#This Row],[discountPrice]]*ТабПозиции[[#This Row],[quantity]]</f>
        <v>902</v>
      </c>
      <c r="L1678" s="26">
        <v>902</v>
      </c>
      <c r="M1678">
        <f t="shared" si="34"/>
        <v>902</v>
      </c>
      <c r="N1678" s="26">
        <v>389</v>
      </c>
      <c r="O167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Row],[orderNum]],ТабПозиции[orderSumm])&gt;1500),ABS(M1678*VLOOKUP(ТабПозиции[[#This Row],[orderNum]],ТабЗаказы[#Data],MATCH("Percent",ТабЗаказы[#Headers],0),0))/100,200/COUNTIF(ТабПозиции[orderNum],ТабПозиции[[#This Row],[orderNum]])),0),"")</f>
        <v>135</v>
      </c>
      <c r="P1678">
        <f>IF(OR(ТабПозиции[[#This Row],[item]]="По штрихкоду",ТабПозиции[[#This Row],[item]]="Посылка"),ТабПозиции[[#This Row],[deliverySumm]]+ТабПозиции[[#This Row],[deliveryPost]],SUM(M1678:O1678))</f>
        <v>1426</v>
      </c>
      <c r="Q1678" s="57">
        <v>1426</v>
      </c>
      <c r="R1678" s="62">
        <f>ТабПозиции[[#This Row],[totalSumm]]-ТабПозиции[[#This Row],[payment]]</f>
        <v>0</v>
      </c>
      <c r="S1678" s="34" t="s">
        <v>1113</v>
      </c>
      <c r="T1678" s="56" t="s">
        <v>3061</v>
      </c>
      <c r="U1678" s="56" t="str">
        <f>IF(AND(ТабПозиции[[#This Row],[Остаток]]=0,ТабПозиции[[#This Row],[ord]]="true"),"true","false")</f>
        <v>true</v>
      </c>
      <c r="V1678" s="56" t="s">
        <v>3061</v>
      </c>
    </row>
    <row r="1679" spans="1:26" x14ac:dyDescent="0.25">
      <c r="A1679" s="26">
        <v>450</v>
      </c>
      <c r="B1679" s="1">
        <f>IFERROR(VLOOKUP(ТабПозиции[[#This Row],[orderNum]],ТабЗаказы[#Data],MATCH(B$7,ТабЗаказы[#Headers],0),0),"")</f>
        <v>45683</v>
      </c>
      <c r="C1679" t="str">
        <f>MONTH(ТабПозиции[[#This Row],[date]])&amp;"/"&amp;YEAR(ТабПозиции[[#This Row],[date]])</f>
        <v>1/2025</v>
      </c>
      <c r="D1679" s="1" t="str">
        <f>IFERROR(VLOOKUP(ТабПозиции[[#This Row],[orderNum]],ТабЗаказы[#Data],MATCH(D$7,ТабЗаказы[#Headers],0),0),"")</f>
        <v>Коля Чунихин</v>
      </c>
      <c r="E1679" s="26" t="s">
        <v>2351</v>
      </c>
      <c r="F1679" s="56" t="s">
        <v>3061</v>
      </c>
      <c r="H1679" s="34">
        <v>45688</v>
      </c>
      <c r="I1679" s="26">
        <v>1</v>
      </c>
      <c r="J1679" s="26">
        <v>1188</v>
      </c>
      <c r="K1679">
        <f>ТабПозиции[[#This Row],[discountPrice]]*ТабПозиции[[#This Row],[quantity]]</f>
        <v>1188</v>
      </c>
      <c r="L1679" s="26">
        <v>1188</v>
      </c>
      <c r="M1679">
        <f t="shared" si="34"/>
        <v>1188</v>
      </c>
      <c r="O167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Row],[orderNum]],ТабПозиции[orderSumm])&gt;1500),ABS(M1679*VLOOKUP(ТабПозиции[[#This Row],[orderNum]],ТабЗаказы[#Data],MATCH("Percent",ТабЗаказы[#Headers],0),0))/100,200/COUNTIF(ТабПозиции[orderNum],ТабПозиции[[#This Row],[orderNum]])),0),"")</f>
        <v>178</v>
      </c>
      <c r="P1679">
        <f>IF(OR(ТабПозиции[[#This Row],[item]]="По штрихкоду",ТабПозиции[[#This Row],[item]]="Посылка"),ТабПозиции[[#This Row],[deliverySumm]]+ТабПозиции[[#This Row],[deliveryPost]],SUM(M1679:O1679))</f>
        <v>1366</v>
      </c>
      <c r="Q1679" s="57">
        <v>1366</v>
      </c>
      <c r="R1679" s="62">
        <f>ТабПозиции[[#This Row],[totalSumm]]-ТабПозиции[[#This Row],[payment]]</f>
        <v>0</v>
      </c>
      <c r="S1679" s="34" t="s">
        <v>1113</v>
      </c>
      <c r="T1679" s="56" t="s">
        <v>3061</v>
      </c>
      <c r="U1679" s="56" t="str">
        <f>IF(AND(ТабПозиции[[#This Row],[Остаток]]=0,ТабПозиции[[#This Row],[ord]]="true"),"true","false")</f>
        <v>true</v>
      </c>
      <c r="V1679" s="56" t="s">
        <v>3061</v>
      </c>
    </row>
    <row r="1680" spans="1:26" x14ac:dyDescent="0.25">
      <c r="A1680" s="26">
        <v>450</v>
      </c>
      <c r="B1680" s="1">
        <f>IFERROR(VLOOKUP(ТабПозиции[[#This Row],[orderNum]],ТабЗаказы[#Data],MATCH(B$7,ТабЗаказы[#Headers],0),0),"")</f>
        <v>45683</v>
      </c>
      <c r="C1680" t="str">
        <f>MONTH(ТабПозиции[[#This Row],[date]])&amp;"/"&amp;YEAR(ТабПозиции[[#This Row],[date]])</f>
        <v>1/2025</v>
      </c>
      <c r="D1680" s="1" t="str">
        <f>IFERROR(VLOOKUP(ТабПозиции[[#This Row],[orderNum]],ТабЗаказы[#Data],MATCH(D$7,ТабЗаказы[#Headers],0),0),"")</f>
        <v>Коля Чунихин</v>
      </c>
      <c r="E1680" s="26" t="s">
        <v>2352</v>
      </c>
      <c r="F1680" s="56" t="s">
        <v>3061</v>
      </c>
      <c r="H1680" s="34">
        <v>45688</v>
      </c>
      <c r="I1680" s="26">
        <v>1</v>
      </c>
      <c r="J1680" s="26">
        <v>990</v>
      </c>
      <c r="K1680">
        <f>ТабПозиции[[#This Row],[discountPrice]]*ТабПозиции[[#This Row],[quantity]]</f>
        <v>990</v>
      </c>
      <c r="L1680" s="26">
        <v>990</v>
      </c>
      <c r="M1680">
        <f t="shared" si="34"/>
        <v>990</v>
      </c>
      <c r="O168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Row],[orderNum]],ТабПозиции[orderSumm])&gt;1500),ABS(M1680*VLOOKUP(ТабПозиции[[#This Row],[orderNum]],ТабЗаказы[#Data],MATCH("Percent",ТабЗаказы[#Headers],0),0))/100,200/COUNTIF(ТабПозиции[orderNum],ТабПозиции[[#This Row],[orderNum]])),0),"")</f>
        <v>149</v>
      </c>
      <c r="P1680">
        <f>IF(OR(ТабПозиции[[#This Row],[item]]="По штрихкоду",ТабПозиции[[#This Row],[item]]="Посылка"),ТабПозиции[[#This Row],[deliverySumm]]+ТабПозиции[[#This Row],[deliveryPost]],SUM(M1680:O1680))</f>
        <v>1139</v>
      </c>
      <c r="Q1680" s="57">
        <v>1139</v>
      </c>
      <c r="R1680" s="62">
        <f>ТабПозиции[[#This Row],[totalSumm]]-ТабПозиции[[#This Row],[payment]]</f>
        <v>0</v>
      </c>
      <c r="S1680" s="34" t="s">
        <v>1113</v>
      </c>
      <c r="T1680" s="56" t="s">
        <v>3061</v>
      </c>
      <c r="U1680" s="56" t="str">
        <f>IF(AND(ТабПозиции[[#This Row],[Остаток]]=0,ТабПозиции[[#This Row],[ord]]="true"),"true","false")</f>
        <v>true</v>
      </c>
      <c r="V1680" s="56" t="s">
        <v>3061</v>
      </c>
    </row>
    <row r="1681" spans="1:22" x14ac:dyDescent="0.25">
      <c r="A1681" s="26">
        <v>451</v>
      </c>
      <c r="B1681" s="1">
        <f>IFERROR(VLOOKUP(ТабПозиции[[#This Row],[orderNum]],ТабЗаказы[#Data],MATCH(B$7,ТабЗаказы[#Headers],0),0),"")</f>
        <v>45683</v>
      </c>
      <c r="C1681" t="str">
        <f>MONTH(ТабПозиции[[#This Row],[date]])&amp;"/"&amp;YEAR(ТабПозиции[[#This Row],[date]])</f>
        <v>1/2025</v>
      </c>
      <c r="D1681" s="1" t="str">
        <f>IFERROR(VLOOKUP(ТабПозиции[[#This Row],[orderNum]],ТабЗаказы[#Data],MATCH(D$7,ТабЗаказы[#Headers],0),0),"")</f>
        <v>Максим телевизор</v>
      </c>
      <c r="E1681" s="26" t="s">
        <v>815</v>
      </c>
      <c r="F1681" s="56" t="s">
        <v>3061</v>
      </c>
      <c r="G1681" s="28" t="s">
        <v>2336</v>
      </c>
      <c r="H1681" s="34">
        <v>45685</v>
      </c>
      <c r="I1681" s="26">
        <v>1</v>
      </c>
      <c r="J1681" s="26">
        <v>19990</v>
      </c>
      <c r="K1681">
        <f>ТабПозиции[[#This Row],[discountPrice]]*ТабПозиции[[#This Row],[quantity]]</f>
        <v>19990</v>
      </c>
      <c r="L1681" s="26">
        <v>19990</v>
      </c>
      <c r="M1681">
        <f t="shared" si="34"/>
        <v>19990</v>
      </c>
      <c r="O168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Row],[orderNum]],ТабПозиции[orderSumm])&gt;1500),ABS(M1681*VLOOKUP(ТабПозиции[[#This Row],[orderNum]],ТабЗаказы[#Data],MATCH("Percent",ТабЗаказы[#Headers],0),0))/100,200/COUNTIF(ТабПозиции[orderNum],ТабПозиции[[#This Row],[orderNum]])),0),"")</f>
        <v>1999</v>
      </c>
      <c r="P1681">
        <f>IF(OR(ТабПозиции[[#This Row],[item]]="По штрихкоду",ТабПозиции[[#This Row],[item]]="Посылка"),ТабПозиции[[#This Row],[deliverySumm]]+ТабПозиции[[#This Row],[deliveryPost]],SUM(M1681:O1681))</f>
        <v>1999</v>
      </c>
      <c r="Q1681" s="57">
        <v>1999</v>
      </c>
      <c r="R1681" s="62">
        <f>ТабПозиции[[#This Row],[totalSumm]]-ТабПозиции[[#This Row],[payment]]</f>
        <v>0</v>
      </c>
      <c r="S1681" s="34" t="s">
        <v>1016</v>
      </c>
      <c r="T1681" s="56" t="s">
        <v>3061</v>
      </c>
      <c r="U1681" s="56" t="str">
        <f>IF(AND(ТабПозиции[[#This Row],[Остаток]]=0,ТабПозиции[[#This Row],[ord]]="true"),"true","false")</f>
        <v>true</v>
      </c>
      <c r="V1681" s="56" t="s">
        <v>3061</v>
      </c>
    </row>
    <row r="1682" spans="1:22" x14ac:dyDescent="0.25">
      <c r="A1682" s="26">
        <v>452</v>
      </c>
      <c r="B1682" s="1">
        <f>IFERROR(VLOOKUP(ТабПозиции[[#This Row],[orderNum]],ТабЗаказы[#Data],MATCH(B$7,ТабЗаказы[#Headers],0),0),"")</f>
        <v>45683</v>
      </c>
      <c r="C1682" t="str">
        <f>MONTH(ТабПозиции[[#This Row],[date]])&amp;"/"&amp;YEAR(ТабПозиции[[#This Row],[date]])</f>
        <v>1/2025</v>
      </c>
      <c r="D1682" s="1" t="str">
        <f>IFERROR(VLOOKUP(ТабПозиции[[#This Row],[orderNum]],ТабЗаказы[#Data],MATCH(D$7,ТабЗаказы[#Headers],0),0),"")</f>
        <v>Руденко Юля</v>
      </c>
      <c r="E1682" s="85" t="s">
        <v>2100</v>
      </c>
      <c r="F1682" s="56" t="s">
        <v>3061</v>
      </c>
      <c r="H1682" s="34">
        <v>45685</v>
      </c>
      <c r="I1682" s="26">
        <v>1</v>
      </c>
      <c r="J1682" s="26">
        <v>737</v>
      </c>
      <c r="K1682">
        <f>ТабПозиции[[#This Row],[discountPrice]]*ТабПозиции[[#This Row],[quantity]]</f>
        <v>737</v>
      </c>
      <c r="L1682" s="26">
        <v>757</v>
      </c>
      <c r="M1682">
        <f t="shared" si="34"/>
        <v>757</v>
      </c>
      <c r="O168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Row],[orderNum]],ТабПозиции[orderSumm])&gt;1500),ABS(M1682*VLOOKUP(ТабПозиции[[#This Row],[orderNum]],ТабЗаказы[#Data],MATCH("Percent",ТабЗаказы[#Headers],0),0))/100,200/COUNTIF(ТабПозиции[orderNum],ТабПозиции[[#This Row],[orderNum]])),0),"")</f>
        <v>76</v>
      </c>
      <c r="P1682">
        <f>IF(OR(ТабПозиции[[#This Row],[item]]="По штрихкоду",ТабПозиции[[#This Row],[item]]="Посылка"),ТабПозиции[[#This Row],[deliverySumm]]+ТабПозиции[[#This Row],[deliveryPost]],SUM(M1682:O1682))</f>
        <v>833</v>
      </c>
      <c r="Q1682" s="57">
        <v>833</v>
      </c>
      <c r="R1682" s="62">
        <f>ТабПозиции[[#This Row],[totalSumm]]-ТабПозиции[[#This Row],[payment]]</f>
        <v>0</v>
      </c>
      <c r="S1682" s="34" t="s">
        <v>955</v>
      </c>
      <c r="T1682" s="56" t="s">
        <v>3061</v>
      </c>
      <c r="U1682" s="56" t="str">
        <f>IF(AND(ТабПозиции[[#This Row],[Остаток]]=0,ТабПозиции[[#This Row],[ord]]="true"),"true","false")</f>
        <v>true</v>
      </c>
      <c r="V1682" s="56" t="s">
        <v>3061</v>
      </c>
    </row>
    <row r="1683" spans="1:22" x14ac:dyDescent="0.25">
      <c r="A1683" s="26">
        <v>452</v>
      </c>
      <c r="B1683" s="1">
        <f>IFERROR(VLOOKUP(ТабПозиции[[#This Row],[orderNum]],ТабЗаказы[#Data],MATCH(B$7,ТабЗаказы[#Headers],0),0),"")</f>
        <v>45683</v>
      </c>
      <c r="C1683" t="str">
        <f>MONTH(ТабПозиции[[#This Row],[date]])&amp;"/"&amp;YEAR(ТабПозиции[[#This Row],[date]])</f>
        <v>1/2025</v>
      </c>
      <c r="D1683" s="1" t="str">
        <f>IFERROR(VLOOKUP(ТабПозиции[[#This Row],[orderNum]],ТабЗаказы[#Data],MATCH(D$7,ТабЗаказы[#Headers],0),0),"")</f>
        <v>Руденко Юля</v>
      </c>
      <c r="E1683" s="85" t="s">
        <v>2354</v>
      </c>
      <c r="F1683" s="56" t="s">
        <v>3061</v>
      </c>
      <c r="H1683" s="34">
        <v>45712</v>
      </c>
      <c r="I1683" s="26">
        <v>1</v>
      </c>
      <c r="J1683" s="26">
        <v>1043</v>
      </c>
      <c r="K1683">
        <f>ТабПозиции[[#This Row],[discountPrice]]*ТабПозиции[[#This Row],[quantity]]</f>
        <v>1043</v>
      </c>
      <c r="L1683" s="26">
        <v>1082</v>
      </c>
      <c r="M1683">
        <f t="shared" si="34"/>
        <v>1082</v>
      </c>
      <c r="O168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Row],[orderNum]],ТабПозиции[orderSumm])&gt;1500),ABS(M1683*VLOOKUP(ТабПозиции[[#This Row],[orderNum]],ТабЗаказы[#Data],MATCH("Percent",ТабЗаказы[#Headers],0),0))/100,200/COUNTIF(ТабПозиции[orderNum],ТабПозиции[[#This Row],[orderNum]])),0),"")</f>
        <v>108</v>
      </c>
      <c r="P1683">
        <f>IF(OR(ТабПозиции[[#This Row],[item]]="По штрихкоду",ТабПозиции[[#This Row],[item]]="Посылка"),ТабПозиции[[#This Row],[deliverySumm]]+ТабПозиции[[#This Row],[deliveryPost]],SUM(M1683:O1683))</f>
        <v>1190</v>
      </c>
      <c r="Q1683" s="57">
        <v>1190</v>
      </c>
      <c r="R1683" s="62">
        <f>ТабПозиции[[#This Row],[totalSumm]]-ТабПозиции[[#This Row],[payment]]</f>
        <v>0</v>
      </c>
      <c r="S1683" s="34" t="s">
        <v>955</v>
      </c>
      <c r="T1683" s="56" t="s">
        <v>3061</v>
      </c>
      <c r="U1683" s="56" t="str">
        <f>IF(AND(ТабПозиции[[#This Row],[Остаток]]=0,ТабПозиции[[#This Row],[ord]]="true"),"true","false")</f>
        <v>true</v>
      </c>
      <c r="V1683" s="56" t="s">
        <v>3061</v>
      </c>
    </row>
    <row r="1684" spans="1:22" x14ac:dyDescent="0.25">
      <c r="A1684" s="26">
        <v>452</v>
      </c>
      <c r="B1684" s="1">
        <f>IFERROR(VLOOKUP(ТабПозиции[[#This Row],[orderNum]],ТабЗаказы[#Data],MATCH(B$7,ТабЗаказы[#Headers],0),0),"")</f>
        <v>45683</v>
      </c>
      <c r="C1684" t="str">
        <f>MONTH(ТабПозиции[[#This Row],[date]])&amp;"/"&amp;YEAR(ТабПозиции[[#This Row],[date]])</f>
        <v>1/2025</v>
      </c>
      <c r="D1684" s="1" t="str">
        <f>IFERROR(VLOOKUP(ТабПозиции[[#This Row],[orderNum]],ТабЗаказы[#Data],MATCH(D$7,ТабЗаказы[#Headers],0),0),"")</f>
        <v>Руденко Юля</v>
      </c>
      <c r="E1684" s="85" t="s">
        <v>1987</v>
      </c>
      <c r="F1684" s="56" t="s">
        <v>3061</v>
      </c>
      <c r="H1684" s="34">
        <v>45696</v>
      </c>
      <c r="I1684" s="26">
        <v>1</v>
      </c>
      <c r="J1684" s="26">
        <v>400</v>
      </c>
      <c r="K1684">
        <f>ТабПозиции[[#This Row],[discountPrice]]*ТабПозиции[[#This Row],[quantity]]</f>
        <v>400</v>
      </c>
      <c r="L1684" s="26">
        <v>408</v>
      </c>
      <c r="M1684">
        <f t="shared" si="34"/>
        <v>408</v>
      </c>
      <c r="O168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Row],[orderNum]],ТабПозиции[orderSumm])&gt;1500),ABS(M1684*VLOOKUP(ТабПозиции[[#This Row],[orderNum]],ТабЗаказы[#Data],MATCH("Percent",ТабЗаказы[#Headers],0),0))/100,200/COUNTIF(ТабПозиции[orderNum],ТабПозиции[[#This Row],[orderNum]])),0),"")</f>
        <v>41</v>
      </c>
      <c r="P1684">
        <f>IF(OR(ТабПозиции[[#This Row],[item]]="По штрихкоду",ТабПозиции[[#This Row],[item]]="Посылка"),ТабПозиции[[#This Row],[deliverySumm]]+ТабПозиции[[#This Row],[deliveryPost]],SUM(M1684:O1684))</f>
        <v>449</v>
      </c>
      <c r="Q1684" s="57">
        <v>449</v>
      </c>
      <c r="R1684" s="62">
        <f>ТабПозиции[[#This Row],[totalSumm]]-ТабПозиции[[#This Row],[payment]]</f>
        <v>0</v>
      </c>
      <c r="S1684" s="34" t="s">
        <v>955</v>
      </c>
      <c r="T1684" s="56" t="s">
        <v>3061</v>
      </c>
      <c r="U1684" s="56" t="str">
        <f>IF(AND(ТабПозиции[[#This Row],[Остаток]]=0,ТабПозиции[[#This Row],[ord]]="true"),"true","false")</f>
        <v>true</v>
      </c>
      <c r="V1684" s="56" t="str">
        <f>IF(AND(ТабПозиции[[#This Row],[Остаток]]=0,ТабПозиции[[#This Row],[ord]]="true"),"true","false")</f>
        <v>true</v>
      </c>
    </row>
    <row r="1685" spans="1:22" x14ac:dyDescent="0.25">
      <c r="A1685" s="26">
        <v>452</v>
      </c>
      <c r="B1685" s="1">
        <f>IFERROR(VLOOKUP(ТабПозиции[[#This Row],[orderNum]],ТабЗаказы[#Data],MATCH(B$7,ТабЗаказы[#Headers],0),0),"")</f>
        <v>45683</v>
      </c>
      <c r="C1685" t="str">
        <f>MONTH(ТабПозиции[[#This Row],[date]])&amp;"/"&amp;YEAR(ТабПозиции[[#This Row],[date]])</f>
        <v>1/2025</v>
      </c>
      <c r="D1685" s="1" t="str">
        <f>IFERROR(VLOOKUP(ТабПозиции[[#This Row],[orderNum]],ТабЗаказы[#Data],MATCH(D$7,ТабЗаказы[#Headers],0),0),"")</f>
        <v>Руденко Юля</v>
      </c>
      <c r="E1685" s="85" t="s">
        <v>2355</v>
      </c>
      <c r="F1685" s="56" t="s">
        <v>3061</v>
      </c>
      <c r="H1685" s="34">
        <v>45710</v>
      </c>
      <c r="I1685" s="26">
        <v>1</v>
      </c>
      <c r="J1685" s="26">
        <v>186</v>
      </c>
      <c r="K1685">
        <f>ТабПозиции[[#This Row],[discountPrice]]*ТабПозиции[[#This Row],[quantity]]</f>
        <v>186</v>
      </c>
      <c r="L1685" s="26">
        <v>192</v>
      </c>
      <c r="M1685">
        <f t="shared" si="34"/>
        <v>192</v>
      </c>
      <c r="O168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Row],[orderNum]],ТабПозиции[orderSumm])&gt;1500),ABS(M1685*VLOOKUP(ТабПозиции[[#This Row],[orderNum]],ТабЗаказы[#Data],MATCH("Percent",ТабЗаказы[#Headers],0),0))/100,200/COUNTIF(ТабПозиции[orderNum],ТабПозиции[[#This Row],[orderNum]])),0),"")</f>
        <v>19</v>
      </c>
      <c r="P1685">
        <f>IF(OR(ТабПозиции[[#This Row],[item]]="По штрихкоду",ТабПозиции[[#This Row],[item]]="Посылка"),ТабПозиции[[#This Row],[deliverySumm]]+ТабПозиции[[#This Row],[deliveryPost]],SUM(M1685:O1685))</f>
        <v>211</v>
      </c>
      <c r="Q1685" s="57">
        <v>211</v>
      </c>
      <c r="R1685" s="62">
        <f>ТабПозиции[[#This Row],[totalSumm]]-ТабПозиции[[#This Row],[payment]]</f>
        <v>0</v>
      </c>
      <c r="S1685" s="34" t="s">
        <v>955</v>
      </c>
      <c r="T1685" s="56" t="s">
        <v>3061</v>
      </c>
      <c r="U1685" s="56" t="str">
        <f>IF(AND(ТабПозиции[[#This Row],[Остаток]]=0,ТабПозиции[[#This Row],[ord]]="true"),"true","false")</f>
        <v>true</v>
      </c>
      <c r="V1685" s="56" t="str">
        <f>IF(AND(ТабПозиции[[#This Row],[Остаток]]=0,ТабПозиции[[#This Row],[ord]]="true"),"true","false")</f>
        <v>true</v>
      </c>
    </row>
    <row r="1686" spans="1:22" x14ac:dyDescent="0.25">
      <c r="A1686" s="26">
        <v>452</v>
      </c>
      <c r="B1686" s="1">
        <f>IFERROR(VLOOKUP(ТабПозиции[[#This Row],[orderNum]],ТабЗаказы[#Data],MATCH(B$7,ТабЗаказы[#Headers],0),0),"")</f>
        <v>45683</v>
      </c>
      <c r="C1686" t="str">
        <f>MONTH(ТабПозиции[[#This Row],[date]])&amp;"/"&amp;YEAR(ТабПозиции[[#This Row],[date]])</f>
        <v>1/2025</v>
      </c>
      <c r="D1686" s="1" t="str">
        <f>IFERROR(VLOOKUP(ТабПозиции[[#This Row],[orderNum]],ТабЗаказы[#Data],MATCH(D$7,ТабЗаказы[#Headers],0),0),"")</f>
        <v>Руденко Юля</v>
      </c>
      <c r="E1686" s="85" t="s">
        <v>2356</v>
      </c>
      <c r="F1686" s="56" t="s">
        <v>3061</v>
      </c>
      <c r="H1686" s="34">
        <v>45705</v>
      </c>
      <c r="I1686" s="26">
        <v>1</v>
      </c>
      <c r="J1686" s="26">
        <v>487</v>
      </c>
      <c r="K1686">
        <f>ТабПозиции[[#This Row],[discountPrice]]*ТабПозиции[[#This Row],[quantity]]</f>
        <v>487</v>
      </c>
      <c r="L1686" s="26">
        <v>506</v>
      </c>
      <c r="M1686">
        <f t="shared" si="34"/>
        <v>506</v>
      </c>
      <c r="O168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Row],[orderNum]],ТабПозиции[orderSumm])&gt;1500),ABS(M1686*VLOOKUP(ТабПозиции[[#This Row],[orderNum]],ТабЗаказы[#Data],MATCH("Percent",ТабЗаказы[#Headers],0),0))/100,200/COUNTIF(ТабПозиции[orderNum],ТабПозиции[[#This Row],[orderNum]])),0),"")</f>
        <v>51</v>
      </c>
      <c r="P1686">
        <f>IF(OR(ТабПозиции[[#This Row],[item]]="По штрихкоду",ТабПозиции[[#This Row],[item]]="Посылка"),ТабПозиции[[#This Row],[deliverySumm]]+ТабПозиции[[#This Row],[deliveryPost]],SUM(M1686:O1686))</f>
        <v>557</v>
      </c>
      <c r="Q1686" s="57">
        <v>557</v>
      </c>
      <c r="R1686" s="62">
        <f>ТабПозиции[[#This Row],[totalSumm]]-ТабПозиции[[#This Row],[payment]]</f>
        <v>0</v>
      </c>
      <c r="S1686" s="34" t="s">
        <v>955</v>
      </c>
      <c r="T1686" s="56" t="s">
        <v>3061</v>
      </c>
      <c r="U1686" s="56" t="str">
        <f>IF(AND(ТабПозиции[[#This Row],[Остаток]]=0,ТабПозиции[[#This Row],[ord]]="true"),"true","false")</f>
        <v>true</v>
      </c>
      <c r="V1686" s="56" t="str">
        <f>IF(AND(ТабПозиции[[#This Row],[Остаток]]=0,ТабПозиции[[#This Row],[ord]]="true"),"true","false")</f>
        <v>true</v>
      </c>
    </row>
    <row r="1687" spans="1:22" x14ac:dyDescent="0.25">
      <c r="A1687" s="26">
        <v>452</v>
      </c>
      <c r="B1687" s="1">
        <f>IFERROR(VLOOKUP(ТабПозиции[[#This Row],[orderNum]],ТабЗаказы[#Data],MATCH(B$7,ТабЗаказы[#Headers],0),0),"")</f>
        <v>45683</v>
      </c>
      <c r="C1687" t="str">
        <f>MONTH(ТабПозиции[[#This Row],[date]])&amp;"/"&amp;YEAR(ТабПозиции[[#This Row],[date]])</f>
        <v>1/2025</v>
      </c>
      <c r="D1687" s="1" t="str">
        <f>IFERROR(VLOOKUP(ТабПозиции[[#This Row],[orderNum]],ТабЗаказы[#Data],MATCH(D$7,ТабЗаказы[#Headers],0),0),"")</f>
        <v>Руденко Юля</v>
      </c>
      <c r="E1687" s="85" t="s">
        <v>1845</v>
      </c>
      <c r="F1687" s="56" t="s">
        <v>3061</v>
      </c>
      <c r="H1687" s="34">
        <v>45746</v>
      </c>
      <c r="I1687" s="26">
        <v>1</v>
      </c>
      <c r="J1687" s="26">
        <v>999</v>
      </c>
      <c r="K1687">
        <f>ТабПозиции[[#This Row],[discountPrice]]*ТабПозиции[[#This Row],[quantity]]</f>
        <v>999</v>
      </c>
      <c r="L1687" s="26">
        <v>1042</v>
      </c>
      <c r="M1687">
        <f t="shared" si="34"/>
        <v>1042</v>
      </c>
      <c r="O168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Row],[orderNum]],ТабПозиции[orderSumm])&gt;1500),ABS(M1687*VLOOKUP(ТабПозиции[[#This Row],[orderNum]],ТабЗаказы[#Data],MATCH("Percent",ТабЗаказы[#Headers],0),0))/100,200/COUNTIF(ТабПозиции[orderNum],ТабПозиции[[#This Row],[orderNum]])),0),"")</f>
        <v>104</v>
      </c>
      <c r="P1687">
        <f>IF(OR(ТабПозиции[[#This Row],[item]]="По штрихкоду",ТабПозиции[[#This Row],[item]]="Посылка"),ТабПозиции[[#This Row],[deliverySumm]]+ТабПозиции[[#This Row],[deliveryPost]],SUM(M1687:O1687))</f>
        <v>1146</v>
      </c>
      <c r="Q1687" s="57">
        <v>1146</v>
      </c>
      <c r="R1687" s="62">
        <f>ТабПозиции[[#This Row],[totalSumm]]-ТабПозиции[[#This Row],[payment]]</f>
        <v>0</v>
      </c>
      <c r="S1687" s="34" t="s">
        <v>955</v>
      </c>
      <c r="T1687" s="56" t="s">
        <v>3061</v>
      </c>
      <c r="U1687" s="56" t="str">
        <f>IF(AND(ТабПозиции[[#This Row],[Остаток]]=0,ТабПозиции[[#This Row],[ord]]="true"),"true","false")</f>
        <v>true</v>
      </c>
      <c r="V1687" s="56" t="s">
        <v>3061</v>
      </c>
    </row>
    <row r="1688" spans="1:22" x14ac:dyDescent="0.25">
      <c r="A1688" s="26">
        <v>452</v>
      </c>
      <c r="B1688" s="1">
        <f>IFERROR(VLOOKUP(ТабПозиции[[#This Row],[orderNum]],ТабЗаказы[#Data],MATCH(B$7,ТабЗаказы[#Headers],0),0),"")</f>
        <v>45683</v>
      </c>
      <c r="C1688" t="str">
        <f>MONTH(ТабПозиции[[#This Row],[date]])&amp;"/"&amp;YEAR(ТабПозиции[[#This Row],[date]])</f>
        <v>1/2025</v>
      </c>
      <c r="D1688" s="1" t="str">
        <f>IFERROR(VLOOKUP(ТабПозиции[[#This Row],[orderNum]],ТабЗаказы[#Data],MATCH(D$7,ТабЗаказы[#Headers],0),0),"")</f>
        <v>Руденко Юля</v>
      </c>
      <c r="E1688" s="85" t="s">
        <v>1987</v>
      </c>
      <c r="F1688" s="56" t="s">
        <v>3061</v>
      </c>
      <c r="H1688" s="34">
        <v>45709</v>
      </c>
      <c r="I1688" s="26">
        <v>0</v>
      </c>
      <c r="J1688" s="26">
        <v>535</v>
      </c>
      <c r="K1688">
        <f>ТабПозиции[[#This Row],[discountPrice]]*ТабПозиции[[#This Row],[quantity]]</f>
        <v>0</v>
      </c>
      <c r="L1688" s="26">
        <v>555</v>
      </c>
      <c r="M1688">
        <f t="shared" ref="M1688:M1702" si="35">L1688*I1688</f>
        <v>0</v>
      </c>
      <c r="O168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Row],[orderNum]],ТабПозиции[orderSumm])&gt;1500),ABS(M1688*VLOOKUP(ТабПозиции[[#This Row],[orderNum]],ТабЗаказы[#Data],MATCH("Percent",ТабЗаказы[#Headers],0),0))/100,200/COUNTIF(ТабПозиции[orderNum],ТабПозиции[[#This Row],[orderNum]])),0),"")</f>
        <v>0</v>
      </c>
      <c r="P1688">
        <f>IF(OR(ТабПозиции[[#This Row],[item]]="По штрихкоду",ТабПозиции[[#This Row],[item]]="Посылка"),ТабПозиции[[#This Row],[deliverySumm]]+ТабПозиции[[#This Row],[deliveryPost]],SUM(M1688:O1688))</f>
        <v>0</v>
      </c>
      <c r="R1688" s="62">
        <f>ТабПозиции[[#This Row],[totalSumm]]-ТабПозиции[[#This Row],[payment]]</f>
        <v>0</v>
      </c>
      <c r="S1688" s="34" t="s">
        <v>955</v>
      </c>
      <c r="T1688" s="56" t="s">
        <v>3061</v>
      </c>
      <c r="U1688" s="56" t="str">
        <f>IF(AND(ТабПозиции[[#This Row],[Остаток]]=0,ТабПозиции[[#This Row],[ord]]="true"),"true","false")</f>
        <v>true</v>
      </c>
      <c r="V1688" s="56" t="s">
        <v>3061</v>
      </c>
    </row>
    <row r="1689" spans="1:22" x14ac:dyDescent="0.25">
      <c r="A1689" s="26">
        <v>452</v>
      </c>
      <c r="B1689" s="1">
        <f>IFERROR(VLOOKUP(ТабПозиции[[#This Row],[orderNum]],ТабЗаказы[#Data],MATCH(B$7,ТабЗаказы[#Headers],0),0),"")</f>
        <v>45683</v>
      </c>
      <c r="C1689" t="str">
        <f>MONTH(ТабПозиции[[#This Row],[date]])&amp;"/"&amp;YEAR(ТабПозиции[[#This Row],[date]])</f>
        <v>1/2025</v>
      </c>
      <c r="D1689" s="1" t="str">
        <f>IFERROR(VLOOKUP(ТабПозиции[[#This Row],[orderNum]],ТабЗаказы[#Data],MATCH(D$7,ТабЗаказы[#Headers],0),0),"")</f>
        <v>Руденко Юля</v>
      </c>
      <c r="E1689" s="85" t="s">
        <v>2357</v>
      </c>
      <c r="F1689" s="56" t="s">
        <v>3061</v>
      </c>
      <c r="H1689" s="34">
        <v>45684</v>
      </c>
      <c r="I1689" s="26">
        <v>1</v>
      </c>
      <c r="J1689" s="26">
        <v>447</v>
      </c>
      <c r="K1689">
        <f>ТабПозиции[[#This Row],[discountPrice]]*ТабПозиции[[#This Row],[quantity]]</f>
        <v>447</v>
      </c>
      <c r="L1689" s="26">
        <v>471</v>
      </c>
      <c r="M1689">
        <f t="shared" si="35"/>
        <v>471</v>
      </c>
      <c r="O168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Row],[orderNum]],ТабПозиции[orderSumm])&gt;1500),ABS(M1689*VLOOKUP(ТабПозиции[[#This Row],[orderNum]],ТабЗаказы[#Data],MATCH("Percent",ТабЗаказы[#Headers],0),0))/100,200/COUNTIF(ТабПозиции[orderNum],ТабПозиции[[#This Row],[orderNum]])),0),"")</f>
        <v>47</v>
      </c>
      <c r="P1689">
        <f>IF(OR(ТабПозиции[[#This Row],[item]]="По штрихкоду",ТабПозиции[[#This Row],[item]]="Посылка"),ТабПозиции[[#This Row],[deliverySumm]]+ТабПозиции[[#This Row],[deliveryPost]],SUM(M1689:O1689))</f>
        <v>518</v>
      </c>
      <c r="Q1689" s="57">
        <v>518</v>
      </c>
      <c r="R1689" s="62">
        <f>ТабПозиции[[#This Row],[totalSumm]]-ТабПозиции[[#This Row],[payment]]</f>
        <v>0</v>
      </c>
      <c r="S1689" s="34" t="s">
        <v>965</v>
      </c>
      <c r="T1689" s="56" t="s">
        <v>3061</v>
      </c>
      <c r="U1689" s="56" t="str">
        <f>IF(AND(ТабПозиции[[#This Row],[Остаток]]=0,ТабПозиции[[#This Row],[ord]]="true"),"true","false")</f>
        <v>true</v>
      </c>
      <c r="V1689" s="56" t="s">
        <v>3061</v>
      </c>
    </row>
    <row r="1690" spans="1:22" x14ac:dyDescent="0.25">
      <c r="A1690" s="26">
        <v>452</v>
      </c>
      <c r="B1690" s="1">
        <f>IFERROR(VLOOKUP(ТабПозиции[[#This Row],[orderNum]],ТабЗаказы[#Data],MATCH(B$7,ТабЗаказы[#Headers],0),0),"")</f>
        <v>45683</v>
      </c>
      <c r="C1690" t="str">
        <f>MONTH(ТабПозиции[[#This Row],[date]])&amp;"/"&amp;YEAR(ТабПозиции[[#This Row],[date]])</f>
        <v>1/2025</v>
      </c>
      <c r="D1690" s="1" t="str">
        <f>IFERROR(VLOOKUP(ТабПозиции[[#This Row],[orderNum]],ТабЗаказы[#Data],MATCH(D$7,ТабЗаказы[#Headers],0),0),"")</f>
        <v>Руденко Юля</v>
      </c>
      <c r="E1690" s="85" t="s">
        <v>2358</v>
      </c>
      <c r="F1690" s="56" t="s">
        <v>3061</v>
      </c>
      <c r="H1690" s="34">
        <v>45689</v>
      </c>
      <c r="I1690" s="26">
        <v>1</v>
      </c>
      <c r="J1690" s="26">
        <v>136</v>
      </c>
      <c r="K1690">
        <f>ТабПозиции[[#This Row],[discountPrice]]*ТабПозиции[[#This Row],[quantity]]</f>
        <v>136</v>
      </c>
      <c r="L1690" s="26">
        <v>144</v>
      </c>
      <c r="M1690">
        <f t="shared" si="35"/>
        <v>144</v>
      </c>
      <c r="O169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Row],[orderNum]],ТабПозиции[orderSumm])&gt;1500),ABS(M1690*VLOOKUP(ТабПозиции[[#This Row],[orderNum]],ТабЗаказы[#Data],MATCH("Percent",ТабЗаказы[#Headers],0),0))/100,200/COUNTIF(ТабПозиции[orderNum],ТабПозиции[[#This Row],[orderNum]])),0),"")</f>
        <v>14</v>
      </c>
      <c r="P1690">
        <f>IF(OR(ТабПозиции[[#This Row],[item]]="По штрихкоду",ТабПозиции[[#This Row],[item]]="Посылка"),ТабПозиции[[#This Row],[deliverySumm]]+ТабПозиции[[#This Row],[deliveryPost]],SUM(M1690:O1690))</f>
        <v>158</v>
      </c>
      <c r="Q1690" s="57">
        <v>158</v>
      </c>
      <c r="R1690" s="62">
        <f>ТабПозиции[[#This Row],[totalSumm]]-ТабПозиции[[#This Row],[payment]]</f>
        <v>0</v>
      </c>
      <c r="S1690" s="34" t="s">
        <v>965</v>
      </c>
      <c r="T1690" s="56" t="s">
        <v>3061</v>
      </c>
      <c r="U1690" s="56" t="str">
        <f>IF(AND(ТабПозиции[[#This Row],[Остаток]]=0,ТабПозиции[[#This Row],[ord]]="true"),"true","false")</f>
        <v>true</v>
      </c>
      <c r="V1690" s="56" t="s">
        <v>3061</v>
      </c>
    </row>
    <row r="1691" spans="1:22" x14ac:dyDescent="0.25">
      <c r="A1691" s="26">
        <v>452</v>
      </c>
      <c r="B1691" s="1">
        <f>IFERROR(VLOOKUP(ТабПозиции[[#This Row],[orderNum]],ТабЗаказы[#Data],MATCH(B$7,ТабЗаказы[#Headers],0),0),"")</f>
        <v>45683</v>
      </c>
      <c r="C1691" t="str">
        <f>MONTH(ТабПозиции[[#This Row],[date]])&amp;"/"&amp;YEAR(ТабПозиции[[#This Row],[date]])</f>
        <v>1/2025</v>
      </c>
      <c r="D1691" s="1" t="str">
        <f>IFERROR(VLOOKUP(ТабПозиции[[#This Row],[orderNum]],ТабЗаказы[#Data],MATCH(D$7,ТабЗаказы[#Headers],0),0),"")</f>
        <v>Руденко Юля</v>
      </c>
      <c r="E1691" s="85" t="s">
        <v>2359</v>
      </c>
      <c r="F1691" s="56" t="s">
        <v>3061</v>
      </c>
      <c r="H1691" s="34">
        <v>45689</v>
      </c>
      <c r="I1691" s="26">
        <v>1</v>
      </c>
      <c r="J1691" s="26">
        <v>559</v>
      </c>
      <c r="K1691">
        <f>ТабПозиции[[#This Row],[discountPrice]]*ТабПозиции[[#This Row],[quantity]]</f>
        <v>559</v>
      </c>
      <c r="L1691" s="26">
        <v>589</v>
      </c>
      <c r="M1691">
        <f t="shared" si="35"/>
        <v>589</v>
      </c>
      <c r="O169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Row],[orderNum]],ТабПозиции[orderSumm])&gt;1500),ABS(M1691*VLOOKUP(ТабПозиции[[#This Row],[orderNum]],ТабЗаказы[#Data],MATCH("Percent",ТабЗаказы[#Headers],0),0))/100,200/COUNTIF(ТабПозиции[orderNum],ТабПозиции[[#This Row],[orderNum]])),0),"")</f>
        <v>59</v>
      </c>
      <c r="P1691">
        <f>IF(OR(ТабПозиции[[#This Row],[item]]="По штрихкоду",ТабПозиции[[#This Row],[item]]="Посылка"),ТабПозиции[[#This Row],[deliverySumm]]+ТабПозиции[[#This Row],[deliveryPost]],SUM(M1691:O1691))</f>
        <v>648</v>
      </c>
      <c r="Q1691" s="57">
        <v>648</v>
      </c>
      <c r="R1691" s="62">
        <f>ТабПозиции[[#This Row],[totalSumm]]-ТабПозиции[[#This Row],[payment]]</f>
        <v>0</v>
      </c>
      <c r="S1691" s="34" t="s">
        <v>965</v>
      </c>
      <c r="T1691" s="56" t="s">
        <v>3061</v>
      </c>
      <c r="U1691" s="56" t="str">
        <f>IF(AND(ТабПозиции[[#This Row],[Остаток]]=0,ТабПозиции[[#This Row],[ord]]="true"),"true","false")</f>
        <v>true</v>
      </c>
      <c r="V1691" s="56" t="s">
        <v>3061</v>
      </c>
    </row>
    <row r="1692" spans="1:22" x14ac:dyDescent="0.25">
      <c r="A1692" s="26">
        <v>453</v>
      </c>
      <c r="B1692" s="1">
        <f>IFERROR(VLOOKUP(ТабПозиции[[#This Row],[orderNum]],ТабЗаказы[#Data],MATCH(B$7,ТабЗаказы[#Headers],0),0),"")</f>
        <v>45683</v>
      </c>
      <c r="C1692" t="str">
        <f>MONTH(ТабПозиции[[#This Row],[date]])&amp;"/"&amp;YEAR(ТабПозиции[[#This Row],[date]])</f>
        <v>1/2025</v>
      </c>
      <c r="D1692" s="1" t="str">
        <f>IFERROR(VLOOKUP(ТабПозиции[[#This Row],[orderNum]],ТабЗаказы[#Data],MATCH(D$7,ТабЗаказы[#Headers],0),0),"")</f>
        <v>Светлана от Александра</v>
      </c>
      <c r="E1692" s="85" t="s">
        <v>2360</v>
      </c>
      <c r="F1692" s="56" t="s">
        <v>3061</v>
      </c>
      <c r="H1692" s="34">
        <v>45686</v>
      </c>
      <c r="I1692" s="26">
        <v>1</v>
      </c>
      <c r="J1692" s="26">
        <v>3340</v>
      </c>
      <c r="K1692">
        <f>ТабПозиции[[#This Row],[discountPrice]]*ТабПозиции[[#This Row],[quantity]]</f>
        <v>3340</v>
      </c>
      <c r="L1692" s="26">
        <v>3516</v>
      </c>
      <c r="M1692">
        <f t="shared" si="35"/>
        <v>3516</v>
      </c>
      <c r="O169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Row],[orderNum]],ТабПозиции[orderSumm])&gt;1500),ABS(M1692*VLOOKUP(ТабПозиции[[#This Row],[orderNum]],ТабЗаказы[#Data],MATCH("Percent",ТабЗаказы[#Headers],0),0))/100,200/COUNTIF(ТабПозиции[orderNum],ТабПозиции[[#This Row],[orderNum]])),0),"")</f>
        <v>352</v>
      </c>
      <c r="P1692">
        <f>IF(OR(ТабПозиции[[#This Row],[item]]="По штрихкоду",ТабПозиции[[#This Row],[item]]="Посылка"),ТабПозиции[[#This Row],[deliverySumm]]+ТабПозиции[[#This Row],[deliveryPost]],SUM(M1692:O1692))</f>
        <v>3868</v>
      </c>
      <c r="Q1692" s="57">
        <v>3868</v>
      </c>
      <c r="R1692" s="62">
        <f>ТабПозиции[[#This Row],[totalSumm]]-ТабПозиции[[#This Row],[payment]]</f>
        <v>0</v>
      </c>
      <c r="S1692" s="34" t="s">
        <v>965</v>
      </c>
      <c r="T1692" s="56" t="s">
        <v>3061</v>
      </c>
      <c r="U1692" s="56" t="str">
        <f>IF(AND(ТабПозиции[[#This Row],[Остаток]]=0,ТабПозиции[[#This Row],[ord]]="true"),"true","false")</f>
        <v>true</v>
      </c>
      <c r="V1692" s="56" t="s">
        <v>3061</v>
      </c>
    </row>
    <row r="1693" spans="1:22" x14ac:dyDescent="0.25">
      <c r="A1693" s="26">
        <v>453</v>
      </c>
      <c r="B1693" s="1">
        <f>IFERROR(VLOOKUP(ТабПозиции[[#This Row],[orderNum]],ТабЗаказы[#Data],MATCH(B$7,ТабЗаказы[#Headers],0),0),"")</f>
        <v>45683</v>
      </c>
      <c r="C1693" t="str">
        <f>MONTH(ТабПозиции[[#This Row],[date]])&amp;"/"&amp;YEAR(ТабПозиции[[#This Row],[date]])</f>
        <v>1/2025</v>
      </c>
      <c r="D1693" s="1" t="str">
        <f>IFERROR(VLOOKUP(ТабПозиции[[#This Row],[orderNum]],ТабЗаказы[#Data],MATCH(D$7,ТабЗаказы[#Headers],0),0),"")</f>
        <v>Светлана от Александра</v>
      </c>
      <c r="E1693" s="85" t="s">
        <v>2361</v>
      </c>
      <c r="F1693" s="56" t="s">
        <v>3061</v>
      </c>
      <c r="H1693" s="34">
        <v>45685</v>
      </c>
      <c r="I1693" s="26">
        <v>2</v>
      </c>
      <c r="J1693" s="26">
        <v>246</v>
      </c>
      <c r="K1693">
        <f>ТабПозиции[[#This Row],[discountPrice]]*ТабПозиции[[#This Row],[quantity]]</f>
        <v>492</v>
      </c>
      <c r="L1693" s="26">
        <v>259</v>
      </c>
      <c r="M1693">
        <f t="shared" si="35"/>
        <v>518</v>
      </c>
      <c r="O169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Row],[orderNum]],ТабПозиции[orderSumm])&gt;1500),ABS(M1693*VLOOKUP(ТабПозиции[[#This Row],[orderNum]],ТабЗаказы[#Data],MATCH("Percent",ТабЗаказы[#Headers],0),0))/100,200/COUNTIF(ТабПозиции[orderNum],ТабПозиции[[#This Row],[orderNum]])),0),"")</f>
        <v>52</v>
      </c>
      <c r="P1693">
        <f>IF(OR(ТабПозиции[[#This Row],[item]]="По штрихкоду",ТабПозиции[[#This Row],[item]]="Посылка"),ТабПозиции[[#This Row],[deliverySumm]]+ТабПозиции[[#This Row],[deliveryPost]],SUM(M1693:O1693))</f>
        <v>570</v>
      </c>
      <c r="Q1693" s="57">
        <v>570</v>
      </c>
      <c r="R1693" s="62">
        <f>ТабПозиции[[#This Row],[totalSumm]]-ТабПозиции[[#This Row],[payment]]</f>
        <v>0</v>
      </c>
      <c r="S1693" s="34" t="s">
        <v>965</v>
      </c>
      <c r="T1693" s="56" t="s">
        <v>3061</v>
      </c>
      <c r="U1693" s="56" t="str">
        <f>IF(AND(ТабПозиции[[#This Row],[Остаток]]=0,ТабПозиции[[#This Row],[ord]]="true"),"true","false")</f>
        <v>true</v>
      </c>
      <c r="V1693" s="56" t="s">
        <v>3061</v>
      </c>
    </row>
    <row r="1694" spans="1:22" x14ac:dyDescent="0.25">
      <c r="A1694" s="26">
        <v>453</v>
      </c>
      <c r="B1694" s="1">
        <f>IFERROR(VLOOKUP(ТабПозиции[[#This Row],[orderNum]],ТабЗаказы[#Data],MATCH(B$7,ТабЗаказы[#Headers],0),0),"")</f>
        <v>45683</v>
      </c>
      <c r="C1694" t="str">
        <f>MONTH(ТабПозиции[[#This Row],[date]])&amp;"/"&amp;YEAR(ТабПозиции[[#This Row],[date]])</f>
        <v>1/2025</v>
      </c>
      <c r="D1694" s="1" t="str">
        <f>IFERROR(VLOOKUP(ТабПозиции[[#This Row],[orderNum]],ТабЗаказы[#Data],MATCH(D$7,ТабЗаказы[#Headers],0),0),"")</f>
        <v>Светлана от Александра</v>
      </c>
      <c r="E1694" s="85" t="s">
        <v>2362</v>
      </c>
      <c r="F1694" s="56" t="s">
        <v>3061</v>
      </c>
      <c r="H1694" s="34">
        <v>45684</v>
      </c>
      <c r="I1694" s="26">
        <v>1</v>
      </c>
      <c r="J1694" s="26">
        <v>328</v>
      </c>
      <c r="K1694">
        <f>ТабПозиции[[#This Row],[discountPrice]]*ТабПозиции[[#This Row],[quantity]]</f>
        <v>328</v>
      </c>
      <c r="L1694" s="26">
        <v>346</v>
      </c>
      <c r="M1694">
        <f t="shared" si="35"/>
        <v>346</v>
      </c>
      <c r="O169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Row],[orderNum]],ТабПозиции[orderSumm])&gt;1500),ABS(M1694*VLOOKUP(ТабПозиции[[#This Row],[orderNum]],ТабЗаказы[#Data],MATCH("Percent",ТабЗаказы[#Headers],0),0))/100,200/COUNTIF(ТабПозиции[orderNum],ТабПозиции[[#This Row],[orderNum]])),0),"")</f>
        <v>35</v>
      </c>
      <c r="P1694">
        <f>IF(OR(ТабПозиции[[#This Row],[item]]="По штрихкоду",ТабПозиции[[#This Row],[item]]="Посылка"),ТабПозиции[[#This Row],[deliverySumm]]+ТабПозиции[[#This Row],[deliveryPost]],SUM(M1694:O1694))</f>
        <v>381</v>
      </c>
      <c r="Q1694" s="57">
        <v>381</v>
      </c>
      <c r="R1694" s="62">
        <f>ТабПозиции[[#This Row],[totalSumm]]-ТабПозиции[[#This Row],[payment]]</f>
        <v>0</v>
      </c>
      <c r="S1694" s="34" t="s">
        <v>965</v>
      </c>
      <c r="T1694" s="56" t="s">
        <v>3061</v>
      </c>
      <c r="U1694" s="56" t="str">
        <f>IF(AND(ТабПозиции[[#This Row],[Остаток]]=0,ТабПозиции[[#This Row],[ord]]="true"),"true","false")</f>
        <v>true</v>
      </c>
      <c r="V1694" s="56" t="s">
        <v>3061</v>
      </c>
    </row>
    <row r="1695" spans="1:22" x14ac:dyDescent="0.25">
      <c r="A1695" s="26">
        <v>453</v>
      </c>
      <c r="B1695" s="1">
        <f>IFERROR(VLOOKUP(ТабПозиции[[#This Row],[orderNum]],ТабЗаказы[#Data],MATCH(B$7,ТабЗаказы[#Headers],0),0),"")</f>
        <v>45683</v>
      </c>
      <c r="C1695" t="str">
        <f>MONTH(ТабПозиции[[#This Row],[date]])&amp;"/"&amp;YEAR(ТабПозиции[[#This Row],[date]])</f>
        <v>1/2025</v>
      </c>
      <c r="D1695" s="1" t="str">
        <f>IFERROR(VLOOKUP(ТабПозиции[[#This Row],[orderNum]],ТабЗаказы[#Data],MATCH(D$7,ТабЗаказы[#Headers],0),0),"")</f>
        <v>Светлана от Александра</v>
      </c>
      <c r="E1695" s="85" t="s">
        <v>2363</v>
      </c>
      <c r="F1695" s="56" t="s">
        <v>3061</v>
      </c>
      <c r="H1695" s="34">
        <v>45685</v>
      </c>
      <c r="I1695" s="26">
        <v>1</v>
      </c>
      <c r="J1695" s="26">
        <v>390</v>
      </c>
      <c r="K1695">
        <f>ТабПозиции[[#This Row],[discountPrice]]*ТабПозиции[[#This Row],[quantity]]</f>
        <v>390</v>
      </c>
      <c r="L1695" s="26">
        <v>411</v>
      </c>
      <c r="M1695">
        <f t="shared" si="35"/>
        <v>411</v>
      </c>
      <c r="O169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Row],[orderNum]],ТабПозиции[orderSumm])&gt;1500),ABS(M1695*VLOOKUP(ТабПозиции[[#This Row],[orderNum]],ТабЗаказы[#Data],MATCH("Percent",ТабЗаказы[#Headers],0),0))/100,200/COUNTIF(ТабПозиции[orderNum],ТабПозиции[[#This Row],[orderNum]])),0),"")</f>
        <v>41</v>
      </c>
      <c r="P1695">
        <f>IF(OR(ТабПозиции[[#This Row],[item]]="По штрихкоду",ТабПозиции[[#This Row],[item]]="Посылка"),ТабПозиции[[#This Row],[deliverySumm]]+ТабПозиции[[#This Row],[deliveryPost]],SUM(M1695:O1695))</f>
        <v>452</v>
      </c>
      <c r="Q1695" s="57">
        <v>452</v>
      </c>
      <c r="R1695" s="62">
        <f>ТабПозиции[[#This Row],[totalSumm]]-ТабПозиции[[#This Row],[payment]]</f>
        <v>0</v>
      </c>
      <c r="S1695" s="34" t="s">
        <v>965</v>
      </c>
      <c r="T1695" s="56" t="s">
        <v>3061</v>
      </c>
      <c r="U1695" s="56" t="str">
        <f>IF(AND(ТабПозиции[[#This Row],[Остаток]]=0,ТабПозиции[[#This Row],[ord]]="true"),"true","false")</f>
        <v>true</v>
      </c>
      <c r="V1695" s="56" t="s">
        <v>3061</v>
      </c>
    </row>
    <row r="1696" spans="1:22" x14ac:dyDescent="0.25">
      <c r="A1696" s="26">
        <v>453</v>
      </c>
      <c r="B1696" s="1">
        <f>IFERROR(VLOOKUP(ТабПозиции[[#This Row],[orderNum]],ТабЗаказы[#Data],MATCH(B$7,ТабЗаказы[#Headers],0),0),"")</f>
        <v>45683</v>
      </c>
      <c r="C1696" t="str">
        <f>MONTH(ТабПозиции[[#This Row],[date]])&amp;"/"&amp;YEAR(ТабПозиции[[#This Row],[date]])</f>
        <v>1/2025</v>
      </c>
      <c r="D1696" s="1" t="str">
        <f>IFERROR(VLOOKUP(ТабПозиции[[#This Row],[orderNum]],ТабЗаказы[#Data],MATCH(D$7,ТабЗаказы[#Headers],0),0),"")</f>
        <v>Светлана от Александра</v>
      </c>
      <c r="E1696" s="85" t="s">
        <v>2234</v>
      </c>
      <c r="F1696" s="56" t="s">
        <v>3061</v>
      </c>
      <c r="H1696" s="34">
        <v>45685</v>
      </c>
      <c r="I1696" s="26">
        <v>1</v>
      </c>
      <c r="J1696" s="26">
        <v>234</v>
      </c>
      <c r="K1696">
        <f>ТабПозиции[[#This Row],[discountPrice]]*ТабПозиции[[#This Row],[quantity]]</f>
        <v>234</v>
      </c>
      <c r="L1696" s="26">
        <v>247</v>
      </c>
      <c r="M1696">
        <f t="shared" si="35"/>
        <v>247</v>
      </c>
      <c r="O169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Row],[orderNum]],ТабПозиции[orderSumm])&gt;1500),ABS(M1696*VLOOKUP(ТабПозиции[[#This Row],[orderNum]],ТабЗаказы[#Data],MATCH("Percent",ТабЗаказы[#Headers],0),0))/100,200/COUNTIF(ТабПозиции[orderNum],ТабПозиции[[#This Row],[orderNum]])),0),"")</f>
        <v>25</v>
      </c>
      <c r="P1696">
        <f>IF(OR(ТабПозиции[[#This Row],[item]]="По штрихкоду",ТабПозиции[[#This Row],[item]]="Посылка"),ТабПозиции[[#This Row],[deliverySumm]]+ТабПозиции[[#This Row],[deliveryPost]],SUM(M1696:O1696))</f>
        <v>272</v>
      </c>
      <c r="Q1696" s="57">
        <v>272</v>
      </c>
      <c r="R1696" s="62">
        <f>ТабПозиции[[#This Row],[totalSumm]]-ТабПозиции[[#This Row],[payment]]</f>
        <v>0</v>
      </c>
      <c r="S1696" s="34" t="s">
        <v>965</v>
      </c>
      <c r="T1696" s="56" t="s">
        <v>3061</v>
      </c>
      <c r="U1696" s="56" t="str">
        <f>IF(AND(ТабПозиции[[#This Row],[Остаток]]=0,ТабПозиции[[#This Row],[ord]]="true"),"true","false")</f>
        <v>true</v>
      </c>
      <c r="V1696" s="56" t="s">
        <v>3061</v>
      </c>
    </row>
    <row r="1697" spans="1:22" x14ac:dyDescent="0.25">
      <c r="A1697" s="26">
        <v>453</v>
      </c>
      <c r="B1697" s="1">
        <f>IFERROR(VLOOKUP(ТабПозиции[[#This Row],[orderNum]],ТабЗаказы[#Data],MATCH(B$7,ТабЗаказы[#Headers],0),0),"")</f>
        <v>45683</v>
      </c>
      <c r="C1697" t="str">
        <f>MONTH(ТабПозиции[[#This Row],[date]])&amp;"/"&amp;YEAR(ТабПозиции[[#This Row],[date]])</f>
        <v>1/2025</v>
      </c>
      <c r="D1697" s="1" t="str">
        <f>IFERROR(VLOOKUP(ТабПозиции[[#This Row],[orderNum]],ТабЗаказы[#Data],MATCH(D$7,ТабЗаказы[#Headers],0),0),"")</f>
        <v>Светлана от Александра</v>
      </c>
      <c r="E1697" s="85" t="s">
        <v>2364</v>
      </c>
      <c r="F1697" s="56" t="s">
        <v>3061</v>
      </c>
      <c r="H1697" s="34">
        <v>45686</v>
      </c>
      <c r="I1697" s="26">
        <v>1</v>
      </c>
      <c r="J1697" s="26">
        <v>242</v>
      </c>
      <c r="K1697">
        <f>ТабПозиции[[#This Row],[discountPrice]]*ТабПозиции[[#This Row],[quantity]]</f>
        <v>242</v>
      </c>
      <c r="L1697" s="26">
        <v>255</v>
      </c>
      <c r="M1697">
        <f t="shared" si="35"/>
        <v>255</v>
      </c>
      <c r="O169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Row],[orderNum]],ТабПозиции[orderSumm])&gt;1500),ABS(M1697*VLOOKUP(ТабПозиции[[#This Row],[orderNum]],ТабЗаказы[#Data],MATCH("Percent",ТабЗаказы[#Headers],0),0))/100,200/COUNTIF(ТабПозиции[orderNum],ТабПозиции[[#This Row],[orderNum]])),0),"")</f>
        <v>26</v>
      </c>
      <c r="P1697">
        <f>IF(OR(ТабПозиции[[#This Row],[item]]="По штрихкоду",ТабПозиции[[#This Row],[item]]="Посылка"),ТабПозиции[[#This Row],[deliverySumm]]+ТабПозиции[[#This Row],[deliveryPost]],SUM(M1697:O1697))</f>
        <v>281</v>
      </c>
      <c r="Q1697" s="57">
        <v>281</v>
      </c>
      <c r="R1697" s="62">
        <f>ТабПозиции[[#This Row],[totalSumm]]-ТабПозиции[[#This Row],[payment]]</f>
        <v>0</v>
      </c>
      <c r="S1697" s="34" t="s">
        <v>965</v>
      </c>
      <c r="T1697" s="56" t="s">
        <v>3061</v>
      </c>
      <c r="U1697" s="56" t="str">
        <f>IF(AND(ТабПозиции[[#This Row],[Остаток]]=0,ТабПозиции[[#This Row],[ord]]="true"),"true","false")</f>
        <v>true</v>
      </c>
      <c r="V1697" s="56" t="s">
        <v>3061</v>
      </c>
    </row>
    <row r="1698" spans="1:22" x14ac:dyDescent="0.25">
      <c r="A1698" s="26">
        <v>453</v>
      </c>
      <c r="B1698" s="1">
        <f>IFERROR(VLOOKUP(ТабПозиции[[#This Row],[orderNum]],ТабЗаказы[#Data],MATCH(B$7,ТабЗаказы[#Headers],0),0),"")</f>
        <v>45683</v>
      </c>
      <c r="C1698" t="str">
        <f>MONTH(ТабПозиции[[#This Row],[date]])&amp;"/"&amp;YEAR(ТабПозиции[[#This Row],[date]])</f>
        <v>1/2025</v>
      </c>
      <c r="D1698" s="1" t="str">
        <f>IFERROR(VLOOKUP(ТабПозиции[[#This Row],[orderNum]],ТабЗаказы[#Data],MATCH(D$7,ТабЗаказы[#Headers],0),0),"")</f>
        <v>Светлана от Александра</v>
      </c>
      <c r="E1698" s="85" t="s">
        <v>2365</v>
      </c>
      <c r="F1698" s="56" t="s">
        <v>3061</v>
      </c>
      <c r="H1698" s="34">
        <v>45684</v>
      </c>
      <c r="I1698" s="26">
        <v>1</v>
      </c>
      <c r="J1698" s="26">
        <v>6650</v>
      </c>
      <c r="K1698">
        <f>ТабПозиции[[#This Row],[discountPrice]]*ТабПозиции[[#This Row],[quantity]]</f>
        <v>6650</v>
      </c>
      <c r="L1698" s="26">
        <v>7000</v>
      </c>
      <c r="M1698">
        <f t="shared" si="35"/>
        <v>7000</v>
      </c>
      <c r="O169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Row],[orderNum]],ТабПозиции[orderSumm])&gt;1500),ABS(M1698*VLOOKUP(ТабПозиции[[#This Row],[orderNum]],ТабЗаказы[#Data],MATCH("Percent",ТабЗаказы[#Headers],0),0))/100,200/COUNTIF(ТабПозиции[orderNum],ТабПозиции[[#This Row],[orderNum]])),0),"")</f>
        <v>700</v>
      </c>
      <c r="P1698">
        <f>IF(OR(ТабПозиции[[#This Row],[item]]="По штрихкоду",ТабПозиции[[#This Row],[item]]="Посылка"),ТабПозиции[[#This Row],[deliverySumm]]+ТабПозиции[[#This Row],[deliveryPost]],SUM(M1698:O1698))</f>
        <v>7700</v>
      </c>
      <c r="Q1698" s="57">
        <v>7700</v>
      </c>
      <c r="R1698" s="62">
        <f>ТабПозиции[[#This Row],[totalSumm]]-ТабПозиции[[#This Row],[payment]]</f>
        <v>0</v>
      </c>
      <c r="S1698" s="34" t="s">
        <v>965</v>
      </c>
      <c r="T1698" s="56" t="s">
        <v>3061</v>
      </c>
      <c r="U1698" s="56" t="str">
        <f>IF(AND(ТабПозиции[[#This Row],[Остаток]]=0,ТабПозиции[[#This Row],[ord]]="true"),"true","false")</f>
        <v>true</v>
      </c>
      <c r="V1698" s="56" t="s">
        <v>3061</v>
      </c>
    </row>
    <row r="1699" spans="1:22" x14ac:dyDescent="0.25">
      <c r="A1699" s="26">
        <v>453</v>
      </c>
      <c r="B1699" s="1">
        <f>IFERROR(VLOOKUP(ТабПозиции[[#This Row],[orderNum]],ТабЗаказы[#Data],MATCH(B$7,ТабЗаказы[#Headers],0),0),"")</f>
        <v>45683</v>
      </c>
      <c r="C1699" t="str">
        <f>MONTH(ТабПозиции[[#This Row],[date]])&amp;"/"&amp;YEAR(ТабПозиции[[#This Row],[date]])</f>
        <v>1/2025</v>
      </c>
      <c r="D1699" s="1" t="str">
        <f>IFERROR(VLOOKUP(ТабПозиции[[#This Row],[orderNum]],ТабЗаказы[#Data],MATCH(D$7,ТабЗаказы[#Headers],0),0),"")</f>
        <v>Светлана от Александра</v>
      </c>
      <c r="E1699" s="85" t="s">
        <v>2366</v>
      </c>
      <c r="F1699" s="56" t="s">
        <v>3061</v>
      </c>
      <c r="H1699" s="34">
        <v>45685</v>
      </c>
      <c r="I1699" s="26">
        <v>1</v>
      </c>
      <c r="J1699" s="26">
        <v>487</v>
      </c>
      <c r="K1699">
        <f>ТабПозиции[[#This Row],[discountPrice]]*ТабПозиции[[#This Row],[quantity]]</f>
        <v>487</v>
      </c>
      <c r="L1699" s="26">
        <v>513</v>
      </c>
      <c r="M1699">
        <f t="shared" si="35"/>
        <v>513</v>
      </c>
      <c r="O169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Row],[orderNum]],ТабПозиции[orderSumm])&gt;1500),ABS(M1699*VLOOKUP(ТабПозиции[[#This Row],[orderNum]],ТабЗаказы[#Data],MATCH("Percent",ТабЗаказы[#Headers],0),0))/100,200/COUNTIF(ТабПозиции[orderNum],ТабПозиции[[#This Row],[orderNum]])),0),"")</f>
        <v>51</v>
      </c>
      <c r="P1699">
        <f>IF(OR(ТабПозиции[[#This Row],[item]]="По штрихкоду",ТабПозиции[[#This Row],[item]]="Посылка"),ТабПозиции[[#This Row],[deliverySumm]]+ТабПозиции[[#This Row],[deliveryPost]],SUM(M1699:O1699))</f>
        <v>564</v>
      </c>
      <c r="Q1699" s="57">
        <v>564</v>
      </c>
      <c r="R1699" s="62">
        <f>ТабПозиции[[#This Row],[totalSumm]]-ТабПозиции[[#This Row],[payment]]</f>
        <v>0</v>
      </c>
      <c r="S1699" s="34" t="s">
        <v>965</v>
      </c>
      <c r="T1699" s="56" t="s">
        <v>3061</v>
      </c>
      <c r="U1699" s="56" t="str">
        <f>IF(AND(ТабПозиции[[#This Row],[Остаток]]=0,ТабПозиции[[#This Row],[ord]]="true"),"true","false")</f>
        <v>true</v>
      </c>
      <c r="V1699" s="56" t="s">
        <v>3061</v>
      </c>
    </row>
    <row r="1700" spans="1:22" x14ac:dyDescent="0.25">
      <c r="A1700" s="26">
        <v>453</v>
      </c>
      <c r="B1700" s="1">
        <f>IFERROR(VLOOKUP(ТабПозиции[[#This Row],[orderNum]],ТабЗаказы[#Data],MATCH(B$7,ТабЗаказы[#Headers],0),0),"")</f>
        <v>45683</v>
      </c>
      <c r="C1700" t="str">
        <f>MONTH(ТабПозиции[[#This Row],[date]])&amp;"/"&amp;YEAR(ТабПозиции[[#This Row],[date]])</f>
        <v>1/2025</v>
      </c>
      <c r="D1700" s="1" t="str">
        <f>IFERROR(VLOOKUP(ТабПозиции[[#This Row],[orderNum]],ТабЗаказы[#Data],MATCH(D$7,ТабЗаказы[#Headers],0),0),"")</f>
        <v>Светлана от Александра</v>
      </c>
      <c r="E1700" s="85" t="s">
        <v>2367</v>
      </c>
      <c r="F1700" s="56" t="s">
        <v>3061</v>
      </c>
      <c r="H1700" s="34">
        <v>45686</v>
      </c>
      <c r="I1700" s="26">
        <v>1</v>
      </c>
      <c r="J1700" s="26">
        <v>798</v>
      </c>
      <c r="K1700">
        <f>ТабПозиции[[#This Row],[discountPrice]]*ТабПозиции[[#This Row],[quantity]]</f>
        <v>798</v>
      </c>
      <c r="L1700" s="26">
        <v>840</v>
      </c>
      <c r="M1700">
        <f t="shared" si="35"/>
        <v>840</v>
      </c>
      <c r="O170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Row],[orderNum]],ТабПозиции[orderSumm])&gt;1500),ABS(M1700*VLOOKUP(ТабПозиции[[#This Row],[orderNum]],ТабЗаказы[#Data],MATCH("Percent",ТабЗаказы[#Headers],0),0))/100,200/COUNTIF(ТабПозиции[orderNum],ТабПозиции[[#This Row],[orderNum]])),0),"")</f>
        <v>84</v>
      </c>
      <c r="P1700">
        <f>IF(OR(ТабПозиции[[#This Row],[item]]="По штрихкоду",ТабПозиции[[#This Row],[item]]="Посылка"),ТабПозиции[[#This Row],[deliverySumm]]+ТабПозиции[[#This Row],[deliveryPost]],SUM(M1700:O1700))</f>
        <v>924</v>
      </c>
      <c r="Q1700" s="57">
        <v>924</v>
      </c>
      <c r="R1700" s="62">
        <f>ТабПозиции[[#This Row],[totalSumm]]-ТабПозиции[[#This Row],[payment]]</f>
        <v>0</v>
      </c>
      <c r="S1700" s="34" t="s">
        <v>965</v>
      </c>
      <c r="T1700" s="56" t="s">
        <v>3061</v>
      </c>
      <c r="U1700" s="56" t="str">
        <f>IF(AND(ТабПозиции[[#This Row],[Остаток]]=0,ТабПозиции[[#This Row],[ord]]="true"),"true","false")</f>
        <v>true</v>
      </c>
      <c r="V1700" s="56" t="s">
        <v>3061</v>
      </c>
    </row>
    <row r="1701" spans="1:22" x14ac:dyDescent="0.25">
      <c r="A1701" s="26">
        <v>454</v>
      </c>
      <c r="B1701" s="1">
        <f>IFERROR(VLOOKUP(ТабПозиции[[#This Row],[orderNum]],ТабЗаказы[#Data],MATCH(B$7,ТабЗаказы[#Headers],0),0),"")</f>
        <v>45684</v>
      </c>
      <c r="C1701" t="str">
        <f>MONTH(ТабПозиции[[#This Row],[date]])&amp;"/"&amp;YEAR(ТабПозиции[[#This Row],[date]])</f>
        <v>1/2025</v>
      </c>
      <c r="D1701" s="1" t="str">
        <f>IFERROR(VLOOKUP(ТабПозиции[[#This Row],[orderNum]],ТабЗаказы[#Data],MATCH(D$7,ТабЗаказы[#Headers],0),0),"")</f>
        <v>Родион</v>
      </c>
      <c r="E1701" s="26" t="s">
        <v>815</v>
      </c>
      <c r="F1701" s="56" t="s">
        <v>3061</v>
      </c>
      <c r="G1701" s="28" t="s">
        <v>2368</v>
      </c>
      <c r="H1701" s="34">
        <v>45687</v>
      </c>
      <c r="I1701" s="26">
        <v>1</v>
      </c>
      <c r="J1701" s="26">
        <v>10000</v>
      </c>
      <c r="K1701">
        <f>ТабПозиции[[#This Row],[discountPrice]]*ТабПозиции[[#This Row],[quantity]]</f>
        <v>10000</v>
      </c>
      <c r="L1701" s="26">
        <v>10000</v>
      </c>
      <c r="M1701">
        <f t="shared" si="35"/>
        <v>10000</v>
      </c>
      <c r="N1701" s="26">
        <v>650</v>
      </c>
      <c r="O170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Row],[orderNum]],ТабПозиции[orderSumm])&gt;1500),ABS(M1701*VLOOKUP(ТабПозиции[[#This Row],[orderNum]],ТабЗаказы[#Data],MATCH("Percent",ТабЗаказы[#Headers],0),0))/100,200/COUNTIF(ТабПозиции[orderNum],ТабПозиции[[#This Row],[orderNum]])),0),"")</f>
        <v>1500</v>
      </c>
      <c r="P1701">
        <f>IF(OR(ТабПозиции[[#This Row],[item]]="По штрихкоду",ТабПозиции[[#This Row],[item]]="Посылка"),ТабПозиции[[#This Row],[deliverySumm]]+ТабПозиции[[#This Row],[deliveryPost]],SUM(M1701:O1701))</f>
        <v>2150</v>
      </c>
      <c r="Q1701" s="57">
        <v>2150</v>
      </c>
      <c r="R1701" s="62">
        <f>ТабПозиции[[#This Row],[totalSumm]]-ТабПозиции[[#This Row],[payment]]</f>
        <v>0</v>
      </c>
      <c r="S1701" s="34" t="s">
        <v>1016</v>
      </c>
      <c r="T1701" s="56" t="s">
        <v>3061</v>
      </c>
      <c r="U1701" s="56" t="str">
        <f>IF(AND(ТабПозиции[[#This Row],[Остаток]]=0,ТабПозиции[[#This Row],[ord]]="true"),"true","false")</f>
        <v>true</v>
      </c>
      <c r="V1701" s="56" t="s">
        <v>3061</v>
      </c>
    </row>
    <row r="1702" spans="1:22" x14ac:dyDescent="0.25">
      <c r="A1702" s="26">
        <v>455</v>
      </c>
      <c r="B1702" s="1">
        <f>IFERROR(VLOOKUP(ТабПозиции[[#This Row],[orderNum]],ТабЗаказы[#Data],MATCH(B$7,ТабЗаказы[#Headers],0),0),"")</f>
        <v>45684</v>
      </c>
      <c r="C1702" t="str">
        <f>MONTH(ТабПозиции[[#This Row],[date]])&amp;"/"&amp;YEAR(ТабПозиции[[#This Row],[date]])</f>
        <v>1/2025</v>
      </c>
      <c r="D1702" s="1" t="str">
        <f>IFERROR(VLOOKUP(ТабПозиции[[#This Row],[orderNum]],ТабЗаказы[#Data],MATCH(D$7,ТабЗаказы[#Headers],0),0),"")</f>
        <v>Родион</v>
      </c>
      <c r="E1702" s="26" t="s">
        <v>815</v>
      </c>
      <c r="F1702" s="56" t="s">
        <v>3061</v>
      </c>
      <c r="G1702" s="28" t="s">
        <v>2369</v>
      </c>
      <c r="H1702" s="34">
        <v>45689</v>
      </c>
      <c r="I1702" s="26">
        <v>1</v>
      </c>
      <c r="J1702" s="26">
        <v>4000</v>
      </c>
      <c r="K1702">
        <f>ТабПозиции[[#This Row],[discountPrice]]*ТабПозиции[[#This Row],[quantity]]</f>
        <v>4000</v>
      </c>
      <c r="L1702" s="26">
        <v>4000</v>
      </c>
      <c r="M1702">
        <f t="shared" si="35"/>
        <v>4000</v>
      </c>
      <c r="N1702" s="26">
        <v>800</v>
      </c>
      <c r="O170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Row],[orderNum]],ТабПозиции[orderSumm])&gt;1500),ABS(M1702*VLOOKUP(ТабПозиции[[#This Row],[orderNum]],ТабЗаказы[#Data],MATCH("Percent",ТабЗаказы[#Headers],0),0))/100,200/COUNTIF(ТабПозиции[orderNum],ТабПозиции[[#This Row],[orderNum]])),0),"")</f>
        <v>600</v>
      </c>
      <c r="P1702">
        <f>IF(OR(ТабПозиции[[#This Row],[item]]="По штрихкоду",ТабПозиции[[#This Row],[item]]="Посылка"),ТабПозиции[[#This Row],[deliverySumm]]+ТабПозиции[[#This Row],[deliveryPost]],SUM(M1702:O1702))</f>
        <v>1400</v>
      </c>
      <c r="Q1702" s="57">
        <v>1400</v>
      </c>
      <c r="R1702" s="62">
        <f>ТабПозиции[[#This Row],[totalSumm]]-ТабПозиции[[#This Row],[payment]]</f>
        <v>0</v>
      </c>
      <c r="S1702" s="34" t="s">
        <v>1016</v>
      </c>
      <c r="T1702" s="56" t="s">
        <v>3061</v>
      </c>
      <c r="U1702" s="56" t="str">
        <f>IF(AND(ТабПозиции[[#This Row],[Остаток]]=0,ТабПозиции[[#This Row],[ord]]="true"),"true","false")</f>
        <v>true</v>
      </c>
      <c r="V1702" s="56" t="s">
        <v>3061</v>
      </c>
    </row>
    <row r="1703" spans="1:22" x14ac:dyDescent="0.25">
      <c r="A1703" s="26">
        <v>457</v>
      </c>
      <c r="B1703" s="1">
        <f>IFERROR(VLOOKUP(ТабПозиции[[#This Row],[orderNum]],ТабЗаказы[#Data],MATCH(B$7,ТабЗаказы[#Headers],0),0),"")</f>
        <v>45685</v>
      </c>
      <c r="C1703" t="str">
        <f>MONTH(ТабПозиции[[#This Row],[date]])&amp;"/"&amp;YEAR(ТабПозиции[[#This Row],[date]])</f>
        <v>1/2025</v>
      </c>
      <c r="D1703" s="1" t="str">
        <f>IFERROR(VLOOKUP(ТабПозиции[[#This Row],[orderNum]],ТабЗаказы[#Data],MATCH(D$7,ТабЗаказы[#Headers],0),0),"")</f>
        <v>Кирилл Куприна</v>
      </c>
      <c r="E1703" s="85" t="s">
        <v>2370</v>
      </c>
      <c r="F1703" s="56" t="s">
        <v>3061</v>
      </c>
      <c r="H1703" s="34">
        <v>45686</v>
      </c>
      <c r="I1703" s="26">
        <v>1</v>
      </c>
      <c r="J1703" s="26">
        <v>258</v>
      </c>
      <c r="K1703">
        <f>ТабПозиции[[#This Row],[discountPrice]]*ТабПозиции[[#This Row],[quantity]]</f>
        <v>258</v>
      </c>
      <c r="L1703" s="26">
        <v>272</v>
      </c>
      <c r="M1703">
        <f t="shared" si="30"/>
        <v>272</v>
      </c>
      <c r="O170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Row],[orderNum]],ТабПозиции[orderSumm])&gt;1500),ABS(M1703*VLOOKUP(ТабПозиции[[#This Row],[orderNum]],ТабЗаказы[#Data],MATCH("Percent",ТабЗаказы[#Headers],0),0))/100,200/COUNTIF(ТабПозиции[orderNum],ТабПозиции[[#This Row],[orderNum]])),0),"")</f>
        <v>41</v>
      </c>
      <c r="P1703">
        <f>IF(OR(ТабПозиции[[#This Row],[item]]="По штрихкоду",ТабПозиции[[#This Row],[item]]="Посылка"),ТабПозиции[[#This Row],[deliverySumm]]+ТабПозиции[[#This Row],[deliveryPost]],SUM(M1703:O1703))</f>
        <v>313</v>
      </c>
      <c r="Q1703" s="57">
        <v>313</v>
      </c>
      <c r="R1703" s="62">
        <f>ТабПозиции[[#This Row],[totalSumm]]-ТабПозиции[[#This Row],[payment]]</f>
        <v>0</v>
      </c>
      <c r="S1703" s="34" t="s">
        <v>965</v>
      </c>
      <c r="T1703" s="56" t="s">
        <v>3061</v>
      </c>
      <c r="U1703" s="56" t="str">
        <f>IF(AND(ТабПозиции[[#This Row],[Остаток]]=0,ТабПозиции[[#This Row],[ord]]="true"),"true","false")</f>
        <v>true</v>
      </c>
      <c r="V1703" s="56" t="s">
        <v>3061</v>
      </c>
    </row>
    <row r="1704" spans="1:22" x14ac:dyDescent="0.25">
      <c r="A1704" s="26">
        <v>457</v>
      </c>
      <c r="B1704" s="1">
        <f>IFERROR(VLOOKUP(ТабПозиции[[#This Row],[orderNum]],ТабЗаказы[#Data],MATCH(B$7,ТабЗаказы[#Headers],0),0),"")</f>
        <v>45685</v>
      </c>
      <c r="C1704" t="str">
        <f>MONTH(ТабПозиции[[#This Row],[date]])&amp;"/"&amp;YEAR(ТабПозиции[[#This Row],[date]])</f>
        <v>1/2025</v>
      </c>
      <c r="D1704" s="1" t="str">
        <f>IFERROR(VLOOKUP(ТабПозиции[[#This Row],[orderNum]],ТабЗаказы[#Data],MATCH(D$7,ТабЗаказы[#Headers],0),0),"")</f>
        <v>Кирилл Куприна</v>
      </c>
      <c r="E1704" s="85" t="s">
        <v>2371</v>
      </c>
      <c r="F1704" s="56" t="s">
        <v>3061</v>
      </c>
      <c r="H1704" s="34">
        <v>45688</v>
      </c>
      <c r="I1704" s="26">
        <v>1</v>
      </c>
      <c r="J1704" s="26">
        <v>498</v>
      </c>
      <c r="K1704">
        <f>ТабПозиции[[#This Row],[discountPrice]]*ТабПозиции[[#This Row],[quantity]]</f>
        <v>498</v>
      </c>
      <c r="L1704" s="26">
        <v>525</v>
      </c>
      <c r="M1704">
        <f t="shared" si="30"/>
        <v>525</v>
      </c>
      <c r="O170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Row],[orderNum]],ТабПозиции[orderSumm])&gt;1500),ABS(M1704*VLOOKUP(ТабПозиции[[#This Row],[orderNum]],ТабЗаказы[#Data],MATCH("Percent",ТабЗаказы[#Headers],0),0))/100,200/COUNTIF(ТабПозиции[orderNum],ТабПозиции[[#This Row],[orderNum]])),0),"")</f>
        <v>79</v>
      </c>
      <c r="P1704">
        <f>IF(OR(ТабПозиции[[#This Row],[item]]="По штрихкоду",ТабПозиции[[#This Row],[item]]="Посылка"),ТабПозиции[[#This Row],[deliverySumm]]+ТабПозиции[[#This Row],[deliveryPost]],SUM(M1704:O1704))</f>
        <v>604</v>
      </c>
      <c r="Q1704" s="57">
        <v>604</v>
      </c>
      <c r="R1704" s="62">
        <f>ТабПозиции[[#This Row],[totalSumm]]-ТабПозиции[[#This Row],[payment]]</f>
        <v>0</v>
      </c>
      <c r="S1704" s="34" t="s">
        <v>965</v>
      </c>
      <c r="T1704" s="56" t="s">
        <v>3061</v>
      </c>
      <c r="U1704" s="56" t="str">
        <f>IF(AND(ТабПозиции[[#This Row],[Остаток]]=0,ТабПозиции[[#This Row],[ord]]="true"),"true","false")</f>
        <v>true</v>
      </c>
      <c r="V1704" s="56" t="s">
        <v>3061</v>
      </c>
    </row>
    <row r="1705" spans="1:22" x14ac:dyDescent="0.25">
      <c r="A1705" s="26">
        <v>457</v>
      </c>
      <c r="B1705" s="1">
        <f>IFERROR(VLOOKUP(ТабПозиции[[#This Row],[orderNum]],ТабЗаказы[#Data],MATCH(B$7,ТабЗаказы[#Headers],0),0),"")</f>
        <v>45685</v>
      </c>
      <c r="C1705" t="str">
        <f>MONTH(ТабПозиции[[#This Row],[date]])&amp;"/"&amp;YEAR(ТабПозиции[[#This Row],[date]])</f>
        <v>1/2025</v>
      </c>
      <c r="D1705" s="1" t="str">
        <f>IFERROR(VLOOKUP(ТабПозиции[[#This Row],[orderNum]],ТабЗаказы[#Data],MATCH(D$7,ТабЗаказы[#Headers],0),0),"")</f>
        <v>Кирилл Куприна</v>
      </c>
      <c r="E1705" s="85" t="s">
        <v>1884</v>
      </c>
      <c r="F1705" s="56" t="s">
        <v>3061</v>
      </c>
      <c r="H1705" s="34">
        <v>45686</v>
      </c>
      <c r="I1705" s="26">
        <v>1</v>
      </c>
      <c r="J1705" s="26">
        <v>1482</v>
      </c>
      <c r="K1705">
        <f>ТабПозиции[[#This Row],[discountPrice]]*ТабПозиции[[#This Row],[quantity]]</f>
        <v>1482</v>
      </c>
      <c r="L1705" s="26">
        <v>1561</v>
      </c>
      <c r="M1705">
        <f t="shared" si="30"/>
        <v>1561</v>
      </c>
      <c r="O170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Row],[orderNum]],ТабПозиции[orderSumm])&gt;1500),ABS(M1705*VLOOKUP(ТабПозиции[[#This Row],[orderNum]],ТабЗаказы[#Data],MATCH("Percent",ТабЗаказы[#Headers],0),0))/100,200/COUNTIF(ТабПозиции[orderNum],ТабПозиции[[#This Row],[orderNum]])),0),"")</f>
        <v>234</v>
      </c>
      <c r="P1705">
        <f>IF(OR(ТабПозиции[[#This Row],[item]]="По штрихкоду",ТабПозиции[[#This Row],[item]]="Посылка"),ТабПозиции[[#This Row],[deliverySumm]]+ТабПозиции[[#This Row],[deliveryPost]],SUM(M1705:O1705))</f>
        <v>1795</v>
      </c>
      <c r="Q1705" s="57">
        <v>1795</v>
      </c>
      <c r="R1705" s="62">
        <f>ТабПозиции[[#This Row],[totalSumm]]-ТабПозиции[[#This Row],[payment]]</f>
        <v>0</v>
      </c>
      <c r="S1705" s="34" t="s">
        <v>965</v>
      </c>
      <c r="T1705" s="56" t="s">
        <v>3061</v>
      </c>
      <c r="U1705" s="56" t="str">
        <f>IF(AND(ТабПозиции[[#This Row],[Остаток]]=0,ТабПозиции[[#This Row],[ord]]="true"),"true","false")</f>
        <v>true</v>
      </c>
      <c r="V1705" s="56" t="s">
        <v>3061</v>
      </c>
    </row>
    <row r="1706" spans="1:22" x14ac:dyDescent="0.25">
      <c r="A1706" s="26">
        <v>452</v>
      </c>
      <c r="B1706" s="1">
        <f>IFERROR(VLOOKUP(ТабПозиции[[#This Row],[orderNum]],ТабЗаказы[#Data],MATCH(B$7,ТабЗаказы[#Headers],0),0),"")</f>
        <v>45683</v>
      </c>
      <c r="C1706" t="str">
        <f>MONTH(ТабПозиции[[#This Row],[date]])&amp;"/"&amp;YEAR(ТабПозиции[[#This Row],[date]])</f>
        <v>1/2025</v>
      </c>
      <c r="D1706" s="1" t="str">
        <f>IFERROR(VLOOKUP(ТабПозиции[[#This Row],[orderNum]],ТабЗаказы[#Data],MATCH(D$7,ТабЗаказы[#Headers],0),0),"")</f>
        <v>Руденко Юля</v>
      </c>
      <c r="E1706" s="85" t="s">
        <v>2372</v>
      </c>
      <c r="F1706" s="56" t="s">
        <v>3061</v>
      </c>
      <c r="H1706" s="34">
        <v>45687</v>
      </c>
      <c r="I1706" s="26">
        <v>1</v>
      </c>
      <c r="J1706" s="26">
        <v>2353</v>
      </c>
      <c r="K1706">
        <f>ТабПозиции[[#This Row],[discountPrice]]*ТабПозиции[[#This Row],[quantity]]</f>
        <v>2353</v>
      </c>
      <c r="L1706" s="26">
        <v>2526</v>
      </c>
      <c r="M1706">
        <f t="shared" si="30"/>
        <v>2526</v>
      </c>
      <c r="O170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Row],[orderNum]],ТабПозиции[orderSumm])&gt;1500),ABS(M1706*VLOOKUP(ТабПозиции[[#This Row],[orderNum]],ТабЗаказы[#Data],MATCH("Percent",ТабЗаказы[#Headers],0),0))/100,200/COUNTIF(ТабПозиции[orderNum],ТабПозиции[[#This Row],[orderNum]])),0),"")</f>
        <v>253</v>
      </c>
      <c r="P1706">
        <f>IF(OR(ТабПозиции[[#This Row],[item]]="По штрихкоду",ТабПозиции[[#This Row],[item]]="Посылка"),ТабПозиции[[#This Row],[deliverySumm]]+ТабПозиции[[#This Row],[deliveryPost]],SUM(M1706:O1706))</f>
        <v>2779</v>
      </c>
      <c r="Q1706" s="57">
        <v>2779</v>
      </c>
      <c r="R1706" s="62">
        <f>ТабПозиции[[#This Row],[totalSumm]]-ТабПозиции[[#This Row],[payment]]</f>
        <v>0</v>
      </c>
      <c r="S1706" s="34" t="s">
        <v>955</v>
      </c>
      <c r="T1706" s="56" t="s">
        <v>3061</v>
      </c>
      <c r="U1706" s="56" t="str">
        <f>IF(AND(ТабПозиции[[#This Row],[Остаток]]=0,ТабПозиции[[#This Row],[ord]]="true"),"true","false")</f>
        <v>true</v>
      </c>
      <c r="V1706" s="56" t="s">
        <v>3061</v>
      </c>
    </row>
    <row r="1707" spans="1:22" x14ac:dyDescent="0.25">
      <c r="A1707" s="26">
        <v>452</v>
      </c>
      <c r="B1707" s="1">
        <f>IFERROR(VLOOKUP(ТабПозиции[[#This Row],[orderNum]],ТабЗаказы[#Data],MATCH(B$7,ТабЗаказы[#Headers],0),0),"")</f>
        <v>45683</v>
      </c>
      <c r="C1707" t="str">
        <f>MONTH(ТабПозиции[[#This Row],[date]])&amp;"/"&amp;YEAR(ТабПозиции[[#This Row],[date]])</f>
        <v>1/2025</v>
      </c>
      <c r="D1707" s="1" t="str">
        <f>IFERROR(VLOOKUP(ТабПозиции[[#This Row],[orderNum]],ТабЗаказы[#Data],MATCH(D$7,ТабЗаказы[#Headers],0),0),"")</f>
        <v>Руденко Юля</v>
      </c>
      <c r="E1707" s="85" t="s">
        <v>1987</v>
      </c>
      <c r="F1707" s="56" t="s">
        <v>3061</v>
      </c>
      <c r="H1707" s="34">
        <v>45712</v>
      </c>
      <c r="I1707" s="26">
        <v>1</v>
      </c>
      <c r="J1707" s="26">
        <v>528</v>
      </c>
      <c r="K1707">
        <f>ТабПозиции[[#This Row],[discountPrice]]*ТабПозиции[[#This Row],[quantity]]</f>
        <v>528</v>
      </c>
      <c r="L1707" s="26">
        <v>548</v>
      </c>
      <c r="M1707">
        <f t="shared" ref="M1707:M1710" si="36">L1707*I1707</f>
        <v>548</v>
      </c>
      <c r="O170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Row],[orderNum]],ТабПозиции[orderSumm])&gt;1500),ABS(M1707*VLOOKUP(ТабПозиции[[#This Row],[orderNum]],ТабЗаказы[#Data],MATCH("Percent",ТабЗаказы[#Headers],0),0))/100,200/COUNTIF(ТабПозиции[orderNum],ТабПозиции[[#This Row],[orderNum]])),0),"")</f>
        <v>55</v>
      </c>
      <c r="P1707">
        <f>IF(OR(ТабПозиции[[#This Row],[item]]="По штрихкоду",ТабПозиции[[#This Row],[item]]="Посылка"),ТабПозиции[[#This Row],[deliverySumm]]+ТабПозиции[[#This Row],[deliveryPost]],SUM(M1707:O1707))</f>
        <v>603</v>
      </c>
      <c r="Q1707" s="57">
        <v>603</v>
      </c>
      <c r="R1707" s="62">
        <f>ТабПозиции[[#This Row],[totalSumm]]-ТабПозиции[[#This Row],[payment]]</f>
        <v>0</v>
      </c>
      <c r="S1707" s="34" t="s">
        <v>955</v>
      </c>
      <c r="T1707" s="56" t="s">
        <v>3061</v>
      </c>
      <c r="U1707" s="56" t="str">
        <f>IF(AND(ТабПозиции[[#This Row],[Остаток]]=0,ТабПозиции[[#This Row],[ord]]="true"),"true","false")</f>
        <v>true</v>
      </c>
      <c r="V1707" s="56" t="s">
        <v>3061</v>
      </c>
    </row>
    <row r="1708" spans="1:22" x14ac:dyDescent="0.25">
      <c r="A1708" s="26">
        <v>452</v>
      </c>
      <c r="B1708" s="1">
        <f>IFERROR(VLOOKUP(ТабПозиции[[#This Row],[orderNum]],ТабЗаказы[#Data],MATCH(B$7,ТабЗаказы[#Headers],0),0),"")</f>
        <v>45683</v>
      </c>
      <c r="C1708" t="str">
        <f>MONTH(ТабПозиции[[#This Row],[date]])&amp;"/"&amp;YEAR(ТабПозиции[[#This Row],[date]])</f>
        <v>1/2025</v>
      </c>
      <c r="D1708" s="1" t="str">
        <f>IFERROR(VLOOKUP(ТабПозиции[[#This Row],[orderNum]],ТабЗаказы[#Data],MATCH(D$7,ТабЗаказы[#Headers],0),0),"")</f>
        <v>Руденко Юля</v>
      </c>
      <c r="E1708" s="85" t="s">
        <v>1987</v>
      </c>
      <c r="F1708" s="56" t="s">
        <v>3061</v>
      </c>
      <c r="H1708" s="34">
        <v>45712</v>
      </c>
      <c r="I1708" s="26">
        <v>1</v>
      </c>
      <c r="J1708" s="26">
        <v>528</v>
      </c>
      <c r="K1708">
        <f>ТабПозиции[[#This Row],[discountPrice]]*ТабПозиции[[#This Row],[quantity]]</f>
        <v>528</v>
      </c>
      <c r="L1708" s="26">
        <v>548</v>
      </c>
      <c r="M1708">
        <f t="shared" si="36"/>
        <v>548</v>
      </c>
      <c r="O170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Row],[orderNum]],ТабПозиции[orderSumm])&gt;1500),ABS(M1708*VLOOKUP(ТабПозиции[[#This Row],[orderNum]],ТабЗаказы[#Data],MATCH("Percent",ТабЗаказы[#Headers],0),0))/100,200/COUNTIF(ТабПозиции[orderNum],ТабПозиции[[#This Row],[orderNum]])),0),"")</f>
        <v>55</v>
      </c>
      <c r="P1708">
        <f>IF(OR(ТабПозиции[[#This Row],[item]]="По штрихкоду",ТабПозиции[[#This Row],[item]]="Посылка"),ТабПозиции[[#This Row],[deliverySumm]]+ТабПозиции[[#This Row],[deliveryPost]],SUM(M1708:O1708))</f>
        <v>603</v>
      </c>
      <c r="Q1708" s="57">
        <v>603</v>
      </c>
      <c r="R1708" s="62">
        <f>ТабПозиции[[#This Row],[totalSumm]]-ТабПозиции[[#This Row],[payment]]</f>
        <v>0</v>
      </c>
      <c r="S1708" s="34" t="s">
        <v>955</v>
      </c>
      <c r="T1708" s="56" t="s">
        <v>3061</v>
      </c>
      <c r="U1708" s="56" t="str">
        <f>IF(AND(ТабПозиции[[#This Row],[Остаток]]=0,ТабПозиции[[#This Row],[ord]]="true"),"true","false")</f>
        <v>true</v>
      </c>
      <c r="V1708" s="56" t="s">
        <v>3061</v>
      </c>
    </row>
    <row r="1709" spans="1:22" x14ac:dyDescent="0.25">
      <c r="A1709" s="26">
        <v>452</v>
      </c>
      <c r="B1709" s="1">
        <f>IFERROR(VLOOKUP(ТабПозиции[[#This Row],[orderNum]],ТабЗаказы[#Data],MATCH(B$7,ТабЗаказы[#Headers],0),0),"")</f>
        <v>45683</v>
      </c>
      <c r="C1709" t="str">
        <f>MONTH(ТабПозиции[[#This Row],[date]])&amp;"/"&amp;YEAR(ТабПозиции[[#This Row],[date]])</f>
        <v>1/2025</v>
      </c>
      <c r="D1709" s="1" t="str">
        <f>IFERROR(VLOOKUP(ТабПозиции[[#This Row],[orderNum]],ТабЗаказы[#Data],MATCH(D$7,ТабЗаказы[#Headers],0),0),"")</f>
        <v>Руденко Юля</v>
      </c>
      <c r="E1709" s="85" t="s">
        <v>2373</v>
      </c>
      <c r="F1709" s="56" t="s">
        <v>3061</v>
      </c>
      <c r="H1709" s="34">
        <v>45708</v>
      </c>
      <c r="I1709" s="26">
        <v>1</v>
      </c>
      <c r="J1709" s="26">
        <v>653</v>
      </c>
      <c r="K1709">
        <f>ТабПозиции[[#This Row],[discountPrice]]*ТабПозиции[[#This Row],[quantity]]</f>
        <v>653</v>
      </c>
      <c r="L1709" s="26">
        <v>683</v>
      </c>
      <c r="M1709">
        <f t="shared" si="36"/>
        <v>683</v>
      </c>
      <c r="O170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Row],[orderNum]],ТабПозиции[orderSumm])&gt;1500),ABS(M1709*VLOOKUP(ТабПозиции[[#This Row],[orderNum]],ТабЗаказы[#Data],MATCH("Percent",ТабЗаказы[#Headers],0),0))/100,200/COUNTIF(ТабПозиции[orderNum],ТабПозиции[[#This Row],[orderNum]])),0),"")</f>
        <v>68</v>
      </c>
      <c r="P1709">
        <f>IF(OR(ТабПозиции[[#This Row],[item]]="По штрихкоду",ТабПозиции[[#This Row],[item]]="Посылка"),ТабПозиции[[#This Row],[deliverySumm]]+ТабПозиции[[#This Row],[deliveryPost]],SUM(M1709:O1709))</f>
        <v>751</v>
      </c>
      <c r="Q1709" s="57">
        <v>751</v>
      </c>
      <c r="R1709" s="62">
        <f>ТабПозиции[[#This Row],[totalSumm]]-ТабПозиции[[#This Row],[payment]]</f>
        <v>0</v>
      </c>
      <c r="S1709" s="34" t="s">
        <v>955</v>
      </c>
      <c r="T1709" s="56" t="s">
        <v>3061</v>
      </c>
      <c r="U1709" s="56" t="str">
        <f>IF(AND(ТабПозиции[[#This Row],[Остаток]]=0,ТабПозиции[[#This Row],[ord]]="true"),"true","false")</f>
        <v>true</v>
      </c>
      <c r="V1709" s="56" t="s">
        <v>3061</v>
      </c>
    </row>
    <row r="1710" spans="1:22" x14ac:dyDescent="0.25">
      <c r="A1710" s="26">
        <v>452</v>
      </c>
      <c r="B1710" s="1">
        <f>IFERROR(VLOOKUP(ТабПозиции[[#This Row],[orderNum]],ТабЗаказы[#Data],MATCH(B$7,ТабЗаказы[#Headers],0),0),"")</f>
        <v>45683</v>
      </c>
      <c r="C1710" t="str">
        <f>MONTH(ТабПозиции[[#This Row],[date]])&amp;"/"&amp;YEAR(ТабПозиции[[#This Row],[date]])</f>
        <v>1/2025</v>
      </c>
      <c r="D1710" s="1" t="str">
        <f>IFERROR(VLOOKUP(ТабПозиции[[#This Row],[orderNum]],ТабЗаказы[#Data],MATCH(D$7,ТабЗаказы[#Headers],0),0),"")</f>
        <v>Руденко Юля</v>
      </c>
      <c r="E1710" s="85" t="s">
        <v>1987</v>
      </c>
      <c r="F1710" s="56" t="s">
        <v>3061</v>
      </c>
      <c r="H1710" s="34">
        <v>45725</v>
      </c>
      <c r="I1710" s="26">
        <v>1</v>
      </c>
      <c r="J1710" s="26">
        <v>865</v>
      </c>
      <c r="K1710">
        <f>ТабПозиции[[#This Row],[discountPrice]]*ТабПозиции[[#This Row],[quantity]]</f>
        <v>865</v>
      </c>
      <c r="L1710" s="26">
        <v>881</v>
      </c>
      <c r="M1710">
        <f t="shared" si="36"/>
        <v>881</v>
      </c>
      <c r="O171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Row],[orderNum]],ТабПозиции[orderSumm])&gt;1500),ABS(M1710*VLOOKUP(ТабПозиции[[#This Row],[orderNum]],ТабЗаказы[#Data],MATCH("Percent",ТабЗаказы[#Headers],0),0))/100,200/COUNTIF(ТабПозиции[orderNum],ТабПозиции[[#This Row],[orderNum]])),0),"")</f>
        <v>88</v>
      </c>
      <c r="P1710">
        <f>IF(OR(ТабПозиции[[#This Row],[item]]="По штрихкоду",ТабПозиции[[#This Row],[item]]="Посылка"),ТабПозиции[[#This Row],[deliverySumm]]+ТабПозиции[[#This Row],[deliveryPost]],SUM(M1710:O1710))</f>
        <v>969</v>
      </c>
      <c r="Q1710" s="57">
        <v>969</v>
      </c>
      <c r="R1710" s="62">
        <f>ТабПозиции[[#This Row],[totalSumm]]-ТабПозиции[[#This Row],[payment]]</f>
        <v>0</v>
      </c>
      <c r="S1710" s="34" t="s">
        <v>955</v>
      </c>
      <c r="T1710" s="56" t="s">
        <v>3061</v>
      </c>
      <c r="U1710" s="56" t="str">
        <f>IF(AND(ТабПозиции[[#This Row],[Остаток]]=0,ТабПозиции[[#This Row],[ord]]="true"),"true","false")</f>
        <v>true</v>
      </c>
      <c r="V1710" s="56" t="s">
        <v>3061</v>
      </c>
    </row>
    <row r="1711" spans="1:22" x14ac:dyDescent="0.25">
      <c r="A1711" s="26">
        <v>452</v>
      </c>
      <c r="B1711" s="1">
        <f>IFERROR(VLOOKUP(ТабПозиции[[#This Row],[orderNum]],ТабЗаказы[#Data],MATCH(B$7,ТабЗаказы[#Headers],0),0),"")</f>
        <v>45683</v>
      </c>
      <c r="C1711" t="str">
        <f>MONTH(ТабПозиции[[#This Row],[date]])&amp;"/"&amp;YEAR(ТабПозиции[[#This Row],[date]])</f>
        <v>1/2025</v>
      </c>
      <c r="D1711" s="1" t="str">
        <f>IFERROR(VLOOKUP(ТабПозиции[[#This Row],[orderNum]],ТабЗаказы[#Data],MATCH(D$7,ТабЗаказы[#Headers],0),0),"")</f>
        <v>Руденко Юля</v>
      </c>
      <c r="E1711" s="85" t="s">
        <v>1566</v>
      </c>
      <c r="F1711" s="56" t="s">
        <v>3061</v>
      </c>
      <c r="H1711" s="34">
        <v>45711</v>
      </c>
      <c r="I1711" s="26">
        <v>1</v>
      </c>
      <c r="J1711" s="26">
        <v>2570</v>
      </c>
      <c r="K1711">
        <f>ТабПозиции[[#This Row],[discountPrice]]*ТабПозиции[[#This Row],[quantity]]</f>
        <v>2570</v>
      </c>
      <c r="L1711" s="26">
        <v>2616</v>
      </c>
      <c r="M1711">
        <f t="shared" ref="M1711:M1868" si="37">L1711*I1711</f>
        <v>2616</v>
      </c>
      <c r="O171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Row],[orderNum]],ТабПозиции[orderSumm])&gt;1500),ABS(M1711*VLOOKUP(ТабПозиции[[#This Row],[orderNum]],ТабЗаказы[#Data],MATCH("Percent",ТабЗаказы[#Headers],0),0))/100,200/COUNTIF(ТабПозиции[orderNum],ТабПозиции[[#This Row],[orderNum]])),0),"")</f>
        <v>262</v>
      </c>
      <c r="P1711">
        <f>IF(OR(ТабПозиции[[#This Row],[item]]="По штрихкоду",ТабПозиции[[#This Row],[item]]="Посылка"),ТабПозиции[[#This Row],[deliverySumm]]+ТабПозиции[[#This Row],[deliveryPost]],SUM(M1711:O1711))</f>
        <v>2878</v>
      </c>
      <c r="Q1711" s="57">
        <v>2878</v>
      </c>
      <c r="R1711" s="62">
        <f>ТабПозиции[[#This Row],[totalSumm]]-ТабПозиции[[#This Row],[payment]]</f>
        <v>0</v>
      </c>
      <c r="S1711" s="34" t="s">
        <v>955</v>
      </c>
      <c r="T1711" s="56" t="s">
        <v>3061</v>
      </c>
      <c r="U1711" s="56" t="str">
        <f>IF(AND(ТабПозиции[[#This Row],[Остаток]]=0,ТабПозиции[[#This Row],[ord]]="true"),"true","false")</f>
        <v>true</v>
      </c>
      <c r="V1711" s="56" t="s">
        <v>3061</v>
      </c>
    </row>
    <row r="1712" spans="1:22" x14ac:dyDescent="0.25">
      <c r="A1712" s="26">
        <v>452</v>
      </c>
      <c r="B1712" s="1">
        <f>IFERROR(VLOOKUP(ТабПозиции[[#This Row],[orderNum]],ТабЗаказы[#Data],MATCH(B$7,ТабЗаказы[#Headers],0),0),"")</f>
        <v>45683</v>
      </c>
      <c r="C1712" t="str">
        <f>MONTH(ТабПозиции[[#This Row],[date]])&amp;"/"&amp;YEAR(ТабПозиции[[#This Row],[date]])</f>
        <v>1/2025</v>
      </c>
      <c r="D1712" s="1" t="str">
        <f>IFERROR(VLOOKUP(ТабПозиции[[#This Row],[orderNum]],ТабЗаказы[#Data],MATCH(D$7,ТабЗаказы[#Headers],0),0),"")</f>
        <v>Руденко Юля</v>
      </c>
      <c r="E1712" s="85" t="s">
        <v>2284</v>
      </c>
      <c r="F1712" s="56" t="s">
        <v>3061</v>
      </c>
      <c r="H1712" s="34">
        <v>45708</v>
      </c>
      <c r="I1712" s="26">
        <v>1</v>
      </c>
      <c r="J1712" s="26">
        <v>546</v>
      </c>
      <c r="K1712">
        <f>ТабПозиции[[#This Row],[discountPrice]]*ТабПозиции[[#This Row],[quantity]]</f>
        <v>546</v>
      </c>
      <c r="L1712" s="26">
        <v>571</v>
      </c>
      <c r="M1712">
        <f t="shared" si="37"/>
        <v>571</v>
      </c>
      <c r="O171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Row],[orderNum]],ТабПозиции[orderSumm])&gt;1500),ABS(M1712*VLOOKUP(ТабПозиции[[#This Row],[orderNum]],ТабЗаказы[#Data],MATCH("Percent",ТабЗаказы[#Headers],0),0))/100,200/COUNTIF(ТабПозиции[orderNum],ТабПозиции[[#This Row],[orderNum]])),0),"")</f>
        <v>57</v>
      </c>
      <c r="P1712">
        <f>IF(OR(ТабПозиции[[#This Row],[item]]="По штрихкоду",ТабПозиции[[#This Row],[item]]="Посылка"),ТабПозиции[[#This Row],[deliverySumm]]+ТабПозиции[[#This Row],[deliveryPost]],SUM(M1712:O1712))</f>
        <v>628</v>
      </c>
      <c r="Q1712" s="57">
        <v>628</v>
      </c>
      <c r="R1712" s="62">
        <f>ТабПозиции[[#This Row],[totalSumm]]-ТабПозиции[[#This Row],[payment]]</f>
        <v>0</v>
      </c>
      <c r="S1712" s="34" t="s">
        <v>955</v>
      </c>
      <c r="T1712" s="56" t="s">
        <v>3061</v>
      </c>
      <c r="U1712" s="56" t="str">
        <f>IF(AND(ТабПозиции[[#This Row],[Остаток]]=0,ТабПозиции[[#This Row],[ord]]="true"),"true","false")</f>
        <v>true</v>
      </c>
      <c r="V1712" s="56" t="s">
        <v>3061</v>
      </c>
    </row>
    <row r="1713" spans="1:22" x14ac:dyDescent="0.25">
      <c r="A1713" s="26">
        <v>458</v>
      </c>
      <c r="B1713" s="1">
        <f>IFERROR(VLOOKUP(ТабПозиции[[#This Row],[orderNum]],ТабЗаказы[#Data],MATCH(B$7,ТабЗаказы[#Headers],0),0),"")</f>
        <v>45688</v>
      </c>
      <c r="C1713" t="str">
        <f>MONTH(ТабПозиции[[#This Row],[date]])&amp;"/"&amp;YEAR(ТабПозиции[[#This Row],[date]])</f>
        <v>1/2025</v>
      </c>
      <c r="D1713" s="1" t="str">
        <f>IFERROR(VLOOKUP(ТабПозиции[[#This Row],[orderNum]],ТабЗаказы[#Data],MATCH(D$7,ТабЗаказы[#Headers],0),0),"")</f>
        <v>Лана</v>
      </c>
      <c r="E1713" s="26" t="s">
        <v>32</v>
      </c>
      <c r="F1713" s="56" t="s">
        <v>3061</v>
      </c>
      <c r="H1713" s="34">
        <v>45688</v>
      </c>
      <c r="I1713" s="26">
        <v>1</v>
      </c>
      <c r="J1713" s="26">
        <v>5213</v>
      </c>
      <c r="K1713">
        <f>ТабПозиции[[#This Row],[discountPrice]]*ТабПозиции[[#This Row],[quantity]]</f>
        <v>5213</v>
      </c>
      <c r="L1713" s="26">
        <v>5213</v>
      </c>
      <c r="M1713">
        <f t="shared" si="37"/>
        <v>5213</v>
      </c>
      <c r="O171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Row],[orderNum]],ТабПозиции[orderSumm])&gt;1500),ABS(M1713*VLOOKUP(ТабПозиции[[#This Row],[orderNum]],ТабЗаказы[#Data],MATCH("Percent",ТабЗаказы[#Headers],0),0))/100,200/COUNTIF(ТабПозиции[orderNum],ТабПозиции[[#This Row],[orderNum]])),0),"")</f>
        <v>782</v>
      </c>
      <c r="P1713">
        <f>IF(OR(ТабПозиции[[#This Row],[item]]="По штрихкоду",ТабПозиции[[#This Row],[item]]="Посылка"),ТабПозиции[[#This Row],[deliverySumm]]+ТабПозиции[[#This Row],[deliveryPost]],SUM(M1713:O1713))</f>
        <v>782</v>
      </c>
      <c r="Q1713" s="57">
        <v>782</v>
      </c>
      <c r="R1713" s="62">
        <f>ТабПозиции[[#This Row],[totalSumm]]-ТабПозиции[[#This Row],[payment]]</f>
        <v>0</v>
      </c>
      <c r="S1713" s="34" t="s">
        <v>955</v>
      </c>
      <c r="T1713" s="56" t="s">
        <v>3061</v>
      </c>
      <c r="U1713" s="56" t="str">
        <f>IF(AND(ТабПозиции[[#This Row],[Остаток]]=0,ТабПозиции[[#This Row],[ord]]="true"),"true","false")</f>
        <v>true</v>
      </c>
      <c r="V1713" s="56" t="s">
        <v>3061</v>
      </c>
    </row>
    <row r="1714" spans="1:22" x14ac:dyDescent="0.25">
      <c r="A1714" s="26">
        <v>459</v>
      </c>
      <c r="B1714" s="1">
        <f>IFERROR(VLOOKUP(ТабПозиции[[#This Row],[orderNum]],ТабЗаказы[#Data],MATCH(B$7,ТабЗаказы[#Headers],0),0),"")</f>
        <v>45689</v>
      </c>
      <c r="C1714" t="str">
        <f>MONTH(ТабПозиции[[#This Row],[date]])&amp;"/"&amp;YEAR(ТабПозиции[[#This Row],[date]])</f>
        <v>2/2025</v>
      </c>
      <c r="D1714" s="1" t="str">
        <f>IFERROR(VLOOKUP(ТабПозиции[[#This Row],[orderNum]],ТабЗаказы[#Data],MATCH(D$7,ТабЗаказы[#Headers],0),0),"")</f>
        <v>Митрофанов Евгений</v>
      </c>
      <c r="E1714" s="85" t="s">
        <v>2181</v>
      </c>
      <c r="F1714" s="56" t="s">
        <v>3061</v>
      </c>
      <c r="H1714" s="34"/>
      <c r="I1714" s="26">
        <v>1</v>
      </c>
      <c r="J1714" s="26">
        <v>516</v>
      </c>
      <c r="K1714">
        <f>ТабПозиции[[#This Row],[discountPrice]]*ТабПозиции[[#This Row],[quantity]]</f>
        <v>516</v>
      </c>
      <c r="L1714" s="26">
        <v>547</v>
      </c>
      <c r="M1714">
        <f t="shared" si="37"/>
        <v>547</v>
      </c>
      <c r="O171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Row],[orderNum]],ТабПозиции[orderSumm])&gt;1500),ABS(M1714*VLOOKUP(ТабПозиции[[#This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714">
        <f>IF(OR(ТабПозиции[[#This Row],[item]]="По штрихкоду",ТабПозиции[[#This Row],[item]]="Посылка"),ТабПозиции[[#This Row],[deliverySumm]]+ТабПозиции[[#This Row],[deliveryPost]],SUM(M1714:O1714))</f>
        <v>747</v>
      </c>
      <c r="Q1714" s="57">
        <v>747</v>
      </c>
      <c r="R1714" s="62">
        <f>ТабПозиции[[#This Row],[totalSumm]]-ТабПозиции[[#This Row],[payment]]</f>
        <v>0</v>
      </c>
      <c r="S1714" s="34" t="s">
        <v>1113</v>
      </c>
      <c r="T1714" s="56" t="s">
        <v>3061</v>
      </c>
      <c r="U1714" s="56" t="str">
        <f>IF(AND(ТабПозиции[[#This Row],[Остаток]]=0,ТабПозиции[[#This Row],[ord]]="true"),"true","false")</f>
        <v>true</v>
      </c>
      <c r="V1714" s="56" t="s">
        <v>3061</v>
      </c>
    </row>
    <row r="1715" spans="1:22" x14ac:dyDescent="0.25">
      <c r="A1715" s="26">
        <v>460</v>
      </c>
      <c r="B1715" s="1">
        <f>IFERROR(VLOOKUP(ТабПозиции[[#This Row],[orderNum]],ТабЗаказы[#Data],MATCH(B$7,ТабЗаказы[#Headers],0),0),"")</f>
        <v>45689</v>
      </c>
      <c r="C1715" t="str">
        <f>MONTH(ТабПозиции[[#This Row],[date]])&amp;"/"&amp;YEAR(ТабПозиции[[#This Row],[date]])</f>
        <v>2/2025</v>
      </c>
      <c r="D1715" s="1" t="str">
        <f>IFERROR(VLOOKUP(ТабПозиции[[#This Row],[orderNum]],ТабЗаказы[#Data],MATCH(D$7,ТабЗаказы[#Headers],0),0),"")</f>
        <v>Светлана от Александра</v>
      </c>
      <c r="E1715" s="85" t="s">
        <v>2382</v>
      </c>
      <c r="F1715" s="56" t="s">
        <v>3061</v>
      </c>
      <c r="H1715" s="34">
        <v>45690</v>
      </c>
      <c r="I1715" s="26">
        <v>1</v>
      </c>
      <c r="J1715" s="26">
        <v>147</v>
      </c>
      <c r="K1715">
        <f>ТабПозиции[[#This Row],[discountPrice]]*ТабПозиции[[#This Row],[quantity]]</f>
        <v>147</v>
      </c>
      <c r="L1715" s="26">
        <v>155</v>
      </c>
      <c r="M1715">
        <f t="shared" si="37"/>
        <v>155</v>
      </c>
      <c r="O171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Row],[orderNum]],ТабПозиции[orderSumm])&gt;1500),ABS(M1715*VLOOKUP(ТабПозиции[[#This Row],[orderNum]],ТабЗаказы[#Data],MATCH("Percent",ТабЗаказы[#Headers],0),0))/100,200/COUNTIF(ТабПозиции[orderNum],ТабПозиции[[#This Row],[orderNum]])),0),"")</f>
        <v>16</v>
      </c>
      <c r="P1715">
        <f>IF(OR(ТабПозиции[[#This Row],[item]]="По штрихкоду",ТабПозиции[[#This Row],[item]]="Посылка"),ТабПозиции[[#This Row],[deliverySumm]]+ТабПозиции[[#This Row],[deliveryPost]],SUM(M1715:O1715))</f>
        <v>171</v>
      </c>
      <c r="Q1715" s="57">
        <v>171</v>
      </c>
      <c r="R1715" s="62">
        <f>ТабПозиции[[#This Row],[totalSumm]]-ТабПозиции[[#This Row],[payment]]</f>
        <v>0</v>
      </c>
      <c r="S1715" s="34" t="s">
        <v>965</v>
      </c>
      <c r="T1715" s="56" t="s">
        <v>3061</v>
      </c>
      <c r="U1715" s="56" t="str">
        <f>IF(AND(ТабПозиции[[#This Row],[Остаток]]=0,ТабПозиции[[#This Row],[ord]]="true"),"true","false")</f>
        <v>true</v>
      </c>
      <c r="V1715" s="56" t="str">
        <f>IF(AND(ТабПозиции[[#This Row],[Остаток]]=0,ТабПозиции[[#This Row],[ord]]="true"),"true","false")</f>
        <v>true</v>
      </c>
    </row>
    <row r="1716" spans="1:22" x14ac:dyDescent="0.25">
      <c r="A1716" s="26">
        <v>460</v>
      </c>
      <c r="B1716" s="1">
        <f>IFERROR(VLOOKUP(ТабПозиции[[#This Row],[orderNum]],ТабЗаказы[#Data],MATCH(B$7,ТабЗаказы[#Headers],0),0),"")</f>
        <v>45689</v>
      </c>
      <c r="C1716" t="str">
        <f>MONTH(ТабПозиции[[#This Row],[date]])&amp;"/"&amp;YEAR(ТабПозиции[[#This Row],[date]])</f>
        <v>2/2025</v>
      </c>
      <c r="D1716" s="1" t="str">
        <f>IFERROR(VLOOKUP(ТабПозиции[[#This Row],[orderNum]],ТабЗаказы[#Data],MATCH(D$7,ТабЗаказы[#Headers],0),0),"")</f>
        <v>Светлана от Александра</v>
      </c>
      <c r="E1716" s="85" t="s">
        <v>2383</v>
      </c>
      <c r="F1716" s="56" t="s">
        <v>3061</v>
      </c>
      <c r="H1716" s="34">
        <v>45690</v>
      </c>
      <c r="I1716" s="26">
        <v>2</v>
      </c>
      <c r="J1716" s="26">
        <v>161</v>
      </c>
      <c r="K1716">
        <f>ТабПозиции[[#This Row],[discountPrice]]*ТабПозиции[[#This Row],[quantity]]</f>
        <v>322</v>
      </c>
      <c r="L1716" s="26">
        <v>170</v>
      </c>
      <c r="M1716">
        <f t="shared" si="37"/>
        <v>340</v>
      </c>
      <c r="O171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Row],[orderNum]],ТабПозиции[orderSumm])&gt;1500),ABS(M1716*VLOOKUP(ТабПозиции[[#This Row],[orderNum]],ТабЗаказы[#Data],MATCH("Percent",ТабЗаказы[#Headers],0),0))/100,200/COUNTIF(ТабПозиции[orderNum],ТабПозиции[[#This Row],[orderNum]])),0),"")</f>
        <v>34</v>
      </c>
      <c r="P1716">
        <f>IF(OR(ТабПозиции[[#This Row],[item]]="По штрихкоду",ТабПозиции[[#This Row],[item]]="Посылка"),ТабПозиции[[#This Row],[deliverySumm]]+ТабПозиции[[#This Row],[deliveryPost]],SUM(M1716:O1716))</f>
        <v>374</v>
      </c>
      <c r="Q1716" s="57">
        <v>374</v>
      </c>
      <c r="R1716" s="62">
        <f>ТабПозиции[[#This Row],[totalSumm]]-ТабПозиции[[#This Row],[payment]]</f>
        <v>0</v>
      </c>
      <c r="S1716" s="34" t="s">
        <v>965</v>
      </c>
      <c r="T1716" s="56" t="s">
        <v>3061</v>
      </c>
      <c r="U1716" s="56" t="str">
        <f>IF(AND(ТабПозиции[[#This Row],[Остаток]]=0,ТабПозиции[[#This Row],[ord]]="true"),"true","false")</f>
        <v>true</v>
      </c>
      <c r="V1716" s="56" t="str">
        <f>IF(AND(ТабПозиции[[#This Row],[Остаток]]=0,ТабПозиции[[#This Row],[ord]]="true"),"true","false")</f>
        <v>true</v>
      </c>
    </row>
    <row r="1717" spans="1:22" x14ac:dyDescent="0.25">
      <c r="A1717" s="26">
        <v>460</v>
      </c>
      <c r="B1717" s="1">
        <f>IFERROR(VLOOKUP(ТабПозиции[[#This Row],[orderNum]],ТабЗаказы[#Data],MATCH(B$7,ТабЗаказы[#Headers],0),0),"")</f>
        <v>45689</v>
      </c>
      <c r="C1717" t="str">
        <f>MONTH(ТабПозиции[[#This Row],[date]])&amp;"/"&amp;YEAR(ТабПозиции[[#This Row],[date]])</f>
        <v>2/2025</v>
      </c>
      <c r="D1717" s="1" t="str">
        <f>IFERROR(VLOOKUP(ТабПозиции[[#This Row],[orderNum]],ТабЗаказы[#Data],MATCH(D$7,ТабЗаказы[#Headers],0),0),"")</f>
        <v>Светлана от Александра</v>
      </c>
      <c r="E1717" s="85" t="s">
        <v>2384</v>
      </c>
      <c r="F1717" s="56" t="s">
        <v>3061</v>
      </c>
      <c r="H1717" s="34">
        <v>45690</v>
      </c>
      <c r="I1717" s="26">
        <v>1</v>
      </c>
      <c r="J1717" s="26">
        <v>296</v>
      </c>
      <c r="K1717">
        <f>ТабПозиции[[#This Row],[discountPrice]]*ТабПозиции[[#This Row],[quantity]]</f>
        <v>296</v>
      </c>
      <c r="L1717" s="26">
        <v>312</v>
      </c>
      <c r="M1717">
        <f t="shared" si="37"/>
        <v>312</v>
      </c>
      <c r="O171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Row],[orderNum]],ТабПозиции[orderSumm])&gt;1500),ABS(M1717*VLOOKUP(ТабПозиции[[#This Row],[orderNum]],ТабЗаказы[#Data],MATCH("Percent",ТабЗаказы[#Headers],0),0))/100,200/COUNTIF(ТабПозиции[orderNum],ТабПозиции[[#This Row],[orderNum]])),0),"")</f>
        <v>31</v>
      </c>
      <c r="P1717">
        <f>IF(OR(ТабПозиции[[#This Row],[item]]="По штрихкоду",ТабПозиции[[#This Row],[item]]="Посылка"),ТабПозиции[[#This Row],[deliverySumm]]+ТабПозиции[[#This Row],[deliveryPost]],SUM(M1717:O1717))</f>
        <v>343</v>
      </c>
      <c r="Q1717" s="57">
        <v>343</v>
      </c>
      <c r="R1717" s="62">
        <f>ТабПозиции[[#This Row],[totalSumm]]-ТабПозиции[[#This Row],[payment]]</f>
        <v>0</v>
      </c>
      <c r="S1717" s="34" t="s">
        <v>965</v>
      </c>
      <c r="T1717" s="56" t="s">
        <v>3061</v>
      </c>
      <c r="U1717" s="56" t="str">
        <f>IF(AND(ТабПозиции[[#This Row],[Остаток]]=0,ТабПозиции[[#This Row],[ord]]="true"),"true","false")</f>
        <v>true</v>
      </c>
      <c r="V1717" s="56" t="str">
        <f>IF(AND(ТабПозиции[[#This Row],[Остаток]]=0,ТабПозиции[[#This Row],[ord]]="true"),"true","false")</f>
        <v>true</v>
      </c>
    </row>
    <row r="1718" spans="1:22" x14ac:dyDescent="0.25">
      <c r="A1718" s="26">
        <v>460</v>
      </c>
      <c r="B1718" s="1">
        <f>IFERROR(VLOOKUP(ТабПозиции[[#This Row],[orderNum]],ТабЗаказы[#Data],MATCH(B$7,ТабЗаказы[#Headers],0),0),"")</f>
        <v>45689</v>
      </c>
      <c r="C1718" t="str">
        <f>MONTH(ТабПозиции[[#This Row],[date]])&amp;"/"&amp;YEAR(ТабПозиции[[#This Row],[date]])</f>
        <v>2/2025</v>
      </c>
      <c r="D1718" s="1" t="str">
        <f>IFERROR(VLOOKUP(ТабПозиции[[#This Row],[orderNum]],ТабЗаказы[#Data],MATCH(D$7,ТабЗаказы[#Headers],0),0),"")</f>
        <v>Светлана от Александра</v>
      </c>
      <c r="E1718" s="85" t="s">
        <v>963</v>
      </c>
      <c r="F1718" s="56" t="s">
        <v>3061</v>
      </c>
      <c r="H1718" s="34">
        <v>45691</v>
      </c>
      <c r="I1718" s="26">
        <v>1</v>
      </c>
      <c r="J1718" s="26">
        <v>638</v>
      </c>
      <c r="K1718">
        <f>ТабПозиции[[#This Row],[discountPrice]]*ТабПозиции[[#This Row],[quantity]]</f>
        <v>638</v>
      </c>
      <c r="L1718" s="26">
        <v>672</v>
      </c>
      <c r="M1718">
        <f t="shared" si="37"/>
        <v>672</v>
      </c>
      <c r="O171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Row],[orderNum]],ТабПозиции[orderSumm])&gt;1500),ABS(M1718*VLOOKUP(ТабПозиции[[#This Row],[orderNum]],ТабЗаказы[#Data],MATCH("Percent",ТабЗаказы[#Headers],0),0))/100,200/COUNTIF(ТабПозиции[orderNum],ТабПозиции[[#This Row],[orderNum]])),0),"")</f>
        <v>67</v>
      </c>
      <c r="P1718">
        <f>IF(OR(ТабПозиции[[#This Row],[item]]="По штрихкоду",ТабПозиции[[#This Row],[item]]="Посылка"),ТабПозиции[[#This Row],[deliverySumm]]+ТабПозиции[[#This Row],[deliveryPost]],SUM(M1718:O1718))</f>
        <v>739</v>
      </c>
      <c r="Q1718" s="57">
        <v>739</v>
      </c>
      <c r="R1718" s="62">
        <f>ТабПозиции[[#This Row],[totalSumm]]-ТабПозиции[[#This Row],[payment]]</f>
        <v>0</v>
      </c>
      <c r="S1718" s="34" t="s">
        <v>965</v>
      </c>
      <c r="T1718" s="56" t="s">
        <v>3061</v>
      </c>
      <c r="U1718" s="56" t="str">
        <f>IF(AND(ТабПозиции[[#This Row],[Остаток]]=0,ТабПозиции[[#This Row],[ord]]="true"),"true","false")</f>
        <v>true</v>
      </c>
      <c r="V1718" s="56" t="str">
        <f>IF(AND(ТабПозиции[[#This Row],[Остаток]]=0,ТабПозиции[[#This Row],[ord]]="true"),"true","false")</f>
        <v>true</v>
      </c>
    </row>
    <row r="1719" spans="1:22" x14ac:dyDescent="0.25">
      <c r="A1719" s="26">
        <v>460</v>
      </c>
      <c r="B1719" s="1">
        <f>IFERROR(VLOOKUP(ТабПозиции[[#This Row],[orderNum]],ТабЗаказы[#Data],MATCH(B$7,ТабЗаказы[#Headers],0),0),"")</f>
        <v>45689</v>
      </c>
      <c r="C1719" t="str">
        <f>MONTH(ТабПозиции[[#This Row],[date]])&amp;"/"&amp;YEAR(ТабПозиции[[#This Row],[date]])</f>
        <v>2/2025</v>
      </c>
      <c r="D1719" s="1" t="str">
        <f>IFERROR(VLOOKUP(ТабПозиции[[#This Row],[orderNum]],ТабЗаказы[#Data],MATCH(D$7,ТабЗаказы[#Headers],0),0),"")</f>
        <v>Светлана от Александра</v>
      </c>
      <c r="E1719" s="85" t="s">
        <v>1024</v>
      </c>
      <c r="F1719" s="56" t="s">
        <v>3061</v>
      </c>
      <c r="H1719" s="34">
        <v>45690</v>
      </c>
      <c r="I1719" s="26">
        <v>7</v>
      </c>
      <c r="J1719" s="26">
        <v>433</v>
      </c>
      <c r="K1719">
        <f>ТабПозиции[[#This Row],[discountPrice]]*ТабПозиции[[#This Row],[quantity]]</f>
        <v>3031</v>
      </c>
      <c r="L1719" s="26">
        <v>456</v>
      </c>
      <c r="M1719">
        <f t="shared" si="37"/>
        <v>3192</v>
      </c>
      <c r="O171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Row],[orderNum]],ТабПозиции[orderSumm])&gt;1500),ABS(M1719*VLOOKUP(ТабПозиции[[#This Row],[orderNum]],ТабЗаказы[#Data],MATCH("Percent",ТабЗаказы[#Headers],0),0))/100,200/COUNTIF(ТабПозиции[orderNum],ТабПозиции[[#This Row],[orderNum]])),0),"")</f>
        <v>319</v>
      </c>
      <c r="P1719">
        <f>IF(OR(ТабПозиции[[#This Row],[item]]="По штрихкоду",ТабПозиции[[#This Row],[item]]="Посылка"),ТабПозиции[[#This Row],[deliverySumm]]+ТабПозиции[[#This Row],[deliveryPost]],SUM(M1719:O1719))</f>
        <v>3511</v>
      </c>
      <c r="Q1719" s="57">
        <v>3511</v>
      </c>
      <c r="R1719" s="62">
        <f>ТабПозиции[[#This Row],[totalSumm]]-ТабПозиции[[#This Row],[payment]]</f>
        <v>0</v>
      </c>
      <c r="S1719" s="34" t="s">
        <v>965</v>
      </c>
      <c r="T1719" s="56" t="s">
        <v>3061</v>
      </c>
      <c r="U1719" s="56" t="str">
        <f>IF(AND(ТабПозиции[[#This Row],[Остаток]]=0,ТабПозиции[[#This Row],[ord]]="true"),"true","false")</f>
        <v>true</v>
      </c>
      <c r="V1719" s="56" t="str">
        <f>IF(AND(ТабПозиции[[#This Row],[Остаток]]=0,ТабПозиции[[#This Row],[ord]]="true"),"true","false")</f>
        <v>true</v>
      </c>
    </row>
    <row r="1720" spans="1:22" x14ac:dyDescent="0.25">
      <c r="A1720" s="26">
        <v>460</v>
      </c>
      <c r="B1720" s="1">
        <f>IFERROR(VLOOKUP(ТабПозиции[[#This Row],[orderNum]],ТабЗаказы[#Data],MATCH(B$7,ТабЗаказы[#Headers],0),0),"")</f>
        <v>45689</v>
      </c>
      <c r="C1720" t="str">
        <f>MONTH(ТабПозиции[[#This Row],[date]])&amp;"/"&amp;YEAR(ТабПозиции[[#This Row],[date]])</f>
        <v>2/2025</v>
      </c>
      <c r="D1720" s="1" t="str">
        <f>IFERROR(VLOOKUP(ТабПозиции[[#This Row],[orderNum]],ТабЗаказы[#Data],MATCH(D$7,ТабЗаказы[#Headers],0),0),"")</f>
        <v>Светлана от Александра</v>
      </c>
      <c r="E1720" s="85" t="s">
        <v>2387</v>
      </c>
      <c r="F1720" s="56" t="s">
        <v>3061</v>
      </c>
      <c r="H1720" s="34">
        <v>45693</v>
      </c>
      <c r="I1720" s="26">
        <v>1</v>
      </c>
      <c r="J1720" s="26">
        <v>762</v>
      </c>
      <c r="K1720">
        <f>ТабПозиции[[#This Row],[discountPrice]]*ТабПозиции[[#This Row],[quantity]]</f>
        <v>762</v>
      </c>
      <c r="L1720" s="26">
        <v>803</v>
      </c>
      <c r="M1720">
        <f t="shared" si="37"/>
        <v>803</v>
      </c>
      <c r="O172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Row],[orderNum]],ТабПозиции[orderSumm])&gt;1500),ABS(M1720*VLOOKUP(ТабПозиции[[#This Row],[orderNum]],ТабЗаказы[#Data],MATCH("Percent",ТабЗаказы[#Headers],0),0))/100,200/COUNTIF(ТабПозиции[orderNum],ТабПозиции[[#This Row],[orderNum]])),0),"")</f>
        <v>80</v>
      </c>
      <c r="P1720">
        <f>IF(OR(ТабПозиции[[#This Row],[item]]="По штрихкоду",ТабПозиции[[#This Row],[item]]="Посылка"),ТабПозиции[[#This Row],[deliverySumm]]+ТабПозиции[[#This Row],[deliveryPost]],SUM(M1720:O1720))</f>
        <v>883</v>
      </c>
      <c r="Q1720" s="57">
        <v>883</v>
      </c>
      <c r="R1720" s="62">
        <f>ТабПозиции[[#This Row],[totalSumm]]-ТабПозиции[[#This Row],[payment]]</f>
        <v>0</v>
      </c>
      <c r="S1720" s="34" t="s">
        <v>965</v>
      </c>
      <c r="T1720" s="56" t="s">
        <v>3061</v>
      </c>
      <c r="U1720" s="56" t="str">
        <f>IF(AND(ТабПозиции[[#This Row],[Остаток]]=0,ТабПозиции[[#This Row],[ord]]="true"),"true","false")</f>
        <v>true</v>
      </c>
      <c r="V1720" s="56" t="str">
        <f>IF(AND(ТабПозиции[[#This Row],[Остаток]]=0,ТабПозиции[[#This Row],[ord]]="true"),"true","false")</f>
        <v>true</v>
      </c>
    </row>
    <row r="1721" spans="1:22" x14ac:dyDescent="0.25">
      <c r="A1721" s="26">
        <v>460</v>
      </c>
      <c r="B1721" s="1">
        <f>IFERROR(VLOOKUP(ТабПозиции[[#This Row],[orderNum]],ТабЗаказы[#Data],MATCH(B$7,ТабЗаказы[#Headers],0),0),"")</f>
        <v>45689</v>
      </c>
      <c r="C1721" t="str">
        <f>MONTH(ТабПозиции[[#This Row],[date]])&amp;"/"&amp;YEAR(ТабПозиции[[#This Row],[date]])</f>
        <v>2/2025</v>
      </c>
      <c r="D1721" s="1" t="str">
        <f>IFERROR(VLOOKUP(ТабПозиции[[#This Row],[orderNum]],ТабЗаказы[#Data],MATCH(D$7,ТабЗаказы[#Headers],0),0),"")</f>
        <v>Светлана от Александра</v>
      </c>
      <c r="E1721" s="85" t="s">
        <v>1208</v>
      </c>
      <c r="F1721" s="56" t="s">
        <v>3061</v>
      </c>
      <c r="H1721" s="34">
        <v>45691</v>
      </c>
      <c r="I1721" s="26">
        <v>1</v>
      </c>
      <c r="J1721" s="26">
        <v>282</v>
      </c>
      <c r="K1721">
        <f>ТабПозиции[[#This Row],[discountPrice]]*ТабПозиции[[#This Row],[quantity]]</f>
        <v>282</v>
      </c>
      <c r="L1721" s="26">
        <v>292</v>
      </c>
      <c r="M1721">
        <f t="shared" si="37"/>
        <v>292</v>
      </c>
      <c r="O172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Row],[orderNum]],ТабПозиции[orderSumm])&gt;1500),ABS(M1721*VLOOKUP(ТабПозиции[[#This Row],[orderNum]],ТабЗаказы[#Data],MATCH("Percent",ТабЗаказы[#Headers],0),0))/100,200/COUNTIF(ТабПозиции[orderNum],ТабПозиции[[#This Row],[orderNum]])),0),"")</f>
        <v>29</v>
      </c>
      <c r="P1721">
        <f>IF(OR(ТабПозиции[[#This Row],[item]]="По штрихкоду",ТабПозиции[[#This Row],[item]]="Посылка"),ТабПозиции[[#This Row],[deliverySumm]]+ТабПозиции[[#This Row],[deliveryPost]],SUM(M1721:O1721))</f>
        <v>321</v>
      </c>
      <c r="Q1721" s="57">
        <v>321</v>
      </c>
      <c r="R1721" s="62">
        <f>ТабПозиции[[#This Row],[totalSumm]]-ТабПозиции[[#This Row],[payment]]</f>
        <v>0</v>
      </c>
      <c r="S1721" s="34" t="s">
        <v>965</v>
      </c>
      <c r="T1721" s="56" t="s">
        <v>3061</v>
      </c>
      <c r="U1721" s="56" t="str">
        <f>IF(AND(ТабПозиции[[#This Row],[Остаток]]=0,ТабПозиции[[#This Row],[ord]]="true"),"true","false")</f>
        <v>true</v>
      </c>
      <c r="V1721" s="56" t="str">
        <f>IF(AND(ТабПозиции[[#This Row],[Остаток]]=0,ТабПозиции[[#This Row],[ord]]="true"),"true","false")</f>
        <v>true</v>
      </c>
    </row>
    <row r="1722" spans="1:22" x14ac:dyDescent="0.25">
      <c r="A1722" s="26">
        <v>460</v>
      </c>
      <c r="B1722" s="1">
        <f>IFERROR(VLOOKUP(ТабПозиции[[#This Row],[orderNum]],ТабЗаказы[#Data],MATCH(B$7,ТабЗаказы[#Headers],0),0),"")</f>
        <v>45689</v>
      </c>
      <c r="C1722" t="str">
        <f>MONTH(ТабПозиции[[#This Row],[date]])&amp;"/"&amp;YEAR(ТабПозиции[[#This Row],[date]])</f>
        <v>2/2025</v>
      </c>
      <c r="D1722" s="1" t="str">
        <f>IFERROR(VLOOKUP(ТабПозиции[[#This Row],[orderNum]],ТабЗаказы[#Data],MATCH(D$7,ТабЗаказы[#Headers],0),0),"")</f>
        <v>Светлана от Александра</v>
      </c>
      <c r="E1722" s="85" t="s">
        <v>2386</v>
      </c>
      <c r="F1722" s="56" t="s">
        <v>3061</v>
      </c>
      <c r="H1722" s="34">
        <v>45693</v>
      </c>
      <c r="I1722" s="26">
        <v>1</v>
      </c>
      <c r="J1722" s="26">
        <v>784</v>
      </c>
      <c r="K1722">
        <f>ТабПозиции[[#This Row],[discountPrice]]*ТабПозиции[[#This Row],[quantity]]</f>
        <v>784</v>
      </c>
      <c r="L1722" s="26">
        <v>826</v>
      </c>
      <c r="M1722">
        <f t="shared" si="37"/>
        <v>826</v>
      </c>
      <c r="O172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Row],[orderNum]],ТабПозиции[orderSumm])&gt;1500),ABS(M1722*VLOOKUP(ТабПозиции[[#This Row],[orderNum]],ТабЗаказы[#Data],MATCH("Percent",ТабЗаказы[#Headers],0),0))/100,200/COUNTIF(ТабПозиции[orderNum],ТабПозиции[[#This Row],[orderNum]])),0),"")</f>
        <v>83</v>
      </c>
      <c r="P1722">
        <f>IF(OR(ТабПозиции[[#This Row],[item]]="По штрихкоду",ТабПозиции[[#This Row],[item]]="Посылка"),ТабПозиции[[#This Row],[deliverySumm]]+ТабПозиции[[#This Row],[deliveryPost]],SUM(M1722:O1722))</f>
        <v>909</v>
      </c>
      <c r="Q1722" s="57">
        <v>909</v>
      </c>
      <c r="R1722" s="62">
        <f>ТабПозиции[[#This Row],[totalSumm]]-ТабПозиции[[#This Row],[payment]]</f>
        <v>0</v>
      </c>
      <c r="S1722" s="34" t="s">
        <v>965</v>
      </c>
      <c r="T1722" s="56" t="s">
        <v>3061</v>
      </c>
      <c r="U1722" s="56" t="str">
        <f>IF(AND(ТабПозиции[[#This Row],[Остаток]]=0,ТабПозиции[[#This Row],[ord]]="true"),"true","false")</f>
        <v>true</v>
      </c>
      <c r="V1722" s="56" t="str">
        <f>IF(AND(ТабПозиции[[#This Row],[Остаток]]=0,ТабПозиции[[#This Row],[ord]]="true"),"true","false")</f>
        <v>true</v>
      </c>
    </row>
    <row r="1723" spans="1:22" x14ac:dyDescent="0.25">
      <c r="A1723" s="26">
        <v>460</v>
      </c>
      <c r="B1723" s="1">
        <f>IFERROR(VLOOKUP(ТабПозиции[[#This Row],[orderNum]],ТабЗаказы[#Data],MATCH(B$7,ТабЗаказы[#Headers],0),0),"")</f>
        <v>45689</v>
      </c>
      <c r="C1723" t="str">
        <f>MONTH(ТабПозиции[[#This Row],[date]])&amp;"/"&amp;YEAR(ТабПозиции[[#This Row],[date]])</f>
        <v>2/2025</v>
      </c>
      <c r="D1723" s="1" t="str">
        <f>IFERROR(VLOOKUP(ТабПозиции[[#This Row],[orderNum]],ТабЗаказы[#Data],MATCH(D$7,ТабЗаказы[#Headers],0),0),"")</f>
        <v>Светлана от Александра</v>
      </c>
      <c r="E1723" s="85" t="s">
        <v>2385</v>
      </c>
      <c r="F1723" s="56" t="s">
        <v>3061</v>
      </c>
      <c r="H1723" s="34">
        <v>45693</v>
      </c>
      <c r="I1723" s="26">
        <v>1</v>
      </c>
      <c r="J1723" s="26">
        <v>754</v>
      </c>
      <c r="K1723">
        <f>ТабПозиции[[#This Row],[discountPrice]]*ТабПозиции[[#This Row],[quantity]]</f>
        <v>754</v>
      </c>
      <c r="L1723" s="26">
        <v>794</v>
      </c>
      <c r="M1723">
        <f t="shared" si="37"/>
        <v>794</v>
      </c>
      <c r="O172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Row],[orderNum]],ТабПозиции[orderSumm])&gt;1500),ABS(M1723*VLOOKUP(ТабПозиции[[#This Row],[orderNum]],ТабЗаказы[#Data],MATCH("Percent",ТабЗаказы[#Headers],0),0))/100,200/COUNTIF(ТабПозиции[orderNum],ТабПозиции[[#This Row],[orderNum]])),0),"")</f>
        <v>79</v>
      </c>
      <c r="P1723">
        <f>IF(OR(ТабПозиции[[#This Row],[item]]="По штрихкоду",ТабПозиции[[#This Row],[item]]="Посылка"),ТабПозиции[[#This Row],[deliverySumm]]+ТабПозиции[[#This Row],[deliveryPost]],SUM(M1723:O1723))</f>
        <v>873</v>
      </c>
      <c r="Q1723" s="57">
        <v>873</v>
      </c>
      <c r="R1723" s="62">
        <f>ТабПозиции[[#This Row],[totalSumm]]-ТабПозиции[[#This Row],[payment]]</f>
        <v>0</v>
      </c>
      <c r="S1723" s="34" t="s">
        <v>965</v>
      </c>
      <c r="T1723" s="56" t="s">
        <v>3061</v>
      </c>
      <c r="U1723" s="56" t="str">
        <f>IF(AND(ТабПозиции[[#This Row],[Остаток]]=0,ТабПозиции[[#This Row],[ord]]="true"),"true","false")</f>
        <v>true</v>
      </c>
      <c r="V1723" s="56" t="str">
        <f>IF(AND(ТабПозиции[[#This Row],[Остаток]]=0,ТабПозиции[[#This Row],[ord]]="true"),"true","false")</f>
        <v>true</v>
      </c>
    </row>
    <row r="1724" spans="1:22" x14ac:dyDescent="0.25">
      <c r="A1724" s="26">
        <v>460</v>
      </c>
      <c r="B1724" s="1">
        <f>IFERROR(VLOOKUP(ТабПозиции[[#This Row],[orderNum]],ТабЗаказы[#Data],MATCH(B$7,ТабЗаказы[#Headers],0),0),"")</f>
        <v>45689</v>
      </c>
      <c r="C1724" t="str">
        <f>MONTH(ТабПозиции[[#This Row],[date]])&amp;"/"&amp;YEAR(ТабПозиции[[#This Row],[date]])</f>
        <v>2/2025</v>
      </c>
      <c r="D1724" s="1" t="str">
        <f>IFERROR(VLOOKUP(ТабПозиции[[#This Row],[orderNum]],ТабЗаказы[#Data],MATCH(D$7,ТабЗаказы[#Headers],0),0),"")</f>
        <v>Светлана от Александра</v>
      </c>
      <c r="E1724" s="85" t="s">
        <v>2388</v>
      </c>
      <c r="F1724" s="56" t="s">
        <v>3061</v>
      </c>
      <c r="H1724" s="34">
        <v>45693</v>
      </c>
      <c r="I1724" s="26">
        <v>1</v>
      </c>
      <c r="J1724" s="26">
        <v>745</v>
      </c>
      <c r="K1724">
        <f>ТабПозиции[[#This Row],[discountPrice]]*ТабПозиции[[#This Row],[quantity]]</f>
        <v>745</v>
      </c>
      <c r="L1724" s="26">
        <v>785</v>
      </c>
      <c r="M1724">
        <f t="shared" si="37"/>
        <v>785</v>
      </c>
      <c r="O172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Row],[orderNum]],ТабПозиции[orderSumm])&gt;1500),ABS(M1724*VLOOKUP(ТабПозиции[[#This Row],[orderNum]],ТабЗаказы[#Data],MATCH("Percent",ТабЗаказы[#Headers],0),0))/100,200/COUNTIF(ТабПозиции[orderNum],ТабПозиции[[#This Row],[orderNum]])),0),"")</f>
        <v>79</v>
      </c>
      <c r="P1724">
        <f>IF(OR(ТабПозиции[[#This Row],[item]]="По штрихкоду",ТабПозиции[[#This Row],[item]]="Посылка"),ТабПозиции[[#This Row],[deliverySumm]]+ТабПозиции[[#This Row],[deliveryPost]],SUM(M1724:O1724))</f>
        <v>864</v>
      </c>
      <c r="Q1724" s="57">
        <v>864</v>
      </c>
      <c r="R1724" s="62">
        <f>ТабПозиции[[#This Row],[totalSumm]]-ТабПозиции[[#This Row],[payment]]</f>
        <v>0</v>
      </c>
      <c r="S1724" s="34" t="s">
        <v>965</v>
      </c>
      <c r="T1724" s="56" t="s">
        <v>3061</v>
      </c>
      <c r="U1724" s="56" t="str">
        <f>IF(AND(ТабПозиции[[#This Row],[Остаток]]=0,ТабПозиции[[#This Row],[ord]]="true"),"true","false")</f>
        <v>true</v>
      </c>
      <c r="V1724" s="56" t="str">
        <f>IF(AND(ТабПозиции[[#This Row],[Остаток]]=0,ТабПозиции[[#This Row],[ord]]="true"),"true","false")</f>
        <v>true</v>
      </c>
    </row>
    <row r="1725" spans="1:22" x14ac:dyDescent="0.25">
      <c r="A1725" s="26">
        <v>460</v>
      </c>
      <c r="B1725" s="1">
        <f>IFERROR(VLOOKUP(ТабПозиции[[#This Row],[orderNum]],ТабЗаказы[#Data],MATCH(B$7,ТабЗаказы[#Headers],0),0),"")</f>
        <v>45689</v>
      </c>
      <c r="C1725" t="str">
        <f>MONTH(ТабПозиции[[#This Row],[date]])&amp;"/"&amp;YEAR(ТабПозиции[[#This Row],[date]])</f>
        <v>2/2025</v>
      </c>
      <c r="D1725" s="1" t="str">
        <f>IFERROR(VLOOKUP(ТабПозиции[[#This Row],[orderNum]],ТабЗаказы[#Data],MATCH(D$7,ТабЗаказы[#Headers],0),0),"")</f>
        <v>Светлана от Александра</v>
      </c>
      <c r="E1725" s="85" t="s">
        <v>2389</v>
      </c>
      <c r="F1725" s="56" t="s">
        <v>3061</v>
      </c>
      <c r="H1725" s="34">
        <v>45694</v>
      </c>
      <c r="I1725" s="26">
        <v>1</v>
      </c>
      <c r="J1725" s="26">
        <v>705</v>
      </c>
      <c r="K1725">
        <f>ТабПозиции[[#This Row],[discountPrice]]*ТабПозиции[[#This Row],[quantity]]</f>
        <v>705</v>
      </c>
      <c r="L1725" s="26">
        <v>743</v>
      </c>
      <c r="M1725">
        <f t="shared" si="37"/>
        <v>743</v>
      </c>
      <c r="O172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Row],[orderNum]],ТабПозиции[orderSumm])&gt;1500),ABS(M1725*VLOOKUP(ТабПозиции[[#This Row],[orderNum]],ТабЗаказы[#Data],MATCH("Percent",ТабЗаказы[#Headers],0),0))/100,200/COUNTIF(ТабПозиции[orderNum],ТабПозиции[[#This Row],[orderNum]])),0),"")</f>
        <v>74</v>
      </c>
      <c r="P1725">
        <f>IF(OR(ТабПозиции[[#This Row],[item]]="По штрихкоду",ТабПозиции[[#This Row],[item]]="Посылка"),ТабПозиции[[#This Row],[deliverySumm]]+ТабПозиции[[#This Row],[deliveryPost]],SUM(M1725:O1725))</f>
        <v>817</v>
      </c>
      <c r="Q1725" s="57">
        <v>817</v>
      </c>
      <c r="R1725" s="62">
        <f>ТабПозиции[[#This Row],[totalSumm]]-ТабПозиции[[#This Row],[payment]]</f>
        <v>0</v>
      </c>
      <c r="S1725" s="34" t="s">
        <v>965</v>
      </c>
      <c r="T1725" s="56" t="s">
        <v>3061</v>
      </c>
      <c r="U1725" s="56" t="str">
        <f>IF(AND(ТабПозиции[[#This Row],[Остаток]]=0,ТабПозиции[[#This Row],[ord]]="true"),"true","false")</f>
        <v>true</v>
      </c>
      <c r="V1725" s="56" t="str">
        <f>IF(AND(ТабПозиции[[#This Row],[Остаток]]=0,ТабПозиции[[#This Row],[ord]]="true"),"true","false")</f>
        <v>true</v>
      </c>
    </row>
    <row r="1726" spans="1:22" x14ac:dyDescent="0.25">
      <c r="A1726" s="26">
        <v>460</v>
      </c>
      <c r="B1726" s="1">
        <f>IFERROR(VLOOKUP(ТабПозиции[[#This Row],[orderNum]],ТабЗаказы[#Data],MATCH(B$7,ТабЗаказы[#Headers],0),0),"")</f>
        <v>45689</v>
      </c>
      <c r="C1726" t="str">
        <f>MONTH(ТабПозиции[[#This Row],[date]])&amp;"/"&amp;YEAR(ТабПозиции[[#This Row],[date]])</f>
        <v>2/2025</v>
      </c>
      <c r="D1726" s="1" t="str">
        <f>IFERROR(VLOOKUP(ТабПозиции[[#This Row],[orderNum]],ТабЗаказы[#Data],MATCH(D$7,ТабЗаказы[#Headers],0),0),"")</f>
        <v>Светлана от Александра</v>
      </c>
      <c r="E1726" s="85" t="s">
        <v>2390</v>
      </c>
      <c r="F1726" s="56" t="s">
        <v>3061</v>
      </c>
      <c r="H1726" s="34">
        <v>45691</v>
      </c>
      <c r="I1726" s="26">
        <v>1</v>
      </c>
      <c r="J1726" s="26">
        <v>454</v>
      </c>
      <c r="K1726">
        <f>ТабПозиции[[#This Row],[discountPrice]]*ТабПозиции[[#This Row],[quantity]]</f>
        <v>454</v>
      </c>
      <c r="L1726" s="26">
        <v>478</v>
      </c>
      <c r="M1726">
        <f t="shared" si="37"/>
        <v>478</v>
      </c>
      <c r="O172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Row],[orderNum]],ТабПозиции[orderSumm])&gt;1500),ABS(M1726*VLOOKUP(ТабПозиции[[#This Row],[orderNum]],ТабЗаказы[#Data],MATCH("Percent",ТабЗаказы[#Headers],0),0))/100,200/COUNTIF(ТабПозиции[orderNum],ТабПозиции[[#This Row],[orderNum]])),0),"")</f>
        <v>48</v>
      </c>
      <c r="P1726">
        <f>IF(OR(ТабПозиции[[#This Row],[item]]="По штрихкоду",ТабПозиции[[#This Row],[item]]="Посылка"),ТабПозиции[[#This Row],[deliverySumm]]+ТабПозиции[[#This Row],[deliveryPost]],SUM(M1726:O1726))</f>
        <v>526</v>
      </c>
      <c r="Q1726" s="57">
        <v>526</v>
      </c>
      <c r="R1726" s="62">
        <f>ТабПозиции[[#This Row],[totalSumm]]-ТабПозиции[[#This Row],[payment]]</f>
        <v>0</v>
      </c>
      <c r="S1726" s="34" t="s">
        <v>965</v>
      </c>
      <c r="T1726" s="56" t="s">
        <v>3061</v>
      </c>
      <c r="U1726" s="56" t="str">
        <f>IF(AND(ТабПозиции[[#This Row],[Остаток]]=0,ТабПозиции[[#This Row],[ord]]="true"),"true","false")</f>
        <v>true</v>
      </c>
      <c r="V1726" s="56" t="str">
        <f>IF(AND(ТабПозиции[[#This Row],[Остаток]]=0,ТабПозиции[[#This Row],[ord]]="true"),"true","false")</f>
        <v>true</v>
      </c>
    </row>
    <row r="1727" spans="1:22" x14ac:dyDescent="0.25">
      <c r="A1727" s="26">
        <v>460</v>
      </c>
      <c r="B1727" s="1">
        <f>IFERROR(VLOOKUP(ТабПозиции[[#This Row],[orderNum]],ТабЗаказы[#Data],MATCH(B$7,ТабЗаказы[#Headers],0),0),"")</f>
        <v>45689</v>
      </c>
      <c r="C1727" t="str">
        <f>MONTH(ТабПозиции[[#This Row],[date]])&amp;"/"&amp;YEAR(ТабПозиции[[#This Row],[date]])</f>
        <v>2/2025</v>
      </c>
      <c r="D1727" s="1" t="str">
        <f>IFERROR(VLOOKUP(ТабПозиции[[#This Row],[orderNum]],ТабЗаказы[#Data],MATCH(D$7,ТабЗаказы[#Headers],0),0),"")</f>
        <v>Светлана от Александра</v>
      </c>
      <c r="E1727" s="85" t="s">
        <v>2391</v>
      </c>
      <c r="F1727" s="56" t="s">
        <v>3061</v>
      </c>
      <c r="H1727" s="34">
        <v>45691</v>
      </c>
      <c r="I1727" s="26">
        <v>1</v>
      </c>
      <c r="J1727" s="26">
        <v>745</v>
      </c>
      <c r="K1727">
        <f>ТабПозиции[[#This Row],[discountPrice]]*ТабПозиции[[#This Row],[quantity]]</f>
        <v>745</v>
      </c>
      <c r="L1727" s="26">
        <v>785</v>
      </c>
      <c r="M1727">
        <f t="shared" si="37"/>
        <v>785</v>
      </c>
      <c r="O172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Row],[orderNum]],ТабПозиции[orderSumm])&gt;1500),ABS(M1727*VLOOKUP(ТабПозиции[[#This Row],[orderNum]],ТабЗаказы[#Data],MATCH("Percent",ТабЗаказы[#Headers],0),0))/100,200/COUNTIF(ТабПозиции[orderNum],ТабПозиции[[#This Row],[orderNum]])),0),"")</f>
        <v>79</v>
      </c>
      <c r="P1727">
        <f>IF(OR(ТабПозиции[[#This Row],[item]]="По штрихкоду",ТабПозиции[[#This Row],[item]]="Посылка"),ТабПозиции[[#This Row],[deliverySumm]]+ТабПозиции[[#This Row],[deliveryPost]],SUM(M1727:O1727))</f>
        <v>864</v>
      </c>
      <c r="Q1727" s="57">
        <v>864</v>
      </c>
      <c r="R1727" s="62">
        <f>ТабПозиции[[#This Row],[totalSumm]]-ТабПозиции[[#This Row],[payment]]</f>
        <v>0</v>
      </c>
      <c r="S1727" s="34" t="s">
        <v>965</v>
      </c>
      <c r="T1727" s="56" t="s">
        <v>3061</v>
      </c>
      <c r="U1727" s="56" t="str">
        <f>IF(AND(ТабПозиции[[#This Row],[Остаток]]=0,ТабПозиции[[#This Row],[ord]]="true"),"true","false")</f>
        <v>true</v>
      </c>
      <c r="V1727" s="56" t="str">
        <f>IF(AND(ТабПозиции[[#This Row],[Остаток]]=0,ТабПозиции[[#This Row],[ord]]="true"),"true","false")</f>
        <v>true</v>
      </c>
    </row>
    <row r="1728" spans="1:22" x14ac:dyDescent="0.25">
      <c r="A1728" s="26">
        <v>449</v>
      </c>
      <c r="B1728" s="1">
        <f>IFERROR(VLOOKUP(ТабПозиции[[#This Row],[orderNum]],ТабЗаказы[#Data],MATCH(B$7,ТабЗаказы[#Headers],0),0),"")</f>
        <v>45683</v>
      </c>
      <c r="C1728" t="str">
        <f>MONTH(ТабПозиции[[#This Row],[date]])&amp;"/"&amp;YEAR(ТабПозиции[[#This Row],[date]])</f>
        <v>1/2025</v>
      </c>
      <c r="D1728" s="1" t="str">
        <f>IFERROR(VLOOKUP(ТабПозиции[[#This Row],[orderNum]],ТабЗаказы[#Data],MATCH(D$7,ТабЗаказы[#Headers],0),0),"")</f>
        <v>Олег Задорожный</v>
      </c>
      <c r="E1728" s="85" t="s">
        <v>2166</v>
      </c>
      <c r="F1728" s="56" t="s">
        <v>3061</v>
      </c>
      <c r="H1728" s="34">
        <v>45692</v>
      </c>
      <c r="I1728" s="26">
        <v>1</v>
      </c>
      <c r="J1728" s="26">
        <v>3380</v>
      </c>
      <c r="K1728">
        <f>ТабПозиции[[#This Row],[discountPrice]]*ТабПозиции[[#This Row],[quantity]]</f>
        <v>3380</v>
      </c>
      <c r="L1728" s="26">
        <v>3558</v>
      </c>
      <c r="M1728">
        <f t="shared" si="37"/>
        <v>3558</v>
      </c>
      <c r="O172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Row],[orderNum]],ТабПозиции[orderSumm])&gt;1500),ABS(M1728*VLOOKUP(ТабПозиции[[#This Row],[orderNum]],ТабЗаказы[#Data],MATCH("Percent",ТабЗаказы[#Headers],0),0))/100,200/COUNTIF(ТабПозиции[orderNum],ТабПозиции[[#This Row],[orderNum]])),0),"")</f>
        <v>534</v>
      </c>
      <c r="P1728">
        <f>IF(OR(ТабПозиции[[#This Row],[item]]="По штрихкоду",ТабПозиции[[#This Row],[item]]="Посылка"),ТабПозиции[[#This Row],[deliverySumm]]+ТабПозиции[[#This Row],[deliveryPost]],SUM(M1728:O1728))</f>
        <v>4092</v>
      </c>
      <c r="Q1728" s="57">
        <v>4092</v>
      </c>
      <c r="R1728" s="62">
        <f>ТабПозиции[[#This Row],[totalSumm]]-ТабПозиции[[#This Row],[payment]]</f>
        <v>0</v>
      </c>
      <c r="S1728" s="34" t="s">
        <v>965</v>
      </c>
      <c r="T1728" s="56" t="s">
        <v>3061</v>
      </c>
      <c r="U1728" s="56" t="str">
        <f>IF(AND(ТабПозиции[[#This Row],[Остаток]]=0,ТабПозиции[[#This Row],[ord]]="true"),"true","false")</f>
        <v>true</v>
      </c>
      <c r="V1728" s="56" t="s">
        <v>3061</v>
      </c>
    </row>
    <row r="1729" spans="1:22" x14ac:dyDescent="0.25">
      <c r="A1729" s="26">
        <v>461</v>
      </c>
      <c r="B1729" s="1">
        <f>IFERROR(VLOOKUP(ТабПозиции[[#This Row],[orderNum]],ТабЗаказы[#Data],MATCH(B$7,ТабЗаказы[#Headers],0),0),"")</f>
        <v>45691</v>
      </c>
      <c r="C1729" t="str">
        <f>MONTH(ТабПозиции[[#This Row],[date]])&amp;"/"&amp;YEAR(ТабПозиции[[#This Row],[date]])</f>
        <v>2/2025</v>
      </c>
      <c r="D1729" s="1" t="str">
        <f>IFERROR(VLOOKUP(ТабПозиции[[#This Row],[orderNum]],ТабЗаказы[#Data],MATCH(D$7,ТабЗаказы[#Headers],0),0),"")</f>
        <v>Данил Шевченко</v>
      </c>
      <c r="E1729" s="85" t="s">
        <v>2392</v>
      </c>
      <c r="F1729" s="56" t="s">
        <v>3061</v>
      </c>
      <c r="H1729" s="34">
        <v>45696</v>
      </c>
      <c r="I1729" s="26">
        <v>1</v>
      </c>
      <c r="J1729" s="26">
        <v>12307</v>
      </c>
      <c r="K1729">
        <f>ТабПозиции[[#This Row],[discountPrice]]*ТабПозиции[[#This Row],[quantity]]</f>
        <v>12307</v>
      </c>
      <c r="L1729" s="26">
        <v>12307</v>
      </c>
      <c r="M1729">
        <f t="shared" si="37"/>
        <v>12307</v>
      </c>
      <c r="O172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Row],[orderNum]],ТабПозиции[orderSumm])&gt;1500),ABS(M1729*VLOOKUP(ТабПозиции[[#This Row],[orderNum]],ТабЗаказы[#Data],MATCH("Percent",ТабЗаказы[#Headers],0),0))/100,200/COUNTIF(ТабПозиции[orderNum],ТабПозиции[[#This Row],[orderNum]])),0),"")</f>
        <v>1231</v>
      </c>
      <c r="P1729">
        <f>IF(OR(ТабПозиции[[#This Row],[item]]="По штрихкоду",ТабПозиции[[#This Row],[item]]="Посылка"),ТабПозиции[[#This Row],[deliverySumm]]+ТабПозиции[[#This Row],[deliveryPost]],SUM(M1729:O1729))</f>
        <v>13538</v>
      </c>
      <c r="Q1729" s="57">
        <v>13538</v>
      </c>
      <c r="R1729" s="62">
        <f>ТабПозиции[[#This Row],[totalSumm]]-ТабПозиции[[#This Row],[payment]]</f>
        <v>0</v>
      </c>
      <c r="S1729" s="34" t="s">
        <v>1000</v>
      </c>
      <c r="T1729" s="56" t="s">
        <v>3061</v>
      </c>
      <c r="U1729" s="56" t="str">
        <f>IF(AND(ТабПозиции[[#This Row],[Остаток]]=0,ТабПозиции[[#This Row],[ord]]="true"),"true","false")</f>
        <v>true</v>
      </c>
      <c r="V1729" s="56" t="str">
        <f>IF(AND(ТабПозиции[[#This Row],[Остаток]]=0,ТабПозиции[[#This Row],[ord]]="true"),"true","false")</f>
        <v>true</v>
      </c>
    </row>
    <row r="1730" spans="1:22" x14ac:dyDescent="0.25">
      <c r="A1730" s="26">
        <v>460</v>
      </c>
      <c r="B1730" s="1">
        <f>IFERROR(VLOOKUP(ТабПозиции[[#This Row],[orderNum]],ТабЗаказы[#Data],MATCH(B$7,ТабЗаказы[#Headers],0),0),"")</f>
        <v>45689</v>
      </c>
      <c r="C1730" t="str">
        <f>MONTH(ТабПозиции[[#This Row],[date]])&amp;"/"&amp;YEAR(ТабПозиции[[#This Row],[date]])</f>
        <v>2/2025</v>
      </c>
      <c r="D1730" s="1" t="str">
        <f>IFERROR(VLOOKUP(ТабПозиции[[#This Row],[orderNum]],ТабЗаказы[#Data],MATCH(D$7,ТабЗаказы[#Headers],0),0),"")</f>
        <v>Светлана от Александра</v>
      </c>
      <c r="E1730" s="90" t="s">
        <v>2395</v>
      </c>
      <c r="F1730" s="56" t="s">
        <v>3061</v>
      </c>
      <c r="H1730" s="34">
        <v>45694</v>
      </c>
      <c r="I1730" s="26">
        <v>1</v>
      </c>
      <c r="J1730" s="26">
        <v>745</v>
      </c>
      <c r="K1730">
        <f>ТабПозиции[[#This Row],[discountPrice]]*ТабПозиции[[#This Row],[quantity]]</f>
        <v>745</v>
      </c>
      <c r="L1730" s="26">
        <v>785</v>
      </c>
      <c r="M1730">
        <f t="shared" si="37"/>
        <v>785</v>
      </c>
      <c r="O173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Row],[orderNum]],ТабПозиции[orderSumm])&gt;1500),ABS(M1730*VLOOKUP(ТабПозиции[[#This Row],[orderNum]],ТабЗаказы[#Data],MATCH("Percent",ТабЗаказы[#Headers],0),0))/100,200/COUNTIF(ТабПозиции[orderNum],ТабПозиции[[#This Row],[orderNum]])),0),"")</f>
        <v>79</v>
      </c>
      <c r="P1730">
        <f>IF(OR(ТабПозиции[[#This Row],[item]]="По штрихкоду",ТабПозиции[[#This Row],[item]]="Посылка"),ТабПозиции[[#This Row],[deliverySumm]]+ТабПозиции[[#This Row],[deliveryPost]],SUM(M1730:O1730))</f>
        <v>864</v>
      </c>
      <c r="Q1730" s="57">
        <v>864</v>
      </c>
      <c r="R1730" s="62">
        <f>ТабПозиции[[#This Row],[totalSumm]]-ТабПозиции[[#This Row],[payment]]</f>
        <v>0</v>
      </c>
      <c r="S1730" s="34" t="s">
        <v>965</v>
      </c>
      <c r="T1730" s="56" t="s">
        <v>3061</v>
      </c>
      <c r="U1730" s="56" t="str">
        <f>IF(AND(ТабПозиции[[#This Row],[Остаток]]=0,ТабПозиции[[#This Row],[ord]]="true"),"true","false")</f>
        <v>true</v>
      </c>
      <c r="V1730" s="56" t="str">
        <f>IF(AND(ТабПозиции[[#This Row],[Остаток]]=0,ТабПозиции[[#This Row],[ord]]="true"),"true","false")</f>
        <v>true</v>
      </c>
    </row>
    <row r="1731" spans="1:22" x14ac:dyDescent="0.25">
      <c r="A1731" s="26">
        <v>460</v>
      </c>
      <c r="B1731" s="1">
        <f>IFERROR(VLOOKUP(ТабПозиции[[#This Row],[orderNum]],ТабЗаказы[#Data],MATCH(B$7,ТабЗаказы[#Headers],0),0),"")</f>
        <v>45689</v>
      </c>
      <c r="C1731" t="str">
        <f>MONTH(ТабПозиции[[#This Row],[date]])&amp;"/"&amp;YEAR(ТабПозиции[[#This Row],[date]])</f>
        <v>2/2025</v>
      </c>
      <c r="D1731" s="1" t="str">
        <f>IFERROR(VLOOKUP(ТабПозиции[[#This Row],[orderNum]],ТабЗаказы[#Data],MATCH(D$7,ТабЗаказы[#Headers],0),0),"")</f>
        <v>Светлана от Александра</v>
      </c>
      <c r="E1731" s="85" t="s">
        <v>2396</v>
      </c>
      <c r="F1731" s="56" t="s">
        <v>3061</v>
      </c>
      <c r="H1731" s="34">
        <v>45694</v>
      </c>
      <c r="I1731" s="26">
        <v>1</v>
      </c>
      <c r="J1731" s="26">
        <v>519</v>
      </c>
      <c r="K1731">
        <f>ТабПозиции[[#This Row],[discountPrice]]*ТабПозиции[[#This Row],[quantity]]</f>
        <v>519</v>
      </c>
      <c r="L1731" s="26">
        <v>547</v>
      </c>
      <c r="M1731">
        <f t="shared" si="37"/>
        <v>547</v>
      </c>
      <c r="O173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Row],[orderNum]],ТабПозиции[orderSumm])&gt;1500),ABS(M1731*VLOOKUP(ТабПозиции[[#This Row],[orderNum]],ТабЗаказы[#Data],MATCH("Percent",ТабЗаказы[#Headers],0),0))/100,200/COUNTIF(ТабПозиции[orderNum],ТабПозиции[[#This Row],[orderNum]])),0),"")</f>
        <v>55</v>
      </c>
      <c r="P1731">
        <f>IF(OR(ТабПозиции[[#This Row],[item]]="По штрихкоду",ТабПозиции[[#This Row],[item]]="Посылка"),ТабПозиции[[#This Row],[deliverySumm]]+ТабПозиции[[#This Row],[deliveryPost]],SUM(M1731:O1731))</f>
        <v>602</v>
      </c>
      <c r="Q1731" s="57">
        <v>602</v>
      </c>
      <c r="R1731" s="62">
        <f>ТабПозиции[[#This Row],[totalSumm]]-ТабПозиции[[#This Row],[payment]]</f>
        <v>0</v>
      </c>
      <c r="S1731" s="34" t="s">
        <v>965</v>
      </c>
      <c r="T1731" s="56" t="s">
        <v>3061</v>
      </c>
      <c r="U1731" s="56" t="str">
        <f>IF(AND(ТабПозиции[[#This Row],[Остаток]]=0,ТабПозиции[[#This Row],[ord]]="true"),"true","false")</f>
        <v>true</v>
      </c>
      <c r="V1731" s="56" t="str">
        <f>IF(AND(ТабПозиции[[#This Row],[Остаток]]=0,ТабПозиции[[#This Row],[ord]]="true"),"true","false")</f>
        <v>true</v>
      </c>
    </row>
    <row r="1732" spans="1:22" x14ac:dyDescent="0.25">
      <c r="A1732" s="26">
        <v>462</v>
      </c>
      <c r="B1732" s="1">
        <f>IFERROR(VLOOKUP(ТабПозиции[[#This Row],[orderNum]],ТабЗаказы[#Data],MATCH(B$7,ТабЗаказы[#Headers],0),0),"")</f>
        <v>45693</v>
      </c>
      <c r="C1732" t="str">
        <f>MONTH(ТабПозиции[[#This Row],[date]])&amp;"/"&amp;YEAR(ТабПозиции[[#This Row],[date]])</f>
        <v>2/2025</v>
      </c>
      <c r="D1732" s="1" t="str">
        <f>IFERROR(VLOOKUP(ТабПозиции[[#This Row],[orderNum]],ТабЗаказы[#Data],MATCH(D$7,ТабЗаказы[#Headers],0),0),"")</f>
        <v>Елена Гайдар</v>
      </c>
      <c r="E1732" s="85" t="s">
        <v>2397</v>
      </c>
      <c r="F1732" s="56" t="s">
        <v>3061</v>
      </c>
      <c r="H1732" s="34">
        <v>45696</v>
      </c>
      <c r="I1732" s="26">
        <v>1</v>
      </c>
      <c r="J1732" s="26">
        <v>358</v>
      </c>
      <c r="K1732">
        <f>ТабПозиции[[#This Row],[discountPrice]]*ТабПозиции[[#This Row],[quantity]]</f>
        <v>358</v>
      </c>
      <c r="L1732" s="26">
        <v>377</v>
      </c>
      <c r="M1732">
        <f t="shared" si="37"/>
        <v>377</v>
      </c>
      <c r="O173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Row],[orderNum]],ТабПозиции[orderSumm])&gt;1500),ABS(M1732*VLOOKUP(ТабПозиции[[#This Row],[orderNum]],ТабЗаказы[#Data],MATCH("Percent",ТабЗаказы[#Headers],0),0))/100,200/COUNTIF(ТабПозиции[orderNum],ТабПозиции[[#This Row],[orderNum]])),0),"")</f>
        <v>57</v>
      </c>
      <c r="P1732">
        <f>IF(OR(ТабПозиции[[#This Row],[item]]="По штрихкоду",ТабПозиции[[#This Row],[item]]="Посылка"),ТабПозиции[[#This Row],[deliverySumm]]+ТабПозиции[[#This Row],[deliveryPost]],SUM(M1732:O1732))</f>
        <v>434</v>
      </c>
      <c r="Q1732" s="57">
        <v>434</v>
      </c>
      <c r="R1732" s="62">
        <f>ТабПозиции[[#This Row],[totalSumm]]-ТабПозиции[[#This Row],[payment]]</f>
        <v>0</v>
      </c>
      <c r="S1732" s="34" t="s">
        <v>965</v>
      </c>
      <c r="T1732" s="56" t="s">
        <v>3061</v>
      </c>
      <c r="U1732" s="56" t="str">
        <f>IF(AND(ТабПозиции[[#This Row],[Остаток]]=0,ТабПозиции[[#This Row],[ord]]="true"),"true","false")</f>
        <v>true</v>
      </c>
      <c r="V1732" s="56" t="str">
        <f>IF(AND(ТабПозиции[[#This Row],[Остаток]]=0,ТабПозиции[[#This Row],[ord]]="true"),"true","false")</f>
        <v>true</v>
      </c>
    </row>
    <row r="1733" spans="1:22" x14ac:dyDescent="0.25">
      <c r="A1733" s="26">
        <v>462</v>
      </c>
      <c r="B1733" s="1">
        <f>IFERROR(VLOOKUP(ТабПозиции[[#This Row],[orderNum]],ТабЗаказы[#Data],MATCH(B$7,ТабЗаказы[#Headers],0),0),"")</f>
        <v>45693</v>
      </c>
      <c r="C1733" t="str">
        <f>MONTH(ТабПозиции[[#This Row],[date]])&amp;"/"&amp;YEAR(ТабПозиции[[#This Row],[date]])</f>
        <v>2/2025</v>
      </c>
      <c r="D1733" s="1" t="str">
        <f>IFERROR(VLOOKUP(ТабПозиции[[#This Row],[orderNum]],ТабЗаказы[#Data],MATCH(D$7,ТабЗаказы[#Headers],0),0),"")</f>
        <v>Елена Гайдар</v>
      </c>
      <c r="E1733" s="85" t="s">
        <v>2398</v>
      </c>
      <c r="F1733" s="56" t="s">
        <v>3061</v>
      </c>
      <c r="H1733" s="34">
        <v>45696</v>
      </c>
      <c r="I1733" s="26">
        <v>1</v>
      </c>
      <c r="J1733" s="26">
        <v>368</v>
      </c>
      <c r="K1733">
        <f>ТабПозиции[[#This Row],[discountPrice]]*ТабПозиции[[#This Row],[quantity]]</f>
        <v>368</v>
      </c>
      <c r="L1733" s="26">
        <v>388</v>
      </c>
      <c r="M1733">
        <f t="shared" si="37"/>
        <v>388</v>
      </c>
      <c r="O173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Row],[orderNum]],ТабПозиции[orderSumm])&gt;1500),ABS(M1733*VLOOKUP(ТабПозиции[[#This Row],[orderNum]],ТабЗаказы[#Data],MATCH("Percent",ТабЗаказы[#Headers],0),0))/100,200/COUNTIF(ТабПозиции[orderNum],ТабПозиции[[#This Row],[orderNum]])),0),"")</f>
        <v>58</v>
      </c>
      <c r="P1733">
        <f>IF(OR(ТабПозиции[[#This Row],[item]]="По штрихкоду",ТабПозиции[[#This Row],[item]]="Посылка"),ТабПозиции[[#This Row],[deliverySumm]]+ТабПозиции[[#This Row],[deliveryPost]],SUM(M1733:O1733))</f>
        <v>446</v>
      </c>
      <c r="Q1733" s="57">
        <v>446</v>
      </c>
      <c r="R1733" s="62">
        <f>ТабПозиции[[#This Row],[totalSumm]]-ТабПозиции[[#This Row],[payment]]</f>
        <v>0</v>
      </c>
      <c r="S1733" s="34" t="s">
        <v>965</v>
      </c>
      <c r="T1733" s="56" t="s">
        <v>3061</v>
      </c>
      <c r="U1733" s="56" t="str">
        <f>IF(AND(ТабПозиции[[#This Row],[Остаток]]=0,ТабПозиции[[#This Row],[ord]]="true"),"true","false")</f>
        <v>true</v>
      </c>
      <c r="V1733" s="56" t="str">
        <f>IF(AND(ТабПозиции[[#This Row],[Остаток]]=0,ТабПозиции[[#This Row],[ord]]="true"),"true","false")</f>
        <v>true</v>
      </c>
    </row>
    <row r="1734" spans="1:22" x14ac:dyDescent="0.25">
      <c r="A1734" s="26">
        <v>462</v>
      </c>
      <c r="B1734" s="1">
        <f>IFERROR(VLOOKUP(ТабПозиции[[#This Row],[orderNum]],ТабЗаказы[#Data],MATCH(B$7,ТабЗаказы[#Headers],0),0),"")</f>
        <v>45693</v>
      </c>
      <c r="C1734" t="str">
        <f>MONTH(ТабПозиции[[#This Row],[date]])&amp;"/"&amp;YEAR(ТабПозиции[[#This Row],[date]])</f>
        <v>2/2025</v>
      </c>
      <c r="D1734" s="1" t="str">
        <f>IFERROR(VLOOKUP(ТабПозиции[[#This Row],[orderNum]],ТабЗаказы[#Data],MATCH(D$7,ТабЗаказы[#Headers],0),0),"")</f>
        <v>Елена Гайдар</v>
      </c>
      <c r="E1734" s="85" t="s">
        <v>2234</v>
      </c>
      <c r="F1734" s="56" t="s">
        <v>3061</v>
      </c>
      <c r="H1734" s="34">
        <v>45694</v>
      </c>
      <c r="I1734" s="26">
        <v>1</v>
      </c>
      <c r="J1734" s="26">
        <v>203</v>
      </c>
      <c r="K1734">
        <f>ТабПозиции[[#This Row],[discountPrice]]*ТабПозиции[[#This Row],[quantity]]</f>
        <v>203</v>
      </c>
      <c r="L1734" s="26">
        <v>214</v>
      </c>
      <c r="M1734">
        <f t="shared" si="37"/>
        <v>214</v>
      </c>
      <c r="O173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Row],[orderNum]],ТабПозиции[orderSumm])&gt;1500),ABS(M1734*VLOOKUP(ТабПозиции[[#This Row],[orderNum]],ТабЗаказы[#Data],MATCH("Percent",ТабЗаказы[#Headers],0),0))/100,200/COUNTIF(ТабПозиции[orderNum],ТабПозиции[[#This Row],[orderNum]])),0),"")</f>
        <v>32</v>
      </c>
      <c r="P1734">
        <f>IF(OR(ТабПозиции[[#This Row],[item]]="По штрихкоду",ТабПозиции[[#This Row],[item]]="Посылка"),ТабПозиции[[#This Row],[deliverySumm]]+ТабПозиции[[#This Row],[deliveryPost]],SUM(M1734:O1734))</f>
        <v>246</v>
      </c>
      <c r="Q1734" s="57">
        <v>246</v>
      </c>
      <c r="R1734" s="62">
        <f>ТабПозиции[[#This Row],[totalSumm]]-ТабПозиции[[#This Row],[payment]]</f>
        <v>0</v>
      </c>
      <c r="S1734" s="34" t="s">
        <v>965</v>
      </c>
      <c r="T1734" s="56" t="s">
        <v>3061</v>
      </c>
      <c r="U1734" s="56" t="str">
        <f>IF(AND(ТабПозиции[[#This Row],[Остаток]]=0,ТабПозиции[[#This Row],[ord]]="true"),"true","false")</f>
        <v>true</v>
      </c>
      <c r="V1734" s="56" t="str">
        <f>IF(AND(ТабПозиции[[#This Row],[Остаток]]=0,ТабПозиции[[#This Row],[ord]]="true"),"true","false")</f>
        <v>true</v>
      </c>
    </row>
    <row r="1735" spans="1:22" x14ac:dyDescent="0.25">
      <c r="A1735" s="26">
        <v>462</v>
      </c>
      <c r="B1735" s="1">
        <f>IFERROR(VLOOKUP(ТабПозиции[[#This Row],[orderNum]],ТабЗаказы[#Data],MATCH(B$7,ТабЗаказы[#Headers],0),0),"")</f>
        <v>45693</v>
      </c>
      <c r="C1735" t="str">
        <f>MONTH(ТабПозиции[[#This Row],[date]])&amp;"/"&amp;YEAR(ТабПозиции[[#This Row],[date]])</f>
        <v>2/2025</v>
      </c>
      <c r="D1735" s="1" t="str">
        <f>IFERROR(VLOOKUP(ТабПозиции[[#This Row],[orderNum]],ТабЗаказы[#Data],MATCH(D$7,ТабЗаказы[#Headers],0),0),"")</f>
        <v>Елена Гайдар</v>
      </c>
      <c r="E1735" s="85" t="s">
        <v>2399</v>
      </c>
      <c r="F1735" s="56" t="s">
        <v>3061</v>
      </c>
      <c r="H1735" s="34">
        <v>45695</v>
      </c>
      <c r="I1735" s="26">
        <v>1</v>
      </c>
      <c r="J1735" s="26">
        <v>324</v>
      </c>
      <c r="K1735">
        <f>ТабПозиции[[#This Row],[discountPrice]]*ТабПозиции[[#This Row],[quantity]]</f>
        <v>324</v>
      </c>
      <c r="L1735" s="26">
        <v>342</v>
      </c>
      <c r="M1735">
        <f t="shared" si="37"/>
        <v>342</v>
      </c>
      <c r="O173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Row],[orderNum]],ТабПозиции[orderSumm])&gt;1500),ABS(M1735*VLOOKUP(ТабПозиции[[#This Row],[orderNum]],ТабЗаказы[#Data],MATCH("Percent",ТабЗаказы[#Headers],0),0))/100,200/COUNTIF(ТабПозиции[orderNum],ТабПозиции[[#This Row],[orderNum]])),0),"")</f>
        <v>51</v>
      </c>
      <c r="P1735">
        <f>IF(OR(ТабПозиции[[#This Row],[item]]="По штрихкоду",ТабПозиции[[#This Row],[item]]="Посылка"),ТабПозиции[[#This Row],[deliverySumm]]+ТабПозиции[[#This Row],[deliveryPost]],SUM(M1735:O1735))</f>
        <v>393</v>
      </c>
      <c r="Q1735" s="57">
        <v>393</v>
      </c>
      <c r="R1735" s="62">
        <f>ТабПозиции[[#This Row],[totalSumm]]-ТабПозиции[[#This Row],[payment]]</f>
        <v>0</v>
      </c>
      <c r="S1735" s="34" t="s">
        <v>965</v>
      </c>
      <c r="T1735" s="56" t="s">
        <v>3061</v>
      </c>
      <c r="U1735" s="56" t="str">
        <f>IF(AND(ТабПозиции[[#This Row],[Остаток]]=0,ТабПозиции[[#This Row],[ord]]="true"),"true","false")</f>
        <v>true</v>
      </c>
      <c r="V1735" s="56" t="str">
        <f>IF(AND(ТабПозиции[[#This Row],[Остаток]]=0,ТабПозиции[[#This Row],[ord]]="true"),"true","false")</f>
        <v>true</v>
      </c>
    </row>
    <row r="1736" spans="1:22" x14ac:dyDescent="0.25">
      <c r="A1736" s="26">
        <v>462</v>
      </c>
      <c r="B1736" s="1">
        <f>IFERROR(VLOOKUP(ТабПозиции[[#This Row],[orderNum]],ТабЗаказы[#Data],MATCH(B$7,ТабЗаказы[#Headers],0),0),"")</f>
        <v>45693</v>
      </c>
      <c r="C1736" t="str">
        <f>MONTH(ТабПозиции[[#This Row],[date]])&amp;"/"&amp;YEAR(ТабПозиции[[#This Row],[date]])</f>
        <v>2/2025</v>
      </c>
      <c r="D1736" s="1" t="str">
        <f>IFERROR(VLOOKUP(ТабПозиции[[#This Row],[orderNum]],ТабЗаказы[#Data],MATCH(D$7,ТабЗаказы[#Headers],0),0),"")</f>
        <v>Елена Гайдар</v>
      </c>
      <c r="E1736" s="85" t="s">
        <v>2400</v>
      </c>
      <c r="F1736" s="56" t="s">
        <v>3061</v>
      </c>
      <c r="H1736" s="34">
        <v>45694</v>
      </c>
      <c r="I1736" s="26">
        <v>1</v>
      </c>
      <c r="J1736" s="26">
        <v>491</v>
      </c>
      <c r="K1736">
        <f>ТабПозиции[[#This Row],[discountPrice]]*ТабПозиции[[#This Row],[quantity]]</f>
        <v>491</v>
      </c>
      <c r="L1736" s="26">
        <v>517</v>
      </c>
      <c r="M1736">
        <f t="shared" si="37"/>
        <v>517</v>
      </c>
      <c r="O173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Row],[orderNum]],ТабПозиции[orderSumm])&gt;1500),ABS(M1736*VLOOKUP(ТабПозиции[[#This Row],[orderNum]],ТабЗаказы[#Data],MATCH("Percent",ТабЗаказы[#Headers],0),0))/100,200/COUNTIF(ТабПозиции[orderNum],ТабПозиции[[#This Row],[orderNum]])),0),"")</f>
        <v>78</v>
      </c>
      <c r="P1736">
        <f>IF(OR(ТабПозиции[[#This Row],[item]]="По штрихкоду",ТабПозиции[[#This Row],[item]]="Посылка"),ТабПозиции[[#This Row],[deliverySumm]]+ТабПозиции[[#This Row],[deliveryPost]],SUM(M1736:O1736))</f>
        <v>595</v>
      </c>
      <c r="Q1736" s="57">
        <v>595</v>
      </c>
      <c r="R1736" s="62">
        <f>ТабПозиции[[#This Row],[totalSumm]]-ТабПозиции[[#This Row],[payment]]</f>
        <v>0</v>
      </c>
      <c r="S1736" s="34" t="s">
        <v>965</v>
      </c>
      <c r="T1736" s="56" t="s">
        <v>3061</v>
      </c>
      <c r="U1736" s="56" t="str">
        <f>IF(AND(ТабПозиции[[#This Row],[Остаток]]=0,ТабПозиции[[#This Row],[ord]]="true"),"true","false")</f>
        <v>true</v>
      </c>
      <c r="V1736" s="56" t="str">
        <f>IF(AND(ТабПозиции[[#This Row],[Остаток]]=0,ТабПозиции[[#This Row],[ord]]="true"),"true","false")</f>
        <v>true</v>
      </c>
    </row>
    <row r="1737" spans="1:22" x14ac:dyDescent="0.25">
      <c r="A1737" s="26">
        <v>462</v>
      </c>
      <c r="B1737" s="1">
        <f>IFERROR(VLOOKUP(ТабПозиции[[#This Row],[orderNum]],ТабЗаказы[#Data],MATCH(B$7,ТабЗаказы[#Headers],0),0),"")</f>
        <v>45693</v>
      </c>
      <c r="C1737" t="str">
        <f>MONTH(ТабПозиции[[#This Row],[date]])&amp;"/"&amp;YEAR(ТабПозиции[[#This Row],[date]])</f>
        <v>2/2025</v>
      </c>
      <c r="D1737" s="1" t="str">
        <f>IFERROR(VLOOKUP(ТабПозиции[[#This Row],[orderNum]],ТабЗаказы[#Data],MATCH(D$7,ТабЗаказы[#Headers],0),0),"")</f>
        <v>Елена Гайдар</v>
      </c>
      <c r="E1737" s="85" t="s">
        <v>2401</v>
      </c>
      <c r="F1737" s="56" t="s">
        <v>3061</v>
      </c>
      <c r="H1737" s="34">
        <v>45695</v>
      </c>
      <c r="I1737" s="26">
        <v>1</v>
      </c>
      <c r="J1737" s="26">
        <v>419</v>
      </c>
      <c r="K1737">
        <f>ТабПозиции[[#This Row],[discountPrice]]*ТабПозиции[[#This Row],[quantity]]</f>
        <v>419</v>
      </c>
      <c r="L1737" s="26">
        <v>442</v>
      </c>
      <c r="M1737">
        <f t="shared" si="37"/>
        <v>442</v>
      </c>
      <c r="O173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Row],[orderNum]],ТабПозиции[orderSumm])&gt;1500),ABS(M1737*VLOOKUP(ТабПозиции[[#This Row],[orderNum]],ТабЗаказы[#Data],MATCH("Percent",ТабЗаказы[#Headers],0),0))/100,200/COUNTIF(ТабПозиции[orderNum],ТабПозиции[[#This Row],[orderNum]])),0),"")</f>
        <v>66</v>
      </c>
      <c r="P1737">
        <f>IF(OR(ТабПозиции[[#This Row],[item]]="По штрихкоду",ТабПозиции[[#This Row],[item]]="Посылка"),ТабПозиции[[#This Row],[deliverySumm]]+ТабПозиции[[#This Row],[deliveryPost]],SUM(M1737:O1737))</f>
        <v>508</v>
      </c>
      <c r="Q1737" s="57">
        <v>508</v>
      </c>
      <c r="R1737" s="62">
        <f>ТабПозиции[[#This Row],[totalSumm]]-ТабПозиции[[#This Row],[payment]]</f>
        <v>0</v>
      </c>
      <c r="S1737" s="34" t="s">
        <v>965</v>
      </c>
      <c r="T1737" s="56" t="s">
        <v>3061</v>
      </c>
      <c r="U1737" s="56" t="str">
        <f>IF(AND(ТабПозиции[[#This Row],[Остаток]]=0,ТабПозиции[[#This Row],[ord]]="true"),"true","false")</f>
        <v>true</v>
      </c>
      <c r="V1737" s="56" t="str">
        <f>IF(AND(ТабПозиции[[#This Row],[Остаток]]=0,ТабПозиции[[#This Row],[ord]]="true"),"true","false")</f>
        <v>true</v>
      </c>
    </row>
    <row r="1738" spans="1:22" x14ac:dyDescent="0.25">
      <c r="A1738" s="26">
        <v>462</v>
      </c>
      <c r="B1738" s="1">
        <f>IFERROR(VLOOKUP(ТабПозиции[[#This Row],[orderNum]],ТабЗаказы[#Data],MATCH(B$7,ТабЗаказы[#Headers],0),0),"")</f>
        <v>45693</v>
      </c>
      <c r="C1738" t="str">
        <f>MONTH(ТабПозиции[[#This Row],[date]])&amp;"/"&amp;YEAR(ТабПозиции[[#This Row],[date]])</f>
        <v>2/2025</v>
      </c>
      <c r="D1738" s="1" t="str">
        <f>IFERROR(VLOOKUP(ТабПозиции[[#This Row],[orderNum]],ТабЗаказы[#Data],MATCH(D$7,ТабЗаказы[#Headers],0),0),"")</f>
        <v>Елена Гайдар</v>
      </c>
      <c r="E1738" s="85" t="s">
        <v>1699</v>
      </c>
      <c r="F1738" s="56" t="s">
        <v>3061</v>
      </c>
      <c r="H1738" s="34">
        <v>45695</v>
      </c>
      <c r="I1738" s="26">
        <v>1</v>
      </c>
      <c r="J1738" s="26">
        <v>373</v>
      </c>
      <c r="K1738">
        <f>ТабПозиции[[#This Row],[discountPrice]]*ТабПозиции[[#This Row],[quantity]]</f>
        <v>373</v>
      </c>
      <c r="L1738" s="26">
        <v>393</v>
      </c>
      <c r="M1738">
        <f t="shared" si="37"/>
        <v>393</v>
      </c>
      <c r="O173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Row],[orderNum]],ТабПозиции[orderSumm])&gt;1500),ABS(M1738*VLOOKUP(ТабПозиции[[#This Row],[orderNum]],ТабЗаказы[#Data],MATCH("Percent",ТабЗаказы[#Headers],0),0))/100,200/COUNTIF(ТабПозиции[orderNum],ТабПозиции[[#This Row],[orderNum]])),0),"")</f>
        <v>59</v>
      </c>
      <c r="P1738">
        <f>IF(OR(ТабПозиции[[#This Row],[item]]="По штрихкоду",ТабПозиции[[#This Row],[item]]="Посылка"),ТабПозиции[[#This Row],[deliverySumm]]+ТабПозиции[[#This Row],[deliveryPost]],SUM(M1738:O1738))</f>
        <v>452</v>
      </c>
      <c r="Q1738" s="57">
        <v>452</v>
      </c>
      <c r="R1738" s="62">
        <f>ТабПозиции[[#This Row],[totalSumm]]-ТабПозиции[[#This Row],[payment]]</f>
        <v>0</v>
      </c>
      <c r="S1738" s="34" t="s">
        <v>965</v>
      </c>
      <c r="T1738" s="56" t="s">
        <v>3061</v>
      </c>
      <c r="U1738" s="56" t="str">
        <f>IF(AND(ТабПозиции[[#This Row],[Остаток]]=0,ТабПозиции[[#This Row],[ord]]="true"),"true","false")</f>
        <v>true</v>
      </c>
      <c r="V1738" s="56" t="str">
        <f>IF(AND(ТабПозиции[[#This Row],[Остаток]]=0,ТабПозиции[[#This Row],[ord]]="true"),"true","false")</f>
        <v>true</v>
      </c>
    </row>
    <row r="1739" spans="1:22" x14ac:dyDescent="0.25">
      <c r="A1739" s="26">
        <v>462</v>
      </c>
      <c r="B1739" s="1">
        <f>IFERROR(VLOOKUP(ТабПозиции[[#This Row],[orderNum]],ТабЗаказы[#Data],MATCH(B$7,ТабЗаказы[#Headers],0),0),"")</f>
        <v>45693</v>
      </c>
      <c r="C1739" t="str">
        <f>MONTH(ТабПозиции[[#This Row],[date]])&amp;"/"&amp;YEAR(ТабПозиции[[#This Row],[date]])</f>
        <v>2/2025</v>
      </c>
      <c r="D1739" s="1" t="str">
        <f>IFERROR(VLOOKUP(ТабПозиции[[#This Row],[orderNum]],ТабЗаказы[#Data],MATCH(D$7,ТабЗаказы[#Headers],0),0),"")</f>
        <v>Елена Гайдар</v>
      </c>
      <c r="E1739" s="85" t="s">
        <v>1505</v>
      </c>
      <c r="F1739" s="56" t="s">
        <v>3061</v>
      </c>
      <c r="H1739" s="34">
        <v>45696</v>
      </c>
      <c r="I1739" s="26">
        <v>2</v>
      </c>
      <c r="J1739" s="26">
        <v>443</v>
      </c>
      <c r="K1739">
        <f>ТабПозиции[[#This Row],[discountPrice]]*ТабПозиции[[#This Row],[quantity]]</f>
        <v>886</v>
      </c>
      <c r="L1739" s="26">
        <v>467</v>
      </c>
      <c r="M1739">
        <f t="shared" si="37"/>
        <v>934</v>
      </c>
      <c r="O173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Row],[orderNum]],ТабПозиции[orderSumm])&gt;1500),ABS(M1739*VLOOKUP(ТабПозиции[[#This Row],[orderNum]],ТабЗаказы[#Data],MATCH("Percent",ТабЗаказы[#Headers],0),0))/100,200/COUNTIF(ТабПозиции[orderNum],ТабПозиции[[#This Row],[orderNum]])),0),"")</f>
        <v>140</v>
      </c>
      <c r="P1739">
        <f>IF(OR(ТабПозиции[[#This Row],[item]]="По штрихкоду",ТабПозиции[[#This Row],[item]]="Посылка"),ТабПозиции[[#This Row],[deliverySumm]]+ТабПозиции[[#This Row],[deliveryPost]],SUM(M1739:O1739))</f>
        <v>1074</v>
      </c>
      <c r="Q1739" s="57">
        <v>1074</v>
      </c>
      <c r="R1739" s="62">
        <f>ТабПозиции[[#This Row],[totalSumm]]-ТабПозиции[[#This Row],[payment]]</f>
        <v>0</v>
      </c>
      <c r="S1739" s="34" t="s">
        <v>965</v>
      </c>
      <c r="T1739" s="56" t="s">
        <v>3061</v>
      </c>
      <c r="U1739" s="56" t="str">
        <f>IF(AND(ТабПозиции[[#This Row],[Остаток]]=0,ТабПозиции[[#This Row],[ord]]="true"),"true","false")</f>
        <v>true</v>
      </c>
      <c r="V1739" s="56" t="str">
        <f>IF(AND(ТабПозиции[[#This Row],[Остаток]]=0,ТабПозиции[[#This Row],[ord]]="true"),"true","false")</f>
        <v>true</v>
      </c>
    </row>
    <row r="1740" spans="1:22" x14ac:dyDescent="0.25">
      <c r="A1740" s="26">
        <v>463</v>
      </c>
      <c r="B1740" s="1">
        <f>IFERROR(VLOOKUP(ТабПозиции[[#This Row],[orderNum]],ТабЗаказы[#Data],MATCH(B$7,ТабЗаказы[#Headers],0),0),"")</f>
        <v>45693</v>
      </c>
      <c r="C1740" t="str">
        <f>MONTH(ТабПозиции[[#This Row],[date]])&amp;"/"&amp;YEAR(ТабПозиции[[#This Row],[date]])</f>
        <v>2/2025</v>
      </c>
      <c r="D1740" s="1" t="str">
        <f>IFERROR(VLOOKUP(ТабПозиции[[#This Row],[orderNum]],ТабЗаказы[#Data],MATCH(D$7,ТабЗаказы[#Headers],0),0),"")</f>
        <v>Лилия Полонская</v>
      </c>
      <c r="E1740" s="85" t="s">
        <v>2406</v>
      </c>
      <c r="F1740" s="56" t="s">
        <v>3061</v>
      </c>
      <c r="G1740" s="28" t="s">
        <v>2407</v>
      </c>
      <c r="H1740" s="34">
        <v>45695</v>
      </c>
      <c r="I1740" s="26">
        <v>2</v>
      </c>
      <c r="J1740" s="26">
        <v>1948</v>
      </c>
      <c r="K1740">
        <f>ТабПозиции[[#This Row],[discountPrice]]*ТабПозиции[[#This Row],[quantity]]</f>
        <v>3896</v>
      </c>
      <c r="L1740" s="26">
        <v>1948</v>
      </c>
      <c r="M1740">
        <f t="shared" si="37"/>
        <v>3896</v>
      </c>
      <c r="O174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Row],[orderNum]],ТабПозиции[orderSumm])&gt;1500),ABS(M1740*VLOOKUP(ТабПозиции[[#This Row],[orderNum]],ТабЗаказы[#Data],MATCH("Percent",ТабЗаказы[#Headers],0),0))/100,200/COUNTIF(ТабПозиции[orderNum],ТабПозиции[[#This Row],[orderNum]])),0),"")</f>
        <v>584</v>
      </c>
      <c r="P1740">
        <f>IF(OR(ТабПозиции[[#This Row],[item]]="По штрихкоду",ТабПозиции[[#This Row],[item]]="Посылка"),ТабПозиции[[#This Row],[deliverySumm]]+ТабПозиции[[#This Row],[deliveryPost]],SUM(M1740:O1740))</f>
        <v>4480</v>
      </c>
      <c r="Q1740" s="57">
        <v>4480</v>
      </c>
      <c r="R1740" s="62">
        <f>ТабПозиции[[#This Row],[totalSumm]]-ТабПозиции[[#This Row],[payment]]</f>
        <v>0</v>
      </c>
      <c r="S1740" s="34" t="s">
        <v>2408</v>
      </c>
      <c r="T1740" s="56" t="s">
        <v>3061</v>
      </c>
      <c r="U1740" s="56" t="str">
        <f>IF(AND(ТабПозиции[[#This Row],[Остаток]]=0,ТабПозиции[[#This Row],[ord]]="true"),"true","false")</f>
        <v>true</v>
      </c>
      <c r="V1740" s="56" t="str">
        <f>IF(AND(ТабПозиции[[#This Row],[Остаток]]=0,ТабПозиции[[#This Row],[ord]]="true"),"true","false")</f>
        <v>true</v>
      </c>
    </row>
    <row r="1741" spans="1:22" x14ac:dyDescent="0.25">
      <c r="A1741" s="26">
        <v>464</v>
      </c>
      <c r="B1741" s="1">
        <f>IFERROR(VLOOKUP(ТабПозиции[[#This Row],[orderNum]],ТабЗаказы[#Data],MATCH(B$7,ТабЗаказы[#Headers],0),0),"")</f>
        <v>45693</v>
      </c>
      <c r="C1741" t="str">
        <f>MONTH(ТабПозиции[[#This Row],[date]])&amp;"/"&amp;YEAR(ТабПозиции[[#This Row],[date]])</f>
        <v>2/2025</v>
      </c>
      <c r="D1741" s="1" t="str">
        <f>IFERROR(VLOOKUP(ТабПозиции[[#This Row],[orderNum]],ТабЗаказы[#Data],MATCH(D$7,ТабЗаказы[#Headers],0),0),"")</f>
        <v>Руденко Юля</v>
      </c>
      <c r="E1741" s="85" t="s">
        <v>1987</v>
      </c>
      <c r="F1741" s="56" t="s">
        <v>3061</v>
      </c>
      <c r="H1741" s="34">
        <v>45738</v>
      </c>
      <c r="I1741" s="26">
        <v>1</v>
      </c>
      <c r="J1741" s="26">
        <v>833</v>
      </c>
      <c r="K1741">
        <f>ТабПозиции[[#This Row],[discountPrice]]*ТабПозиции[[#This Row],[quantity]]</f>
        <v>833</v>
      </c>
      <c r="L1741" s="26">
        <v>855</v>
      </c>
      <c r="M1741">
        <f t="shared" si="37"/>
        <v>855</v>
      </c>
      <c r="O174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Row],[orderNum]],ТабПозиции[orderSumm])&gt;1500),ABS(M1741*VLOOKUP(ТабПозиции[[#This Row],[orderNum]],ТабЗаказы[#Data],MATCH("Percent",ТабЗаказы[#Headers],0),0))/100,200/COUNTIF(ТабПозиции[orderNum],ТабПозиции[[#This Row],[orderNum]])),0),"")</f>
        <v>86</v>
      </c>
      <c r="P1741">
        <f>IF(OR(ТабПозиции[[#This Row],[item]]="По штрихкоду",ТабПозиции[[#This Row],[item]]="Посылка"),ТабПозиции[[#This Row],[deliverySumm]]+ТабПозиции[[#This Row],[deliveryPost]],SUM(M1741:O1741))</f>
        <v>941</v>
      </c>
      <c r="Q1741" s="57">
        <v>941</v>
      </c>
      <c r="R1741" s="62">
        <f>ТабПозиции[[#This Row],[totalSumm]]-ТабПозиции[[#This Row],[payment]]</f>
        <v>0</v>
      </c>
      <c r="S1741" s="34" t="s">
        <v>955</v>
      </c>
      <c r="T1741" s="56" t="s">
        <v>3061</v>
      </c>
      <c r="U1741" s="56" t="str">
        <f>IF(AND(ТабПозиции[[#This Row],[Остаток]]=0,ТабПозиции[[#This Row],[ord]]="true"),"true","false")</f>
        <v>true</v>
      </c>
      <c r="V1741" s="56" t="s">
        <v>3061</v>
      </c>
    </row>
    <row r="1742" spans="1:22" x14ac:dyDescent="0.25">
      <c r="A1742" s="26">
        <v>464</v>
      </c>
      <c r="B1742" s="1">
        <f>IFERROR(VLOOKUP(ТабПозиции[[#This Row],[orderNum]],ТабЗаказы[#Data],MATCH(B$7,ТабЗаказы[#Headers],0),0),"")</f>
        <v>45693</v>
      </c>
      <c r="C1742" t="str">
        <f>MONTH(ТабПозиции[[#This Row],[date]])&amp;"/"&amp;YEAR(ТабПозиции[[#This Row],[date]])</f>
        <v>2/2025</v>
      </c>
      <c r="D1742" s="1" t="str">
        <f>IFERROR(VLOOKUP(ТабПозиции[[#This Row],[orderNum]],ТабЗаказы[#Data],MATCH(D$7,ТабЗаказы[#Headers],0),0),"")</f>
        <v>Руденко Юля</v>
      </c>
      <c r="E1742" s="85" t="s">
        <v>2409</v>
      </c>
      <c r="F1742" s="56" t="s">
        <v>3061</v>
      </c>
      <c r="H1742" s="34">
        <v>45727</v>
      </c>
      <c r="I1742" s="26">
        <v>1</v>
      </c>
      <c r="J1742" s="26">
        <v>1023</v>
      </c>
      <c r="K1742">
        <f>ТабПозиции[[#This Row],[discountPrice]]*ТабПозиции[[#This Row],[quantity]]</f>
        <v>1023</v>
      </c>
      <c r="L1742" s="26">
        <v>1062</v>
      </c>
      <c r="M1742">
        <f t="shared" si="37"/>
        <v>1062</v>
      </c>
      <c r="O174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Row],[orderNum]],ТабПозиции[orderSumm])&gt;1500),ABS(M1742*VLOOKUP(ТабПозиции[[#This Row],[orderNum]],ТабЗаказы[#Data],MATCH("Percent",ТабЗаказы[#Headers],0),0))/100,200/COUNTIF(ТабПозиции[orderNum],ТабПозиции[[#This Row],[orderNum]])),0),"")</f>
        <v>106</v>
      </c>
      <c r="P1742">
        <f>IF(OR(ТабПозиции[[#This Row],[item]]="По штрихкоду",ТабПозиции[[#This Row],[item]]="Посылка"),ТабПозиции[[#This Row],[deliverySumm]]+ТабПозиции[[#This Row],[deliveryPost]],SUM(M1742:O1742))</f>
        <v>1168</v>
      </c>
      <c r="Q1742" s="57">
        <v>1168</v>
      </c>
      <c r="R1742" s="62">
        <f>ТабПозиции[[#This Row],[totalSumm]]-ТабПозиции[[#This Row],[payment]]</f>
        <v>0</v>
      </c>
      <c r="S1742" s="34" t="s">
        <v>955</v>
      </c>
      <c r="T1742" s="56" t="s">
        <v>3061</v>
      </c>
      <c r="U1742" s="56" t="str">
        <f>IF(AND(ТабПозиции[[#This Row],[Остаток]]=0,ТабПозиции[[#This Row],[ord]]="true"),"true","false")</f>
        <v>true</v>
      </c>
      <c r="V1742" s="56" t="s">
        <v>3061</v>
      </c>
    </row>
    <row r="1743" spans="1:22" x14ac:dyDescent="0.25">
      <c r="A1743" s="26">
        <v>464</v>
      </c>
      <c r="B1743" s="1">
        <f>IFERROR(VLOOKUP(ТабПозиции[[#This Row],[orderNum]],ТабЗаказы[#Data],MATCH(B$7,ТабЗаказы[#Headers],0),0),"")</f>
        <v>45693</v>
      </c>
      <c r="C1743" t="str">
        <f>MONTH(ТабПозиции[[#This Row],[date]])&amp;"/"&amp;YEAR(ТабПозиции[[#This Row],[date]])</f>
        <v>2/2025</v>
      </c>
      <c r="D1743" s="1" t="str">
        <f>IFERROR(VLOOKUP(ТабПозиции[[#This Row],[orderNum]],ТабЗаказы[#Data],MATCH(D$7,ТабЗаказы[#Headers],0),0),"")</f>
        <v>Руденко Юля</v>
      </c>
      <c r="E1743" s="85" t="s">
        <v>2410</v>
      </c>
      <c r="F1743" s="56" t="s">
        <v>3061</v>
      </c>
      <c r="H1743" s="34">
        <v>45719</v>
      </c>
      <c r="I1743" s="26">
        <v>1</v>
      </c>
      <c r="J1743" s="26">
        <v>489</v>
      </c>
      <c r="K1743">
        <f>ТабПозиции[[#This Row],[discountPrice]]*ТабПозиции[[#This Row],[quantity]]</f>
        <v>489</v>
      </c>
      <c r="L1743" s="26">
        <v>493</v>
      </c>
      <c r="M1743">
        <f t="shared" si="37"/>
        <v>493</v>
      </c>
      <c r="O174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Row],[orderNum]],ТабПозиции[orderSumm])&gt;1500),ABS(M1743*VLOOKUP(ТабПозиции[[#This Row],[orderNum]],ТабЗаказы[#Data],MATCH("Percent",ТабЗаказы[#Headers],0),0))/100,200/COUNTIF(ТабПозиции[orderNum],ТабПозиции[[#This Row],[orderNum]])),0),"")</f>
        <v>49</v>
      </c>
      <c r="P1743">
        <f>IF(OR(ТабПозиции[[#This Row],[item]]="По штрихкоду",ТабПозиции[[#This Row],[item]]="Посылка"),ТабПозиции[[#This Row],[deliverySumm]]+ТабПозиции[[#This Row],[deliveryPost]],SUM(M1743:O1743))</f>
        <v>542</v>
      </c>
      <c r="Q1743" s="57">
        <v>542</v>
      </c>
      <c r="R1743" s="62">
        <f>ТабПозиции[[#This Row],[totalSumm]]-ТабПозиции[[#This Row],[payment]]</f>
        <v>0</v>
      </c>
      <c r="S1743" s="34" t="s">
        <v>955</v>
      </c>
      <c r="T1743" s="56" t="s">
        <v>3061</v>
      </c>
      <c r="U1743" s="56" t="str">
        <f>IF(AND(ТабПозиции[[#This Row],[Остаток]]=0,ТабПозиции[[#This Row],[ord]]="true"),"true","false")</f>
        <v>true</v>
      </c>
      <c r="V1743" s="56" t="s">
        <v>3061</v>
      </c>
    </row>
    <row r="1744" spans="1:22" x14ac:dyDescent="0.25">
      <c r="A1744" s="26">
        <v>464</v>
      </c>
      <c r="B1744" s="1">
        <f>IFERROR(VLOOKUP(ТабПозиции[[#This Row],[orderNum]],ТабЗаказы[#Data],MATCH(B$7,ТабЗаказы[#Headers],0),0),"")</f>
        <v>45693</v>
      </c>
      <c r="C1744" t="str">
        <f>MONTH(ТабПозиции[[#This Row],[date]])&amp;"/"&amp;YEAR(ТабПозиции[[#This Row],[date]])</f>
        <v>2/2025</v>
      </c>
      <c r="D1744" s="1" t="str">
        <f>IFERROR(VLOOKUP(ТабПозиции[[#This Row],[orderNum]],ТабЗаказы[#Data],MATCH(D$7,ТабЗаказы[#Headers],0),0),"")</f>
        <v>Руденко Юля</v>
      </c>
      <c r="E1744" s="85" t="s">
        <v>2411</v>
      </c>
      <c r="F1744" s="56" t="s">
        <v>3061</v>
      </c>
      <c r="H1744" s="34">
        <v>45719</v>
      </c>
      <c r="I1744" s="26">
        <v>1</v>
      </c>
      <c r="J1744" s="26">
        <v>489</v>
      </c>
      <c r="K1744">
        <f>ТабПозиции[[#This Row],[discountPrice]]*ТабПозиции[[#This Row],[quantity]]</f>
        <v>489</v>
      </c>
      <c r="L1744" s="26">
        <v>493</v>
      </c>
      <c r="M1744">
        <f t="shared" si="37"/>
        <v>493</v>
      </c>
      <c r="O174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Row],[orderNum]],ТабПозиции[orderSumm])&gt;1500),ABS(M1744*VLOOKUP(ТабПозиции[[#This Row],[orderNum]],ТабЗаказы[#Data],MATCH("Percent",ТабЗаказы[#Headers],0),0))/100,200/COUNTIF(ТабПозиции[orderNum],ТабПозиции[[#This Row],[orderNum]])),0),"")</f>
        <v>49</v>
      </c>
      <c r="P1744">
        <f>IF(OR(ТабПозиции[[#This Row],[item]]="По штрихкоду",ТабПозиции[[#This Row],[item]]="Посылка"),ТабПозиции[[#This Row],[deliverySumm]]+ТабПозиции[[#This Row],[deliveryPost]],SUM(M1744:O1744))</f>
        <v>542</v>
      </c>
      <c r="Q1744" s="57">
        <v>542</v>
      </c>
      <c r="R1744" s="62">
        <f>ТабПозиции[[#This Row],[totalSumm]]-ТабПозиции[[#This Row],[payment]]</f>
        <v>0</v>
      </c>
      <c r="S1744" s="34" t="s">
        <v>955</v>
      </c>
      <c r="T1744" s="56" t="s">
        <v>3061</v>
      </c>
      <c r="U1744" s="56" t="str">
        <f>IF(AND(ТабПозиции[[#This Row],[Остаток]]=0,ТабПозиции[[#This Row],[ord]]="true"),"true","false")</f>
        <v>true</v>
      </c>
      <c r="V1744" s="56" t="s">
        <v>3061</v>
      </c>
    </row>
    <row r="1745" spans="1:22" x14ac:dyDescent="0.25">
      <c r="A1745" s="26">
        <v>465</v>
      </c>
      <c r="B1745" s="1">
        <f>IFERROR(VLOOKUP(ТабПозиции[[#This Row],[orderNum]],ТабЗаказы[#Data],MATCH(B$7,ТабЗаказы[#Headers],0),0),"")</f>
        <v>45693</v>
      </c>
      <c r="C1745" t="str">
        <f>MONTH(ТабПозиции[[#This Row],[date]])&amp;"/"&amp;YEAR(ТабПозиции[[#This Row],[date]])</f>
        <v>2/2025</v>
      </c>
      <c r="D1745" s="1" t="str">
        <f>IFERROR(VLOOKUP(ТабПозиции[[#This Row],[orderNum]],ТабЗаказы[#Data],MATCH(D$7,ТабЗаказы[#Headers],0),0),"")</f>
        <v>Юля Ларисына</v>
      </c>
      <c r="E1745" s="85" t="s">
        <v>2412</v>
      </c>
      <c r="F1745" s="56" t="s">
        <v>3061</v>
      </c>
      <c r="H1745" s="34">
        <v>45696</v>
      </c>
      <c r="I1745" s="26">
        <v>1</v>
      </c>
      <c r="J1745" s="26">
        <v>356</v>
      </c>
      <c r="K1745" s="21">
        <f>ТабПозиции[[#This Row],[discountPrice]]*ТабПозиции[[#This Row],[quantity]]</f>
        <v>356</v>
      </c>
      <c r="L1745" s="42">
        <v>375</v>
      </c>
      <c r="M1745" s="21">
        <f t="shared" si="37"/>
        <v>375</v>
      </c>
      <c r="O174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Row],[orderNum]],ТабПозиции[orderSumm])&gt;1500),ABS(M1745*VLOOKUP(ТабПозиции[[#This Row],[orderNum]],ТабЗаказы[#Data],MATCH("Percent",ТабЗаказы[#Headers],0),0))/100,200/COUNTIF(ТабПозиции[orderNum],ТабПозиции[[#This Row],[orderNum]])),0),"")</f>
        <v>56</v>
      </c>
      <c r="P1745">
        <f>IF(OR(ТабПозиции[[#This Row],[item]]="По штрихкоду",ТабПозиции[[#This Row],[item]]="Посылка"),ТабПозиции[[#This Row],[deliverySumm]]+ТабПозиции[[#This Row],[deliveryPost]],SUM(M1745:O1745))</f>
        <v>431</v>
      </c>
      <c r="Q1745" s="57">
        <v>431</v>
      </c>
      <c r="R1745" s="62">
        <f>ТабПозиции[[#This Row],[totalSumm]]-ТабПозиции[[#This Row],[payment]]</f>
        <v>0</v>
      </c>
      <c r="S1745" s="34" t="s">
        <v>965</v>
      </c>
      <c r="T1745" s="56" t="s">
        <v>3061</v>
      </c>
      <c r="U1745" s="56" t="str">
        <f>IF(AND(ТабПозиции[[#This Row],[Остаток]]=0,ТабПозиции[[#This Row],[ord]]="true"),"true","false")</f>
        <v>true</v>
      </c>
      <c r="V1745" s="56" t="str">
        <f>IF(AND(ТабПозиции[[#This Row],[Остаток]]=0,ТабПозиции[[#This Row],[ord]]="true"),"true","false")</f>
        <v>true</v>
      </c>
    </row>
    <row r="1746" spans="1:22" x14ac:dyDescent="0.25">
      <c r="A1746" s="26">
        <v>465</v>
      </c>
      <c r="B1746" s="1">
        <f>IFERROR(VLOOKUP(ТабПозиции[[#This Row],[orderNum]],ТабЗаказы[#Data],MATCH(B$7,ТабЗаказы[#Headers],0),0),"")</f>
        <v>45693</v>
      </c>
      <c r="C1746" t="str">
        <f>MONTH(ТабПозиции[[#This Row],[date]])&amp;"/"&amp;YEAR(ТабПозиции[[#This Row],[date]])</f>
        <v>2/2025</v>
      </c>
      <c r="D1746" s="1" t="str">
        <f>IFERROR(VLOOKUP(ТабПозиции[[#This Row],[orderNum]],ТабЗаказы[#Data],MATCH(D$7,ТабЗаказы[#Headers],0),0),"")</f>
        <v>Юля Ларисына</v>
      </c>
      <c r="E1746" s="85" t="s">
        <v>2413</v>
      </c>
      <c r="F1746" s="56" t="s">
        <v>3061</v>
      </c>
      <c r="H1746" s="34">
        <v>45695</v>
      </c>
      <c r="I1746" s="26">
        <v>1</v>
      </c>
      <c r="J1746" s="26">
        <v>92</v>
      </c>
      <c r="K1746" s="21">
        <f>ТабПозиции[[#This Row],[discountPrice]]*ТабПозиции[[#This Row],[quantity]]</f>
        <v>92</v>
      </c>
      <c r="L1746" s="42">
        <v>97</v>
      </c>
      <c r="M1746" s="21">
        <f t="shared" si="37"/>
        <v>97</v>
      </c>
      <c r="O174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Row],[orderNum]],ТабПозиции[orderSumm])&gt;1500),ABS(M1746*VLOOKUP(ТабПозиции[[#This Row],[orderNum]],ТабЗаказы[#Data],MATCH("Percent",ТабЗаказы[#Headers],0),0))/100,200/COUNTIF(ТабПозиции[orderNum],ТабПозиции[[#This Row],[orderNum]])),0),"")</f>
        <v>15</v>
      </c>
      <c r="P1746">
        <f>IF(OR(ТабПозиции[[#This Row],[item]]="По штрихкоду",ТабПозиции[[#This Row],[item]]="Посылка"),ТабПозиции[[#This Row],[deliverySumm]]+ТабПозиции[[#This Row],[deliveryPost]],SUM(M1746:O1746))</f>
        <v>112</v>
      </c>
      <c r="Q1746" s="57">
        <v>112</v>
      </c>
      <c r="R1746" s="62">
        <f>ТабПозиции[[#This Row],[totalSumm]]-ТабПозиции[[#This Row],[payment]]</f>
        <v>0</v>
      </c>
      <c r="S1746" s="34" t="s">
        <v>965</v>
      </c>
      <c r="T1746" s="56" t="s">
        <v>3061</v>
      </c>
      <c r="U1746" s="56" t="str">
        <f>IF(AND(ТабПозиции[[#This Row],[Остаток]]=0,ТабПозиции[[#This Row],[ord]]="true"),"true","false")</f>
        <v>true</v>
      </c>
      <c r="V1746" s="56" t="str">
        <f>IF(AND(ТабПозиции[[#This Row],[Остаток]]=0,ТабПозиции[[#This Row],[ord]]="true"),"true","false")</f>
        <v>true</v>
      </c>
    </row>
    <row r="1747" spans="1:22" x14ac:dyDescent="0.25">
      <c r="A1747" s="26">
        <v>465</v>
      </c>
      <c r="B1747" s="1">
        <f>IFERROR(VLOOKUP(ТабПозиции[[#This Row],[orderNum]],ТабЗаказы[#Data],MATCH(B$7,ТабЗаказы[#Headers],0),0),"")</f>
        <v>45693</v>
      </c>
      <c r="C1747" t="str">
        <f>MONTH(ТабПозиции[[#This Row],[date]])&amp;"/"&amp;YEAR(ТабПозиции[[#This Row],[date]])</f>
        <v>2/2025</v>
      </c>
      <c r="D1747" s="1" t="str">
        <f>IFERROR(VLOOKUP(ТабПозиции[[#This Row],[orderNum]],ТабЗаказы[#Data],MATCH(D$7,ТабЗаказы[#Headers],0),0),"")</f>
        <v>Юля Ларисына</v>
      </c>
      <c r="E1747" s="85" t="s">
        <v>2414</v>
      </c>
      <c r="F1747" s="56" t="s">
        <v>3061</v>
      </c>
      <c r="H1747" s="34">
        <v>45695</v>
      </c>
      <c r="I1747" s="26">
        <v>2</v>
      </c>
      <c r="J1747" s="26">
        <v>101</v>
      </c>
      <c r="K1747" s="21">
        <f>ТабПозиции[[#This Row],[discountPrice]]*ТабПозиции[[#This Row],[quantity]]</f>
        <v>202</v>
      </c>
      <c r="L1747" s="42">
        <v>107</v>
      </c>
      <c r="M1747" s="21">
        <f t="shared" si="37"/>
        <v>214</v>
      </c>
      <c r="O174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Row],[orderNum]],ТабПозиции[orderSumm])&gt;1500),ABS(M1747*VLOOKUP(ТабПозиции[[#This Row],[orderNum]],ТабЗаказы[#Data],MATCH("Percent",ТабЗаказы[#Headers],0),0))/100,200/COUNTIF(ТабПозиции[orderNum],ТабПозиции[[#This Row],[orderNum]])),0),"")</f>
        <v>32</v>
      </c>
      <c r="P1747">
        <f>IF(OR(ТабПозиции[[#This Row],[item]]="По штрихкоду",ТабПозиции[[#This Row],[item]]="Посылка"),ТабПозиции[[#This Row],[deliverySumm]]+ТабПозиции[[#This Row],[deliveryPost]],SUM(M1747:O1747))</f>
        <v>246</v>
      </c>
      <c r="Q1747" s="57">
        <v>246</v>
      </c>
      <c r="R1747" s="62">
        <f>ТабПозиции[[#This Row],[totalSumm]]-ТабПозиции[[#This Row],[payment]]</f>
        <v>0</v>
      </c>
      <c r="S1747" s="34" t="s">
        <v>965</v>
      </c>
      <c r="T1747" s="56" t="s">
        <v>3061</v>
      </c>
      <c r="U1747" s="56" t="str">
        <f>IF(AND(ТабПозиции[[#This Row],[Остаток]]=0,ТабПозиции[[#This Row],[ord]]="true"),"true","false")</f>
        <v>true</v>
      </c>
      <c r="V1747" s="56" t="str">
        <f>IF(AND(ТабПозиции[[#This Row],[Остаток]]=0,ТабПозиции[[#This Row],[ord]]="true"),"true","false")</f>
        <v>true</v>
      </c>
    </row>
    <row r="1748" spans="1:22" x14ac:dyDescent="0.25">
      <c r="A1748" s="26">
        <v>465</v>
      </c>
      <c r="B1748" s="1">
        <f>IFERROR(VLOOKUP(ТабПозиции[[#This Row],[orderNum]],ТабЗаказы[#Data],MATCH(B$7,ТабЗаказы[#Headers],0),0),"")</f>
        <v>45693</v>
      </c>
      <c r="C1748" t="str">
        <f>MONTH(ТабПозиции[[#This Row],[date]])&amp;"/"&amp;YEAR(ТабПозиции[[#This Row],[date]])</f>
        <v>2/2025</v>
      </c>
      <c r="D1748" s="1" t="str">
        <f>IFERROR(VLOOKUP(ТабПозиции[[#This Row],[orderNum]],ТабЗаказы[#Data],MATCH(D$7,ТабЗаказы[#Headers],0),0),"")</f>
        <v>Юля Ларисына</v>
      </c>
      <c r="E1748" s="85" t="s">
        <v>2415</v>
      </c>
      <c r="F1748" s="56" t="s">
        <v>3061</v>
      </c>
      <c r="H1748" s="34">
        <v>45694</v>
      </c>
      <c r="I1748" s="26">
        <v>1</v>
      </c>
      <c r="J1748" s="26">
        <v>196</v>
      </c>
      <c r="K1748" s="21">
        <f>ТабПозиции[[#This Row],[discountPrice]]*ТабПозиции[[#This Row],[quantity]]</f>
        <v>196</v>
      </c>
      <c r="L1748" s="42">
        <v>207</v>
      </c>
      <c r="M1748" s="21">
        <f t="shared" si="37"/>
        <v>207</v>
      </c>
      <c r="O174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Row],[orderNum]],ТабПозиции[orderSumm])&gt;1500),ABS(M1748*VLOOKUP(ТабПозиции[[#This Row],[orderNum]],ТабЗаказы[#Data],MATCH("Percent",ТабЗаказы[#Headers],0),0))/100,200/COUNTIF(ТабПозиции[orderNum],ТабПозиции[[#This Row],[orderNum]])),0),"")</f>
        <v>31</v>
      </c>
      <c r="P1748">
        <f>IF(OR(ТабПозиции[[#This Row],[item]]="По штрихкоду",ТабПозиции[[#This Row],[item]]="Посылка"),ТабПозиции[[#This Row],[deliverySumm]]+ТабПозиции[[#This Row],[deliveryPost]],SUM(M1748:O1748))</f>
        <v>238</v>
      </c>
      <c r="Q1748" s="57">
        <v>238</v>
      </c>
      <c r="R1748" s="62">
        <f>ТабПозиции[[#This Row],[totalSumm]]-ТабПозиции[[#This Row],[payment]]</f>
        <v>0</v>
      </c>
      <c r="S1748" s="34" t="s">
        <v>965</v>
      </c>
      <c r="T1748" s="56" t="s">
        <v>3061</v>
      </c>
      <c r="U1748" s="56" t="str">
        <f>IF(AND(ТабПозиции[[#This Row],[Остаток]]=0,ТабПозиции[[#This Row],[ord]]="true"),"true","false")</f>
        <v>true</v>
      </c>
      <c r="V1748" s="56" t="str">
        <f>IF(AND(ТабПозиции[[#This Row],[Остаток]]=0,ТабПозиции[[#This Row],[ord]]="true"),"true","false")</f>
        <v>true</v>
      </c>
    </row>
    <row r="1749" spans="1:22" x14ac:dyDescent="0.25">
      <c r="A1749" s="26">
        <v>465</v>
      </c>
      <c r="B1749" s="1">
        <f>IFERROR(VLOOKUP(ТабПозиции[[#This Row],[orderNum]],ТабЗаказы[#Data],MATCH(B$7,ТабЗаказы[#Headers],0),0),"")</f>
        <v>45693</v>
      </c>
      <c r="C1749" t="str">
        <f>MONTH(ТабПозиции[[#This Row],[date]])&amp;"/"&amp;YEAR(ТабПозиции[[#This Row],[date]])</f>
        <v>2/2025</v>
      </c>
      <c r="D1749" s="1" t="str">
        <f>IFERROR(VLOOKUP(ТабПозиции[[#This Row],[orderNum]],ТабЗаказы[#Data],MATCH(D$7,ТабЗаказы[#Headers],0),0),"")</f>
        <v>Юля Ларисына</v>
      </c>
      <c r="E1749" s="85" t="s">
        <v>2416</v>
      </c>
      <c r="F1749" s="56" t="s">
        <v>3061</v>
      </c>
      <c r="H1749" s="34">
        <v>45696</v>
      </c>
      <c r="I1749" s="26">
        <v>1</v>
      </c>
      <c r="J1749" s="26">
        <v>194</v>
      </c>
      <c r="K1749" s="21">
        <f>ТабПозиции[[#This Row],[discountPrice]]*ТабПозиции[[#This Row],[quantity]]</f>
        <v>194</v>
      </c>
      <c r="L1749" s="42">
        <v>205</v>
      </c>
      <c r="M1749" s="21">
        <f t="shared" si="37"/>
        <v>205</v>
      </c>
      <c r="O174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Row],[orderNum]],ТабПозиции[orderSumm])&gt;1500),ABS(M1749*VLOOKUP(ТабПозиции[[#This Row],[orderNum]],ТабЗаказы[#Data],MATCH("Percent",ТабЗаказы[#Headers],0),0))/100,200/COUNTIF(ТабПозиции[orderNum],ТабПозиции[[#This Row],[orderNum]])),0),"")</f>
        <v>31</v>
      </c>
      <c r="P1749">
        <f>IF(OR(ТабПозиции[[#This Row],[item]]="По штрихкоду",ТабПозиции[[#This Row],[item]]="Посылка"),ТабПозиции[[#This Row],[deliverySumm]]+ТабПозиции[[#This Row],[deliveryPost]],SUM(M1749:O1749))</f>
        <v>236</v>
      </c>
      <c r="Q1749" s="57">
        <v>236</v>
      </c>
      <c r="R1749" s="62">
        <f>ТабПозиции[[#This Row],[totalSumm]]-ТабПозиции[[#This Row],[payment]]</f>
        <v>0</v>
      </c>
      <c r="S1749" s="34" t="s">
        <v>965</v>
      </c>
      <c r="T1749" s="56" t="s">
        <v>3061</v>
      </c>
      <c r="U1749" s="56" t="str">
        <f>IF(AND(ТабПозиции[[#This Row],[Остаток]]=0,ТабПозиции[[#This Row],[ord]]="true"),"true","false")</f>
        <v>true</v>
      </c>
      <c r="V1749" s="56" t="str">
        <f>IF(AND(ТабПозиции[[#This Row],[Остаток]]=0,ТабПозиции[[#This Row],[ord]]="true"),"true","false")</f>
        <v>true</v>
      </c>
    </row>
    <row r="1750" spans="1:22" x14ac:dyDescent="0.25">
      <c r="A1750" s="26">
        <v>465</v>
      </c>
      <c r="B1750" s="1">
        <f>IFERROR(VLOOKUP(ТабПозиции[[#This Row],[orderNum]],ТабЗаказы[#Data],MATCH(B$7,ТабЗаказы[#Headers],0),0),"")</f>
        <v>45693</v>
      </c>
      <c r="C1750" t="str">
        <f>MONTH(ТабПозиции[[#This Row],[date]])&amp;"/"&amp;YEAR(ТабПозиции[[#This Row],[date]])</f>
        <v>2/2025</v>
      </c>
      <c r="D1750" s="1" t="str">
        <f>IFERROR(VLOOKUP(ТабПозиции[[#This Row],[orderNum]],ТабЗаказы[#Data],MATCH(D$7,ТабЗаказы[#Headers],0),0),"")</f>
        <v>Юля Ларисына</v>
      </c>
      <c r="E1750" s="85" t="s">
        <v>2417</v>
      </c>
      <c r="F1750" s="56" t="s">
        <v>3061</v>
      </c>
      <c r="H1750" s="34">
        <v>45696</v>
      </c>
      <c r="I1750" s="26">
        <v>1</v>
      </c>
      <c r="J1750" s="26">
        <v>150</v>
      </c>
      <c r="K1750" s="21">
        <f>ТабПозиции[[#This Row],[discountPrice]]*ТабПозиции[[#This Row],[quantity]]</f>
        <v>150</v>
      </c>
      <c r="L1750" s="42">
        <v>158</v>
      </c>
      <c r="M1750" s="21">
        <f t="shared" si="37"/>
        <v>158</v>
      </c>
      <c r="O175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Row],[orderNum]],ТабПозиции[orderSumm])&gt;1500),ABS(M1750*VLOOKUP(ТабПозиции[[#This Row],[orderNum]],ТабЗаказы[#Data],MATCH("Percent",ТабЗаказы[#Headers],0),0))/100,200/COUNTIF(ТабПозиции[orderNum],ТабПозиции[[#This Row],[orderNum]])),0),"")</f>
        <v>24</v>
      </c>
      <c r="P1750">
        <f>IF(OR(ТабПозиции[[#This Row],[item]]="По штрихкоду",ТабПозиции[[#This Row],[item]]="Посылка"),ТабПозиции[[#This Row],[deliverySumm]]+ТабПозиции[[#This Row],[deliveryPost]],SUM(M1750:O1750))</f>
        <v>182</v>
      </c>
      <c r="Q1750" s="57">
        <v>182</v>
      </c>
      <c r="R1750" s="62">
        <f>ТабПозиции[[#This Row],[totalSumm]]-ТабПозиции[[#This Row],[payment]]</f>
        <v>0</v>
      </c>
      <c r="S1750" s="34" t="s">
        <v>965</v>
      </c>
      <c r="T1750" s="56" t="s">
        <v>3061</v>
      </c>
      <c r="U1750" s="56" t="str">
        <f>IF(AND(ТабПозиции[[#This Row],[Остаток]]=0,ТабПозиции[[#This Row],[ord]]="true"),"true","false")</f>
        <v>true</v>
      </c>
      <c r="V1750" s="56" t="str">
        <f>IF(AND(ТабПозиции[[#This Row],[Остаток]]=0,ТабПозиции[[#This Row],[ord]]="true"),"true","false")</f>
        <v>true</v>
      </c>
    </row>
    <row r="1751" spans="1:22" x14ac:dyDescent="0.25">
      <c r="A1751" s="26">
        <v>465</v>
      </c>
      <c r="B1751" s="1">
        <f>IFERROR(VLOOKUP(ТабПозиции[[#This Row],[orderNum]],ТабЗаказы[#Data],MATCH(B$7,ТабЗаказы[#Headers],0),0),"")</f>
        <v>45693</v>
      </c>
      <c r="C1751" t="str">
        <f>MONTH(ТабПозиции[[#This Row],[date]])&amp;"/"&amp;YEAR(ТабПозиции[[#This Row],[date]])</f>
        <v>2/2025</v>
      </c>
      <c r="D1751" s="1" t="str">
        <f>IFERROR(VLOOKUP(ТабПозиции[[#This Row],[orderNum]],ТабЗаказы[#Data],MATCH(D$7,ТабЗаказы[#Headers],0),0),"")</f>
        <v>Юля Ларисына</v>
      </c>
      <c r="E1751" s="85" t="s">
        <v>980</v>
      </c>
      <c r="F1751" s="56" t="s">
        <v>3061</v>
      </c>
      <c r="H1751" s="34">
        <v>45694</v>
      </c>
      <c r="I1751" s="26">
        <v>1</v>
      </c>
      <c r="J1751" s="26">
        <v>1044</v>
      </c>
      <c r="K1751" s="21">
        <f>ТабПозиции[[#This Row],[discountPrice]]*ТабПозиции[[#This Row],[quantity]]</f>
        <v>1044</v>
      </c>
      <c r="L1751" s="42">
        <v>1099</v>
      </c>
      <c r="M1751" s="21">
        <f t="shared" si="37"/>
        <v>1099</v>
      </c>
      <c r="O175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Row],[orderNum]],ТабПозиции[orderSumm])&gt;1500),ABS(M1751*VLOOKUP(ТабПозиции[[#This Row],[orderNum]],ТабЗаказы[#Data],MATCH("Percent",ТабЗаказы[#Headers],0),0))/100,200/COUNTIF(ТабПозиции[orderNum],ТабПозиции[[#This Row],[orderNum]])),0),"")</f>
        <v>165</v>
      </c>
      <c r="P1751">
        <f>IF(OR(ТабПозиции[[#This Row],[item]]="По штрихкоду",ТабПозиции[[#This Row],[item]]="Посылка"),ТабПозиции[[#This Row],[deliverySumm]]+ТабПозиции[[#This Row],[deliveryPost]],SUM(M1751:O1751))</f>
        <v>1264</v>
      </c>
      <c r="Q1751" s="57">
        <v>1264</v>
      </c>
      <c r="R1751" s="62">
        <f>ТабПозиции[[#This Row],[totalSumm]]-ТабПозиции[[#This Row],[payment]]</f>
        <v>0</v>
      </c>
      <c r="S1751" s="34" t="s">
        <v>965</v>
      </c>
      <c r="T1751" s="56" t="s">
        <v>3061</v>
      </c>
      <c r="U1751" s="56" t="str">
        <f>IF(AND(ТабПозиции[[#This Row],[Остаток]]=0,ТабПозиции[[#This Row],[ord]]="true"),"true","false")</f>
        <v>true</v>
      </c>
      <c r="V1751" s="56" t="str">
        <f>IF(AND(ТабПозиции[[#This Row],[Остаток]]=0,ТабПозиции[[#This Row],[ord]]="true"),"true","false")</f>
        <v>true</v>
      </c>
    </row>
    <row r="1752" spans="1:22" x14ac:dyDescent="0.25">
      <c r="A1752" s="26">
        <v>465</v>
      </c>
      <c r="B1752" s="1">
        <f>IFERROR(VLOOKUP(ТабПозиции[[#This Row],[orderNum]],ТабЗаказы[#Data],MATCH(B$7,ТабЗаказы[#Headers],0),0),"")</f>
        <v>45693</v>
      </c>
      <c r="C1752" t="str">
        <f>MONTH(ТабПозиции[[#This Row],[date]])&amp;"/"&amp;YEAR(ТабПозиции[[#This Row],[date]])</f>
        <v>2/2025</v>
      </c>
      <c r="D1752" s="1" t="str">
        <f>IFERROR(VLOOKUP(ТабПозиции[[#This Row],[orderNum]],ТабЗаказы[#Data],MATCH(D$7,ТабЗаказы[#Headers],0),0),"")</f>
        <v>Юля Ларисына</v>
      </c>
      <c r="E1752" s="85" t="s">
        <v>2418</v>
      </c>
      <c r="F1752" s="56" t="s">
        <v>3061</v>
      </c>
      <c r="H1752" s="34">
        <v>45695</v>
      </c>
      <c r="I1752" s="26">
        <v>1</v>
      </c>
      <c r="J1752" s="26">
        <v>161</v>
      </c>
      <c r="K1752" s="21">
        <f>ТабПозиции[[#This Row],[discountPrice]]*ТабПозиции[[#This Row],[quantity]]</f>
        <v>161</v>
      </c>
      <c r="L1752" s="42">
        <v>170</v>
      </c>
      <c r="M1752" s="21">
        <f t="shared" si="37"/>
        <v>170</v>
      </c>
      <c r="O175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Row],[orderNum]],ТабПозиции[orderSumm])&gt;1500),ABS(M1752*VLOOKUP(ТабПозиции[[#This Row],[orderNum]],ТабЗаказы[#Data],MATCH("Percent",ТабЗаказы[#Headers],0),0))/100,200/COUNTIF(ТабПозиции[orderNum],ТабПозиции[[#This Row],[orderNum]])),0),"")</f>
        <v>26</v>
      </c>
      <c r="P1752">
        <f>IF(OR(ТабПозиции[[#This Row],[item]]="По штрихкоду",ТабПозиции[[#This Row],[item]]="Посылка"),ТабПозиции[[#This Row],[deliverySumm]]+ТабПозиции[[#This Row],[deliveryPost]],SUM(M1752:O1752))</f>
        <v>196</v>
      </c>
      <c r="Q1752" s="57">
        <v>196</v>
      </c>
      <c r="R1752" s="62">
        <f>ТабПозиции[[#This Row],[totalSumm]]-ТабПозиции[[#This Row],[payment]]</f>
        <v>0</v>
      </c>
      <c r="S1752" s="34" t="s">
        <v>965</v>
      </c>
      <c r="T1752" s="56" t="s">
        <v>3061</v>
      </c>
      <c r="U1752" s="56" t="str">
        <f>IF(AND(ТабПозиции[[#This Row],[Остаток]]=0,ТабПозиции[[#This Row],[ord]]="true"),"true","false")</f>
        <v>true</v>
      </c>
      <c r="V1752" s="56" t="str">
        <f>IF(AND(ТабПозиции[[#This Row],[Остаток]]=0,ТабПозиции[[#This Row],[ord]]="true"),"true","false")</f>
        <v>true</v>
      </c>
    </row>
    <row r="1753" spans="1:22" x14ac:dyDescent="0.25">
      <c r="A1753" s="26">
        <v>465</v>
      </c>
      <c r="B1753" s="1">
        <f>IFERROR(VLOOKUP(ТабПозиции[[#This Row],[orderNum]],ТабЗаказы[#Data],MATCH(B$7,ТабЗаказы[#Headers],0),0),"")</f>
        <v>45693</v>
      </c>
      <c r="C1753" t="str">
        <f>MONTH(ТабПозиции[[#This Row],[date]])&amp;"/"&amp;YEAR(ТабПозиции[[#This Row],[date]])</f>
        <v>2/2025</v>
      </c>
      <c r="D1753" s="1" t="str">
        <f>IFERROR(VLOOKUP(ТабПозиции[[#This Row],[orderNum]],ТабЗаказы[#Data],MATCH(D$7,ТабЗаказы[#Headers],0),0),"")</f>
        <v>Юля Ларисына</v>
      </c>
      <c r="E1753" s="85" t="s">
        <v>2207</v>
      </c>
      <c r="F1753" s="56" t="s">
        <v>3061</v>
      </c>
      <c r="H1753" s="34">
        <v>45703</v>
      </c>
      <c r="I1753" s="26">
        <v>1</v>
      </c>
      <c r="J1753" s="26">
        <v>286</v>
      </c>
      <c r="K1753" s="21">
        <f>ТабПозиции[[#This Row],[discountPrice]]*ТабПозиции[[#This Row],[quantity]]</f>
        <v>286</v>
      </c>
      <c r="L1753" s="42">
        <v>302</v>
      </c>
      <c r="M1753" s="21">
        <f t="shared" si="37"/>
        <v>302</v>
      </c>
      <c r="O175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Row],[orderNum]],ТабПозиции[orderSumm])&gt;1500),ABS(M1753*VLOOKUP(ТабПозиции[[#This Row],[orderNum]],ТабЗаказы[#Data],MATCH("Percent",ТабЗаказы[#Headers],0),0))/100,200/COUNTIF(ТабПозиции[orderNum],ТабПозиции[[#This Row],[orderNum]])),0),"")</f>
        <v>45</v>
      </c>
      <c r="P1753">
        <f>IF(OR(ТабПозиции[[#This Row],[item]]="По штрихкоду",ТабПозиции[[#This Row],[item]]="Посылка"),ТабПозиции[[#This Row],[deliverySumm]]+ТабПозиции[[#This Row],[deliveryPost]],SUM(M1753:O1753))</f>
        <v>347</v>
      </c>
      <c r="Q1753" s="57">
        <v>347</v>
      </c>
      <c r="R1753" s="62">
        <f>ТабПозиции[[#This Row],[totalSumm]]-ТабПозиции[[#This Row],[payment]]</f>
        <v>0</v>
      </c>
      <c r="S1753" s="34" t="s">
        <v>965</v>
      </c>
      <c r="T1753" s="56" t="s">
        <v>3061</v>
      </c>
      <c r="U1753" s="56" t="str">
        <f>IF(AND(ТабПозиции[[#This Row],[Остаток]]=0,ТабПозиции[[#This Row],[ord]]="true"),"true","false")</f>
        <v>true</v>
      </c>
      <c r="V1753" s="56" t="str">
        <f>IF(AND(ТабПозиции[[#This Row],[Остаток]]=0,ТабПозиции[[#This Row],[ord]]="true"),"true","false")</f>
        <v>true</v>
      </c>
    </row>
    <row r="1754" spans="1:22" x14ac:dyDescent="0.25">
      <c r="A1754" s="26">
        <v>465</v>
      </c>
      <c r="B1754" s="1">
        <f>IFERROR(VLOOKUP(ТабПозиции[[#This Row],[orderNum]],ТабЗаказы[#Data],MATCH(B$7,ТабЗаказы[#Headers],0),0),"")</f>
        <v>45693</v>
      </c>
      <c r="C1754" t="str">
        <f>MONTH(ТабПозиции[[#This Row],[date]])&amp;"/"&amp;YEAR(ТабПозиции[[#This Row],[date]])</f>
        <v>2/2025</v>
      </c>
      <c r="D1754" s="1" t="str">
        <f>IFERROR(VLOOKUP(ТабПозиции[[#This Row],[orderNum]],ТабЗаказы[#Data],MATCH(D$7,ТабЗаказы[#Headers],0),0),"")</f>
        <v>Юля Ларисына</v>
      </c>
      <c r="E1754" s="85" t="s">
        <v>2419</v>
      </c>
      <c r="F1754" s="56" t="s">
        <v>3061</v>
      </c>
      <c r="H1754" s="34">
        <v>45695</v>
      </c>
      <c r="I1754" s="26">
        <v>1</v>
      </c>
      <c r="J1754" s="26">
        <v>434</v>
      </c>
      <c r="K1754" s="21">
        <f>ТабПозиции[[#This Row],[discountPrice]]*ТабПозиции[[#This Row],[quantity]]</f>
        <v>434</v>
      </c>
      <c r="L1754" s="42">
        <v>457</v>
      </c>
      <c r="M1754" s="21">
        <f t="shared" si="37"/>
        <v>457</v>
      </c>
      <c r="O175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Row],[orderNum]],ТабПозиции[orderSumm])&gt;1500),ABS(M1754*VLOOKUP(ТабПозиции[[#This Row],[orderNum]],ТабЗаказы[#Data],MATCH("Percent",ТабЗаказы[#Headers],0),0))/100,200/COUNTIF(ТабПозиции[orderNum],ТабПозиции[[#This Row],[orderNum]])),0),"")</f>
        <v>69</v>
      </c>
      <c r="P1754">
        <f>IF(OR(ТабПозиции[[#This Row],[item]]="По штрихкоду",ТабПозиции[[#This Row],[item]]="Посылка"),ТабПозиции[[#This Row],[deliverySumm]]+ТабПозиции[[#This Row],[deliveryPost]],SUM(M1754:O1754))</f>
        <v>526</v>
      </c>
      <c r="Q1754" s="57">
        <v>526</v>
      </c>
      <c r="R1754" s="62">
        <f>ТабПозиции[[#This Row],[totalSumm]]-ТабПозиции[[#This Row],[payment]]</f>
        <v>0</v>
      </c>
      <c r="S1754" s="34" t="s">
        <v>965</v>
      </c>
      <c r="T1754" s="56" t="s">
        <v>3061</v>
      </c>
      <c r="U1754" s="56" t="str">
        <f>IF(AND(ТабПозиции[[#This Row],[Остаток]]=0,ТабПозиции[[#This Row],[ord]]="true"),"true","false")</f>
        <v>true</v>
      </c>
      <c r="V1754" s="56" t="str">
        <f>IF(AND(ТабПозиции[[#This Row],[Остаток]]=0,ТабПозиции[[#This Row],[ord]]="true"),"true","false")</f>
        <v>true</v>
      </c>
    </row>
    <row r="1755" spans="1:22" x14ac:dyDescent="0.25">
      <c r="A1755" s="26">
        <v>465</v>
      </c>
      <c r="B1755" s="1">
        <f>IFERROR(VLOOKUP(ТабПозиции[[#This Row],[orderNum]],ТабЗаказы[#Data],MATCH(B$7,ТабЗаказы[#Headers],0),0),"")</f>
        <v>45693</v>
      </c>
      <c r="C1755" t="str">
        <f>MONTH(ТабПозиции[[#This Row],[date]])&amp;"/"&amp;YEAR(ТабПозиции[[#This Row],[date]])</f>
        <v>2/2025</v>
      </c>
      <c r="D1755" s="1" t="str">
        <f>IFERROR(VLOOKUP(ТабПозиции[[#This Row],[orderNum]],ТабЗаказы[#Data],MATCH(D$7,ТабЗаказы[#Headers],0),0),"")</f>
        <v>Юля Ларисына</v>
      </c>
      <c r="E1755" s="85" t="s">
        <v>2371</v>
      </c>
      <c r="F1755" s="56" t="s">
        <v>3061</v>
      </c>
      <c r="H1755" s="34">
        <v>45696</v>
      </c>
      <c r="I1755" s="26">
        <v>1</v>
      </c>
      <c r="J1755" s="26">
        <v>183</v>
      </c>
      <c r="K1755" s="21">
        <f>ТабПозиции[[#This Row],[discountPrice]]*ТабПозиции[[#This Row],[quantity]]</f>
        <v>183</v>
      </c>
      <c r="L1755" s="42">
        <v>193</v>
      </c>
      <c r="M1755" s="21">
        <f t="shared" ref="M1755:M1794" si="38">L1755*I1755</f>
        <v>193</v>
      </c>
      <c r="O175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Row],[orderNum]],ТабПозиции[orderSumm])&gt;1500),ABS(M1755*VLOOKUP(ТабПозиции[[#This Row],[orderNum]],ТабЗаказы[#Data],MATCH("Percent",ТабЗаказы[#Headers],0),0))/100,200/COUNTIF(ТабПозиции[orderNum],ТабПозиции[[#This Row],[orderNum]])),0),"")</f>
        <v>29</v>
      </c>
      <c r="P1755">
        <f>IF(OR(ТабПозиции[[#This Row],[item]]="По штрихкоду",ТабПозиции[[#This Row],[item]]="Посылка"),ТабПозиции[[#This Row],[deliverySumm]]+ТабПозиции[[#This Row],[deliveryPost]],SUM(M1755:O1755))</f>
        <v>222</v>
      </c>
      <c r="Q1755" s="57">
        <v>222</v>
      </c>
      <c r="R1755" s="62">
        <f>ТабПозиции[[#This Row],[totalSumm]]-ТабПозиции[[#This Row],[payment]]</f>
        <v>0</v>
      </c>
      <c r="S1755" s="34" t="s">
        <v>965</v>
      </c>
      <c r="T1755" s="56" t="s">
        <v>3061</v>
      </c>
      <c r="U1755" s="56" t="str">
        <f>IF(AND(ТабПозиции[[#This Row],[Остаток]]=0,ТабПозиции[[#This Row],[ord]]="true"),"true","false")</f>
        <v>true</v>
      </c>
      <c r="V1755" s="56" t="str">
        <f>IF(AND(ТабПозиции[[#This Row],[Остаток]]=0,ТабПозиции[[#This Row],[ord]]="true"),"true","false")</f>
        <v>true</v>
      </c>
    </row>
    <row r="1756" spans="1:22" x14ac:dyDescent="0.25">
      <c r="A1756" s="26">
        <v>465</v>
      </c>
      <c r="B1756" s="1">
        <f>IFERROR(VLOOKUP(ТабПозиции[[#This Row],[orderNum]],ТабЗаказы[#Data],MATCH(B$7,ТабЗаказы[#Headers],0),0),"")</f>
        <v>45693</v>
      </c>
      <c r="C1756" t="str">
        <f>MONTH(ТабПозиции[[#This Row],[date]])&amp;"/"&amp;YEAR(ТабПозиции[[#This Row],[date]])</f>
        <v>2/2025</v>
      </c>
      <c r="D1756" s="1" t="str">
        <f>IFERROR(VLOOKUP(ТабПозиции[[#This Row],[orderNum]],ТабЗаказы[#Data],MATCH(D$7,ТабЗаказы[#Headers],0),0),"")</f>
        <v>Юля Ларисына</v>
      </c>
      <c r="E1756" s="85" t="s">
        <v>1600</v>
      </c>
      <c r="F1756" s="56" t="s">
        <v>3061</v>
      </c>
      <c r="H1756" s="34">
        <v>45695</v>
      </c>
      <c r="I1756" s="26">
        <v>1</v>
      </c>
      <c r="J1756" s="26">
        <v>288</v>
      </c>
      <c r="K1756" s="21">
        <f>ТабПозиции[[#This Row],[discountPrice]]*ТабПозиции[[#This Row],[quantity]]</f>
        <v>288</v>
      </c>
      <c r="L1756" s="42">
        <v>304</v>
      </c>
      <c r="M1756" s="21">
        <f t="shared" si="38"/>
        <v>304</v>
      </c>
      <c r="O175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Row],[orderNum]],ТабПозиции[orderSumm])&gt;1500),ABS(M1756*VLOOKUP(ТабПозиции[[#This Row],[orderNum]],ТабЗаказы[#Data],MATCH("Percent",ТабЗаказы[#Headers],0),0))/100,200/COUNTIF(ТабПозиции[orderNum],ТабПозиции[[#This Row],[orderNum]])),0),"")</f>
        <v>46</v>
      </c>
      <c r="P1756">
        <f>IF(OR(ТабПозиции[[#This Row],[item]]="По штрихкоду",ТабПозиции[[#This Row],[item]]="Посылка"),ТабПозиции[[#This Row],[deliverySumm]]+ТабПозиции[[#This Row],[deliveryPost]],SUM(M1756:O1756))</f>
        <v>350</v>
      </c>
      <c r="Q1756" s="57">
        <v>350</v>
      </c>
      <c r="R1756" s="62">
        <f>ТабПозиции[[#This Row],[totalSumm]]-ТабПозиции[[#This Row],[payment]]</f>
        <v>0</v>
      </c>
      <c r="S1756" s="34" t="s">
        <v>965</v>
      </c>
      <c r="T1756" s="56" t="s">
        <v>3061</v>
      </c>
      <c r="U1756" s="56" t="str">
        <f>IF(AND(ТабПозиции[[#This Row],[Остаток]]=0,ТабПозиции[[#This Row],[ord]]="true"),"true","false")</f>
        <v>true</v>
      </c>
      <c r="V1756" s="56" t="str">
        <f>IF(AND(ТабПозиции[[#This Row],[Остаток]]=0,ТабПозиции[[#This Row],[ord]]="true"),"true","false")</f>
        <v>true</v>
      </c>
    </row>
    <row r="1757" spans="1:22" x14ac:dyDescent="0.25">
      <c r="A1757" s="26">
        <v>465</v>
      </c>
      <c r="B1757" s="1">
        <f>IFERROR(VLOOKUP(ТабПозиции[[#This Row],[orderNum]],ТабЗаказы[#Data],MATCH(B$7,ТабЗаказы[#Headers],0),0),"")</f>
        <v>45693</v>
      </c>
      <c r="C1757" t="str">
        <f>MONTH(ТабПозиции[[#This Row],[date]])&amp;"/"&amp;YEAR(ТабПозиции[[#This Row],[date]])</f>
        <v>2/2025</v>
      </c>
      <c r="D1757" s="1" t="str">
        <f>IFERROR(VLOOKUP(ТабПозиции[[#This Row],[orderNum]],ТабЗаказы[#Data],MATCH(D$7,ТабЗаказы[#Headers],0),0),"")</f>
        <v>Юля Ларисына</v>
      </c>
      <c r="E1757" s="85" t="s">
        <v>1505</v>
      </c>
      <c r="F1757" s="56" t="s">
        <v>3061</v>
      </c>
      <c r="H1757" s="34">
        <v>45695</v>
      </c>
      <c r="I1757" s="26">
        <v>1</v>
      </c>
      <c r="J1757" s="26">
        <v>298</v>
      </c>
      <c r="K1757" s="91">
        <f>ТабПозиции[[#This Row],[discountPrice]]*ТабПозиции[[#This Row],[quantity]]</f>
        <v>298</v>
      </c>
      <c r="L1757" s="92">
        <v>321</v>
      </c>
      <c r="M1757" s="21">
        <f t="shared" si="38"/>
        <v>321</v>
      </c>
      <c r="O175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Row],[orderNum]],ТабПозиции[orderSumm])&gt;1500),ABS(M1757*VLOOKUP(ТабПозиции[[#This Row],[orderNum]],ТабЗаказы[#Data],MATCH("Percent",ТабЗаказы[#Headers],0),0))/100,200/COUNTIF(ТабПозиции[orderNum],ТабПозиции[[#This Row],[orderNum]])),0),"")</f>
        <v>48</v>
      </c>
      <c r="P1757">
        <f>IF(OR(ТабПозиции[[#This Row],[item]]="По штрихкоду",ТабПозиции[[#This Row],[item]]="Посылка"),ТабПозиции[[#This Row],[deliverySumm]]+ТабПозиции[[#This Row],[deliveryPost]],SUM(M1757:O1757))</f>
        <v>369</v>
      </c>
      <c r="Q1757" s="57">
        <v>369</v>
      </c>
      <c r="R1757" s="62">
        <f>ТабПозиции[[#This Row],[totalSumm]]-ТабПозиции[[#This Row],[payment]]</f>
        <v>0</v>
      </c>
      <c r="S1757" s="34" t="s">
        <v>965</v>
      </c>
      <c r="T1757" s="56" t="s">
        <v>3061</v>
      </c>
      <c r="U1757" s="56" t="str">
        <f>IF(AND(ТабПозиции[[#This Row],[Остаток]]=0,ТабПозиции[[#This Row],[ord]]="true"),"true","false")</f>
        <v>true</v>
      </c>
      <c r="V1757" s="56" t="str">
        <f>IF(AND(ТабПозиции[[#This Row],[Остаток]]=0,ТабПозиции[[#This Row],[ord]]="true"),"true","false")</f>
        <v>true</v>
      </c>
    </row>
    <row r="1758" spans="1:22" x14ac:dyDescent="0.25">
      <c r="A1758" s="26">
        <v>465</v>
      </c>
      <c r="B1758" s="1">
        <f>IFERROR(VLOOKUP(ТабПозиции[[#This Row],[orderNum]],ТабЗаказы[#Data],MATCH(B$7,ТабЗаказы[#Headers],0),0),"")</f>
        <v>45693</v>
      </c>
      <c r="C1758" t="str">
        <f>MONTH(ТабПозиции[[#This Row],[date]])&amp;"/"&amp;YEAR(ТабПозиции[[#This Row],[date]])</f>
        <v>2/2025</v>
      </c>
      <c r="D1758" s="1" t="str">
        <f>IFERROR(VLOOKUP(ТабПозиции[[#This Row],[orderNum]],ТабЗаказы[#Data],MATCH(D$7,ТабЗаказы[#Headers],0),0),"")</f>
        <v>Юля Ларисына</v>
      </c>
      <c r="E1758" s="85" t="s">
        <v>844</v>
      </c>
      <c r="F1758" s="56" t="s">
        <v>3061</v>
      </c>
      <c r="H1758" s="34">
        <v>45694</v>
      </c>
      <c r="I1758" s="26">
        <v>1</v>
      </c>
      <c r="J1758" s="26">
        <v>356</v>
      </c>
      <c r="K1758" s="21">
        <f>ТабПозиции[[#This Row],[discountPrice]]*ТабПозиции[[#This Row],[quantity]]</f>
        <v>356</v>
      </c>
      <c r="L1758" s="42">
        <v>375</v>
      </c>
      <c r="M1758" s="21">
        <f t="shared" si="38"/>
        <v>375</v>
      </c>
      <c r="O175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Row],[orderNum]],ТабПозиции[orderSumm])&gt;1500),ABS(M1758*VLOOKUP(ТабПозиции[[#This Row],[orderNum]],ТабЗаказы[#Data],MATCH("Percent",ТабЗаказы[#Headers],0),0))/100,200/COUNTIF(ТабПозиции[orderNum],ТабПозиции[[#This Row],[orderNum]])),0),"")</f>
        <v>56</v>
      </c>
      <c r="P1758">
        <f>IF(OR(ТабПозиции[[#This Row],[item]]="По штрихкоду",ТабПозиции[[#This Row],[item]]="Посылка"),ТабПозиции[[#This Row],[deliverySumm]]+ТабПозиции[[#This Row],[deliveryPost]],SUM(M1758:O1758))</f>
        <v>431</v>
      </c>
      <c r="Q1758" s="57">
        <v>431</v>
      </c>
      <c r="R1758" s="62">
        <f>ТабПозиции[[#This Row],[totalSumm]]-ТабПозиции[[#This Row],[payment]]</f>
        <v>0</v>
      </c>
      <c r="S1758" s="34" t="s">
        <v>965</v>
      </c>
      <c r="T1758" s="56" t="s">
        <v>3061</v>
      </c>
      <c r="U1758" s="56" t="str">
        <f>IF(AND(ТабПозиции[[#This Row],[Остаток]]=0,ТабПозиции[[#This Row],[ord]]="true"),"true","false")</f>
        <v>true</v>
      </c>
      <c r="V1758" s="56" t="str">
        <f>IF(AND(ТабПозиции[[#This Row],[Остаток]]=0,ТабПозиции[[#This Row],[ord]]="true"),"true","false")</f>
        <v>true</v>
      </c>
    </row>
    <row r="1759" spans="1:22" x14ac:dyDescent="0.25">
      <c r="A1759" s="26">
        <v>465</v>
      </c>
      <c r="B1759" s="1">
        <f>IFERROR(VLOOKUP(ТабПозиции[[#This Row],[orderNum]],ТабЗаказы[#Data],MATCH(B$7,ТабЗаказы[#Headers],0),0),"")</f>
        <v>45693</v>
      </c>
      <c r="C1759" t="str">
        <f>MONTH(ТабПозиции[[#This Row],[date]])&amp;"/"&amp;YEAR(ТабПозиции[[#This Row],[date]])</f>
        <v>2/2025</v>
      </c>
      <c r="D1759" s="1" t="str">
        <f>IFERROR(VLOOKUP(ТабПозиции[[#This Row],[orderNum]],ТабЗаказы[#Data],MATCH(D$7,ТабЗаказы[#Headers],0),0),"")</f>
        <v>Юля Ларисына</v>
      </c>
      <c r="E1759" s="85" t="s">
        <v>2420</v>
      </c>
      <c r="F1759" s="56" t="s">
        <v>3061</v>
      </c>
      <c r="H1759" s="34">
        <v>45695</v>
      </c>
      <c r="I1759" s="26">
        <v>1</v>
      </c>
      <c r="J1759" s="26">
        <v>166</v>
      </c>
      <c r="K1759" s="21">
        <f>ТабПозиции[[#This Row],[discountPrice]]*ТабПозиции[[#This Row],[quantity]]</f>
        <v>166</v>
      </c>
      <c r="L1759" s="42">
        <v>175</v>
      </c>
      <c r="M1759" s="21">
        <f t="shared" si="38"/>
        <v>175</v>
      </c>
      <c r="O175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Row],[orderNum]],ТабПозиции[orderSumm])&gt;1500),ABS(M1759*VLOOKUP(ТабПозиции[[#This Row],[orderNum]],ТабЗаказы[#Data],MATCH("Percent",ТабЗаказы[#Headers],0),0))/100,200/COUNTIF(ТабПозиции[orderNum],ТабПозиции[[#This Row],[orderNum]])),0),"")</f>
        <v>26</v>
      </c>
      <c r="P1759">
        <f>IF(OR(ТабПозиции[[#This Row],[item]]="По штрихкоду",ТабПозиции[[#This Row],[item]]="Посылка"),ТабПозиции[[#This Row],[deliverySumm]]+ТабПозиции[[#This Row],[deliveryPost]],SUM(M1759:O1759))</f>
        <v>201</v>
      </c>
      <c r="Q1759" s="57">
        <v>201</v>
      </c>
      <c r="R1759" s="62">
        <f>ТабПозиции[[#This Row],[totalSumm]]-ТабПозиции[[#This Row],[payment]]</f>
        <v>0</v>
      </c>
      <c r="S1759" s="34" t="s">
        <v>965</v>
      </c>
      <c r="T1759" s="56" t="s">
        <v>3061</v>
      </c>
      <c r="U1759" s="56" t="str">
        <f>IF(AND(ТабПозиции[[#This Row],[Остаток]]=0,ТабПозиции[[#This Row],[ord]]="true"),"true","false")</f>
        <v>true</v>
      </c>
      <c r="V1759" s="56" t="str">
        <f>IF(AND(ТабПозиции[[#This Row],[Остаток]]=0,ТабПозиции[[#This Row],[ord]]="true"),"true","false")</f>
        <v>true</v>
      </c>
    </row>
    <row r="1760" spans="1:22" x14ac:dyDescent="0.25">
      <c r="A1760" s="26">
        <v>465</v>
      </c>
      <c r="B1760" s="1">
        <f>IFERROR(VLOOKUP(ТабПозиции[[#This Row],[orderNum]],ТабЗаказы[#Data],MATCH(B$7,ТабЗаказы[#Headers],0),0),"")</f>
        <v>45693</v>
      </c>
      <c r="C1760" t="str">
        <f>MONTH(ТабПозиции[[#This Row],[date]])&amp;"/"&amp;YEAR(ТабПозиции[[#This Row],[date]])</f>
        <v>2/2025</v>
      </c>
      <c r="D1760" s="1" t="str">
        <f>IFERROR(VLOOKUP(ТабПозиции[[#This Row],[orderNum]],ТабЗаказы[#Data],MATCH(D$7,ТабЗаказы[#Headers],0),0),"")</f>
        <v>Юля Ларисына</v>
      </c>
      <c r="E1760" s="85" t="s">
        <v>2421</v>
      </c>
      <c r="F1760" s="56" t="s">
        <v>3061</v>
      </c>
      <c r="H1760" s="34">
        <v>45696</v>
      </c>
      <c r="I1760" s="26">
        <v>1</v>
      </c>
      <c r="J1760" s="26">
        <v>229</v>
      </c>
      <c r="K1760" s="21">
        <f>ТабПозиции[[#This Row],[discountPrice]]*ТабПозиции[[#This Row],[quantity]]</f>
        <v>229</v>
      </c>
      <c r="L1760" s="42">
        <v>242</v>
      </c>
      <c r="M1760" s="21">
        <f t="shared" si="38"/>
        <v>242</v>
      </c>
      <c r="O176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Row],[orderNum]],ТабПозиции[orderSumm])&gt;1500),ABS(M1760*VLOOKUP(ТабПозиции[[#This Row],[orderNum]],ТабЗаказы[#Data],MATCH("Percent",ТабЗаказы[#Headers],0),0))/100,200/COUNTIF(ТабПозиции[orderNum],ТабПозиции[[#This Row],[orderNum]])),0),"")</f>
        <v>36</v>
      </c>
      <c r="P1760">
        <f>IF(OR(ТабПозиции[[#This Row],[item]]="По штрихкоду",ТабПозиции[[#This Row],[item]]="Посылка"),ТабПозиции[[#This Row],[deliverySumm]]+ТабПозиции[[#This Row],[deliveryPost]],SUM(M1760:O1760))</f>
        <v>278</v>
      </c>
      <c r="Q1760" s="57">
        <v>278</v>
      </c>
      <c r="R1760" s="62">
        <f>ТабПозиции[[#This Row],[totalSumm]]-ТабПозиции[[#This Row],[payment]]</f>
        <v>0</v>
      </c>
      <c r="S1760" s="34" t="s">
        <v>965</v>
      </c>
      <c r="T1760" s="56" t="s">
        <v>3061</v>
      </c>
      <c r="U1760" s="56" t="str">
        <f>IF(AND(ТабПозиции[[#This Row],[Остаток]]=0,ТабПозиции[[#This Row],[ord]]="true"),"true","false")</f>
        <v>true</v>
      </c>
      <c r="V1760" s="56" t="str">
        <f>IF(AND(ТабПозиции[[#This Row],[Остаток]]=0,ТабПозиции[[#This Row],[ord]]="true"),"true","false")</f>
        <v>true</v>
      </c>
    </row>
    <row r="1761" spans="1:22" x14ac:dyDescent="0.25">
      <c r="A1761" s="26">
        <v>465</v>
      </c>
      <c r="B1761" s="1">
        <f>IFERROR(VLOOKUP(ТабПозиции[[#This Row],[orderNum]],ТабЗаказы[#Data],MATCH(B$7,ТабЗаказы[#Headers],0),0),"")</f>
        <v>45693</v>
      </c>
      <c r="C1761" t="str">
        <f>MONTH(ТабПозиции[[#This Row],[date]])&amp;"/"&amp;YEAR(ТабПозиции[[#This Row],[date]])</f>
        <v>2/2025</v>
      </c>
      <c r="D1761" s="1" t="str">
        <f>IFERROR(VLOOKUP(ТабПозиции[[#This Row],[orderNum]],ТабЗаказы[#Data],MATCH(D$7,ТабЗаказы[#Headers],0),0),"")</f>
        <v>Юля Ларисына</v>
      </c>
      <c r="E1761" s="85" t="s">
        <v>2422</v>
      </c>
      <c r="F1761" s="56" t="s">
        <v>3061</v>
      </c>
      <c r="H1761" s="34">
        <v>45694</v>
      </c>
      <c r="I1761" s="26">
        <v>1</v>
      </c>
      <c r="J1761" s="26">
        <v>515</v>
      </c>
      <c r="K1761" s="21">
        <f>ТабПозиции[[#This Row],[discountPrice]]*ТабПозиции[[#This Row],[quantity]]</f>
        <v>515</v>
      </c>
      <c r="L1761" s="42">
        <v>543</v>
      </c>
      <c r="M1761" s="21">
        <f t="shared" si="38"/>
        <v>543</v>
      </c>
      <c r="O176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Row],[orderNum]],ТабПозиции[orderSumm])&gt;1500),ABS(M1761*VLOOKUP(ТабПозиции[[#This Row],[orderNum]],ТабЗаказы[#Data],MATCH("Percent",ТабЗаказы[#Headers],0),0))/100,200/COUNTIF(ТабПозиции[orderNum],ТабПозиции[[#This Row],[orderNum]])),0),"")</f>
        <v>81</v>
      </c>
      <c r="P1761">
        <f>IF(OR(ТабПозиции[[#This Row],[item]]="По штрихкоду",ТабПозиции[[#This Row],[item]]="Посылка"),ТабПозиции[[#This Row],[deliverySumm]]+ТабПозиции[[#This Row],[deliveryPost]],SUM(M1761:O1761))</f>
        <v>624</v>
      </c>
      <c r="Q1761" s="57">
        <v>624</v>
      </c>
      <c r="R1761" s="62">
        <f>ТабПозиции[[#This Row],[totalSumm]]-ТабПозиции[[#This Row],[payment]]</f>
        <v>0</v>
      </c>
      <c r="S1761" s="34" t="s">
        <v>965</v>
      </c>
      <c r="T1761" s="56" t="s">
        <v>3061</v>
      </c>
      <c r="U1761" s="56" t="str">
        <f>IF(AND(ТабПозиции[[#This Row],[Остаток]]=0,ТабПозиции[[#This Row],[ord]]="true"),"true","false")</f>
        <v>true</v>
      </c>
      <c r="V1761" s="56" t="str">
        <f>IF(AND(ТабПозиции[[#This Row],[Остаток]]=0,ТабПозиции[[#This Row],[ord]]="true"),"true","false")</f>
        <v>true</v>
      </c>
    </row>
    <row r="1762" spans="1:22" x14ac:dyDescent="0.25">
      <c r="A1762" s="26">
        <v>465</v>
      </c>
      <c r="B1762" s="1">
        <f>IFERROR(VLOOKUP(ТабПозиции[[#This Row],[orderNum]],ТабЗаказы[#Data],MATCH(B$7,ТабЗаказы[#Headers],0),0),"")</f>
        <v>45693</v>
      </c>
      <c r="C1762" t="str">
        <f>MONTH(ТабПозиции[[#This Row],[date]])&amp;"/"&amp;YEAR(ТабПозиции[[#This Row],[date]])</f>
        <v>2/2025</v>
      </c>
      <c r="D1762" s="1" t="str">
        <f>IFERROR(VLOOKUP(ТабПозиции[[#This Row],[orderNum]],ТабЗаказы[#Data],MATCH(D$7,ТабЗаказы[#Headers],0),0),"")</f>
        <v>Юля Ларисына</v>
      </c>
      <c r="E1762" s="85" t="s">
        <v>2423</v>
      </c>
      <c r="F1762" s="56" t="s">
        <v>3061</v>
      </c>
      <c r="H1762" s="34">
        <v>45694</v>
      </c>
      <c r="I1762" s="26">
        <v>1</v>
      </c>
      <c r="J1762" s="26">
        <v>194</v>
      </c>
      <c r="K1762" s="21">
        <f>ТабПозиции[[#This Row],[discountPrice]]*ТабПозиции[[#This Row],[quantity]]</f>
        <v>194</v>
      </c>
      <c r="L1762" s="42">
        <v>205</v>
      </c>
      <c r="M1762" s="21">
        <f t="shared" si="38"/>
        <v>205</v>
      </c>
      <c r="O176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Row],[orderNum]],ТабПозиции[orderSumm])&gt;1500),ABS(M1762*VLOOKUP(ТабПозиции[[#This Row],[orderNum]],ТабЗаказы[#Data],MATCH("Percent",ТабЗаказы[#Headers],0),0))/100,200/COUNTIF(ТабПозиции[orderNum],ТабПозиции[[#This Row],[orderNum]])),0),"")</f>
        <v>31</v>
      </c>
      <c r="P1762">
        <f>IF(OR(ТабПозиции[[#This Row],[item]]="По штрихкоду",ТабПозиции[[#This Row],[item]]="Посылка"),ТабПозиции[[#This Row],[deliverySumm]]+ТабПозиции[[#This Row],[deliveryPost]],SUM(M1762:O1762))</f>
        <v>236</v>
      </c>
      <c r="Q1762" s="57">
        <v>236</v>
      </c>
      <c r="R1762" s="62">
        <f>ТабПозиции[[#This Row],[totalSumm]]-ТабПозиции[[#This Row],[payment]]</f>
        <v>0</v>
      </c>
      <c r="S1762" s="34" t="s">
        <v>965</v>
      </c>
      <c r="T1762" s="56" t="s">
        <v>3061</v>
      </c>
      <c r="U1762" s="56" t="str">
        <f>IF(AND(ТабПозиции[[#This Row],[Остаток]]=0,ТабПозиции[[#This Row],[ord]]="true"),"true","false")</f>
        <v>true</v>
      </c>
      <c r="V1762" s="56" t="str">
        <f>IF(AND(ТабПозиции[[#This Row],[Остаток]]=0,ТабПозиции[[#This Row],[ord]]="true"),"true","false")</f>
        <v>true</v>
      </c>
    </row>
    <row r="1763" spans="1:22" x14ac:dyDescent="0.25">
      <c r="A1763" s="26">
        <v>465</v>
      </c>
      <c r="B1763" s="1">
        <f>IFERROR(VLOOKUP(ТабПозиции[[#This Row],[orderNum]],ТабЗаказы[#Data],MATCH(B$7,ТабЗаказы[#Headers],0),0),"")</f>
        <v>45693</v>
      </c>
      <c r="C1763" t="str">
        <f>MONTH(ТабПозиции[[#This Row],[date]])&amp;"/"&amp;YEAR(ТабПозиции[[#This Row],[date]])</f>
        <v>2/2025</v>
      </c>
      <c r="D1763" s="1" t="str">
        <f>IFERROR(VLOOKUP(ТабПозиции[[#This Row],[orderNum]],ТабЗаказы[#Data],MATCH(D$7,ТабЗаказы[#Headers],0),0),"")</f>
        <v>Юля Ларисына</v>
      </c>
      <c r="E1763" s="85" t="s">
        <v>2424</v>
      </c>
      <c r="F1763" s="56" t="s">
        <v>3061</v>
      </c>
      <c r="H1763" s="34">
        <v>45695</v>
      </c>
      <c r="I1763" s="26">
        <v>1</v>
      </c>
      <c r="J1763" s="26">
        <v>338</v>
      </c>
      <c r="K1763" s="21">
        <f>ТабПозиции[[#This Row],[discountPrice]]*ТабПозиции[[#This Row],[quantity]]</f>
        <v>338</v>
      </c>
      <c r="L1763" s="42">
        <v>356</v>
      </c>
      <c r="M1763" s="21">
        <f t="shared" si="38"/>
        <v>356</v>
      </c>
      <c r="O176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Row],[orderNum]],ТабПозиции[orderSumm])&gt;1500),ABS(M1763*VLOOKUP(ТабПозиции[[#This Row],[orderNum]],ТабЗаказы[#Data],MATCH("Percent",ТабЗаказы[#Headers],0),0))/100,200/COUNTIF(ТабПозиции[orderNum],ТабПозиции[[#This Row],[orderNum]])),0),"")</f>
        <v>53</v>
      </c>
      <c r="P1763">
        <f>IF(OR(ТабПозиции[[#This Row],[item]]="По штрихкоду",ТабПозиции[[#This Row],[item]]="Посылка"),ТабПозиции[[#This Row],[deliverySumm]]+ТабПозиции[[#This Row],[deliveryPost]],SUM(M1763:O1763))</f>
        <v>409</v>
      </c>
      <c r="Q1763" s="57">
        <v>409</v>
      </c>
      <c r="R1763" s="62">
        <f>ТабПозиции[[#This Row],[totalSumm]]-ТабПозиции[[#This Row],[payment]]</f>
        <v>0</v>
      </c>
      <c r="S1763" s="34" t="s">
        <v>965</v>
      </c>
      <c r="T1763" s="56" t="s">
        <v>3061</v>
      </c>
      <c r="U1763" s="56" t="str">
        <f>IF(AND(ТабПозиции[[#This Row],[Остаток]]=0,ТабПозиции[[#This Row],[ord]]="true"),"true","false")</f>
        <v>true</v>
      </c>
      <c r="V1763" s="56" t="str">
        <f>IF(AND(ТабПозиции[[#This Row],[Остаток]]=0,ТабПозиции[[#This Row],[ord]]="true"),"true","false")</f>
        <v>true</v>
      </c>
    </row>
    <row r="1764" spans="1:22" x14ac:dyDescent="0.25">
      <c r="A1764" s="26">
        <v>465</v>
      </c>
      <c r="B1764" s="1">
        <f>IFERROR(VLOOKUP(ТабПозиции[[#This Row],[orderNum]],ТабЗаказы[#Data],MATCH(B$7,ТабЗаказы[#Headers],0),0),"")</f>
        <v>45693</v>
      </c>
      <c r="C1764" t="str">
        <f>MONTH(ТабПозиции[[#This Row],[date]])&amp;"/"&amp;YEAR(ТабПозиции[[#This Row],[date]])</f>
        <v>2/2025</v>
      </c>
      <c r="D1764" s="1" t="str">
        <f>IFERROR(VLOOKUP(ТабПозиции[[#This Row],[orderNum]],ТабЗаказы[#Data],MATCH(D$7,ТабЗаказы[#Headers],0),0),"")</f>
        <v>Юля Ларисына</v>
      </c>
      <c r="E1764" s="85" t="s">
        <v>2246</v>
      </c>
      <c r="F1764" s="56" t="s">
        <v>3061</v>
      </c>
      <c r="H1764" s="34">
        <v>45695</v>
      </c>
      <c r="I1764" s="26">
        <v>1</v>
      </c>
      <c r="J1764" s="26">
        <v>760</v>
      </c>
      <c r="K1764" s="21">
        <f>ТабПозиции[[#This Row],[discountPrice]]*ТабПозиции[[#This Row],[quantity]]</f>
        <v>760</v>
      </c>
      <c r="L1764" s="42">
        <v>800</v>
      </c>
      <c r="M1764" s="21">
        <f t="shared" si="38"/>
        <v>800</v>
      </c>
      <c r="O176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Row],[orderNum]],ТабПозиции[orderSumm])&gt;1500),ABS(M1764*VLOOKUP(ТабПозиции[[#This Row],[orderNum]],ТабЗаказы[#Data],MATCH("Percent",ТабЗаказы[#Headers],0),0))/100,200/COUNTIF(ТабПозиции[orderNum],ТабПозиции[[#This Row],[orderNum]])),0),"")</f>
        <v>120</v>
      </c>
      <c r="P1764">
        <f>IF(OR(ТабПозиции[[#This Row],[item]]="По штрихкоду",ТабПозиции[[#This Row],[item]]="Посылка"),ТабПозиции[[#This Row],[deliverySumm]]+ТабПозиции[[#This Row],[deliveryPost]],SUM(M1764:O1764))</f>
        <v>920</v>
      </c>
      <c r="Q1764" s="57">
        <v>920</v>
      </c>
      <c r="R1764" s="62">
        <f>ТабПозиции[[#This Row],[totalSumm]]-ТабПозиции[[#This Row],[payment]]</f>
        <v>0</v>
      </c>
      <c r="S1764" s="34" t="s">
        <v>965</v>
      </c>
      <c r="T1764" s="56" t="s">
        <v>3061</v>
      </c>
      <c r="U1764" s="56" t="str">
        <f>IF(AND(ТабПозиции[[#This Row],[Остаток]]=0,ТабПозиции[[#This Row],[ord]]="true"),"true","false")</f>
        <v>true</v>
      </c>
      <c r="V1764" s="56" t="str">
        <f>IF(AND(ТабПозиции[[#This Row],[Остаток]]=0,ТабПозиции[[#This Row],[ord]]="true"),"true","false")</f>
        <v>true</v>
      </c>
    </row>
    <row r="1765" spans="1:22" x14ac:dyDescent="0.25">
      <c r="A1765" s="26">
        <v>465</v>
      </c>
      <c r="B1765" s="1">
        <f>IFERROR(VLOOKUP(ТабПозиции[[#This Row],[orderNum]],ТабЗаказы[#Data],MATCH(B$7,ТабЗаказы[#Headers],0),0),"")</f>
        <v>45693</v>
      </c>
      <c r="C1765" t="str">
        <f>MONTH(ТабПозиции[[#This Row],[date]])&amp;"/"&amp;YEAR(ТабПозиции[[#This Row],[date]])</f>
        <v>2/2025</v>
      </c>
      <c r="D1765" s="1" t="str">
        <f>IFERROR(VLOOKUP(ТабПозиции[[#This Row],[orderNum]],ТабЗаказы[#Data],MATCH(D$7,ТабЗаказы[#Headers],0),0),"")</f>
        <v>Юля Ларисына</v>
      </c>
      <c r="E1765" s="85" t="s">
        <v>2425</v>
      </c>
      <c r="F1765" s="56" t="s">
        <v>3061</v>
      </c>
      <c r="H1765" s="34">
        <v>45697</v>
      </c>
      <c r="I1765" s="26">
        <v>1</v>
      </c>
      <c r="J1765" s="26">
        <v>303</v>
      </c>
      <c r="K1765" s="21">
        <f>ТабПозиции[[#This Row],[discountPrice]]*ТабПозиции[[#This Row],[quantity]]</f>
        <v>303</v>
      </c>
      <c r="L1765" s="42">
        <v>319</v>
      </c>
      <c r="M1765" s="21">
        <f t="shared" si="38"/>
        <v>319</v>
      </c>
      <c r="O176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Row],[orderNum]],ТабПозиции[orderSumm])&gt;1500),ABS(M1765*VLOOKUP(ТабПозиции[[#This Row],[orderNum]],ТабЗаказы[#Data],MATCH("Percent",ТабЗаказы[#Headers],0),0))/100,200/COUNTIF(ТабПозиции[orderNum],ТабПозиции[[#This Row],[orderNum]])),0),"")</f>
        <v>48</v>
      </c>
      <c r="P1765">
        <f>IF(OR(ТабПозиции[[#This Row],[item]]="По штрихкоду",ТабПозиции[[#This Row],[item]]="Посылка"),ТабПозиции[[#This Row],[deliverySumm]]+ТабПозиции[[#This Row],[deliveryPost]],SUM(M1765:O1765))</f>
        <v>367</v>
      </c>
      <c r="Q1765" s="57">
        <v>367</v>
      </c>
      <c r="R1765" s="62">
        <f>ТабПозиции[[#This Row],[totalSumm]]-ТабПозиции[[#This Row],[payment]]</f>
        <v>0</v>
      </c>
      <c r="S1765" s="34" t="s">
        <v>965</v>
      </c>
      <c r="T1765" s="56" t="s">
        <v>3061</v>
      </c>
      <c r="U1765" s="56" t="str">
        <f>IF(AND(ТабПозиции[[#This Row],[Остаток]]=0,ТабПозиции[[#This Row],[ord]]="true"),"true","false")</f>
        <v>true</v>
      </c>
      <c r="V1765" s="56" t="str">
        <f>IF(AND(ТабПозиции[[#This Row],[Остаток]]=0,ТабПозиции[[#This Row],[ord]]="true"),"true","false")</f>
        <v>true</v>
      </c>
    </row>
    <row r="1766" spans="1:22" x14ac:dyDescent="0.25">
      <c r="A1766" s="26">
        <v>466</v>
      </c>
      <c r="B1766" s="1">
        <f>IFERROR(VLOOKUP(ТабПозиции[[#This Row],[orderNum]],ТабЗаказы[#Data],MATCH(B$7,ТабЗаказы[#Headers],0),0),"")</f>
        <v>45695</v>
      </c>
      <c r="C1766" t="str">
        <f>MONTH(ТабПозиции[[#This Row],[date]])&amp;"/"&amp;YEAR(ТабПозиции[[#This Row],[date]])</f>
        <v>2/2025</v>
      </c>
      <c r="D1766" s="1" t="str">
        <f>IFERROR(VLOOKUP(ТабПозиции[[#This Row],[orderNum]],ТабЗаказы[#Data],MATCH(D$7,ТабЗаказы[#Headers],0),0),"")</f>
        <v>Родион</v>
      </c>
      <c r="E1766" s="26" t="s">
        <v>815</v>
      </c>
      <c r="F1766" s="56" t="s">
        <v>3061</v>
      </c>
      <c r="G1766" s="28" t="s">
        <v>2426</v>
      </c>
      <c r="H1766" s="34">
        <v>45695</v>
      </c>
      <c r="I1766" s="26">
        <v>1</v>
      </c>
      <c r="J1766" s="26">
        <v>1000</v>
      </c>
      <c r="K1766">
        <f>ТабПозиции[[#This Row],[discountPrice]]*ТабПозиции[[#This Row],[quantity]]</f>
        <v>1000</v>
      </c>
      <c r="L1766" s="26">
        <v>1000</v>
      </c>
      <c r="M1766">
        <f t="shared" si="38"/>
        <v>1000</v>
      </c>
      <c r="N1766" s="26">
        <v>500</v>
      </c>
      <c r="O176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Row],[orderNum]],ТабПозиции[orderSumm])&gt;1500),ABS(M1766*VLOOKUP(ТабПозиции[[#This Row],[orderNum]],ТабЗаказы[#Data],MATCH("Percent",ТабЗаказы[#Headers],0),0))/100,200/COUNTIF(ТабПозиции[orderNum],ТабПозиции[[#This Row],[orderNum]])),0),"")</f>
        <v>150</v>
      </c>
      <c r="P1766">
        <f>IF(OR(ТабПозиции[[#This Row],[item]]="По штрихкоду",ТабПозиции[[#This Row],[item]]="Посылка"),ТабПозиции[[#This Row],[deliverySumm]]+ТабПозиции[[#This Row],[deliveryPost]],SUM(M1766:O1766))</f>
        <v>650</v>
      </c>
      <c r="Q1766" s="57">
        <v>650</v>
      </c>
      <c r="R1766" s="62">
        <f>ТабПозиции[[#This Row],[totalSumm]]-ТабПозиции[[#This Row],[payment]]</f>
        <v>0</v>
      </c>
      <c r="S1766" s="34" t="s">
        <v>1016</v>
      </c>
      <c r="T1766" s="56" t="s">
        <v>3061</v>
      </c>
      <c r="U1766" s="56" t="str">
        <f>IF(AND(ТабПозиции[[#This Row],[Остаток]]=0,ТабПозиции[[#This Row],[ord]]="true"),"true","false")</f>
        <v>true</v>
      </c>
      <c r="V1766" s="56" t="s">
        <v>3061</v>
      </c>
    </row>
    <row r="1767" spans="1:22" x14ac:dyDescent="0.25">
      <c r="A1767" s="26">
        <v>466</v>
      </c>
      <c r="B1767" s="1">
        <f>IFERROR(VLOOKUP(ТабПозиции[[#This Row],[orderNum]],ТабЗаказы[#Data],MATCH(B$7,ТабЗаказы[#Headers],0),0),"")</f>
        <v>45695</v>
      </c>
      <c r="C1767" t="str">
        <f>MONTH(ТабПозиции[[#This Row],[date]])&amp;"/"&amp;YEAR(ТабПозиции[[#This Row],[date]])</f>
        <v>2/2025</v>
      </c>
      <c r="D1767" s="1" t="str">
        <f>IFERROR(VLOOKUP(ТабПозиции[[#This Row],[orderNum]],ТабЗаказы[#Data],MATCH(D$7,ТабЗаказы[#Headers],0),0),"")</f>
        <v>Родион</v>
      </c>
      <c r="E1767" s="26" t="s">
        <v>815</v>
      </c>
      <c r="F1767" s="56" t="s">
        <v>3061</v>
      </c>
      <c r="G1767" s="28" t="s">
        <v>2427</v>
      </c>
      <c r="H1767" s="34">
        <v>45695</v>
      </c>
      <c r="I1767" s="26">
        <v>1</v>
      </c>
      <c r="J1767" s="26">
        <v>1000</v>
      </c>
      <c r="K1767">
        <f>ТабПозиции[[#This Row],[discountPrice]]*ТабПозиции[[#This Row],[quantity]]</f>
        <v>1000</v>
      </c>
      <c r="L1767" s="26">
        <v>1000</v>
      </c>
      <c r="M1767">
        <f t="shared" si="38"/>
        <v>1000</v>
      </c>
      <c r="N1767" s="26">
        <v>450</v>
      </c>
      <c r="O176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Row],[orderNum]],ТабПозиции[orderSumm])&gt;1500),ABS(M1767*VLOOKUP(ТабПозиции[[#This Row],[orderNum]],ТабЗаказы[#Data],MATCH("Percent",ТабЗаказы[#Headers],0),0))/100,200/COUNTIF(ТабПозиции[orderNum],ТабПозиции[[#This Row],[orderNum]])),0),"")</f>
        <v>150</v>
      </c>
      <c r="P1767">
        <f>IF(OR(ТабПозиции[[#This Row],[item]]="По штрихкоду",ТабПозиции[[#This Row],[item]]="Посылка"),ТабПозиции[[#This Row],[deliverySumm]]+ТабПозиции[[#This Row],[deliveryPost]],SUM(M1767:O1767))</f>
        <v>600</v>
      </c>
      <c r="Q1767" s="57">
        <v>600</v>
      </c>
      <c r="R1767" s="62">
        <f>ТабПозиции[[#This Row],[totalSumm]]-ТабПозиции[[#This Row],[payment]]</f>
        <v>0</v>
      </c>
      <c r="S1767" s="34" t="s">
        <v>1016</v>
      </c>
      <c r="T1767" s="56" t="s">
        <v>3061</v>
      </c>
      <c r="U1767" s="56" t="str">
        <f>IF(AND(ТабПозиции[[#This Row],[Остаток]]=0,ТабПозиции[[#This Row],[ord]]="true"),"true","false")</f>
        <v>true</v>
      </c>
      <c r="V1767" s="56" t="s">
        <v>3061</v>
      </c>
    </row>
    <row r="1768" spans="1:22" x14ac:dyDescent="0.25">
      <c r="A1768" s="26">
        <v>467</v>
      </c>
      <c r="B1768" s="1">
        <f>IFERROR(VLOOKUP(ТабПозиции[[#This Row],[orderNum]],ТабЗаказы[#Data],MATCH(B$7,ТабЗаказы[#Headers],0),0),"")</f>
        <v>45695</v>
      </c>
      <c r="C1768" t="str">
        <f>MONTH(ТабПозиции[[#This Row],[date]])&amp;"/"&amp;YEAR(ТабПозиции[[#This Row],[date]])</f>
        <v>2/2025</v>
      </c>
      <c r="D1768" s="1" t="str">
        <f>IFERROR(VLOOKUP(ТабПозиции[[#This Row],[orderNum]],ТабЗаказы[#Data],MATCH(D$7,ТабЗаказы[#Headers],0),0),"")</f>
        <v>Родион</v>
      </c>
      <c r="E1768" s="26" t="s">
        <v>815</v>
      </c>
      <c r="F1768" s="56" t="s">
        <v>3061</v>
      </c>
      <c r="G1768" s="28" t="s">
        <v>2442</v>
      </c>
      <c r="H1768" s="34">
        <v>45698</v>
      </c>
      <c r="I1768" s="26">
        <v>1</v>
      </c>
      <c r="J1768" s="26">
        <v>3000</v>
      </c>
      <c r="K1768">
        <f>ТабПозиции[[#This Row],[discountPrice]]*ТабПозиции[[#This Row],[quantity]]</f>
        <v>3000</v>
      </c>
      <c r="L1768" s="26">
        <v>3000</v>
      </c>
      <c r="M1768">
        <f t="shared" si="38"/>
        <v>3000</v>
      </c>
      <c r="N1768" s="26">
        <v>1130</v>
      </c>
      <c r="O176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Row],[orderNum]],ТабПозиции[orderSumm])&gt;1500),ABS(M1768*VLOOKUP(ТабПозиции[[#This Row],[orderNum]],ТабЗаказы[#Data],MATCH("Percent",ТабЗаказы[#Headers],0),0))/100,200/COUNTIF(ТабПозиции[orderNum],ТабПозиции[[#This Row],[orderNum]])),0),"")</f>
        <v>450</v>
      </c>
      <c r="P1768">
        <f>IF(OR(ТабПозиции[[#This Row],[item]]="По штрихкоду",ТабПозиции[[#This Row],[item]]="Посылка"),ТабПозиции[[#This Row],[deliverySumm]]+ТабПозиции[[#This Row],[deliveryPost]],SUM(M1768:O1768))</f>
        <v>1580</v>
      </c>
      <c r="Q1768" s="57">
        <v>1580</v>
      </c>
      <c r="R1768" s="62">
        <f>ТабПозиции[[#This Row],[totalSumm]]-ТабПозиции[[#This Row],[payment]]</f>
        <v>0</v>
      </c>
      <c r="S1768" s="34" t="s">
        <v>1016</v>
      </c>
      <c r="T1768" s="56" t="s">
        <v>3061</v>
      </c>
      <c r="U1768" s="56" t="str">
        <f>IF(AND(ТабПозиции[[#This Row],[Остаток]]=0,ТабПозиции[[#This Row],[ord]]="true"),"true","false")</f>
        <v>true</v>
      </c>
      <c r="V1768" s="56" t="s">
        <v>3061</v>
      </c>
    </row>
    <row r="1769" spans="1:22" x14ac:dyDescent="0.25">
      <c r="A1769" s="26">
        <v>468</v>
      </c>
      <c r="B1769" s="1">
        <f>IFERROR(VLOOKUP(ТабПозиции[[#This Row],[orderNum]],ТабЗаказы[#Data],MATCH(B$7,ТабЗаказы[#Headers],0),0),"")</f>
        <v>45695</v>
      </c>
      <c r="C1769" t="str">
        <f>MONTH(ТабПозиции[[#This Row],[date]])&amp;"/"&amp;YEAR(ТабПозиции[[#This Row],[date]])</f>
        <v>2/2025</v>
      </c>
      <c r="D1769" s="1" t="str">
        <f>IFERROR(VLOOKUP(ТабПозиции[[#This Row],[orderNum]],ТабЗаказы[#Data],MATCH(D$7,ТабЗаказы[#Headers],0),0),"")</f>
        <v>Лана</v>
      </c>
      <c r="E1769" s="26" t="s">
        <v>32</v>
      </c>
      <c r="F1769" s="56" t="s">
        <v>3061</v>
      </c>
      <c r="H1769" s="34">
        <v>45695</v>
      </c>
      <c r="I1769" s="26">
        <v>1</v>
      </c>
      <c r="J1769" s="26">
        <v>2516</v>
      </c>
      <c r="K1769">
        <f>ТабПозиции[[#This Row],[discountPrice]]*ТабПозиции[[#This Row],[quantity]]</f>
        <v>2516</v>
      </c>
      <c r="L1769" s="26">
        <v>2516</v>
      </c>
      <c r="M1769">
        <f t="shared" si="38"/>
        <v>2516</v>
      </c>
      <c r="O176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Row],[orderNum]],ТабПозиции[orderSumm])&gt;1500),ABS(M1769*VLOOKUP(ТабПозиции[[#This Row],[orderNum]],ТабЗаказы[#Data],MATCH("Percent",ТабЗаказы[#Headers],0),0))/100,200/COUNTIF(ТабПозиции[orderNum],ТабПозиции[[#This Row],[orderNum]])),0),"")</f>
        <v>377</v>
      </c>
      <c r="P1769">
        <f>IF(OR(ТабПозиции[[#This Row],[item]]="По штрихкоду",ТабПозиции[[#This Row],[item]]="Посылка"),ТабПозиции[[#This Row],[deliverySumm]]+ТабПозиции[[#This Row],[deliveryPost]],SUM(M1769:O1769))</f>
        <v>377</v>
      </c>
      <c r="Q1769" s="57">
        <v>377</v>
      </c>
      <c r="R1769" s="62">
        <f>ТабПозиции[[#This Row],[totalSumm]]-ТабПозиции[[#This Row],[payment]]</f>
        <v>0</v>
      </c>
      <c r="S1769" s="34" t="s">
        <v>955</v>
      </c>
      <c r="T1769" s="56" t="s">
        <v>3061</v>
      </c>
      <c r="U1769" s="56" t="str">
        <f>IF(AND(ТабПозиции[[#This Row],[Остаток]]=0,ТабПозиции[[#This Row],[ord]]="true"),"true","false")</f>
        <v>true</v>
      </c>
      <c r="V1769" s="56" t="str">
        <f>IF(AND(ТабПозиции[[#This Row],[Остаток]]=0,ТабПозиции[[#This Row],[ord]]="true"),"true","false")</f>
        <v>true</v>
      </c>
    </row>
    <row r="1770" spans="1:22" x14ac:dyDescent="0.25">
      <c r="A1770" s="26">
        <v>469</v>
      </c>
      <c r="B1770" s="1">
        <f>IFERROR(VLOOKUP(ТабПозиции[[#This Row],[orderNum]],ТабЗаказы[#Data],MATCH(B$7,ТабЗаказы[#Headers],0),0),"")</f>
        <v>45693</v>
      </c>
      <c r="C1770" t="str">
        <f>MONTH(ТабПозиции[[#This Row],[date]])&amp;"/"&amp;YEAR(ТабПозиции[[#This Row],[date]])</f>
        <v>2/2025</v>
      </c>
      <c r="D1770" s="1" t="str">
        <f>IFERROR(VLOOKUP(ТабПозиции[[#This Row],[orderNum]],ТабЗаказы[#Data],MATCH(D$7,ТабЗаказы[#Headers],0),0),"")</f>
        <v>Михаил Строителей 145</v>
      </c>
      <c r="E1770" s="93" t="s">
        <v>2242</v>
      </c>
      <c r="F1770" s="56" t="s">
        <v>3061</v>
      </c>
      <c r="H1770" s="34">
        <v>45695</v>
      </c>
      <c r="I1770" s="26">
        <v>1</v>
      </c>
      <c r="J1770" s="26">
        <v>1280</v>
      </c>
      <c r="K1770">
        <f>ТабПозиции[[#This Row],[discountPrice]]*ТабПозиции[[#This Row],[quantity]]</f>
        <v>1280</v>
      </c>
      <c r="L1770" s="26">
        <v>1348</v>
      </c>
      <c r="M1770">
        <f t="shared" si="38"/>
        <v>1348</v>
      </c>
      <c r="O177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Row],[orderNum]],ТабПозиции[orderSumm])&gt;1500),ABS(M1770*VLOOKUP(ТабПозиции[[#This Row],[orderNum]],ТабЗаказы[#Data],MATCH("Percent",ТабЗаказы[#Headers],0),0))/100,200/COUNTIF(ТабПозиции[orderNum],ТабПозиции[[#This Row],[orderNum]])),0),"")</f>
        <v>202</v>
      </c>
      <c r="P1770">
        <f>IF(OR(ТабПозиции[[#This Row],[item]]="По штрихкоду",ТабПозиции[[#This Row],[item]]="Посылка"),ТабПозиции[[#This Row],[deliverySumm]]+ТабПозиции[[#This Row],[deliveryPost]],SUM(M1770:O1770))</f>
        <v>1550</v>
      </c>
      <c r="Q1770" s="57">
        <v>1550</v>
      </c>
      <c r="R1770" s="62">
        <f>ТабПозиции[[#This Row],[totalSumm]]-ТабПозиции[[#This Row],[payment]]</f>
        <v>0</v>
      </c>
      <c r="S1770" s="34" t="s">
        <v>965</v>
      </c>
      <c r="T1770" s="56" t="s">
        <v>3061</v>
      </c>
      <c r="U1770" s="56" t="str">
        <f>IF(AND(ТабПозиции[[#This Row],[Остаток]]=0,ТабПозиции[[#This Row],[ord]]="true"),"true","false")</f>
        <v>true</v>
      </c>
      <c r="V1770" s="56" t="str">
        <f>IF(AND(ТабПозиции[[#This Row],[Остаток]]=0,ТабПозиции[[#This Row],[ord]]="true"),"true","false")</f>
        <v>true</v>
      </c>
    </row>
    <row r="1771" spans="1:22" x14ac:dyDescent="0.25">
      <c r="A1771" s="26">
        <v>469</v>
      </c>
      <c r="B1771" s="1">
        <f>IFERROR(VLOOKUP(ТабПозиции[[#This Row],[orderNum]],ТабЗаказы[#Data],MATCH(B$7,ТабЗаказы[#Headers],0),0),"")</f>
        <v>45693</v>
      </c>
      <c r="C1771" t="str">
        <f>MONTH(ТабПозиции[[#This Row],[date]])&amp;"/"&amp;YEAR(ТабПозиции[[#This Row],[date]])</f>
        <v>2/2025</v>
      </c>
      <c r="D1771" s="1" t="str">
        <f>IFERROR(VLOOKUP(ТабПозиции[[#This Row],[orderNum]],ТабЗаказы[#Data],MATCH(D$7,ТабЗаказы[#Headers],0),0),"")</f>
        <v>Михаил Строителей 145</v>
      </c>
      <c r="E1771" s="93" t="s">
        <v>2434</v>
      </c>
      <c r="F1771" s="56" t="s">
        <v>3061</v>
      </c>
      <c r="H1771" s="34">
        <v>45695</v>
      </c>
      <c r="I1771" s="26">
        <v>1</v>
      </c>
      <c r="J1771" s="26">
        <v>636</v>
      </c>
      <c r="K1771">
        <f>ТабПозиции[[#This Row],[discountPrice]]*ТабПозиции[[#This Row],[quantity]]</f>
        <v>636</v>
      </c>
      <c r="L1771" s="26">
        <v>670</v>
      </c>
      <c r="M1771">
        <f t="shared" si="38"/>
        <v>670</v>
      </c>
      <c r="O177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Row],[orderNum]],ТабПозиции[orderSumm])&gt;1500),ABS(M1771*VLOOKUP(ТабПозиции[[#This Row],[orderNum]],ТабЗаказы[#Data],MATCH("Percent",ТабЗаказы[#Headers],0),0))/100,200/COUNTIF(ТабПозиции[orderNum],ТабПозиции[[#This Row],[orderNum]])),0),"")</f>
        <v>101</v>
      </c>
      <c r="P1771">
        <f>IF(OR(ТабПозиции[[#This Row],[item]]="По штрихкоду",ТабПозиции[[#This Row],[item]]="Посылка"),ТабПозиции[[#This Row],[deliverySumm]]+ТабПозиции[[#This Row],[deliveryPost]],SUM(M1771:O1771))</f>
        <v>771</v>
      </c>
      <c r="Q1771" s="57">
        <v>771</v>
      </c>
      <c r="R1771" s="62">
        <f>ТабПозиции[[#This Row],[totalSumm]]-ТабПозиции[[#This Row],[payment]]</f>
        <v>0</v>
      </c>
      <c r="S1771" s="34" t="s">
        <v>965</v>
      </c>
      <c r="T1771" s="56" t="s">
        <v>3061</v>
      </c>
      <c r="U1771" s="56" t="str">
        <f>IF(AND(ТабПозиции[[#This Row],[Остаток]]=0,ТабПозиции[[#This Row],[ord]]="true"),"true","false")</f>
        <v>true</v>
      </c>
      <c r="V1771" s="56" t="str">
        <f>IF(AND(ТабПозиции[[#This Row],[Остаток]]=0,ТабПозиции[[#This Row],[ord]]="true"),"true","false")</f>
        <v>true</v>
      </c>
    </row>
    <row r="1772" spans="1:22" x14ac:dyDescent="0.25">
      <c r="A1772" s="26">
        <v>469</v>
      </c>
      <c r="B1772" s="1">
        <f>IFERROR(VLOOKUP(ТабПозиции[[#This Row],[orderNum]],ТабЗаказы[#Data],MATCH(B$7,ТабЗаказы[#Headers],0),0),"")</f>
        <v>45693</v>
      </c>
      <c r="C1772" t="str">
        <f>MONTH(ТабПозиции[[#This Row],[date]])&amp;"/"&amp;YEAR(ТабПозиции[[#This Row],[date]])</f>
        <v>2/2025</v>
      </c>
      <c r="D1772" s="1" t="str">
        <f>IFERROR(VLOOKUP(ТабПозиции[[#This Row],[orderNum]],ТабЗаказы[#Data],MATCH(D$7,ТабЗаказы[#Headers],0),0),"")</f>
        <v>Михаил Строителей 145</v>
      </c>
      <c r="E1772" s="93" t="s">
        <v>2435</v>
      </c>
      <c r="F1772" s="56" t="s">
        <v>3061</v>
      </c>
      <c r="H1772" s="34">
        <v>45695</v>
      </c>
      <c r="I1772" s="26">
        <v>1</v>
      </c>
      <c r="J1772" s="26">
        <v>912</v>
      </c>
      <c r="K1772">
        <f>ТабПозиции[[#This Row],[discountPrice]]*ТабПозиции[[#This Row],[quantity]]</f>
        <v>912</v>
      </c>
      <c r="L1772" s="26">
        <v>960</v>
      </c>
      <c r="M1772">
        <f t="shared" si="38"/>
        <v>960</v>
      </c>
      <c r="O177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Row],[orderNum]],ТабПозиции[orderSumm])&gt;1500),ABS(M1772*VLOOKUP(ТабПозиции[[#This Row],[orderNum]],ТабЗаказы[#Data],MATCH("Percent",ТабЗаказы[#Headers],0),0))/100,200/COUNTIF(ТабПозиции[orderNum],ТабПозиции[[#This Row],[orderNum]])),0),"")</f>
        <v>144</v>
      </c>
      <c r="P1772">
        <f>IF(OR(ТабПозиции[[#This Row],[item]]="По штрихкоду",ТабПозиции[[#This Row],[item]]="Посылка"),ТабПозиции[[#This Row],[deliverySumm]]+ТабПозиции[[#This Row],[deliveryPost]],SUM(M1772:O1772))</f>
        <v>1104</v>
      </c>
      <c r="Q1772" s="57">
        <v>1104</v>
      </c>
      <c r="R1772" s="62">
        <f>ТабПозиции[[#This Row],[totalSumm]]-ТабПозиции[[#This Row],[payment]]</f>
        <v>0</v>
      </c>
      <c r="S1772" s="34" t="s">
        <v>965</v>
      </c>
      <c r="T1772" s="56" t="s">
        <v>3061</v>
      </c>
      <c r="U1772" s="56" t="str">
        <f>IF(AND(ТабПозиции[[#This Row],[Остаток]]=0,ТабПозиции[[#This Row],[ord]]="true"),"true","false")</f>
        <v>true</v>
      </c>
      <c r="V1772" s="56" t="str">
        <f>IF(AND(ТабПозиции[[#This Row],[Остаток]]=0,ТабПозиции[[#This Row],[ord]]="true"),"true","false")</f>
        <v>true</v>
      </c>
    </row>
    <row r="1773" spans="1:22" x14ac:dyDescent="0.25">
      <c r="A1773" s="26">
        <v>470</v>
      </c>
      <c r="B1773" s="1">
        <f>IFERROR(VLOOKUP(ТабПозиции[[#This Row],[orderNum]],ТабЗаказы[#Data],MATCH(B$7,ТабЗаказы[#Headers],0),0),"")</f>
        <v>45699</v>
      </c>
      <c r="C1773" t="str">
        <f>MONTH(ТабПозиции[[#This Row],[date]])&amp;"/"&amp;YEAR(ТабПозиции[[#This Row],[date]])</f>
        <v>2/2025</v>
      </c>
      <c r="D1773" s="1" t="str">
        <f>IFERROR(VLOOKUP(ТабПозиции[[#This Row],[orderNum]],ТабЗаказы[#Data],MATCH(D$7,ТабЗаказы[#Headers],0),0),"")</f>
        <v>Руденко Юля</v>
      </c>
      <c r="E1773" s="93" t="s">
        <v>2440</v>
      </c>
      <c r="F1773" s="56" t="s">
        <v>3061</v>
      </c>
      <c r="H1773" s="34">
        <v>45725</v>
      </c>
      <c r="I1773" s="26">
        <v>1</v>
      </c>
      <c r="J1773" s="26">
        <v>1159</v>
      </c>
      <c r="K1773">
        <f>ТабПозиции[[#This Row],[discountPrice]]*ТабПозиции[[#This Row],[quantity]]</f>
        <v>1159</v>
      </c>
      <c r="L1773" s="26">
        <v>1203</v>
      </c>
      <c r="M1773">
        <f t="shared" si="38"/>
        <v>1203</v>
      </c>
      <c r="O1773">
        <v>120</v>
      </c>
      <c r="P1773">
        <f>IF(OR(ТабПозиции[[#This Row],[item]]="По штрихкоду",ТабПозиции[[#This Row],[item]]="Посылка"),ТабПозиции[[#This Row],[deliverySumm]]+ТабПозиции[[#This Row],[deliveryPost]],SUM(M1773:O1773))</f>
        <v>1323</v>
      </c>
      <c r="Q1773" s="57">
        <v>1323</v>
      </c>
      <c r="R1773" s="62">
        <f>ТабПозиции[[#This Row],[totalSumm]]-ТабПозиции[[#This Row],[payment]]</f>
        <v>0</v>
      </c>
      <c r="S1773" s="34" t="s">
        <v>955</v>
      </c>
      <c r="T1773" s="56" t="s">
        <v>3061</v>
      </c>
      <c r="U1773" s="56" t="str">
        <f>IF(AND(ТабПозиции[[#This Row],[Остаток]]=0,ТабПозиции[[#This Row],[ord]]="true"),"true","false")</f>
        <v>true</v>
      </c>
      <c r="V1773" s="56" t="s">
        <v>3061</v>
      </c>
    </row>
    <row r="1774" spans="1:22" x14ac:dyDescent="0.25">
      <c r="A1774" s="26">
        <v>470</v>
      </c>
      <c r="B1774" s="1">
        <f>IFERROR(VLOOKUP(ТабПозиции[[#This Row],[orderNum]],ТабЗаказы[#Data],MATCH(B$7,ТабЗаказы[#Headers],0),0),"")</f>
        <v>45699</v>
      </c>
      <c r="C1774" t="str">
        <f>MONTH(ТабПозиции[[#This Row],[date]])&amp;"/"&amp;YEAR(ТабПозиции[[#This Row],[date]])</f>
        <v>2/2025</v>
      </c>
      <c r="D1774" s="1" t="str">
        <f>IFERROR(VLOOKUP(ТабПозиции[[#This Row],[orderNum]],ТабЗаказы[#Data],MATCH(D$7,ТабЗаказы[#Headers],0),0),"")</f>
        <v>Руденко Юля</v>
      </c>
      <c r="E1774" s="93" t="s">
        <v>2441</v>
      </c>
      <c r="F1774" s="56" t="s">
        <v>3061</v>
      </c>
      <c r="H1774" s="34">
        <v>45724</v>
      </c>
      <c r="I1774" s="97"/>
      <c r="J1774" s="26">
        <v>599</v>
      </c>
      <c r="K1774">
        <f>ТабПозиции[[#This Row],[discountPrice]]*ТабПозиции[[#This Row],[quantity]]</f>
        <v>0</v>
      </c>
      <c r="L1774" s="26">
        <v>622</v>
      </c>
      <c r="M1774">
        <f t="shared" si="38"/>
        <v>0</v>
      </c>
      <c r="O177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Row],[orderNum]],ТабПозиции[orderSumm])&gt;1500),ABS(M1774*VLOOKUP(ТабПозиции[[#This Row],[orderNum]],ТабЗаказы[#Data],MATCH("Percent",ТабЗаказы[#Headers],0),0))/100,200/COUNTIF(ТабПозиции[orderNum],ТабПозиции[[#This Row],[orderNum]])),0),"")</f>
        <v>67</v>
      </c>
      <c r="R1774" s="62">
        <f>ТабПозиции[[#This Row],[totalSumm]]-ТабПозиции[[#This Row],[payment]]</f>
        <v>0</v>
      </c>
      <c r="S1774" s="34" t="s">
        <v>955</v>
      </c>
      <c r="T1774" s="56" t="s">
        <v>3061</v>
      </c>
      <c r="U1774" s="56" t="str">
        <f>IF(AND(ТабПозиции[[#This Row],[Остаток]]=0,ТабПозиции[[#This Row],[ord]]="true"),"true","false")</f>
        <v>true</v>
      </c>
      <c r="V1774" s="56" t="s">
        <v>3061</v>
      </c>
    </row>
    <row r="1775" spans="1:22" x14ac:dyDescent="0.25">
      <c r="A1775" s="26">
        <v>470</v>
      </c>
      <c r="B1775" s="1">
        <f>IFERROR(VLOOKUP(ТабПозиции[[#This Row],[orderNum]],ТабЗаказы[#Data],MATCH(B$7,ТабЗаказы[#Headers],0),0),"")</f>
        <v>45699</v>
      </c>
      <c r="C1775" t="str">
        <f>MONTH(ТабПозиции[[#This Row],[date]])&amp;"/"&amp;YEAR(ТабПозиции[[#This Row],[date]])</f>
        <v>2/2025</v>
      </c>
      <c r="D1775" s="1" t="str">
        <f>IFERROR(VLOOKUP(ТабПозиции[[#This Row],[orderNum]],ТабЗаказы[#Data],MATCH(D$7,ТабЗаказы[#Headers],0),0),"")</f>
        <v>Руденко Юля</v>
      </c>
      <c r="E1775" s="93" t="s">
        <v>2441</v>
      </c>
      <c r="F1775" s="56" t="s">
        <v>3061</v>
      </c>
      <c r="H1775" s="34">
        <v>45723</v>
      </c>
      <c r="I1775" s="97"/>
      <c r="J1775" s="26">
        <v>618</v>
      </c>
      <c r="K1775">
        <f>ТабПозиции[[#This Row],[discountPrice]]*ТабПозиции[[#This Row],[quantity]]</f>
        <v>0</v>
      </c>
      <c r="L1775" s="26">
        <v>641</v>
      </c>
      <c r="M1775">
        <f t="shared" si="38"/>
        <v>0</v>
      </c>
      <c r="O177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Row],[orderNum]],ТабПозиции[orderSumm])&gt;1500),ABS(M1775*VLOOKUP(ТабПозиции[[#This Row],[orderNum]],ТабЗаказы[#Data],MATCH("Percent",ТабЗаказы[#Headers],0),0))/100,200/COUNTIF(ТабПозиции[orderNum],ТабПозиции[[#This Row],[orderNum]])),0),"")</f>
        <v>67</v>
      </c>
      <c r="R1775" s="62">
        <f>ТабПозиции[[#This Row],[totalSumm]]-ТабПозиции[[#This Row],[payment]]</f>
        <v>0</v>
      </c>
      <c r="S1775" s="34" t="s">
        <v>955</v>
      </c>
      <c r="T1775" s="56" t="s">
        <v>3061</v>
      </c>
      <c r="U1775" s="56" t="str">
        <f>IF(AND(ТабПозиции[[#This Row],[Остаток]]=0,ТабПозиции[[#This Row],[ord]]="true"),"true","false")</f>
        <v>true</v>
      </c>
      <c r="V1775" s="56" t="s">
        <v>3061</v>
      </c>
    </row>
    <row r="1776" spans="1:22" x14ac:dyDescent="0.25">
      <c r="A1776" s="26">
        <v>472</v>
      </c>
      <c r="B1776" s="1">
        <f>IFERROR(VLOOKUP(ТабПозиции[[#This Row],[orderNum]],ТабЗаказы[#Data],MATCH(B$7,ТабЗаказы[#Headers],0),0),"")</f>
        <v>45687</v>
      </c>
      <c r="C1776" t="str">
        <f>MONTH(ТабПозиции[[#This Row],[date]])&amp;"/"&amp;YEAR(ТабПозиции[[#This Row],[date]])</f>
        <v>1/2025</v>
      </c>
      <c r="D1776" s="1" t="str">
        <f>IFERROR(VLOOKUP(ТабПозиции[[#This Row],[orderNum]],ТабЗаказы[#Data],MATCH(D$7,ТабЗаказы[#Headers],0),0),"")</f>
        <v>Александр Радин</v>
      </c>
      <c r="E1776" s="26" t="s">
        <v>815</v>
      </c>
      <c r="F1776" s="56" t="s">
        <v>3061</v>
      </c>
      <c r="G1776" s="28" t="s">
        <v>2443</v>
      </c>
      <c r="H1776" s="34">
        <v>45702</v>
      </c>
      <c r="I1776" s="26">
        <v>1</v>
      </c>
      <c r="J1776" s="26">
        <f>11.25*200*10</f>
        <v>22500</v>
      </c>
      <c r="K1776">
        <f>ТабПозиции[[#This Row],[discountPrice]]*ТабПозиции[[#This Row],[quantity]]</f>
        <v>22500</v>
      </c>
      <c r="L1776" s="26">
        <f>11.25*200*10</f>
        <v>22500</v>
      </c>
      <c r="M1776">
        <f t="shared" si="38"/>
        <v>22500</v>
      </c>
      <c r="O177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Row],[orderNum]],ТабПозиции[orderSumm])&gt;1500),ABS(M1776*VLOOKUP(ТабПозиции[[#This Row],[orderNum]],ТабЗаказы[#Data],MATCH("Percent",ТабЗаказы[#Headers],0),0))/100,200/COUNTIF(ТабПозиции[orderNum],ТабПозиции[[#This Row],[orderNum]])),0),"")</f>
        <v>2250</v>
      </c>
      <c r="P1776">
        <f>IF(OR(ТабПозиции[[#This Row],[item]]="По штрихкоду",ТабПозиции[[#This Row],[item]]="Посылка"),ТабПозиции[[#This Row],[deliverySumm]]+ТабПозиции[[#This Row],[deliveryPost]],SUM(M1776:O1776))</f>
        <v>2250</v>
      </c>
      <c r="Q1776" s="57">
        <v>2250</v>
      </c>
      <c r="R1776" s="62">
        <f>ТабПозиции[[#This Row],[totalSumm]]-ТабПозиции[[#This Row],[payment]]</f>
        <v>0</v>
      </c>
      <c r="S1776" s="34" t="s">
        <v>1016</v>
      </c>
      <c r="T1776" s="56" t="s">
        <v>3061</v>
      </c>
      <c r="U1776" s="56" t="str">
        <f>IF(AND(ТабПозиции[[#This Row],[Остаток]]=0,ТабПозиции[[#This Row],[ord]]="true"),"true","false")</f>
        <v>true</v>
      </c>
      <c r="V1776" s="56" t="str">
        <f>IF(AND(ТабПозиции[[#This Row],[Остаток]]=0,ТабПозиции[[#This Row],[ord]]="true"),"true","false")</f>
        <v>true</v>
      </c>
    </row>
    <row r="1777" spans="1:22" x14ac:dyDescent="0.25">
      <c r="A1777" s="26">
        <v>471</v>
      </c>
      <c r="B1777" s="1">
        <f>IFERROR(VLOOKUP(ТабПозиции[[#This Row],[orderNum]],ТабЗаказы[#Data],MATCH(B$7,ТабЗаказы[#Headers],0),0),"")</f>
        <v>45699</v>
      </c>
      <c r="C1777" t="str">
        <f>MONTH(ТабПозиции[[#This Row],[date]])&amp;"/"&amp;YEAR(ТабПозиции[[#This Row],[date]])</f>
        <v>2/2025</v>
      </c>
      <c r="D1777" s="1" t="str">
        <f>IFERROR(VLOOKUP(ТабПозиции[[#This Row],[orderNum]],ТабЗаказы[#Data],MATCH(D$7,ТабЗаказы[#Headers],0),0),"")</f>
        <v>Кирилл Куприна</v>
      </c>
      <c r="E1777" s="93" t="s">
        <v>1586</v>
      </c>
      <c r="F1777" s="56" t="s">
        <v>3061</v>
      </c>
      <c r="H1777" s="34">
        <v>45704</v>
      </c>
      <c r="I1777" s="26">
        <v>1</v>
      </c>
      <c r="J1777" s="26">
        <v>805</v>
      </c>
      <c r="K1777">
        <f>ТабПозиции[[#This Row],[discountPrice]]*ТабПозиции[[#This Row],[quantity]]</f>
        <v>805</v>
      </c>
      <c r="L1777" s="26">
        <v>848</v>
      </c>
      <c r="M1777">
        <f t="shared" si="38"/>
        <v>848</v>
      </c>
      <c r="O177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Row],[orderNum]],ТабПозиции[orderSumm])&gt;1500),ABS(M1777*VLOOKUP(ТабПозиции[[#This Row],[orderNum]],ТабЗаказы[#Data],MATCH("Percent",ТабЗаказы[#Headers],0),0))/100,200/COUNTIF(ТабПозиции[orderNum],ТабПозиции[[#This Row],[orderNum]])),0),"")</f>
        <v>85</v>
      </c>
      <c r="P1777">
        <f>IF(OR(ТабПозиции[[#This Row],[item]]="По штрихкоду",ТабПозиции[[#This Row],[item]]="Посылка"),ТабПозиции[[#This Row],[deliverySumm]]+ТабПозиции[[#This Row],[deliveryPost]],SUM(M1777:O1777))</f>
        <v>933</v>
      </c>
      <c r="Q1777" s="57">
        <v>933</v>
      </c>
      <c r="R1777" s="62">
        <f>ТабПозиции[[#This Row],[totalSumm]]-ТабПозиции[[#This Row],[payment]]</f>
        <v>0</v>
      </c>
      <c r="S1777" s="34" t="s">
        <v>965</v>
      </c>
      <c r="T1777" s="56" t="s">
        <v>3061</v>
      </c>
      <c r="U1777" s="56" t="str">
        <f>IF(AND(ТабПозиции[[#This Row],[Остаток]]=0,ТабПозиции[[#This Row],[ord]]="true"),"true","false")</f>
        <v>true</v>
      </c>
      <c r="V1777" s="56" t="str">
        <f>IF(AND(ТабПозиции[[#This Row],[Остаток]]=0,ТабПозиции[[#This Row],[ord]]="true"),"true","false")</f>
        <v>true</v>
      </c>
    </row>
    <row r="1778" spans="1:22" x14ac:dyDescent="0.25">
      <c r="A1778" s="26">
        <v>471</v>
      </c>
      <c r="B1778" s="1">
        <f>IFERROR(VLOOKUP(ТабПозиции[[#This Row],[orderNum]],ТабЗаказы[#Data],MATCH(B$7,ТабЗаказы[#Headers],0),0),"")</f>
        <v>45699</v>
      </c>
      <c r="C1778" t="str">
        <f>MONTH(ТабПозиции[[#This Row],[date]])&amp;"/"&amp;YEAR(ТабПозиции[[#This Row],[date]])</f>
        <v>2/2025</v>
      </c>
      <c r="D1778" s="1" t="str">
        <f>IFERROR(VLOOKUP(ТабПозиции[[#This Row],[orderNum]],ТабЗаказы[#Data],MATCH(D$7,ТабЗаказы[#Headers],0),0),"")</f>
        <v>Кирилл Куприна</v>
      </c>
      <c r="E1778" s="93" t="s">
        <v>2444</v>
      </c>
      <c r="F1778" s="56" t="s">
        <v>3061</v>
      </c>
      <c r="H1778" s="34">
        <v>45703</v>
      </c>
      <c r="I1778" s="26">
        <v>1</v>
      </c>
      <c r="J1778" s="26">
        <v>506</v>
      </c>
      <c r="K1778">
        <f>ТабПозиции[[#This Row],[discountPrice]]*ТабПозиции[[#This Row],[quantity]]</f>
        <v>506</v>
      </c>
      <c r="L1778" s="26">
        <v>533</v>
      </c>
      <c r="M1778">
        <f t="shared" si="38"/>
        <v>533</v>
      </c>
      <c r="O177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Row],[orderNum]],ТабПозиции[orderSumm])&gt;1500),ABS(M1778*VLOOKUP(ТабПозиции[[#This Row],[orderNum]],ТабЗаказы[#Data],MATCH("Percent",ТабЗаказы[#Headers],0),0))/100,200/COUNTIF(ТабПозиции[orderNum],ТабПозиции[[#This Row],[orderNum]])),0),"")</f>
        <v>53</v>
      </c>
      <c r="P1778">
        <f>IF(OR(ТабПозиции[[#This Row],[item]]="По штрихкоду",ТабПозиции[[#This Row],[item]]="Посылка"),ТабПозиции[[#This Row],[deliverySumm]]+ТабПозиции[[#This Row],[deliveryPost]],SUM(M1778:O1778))</f>
        <v>586</v>
      </c>
      <c r="Q1778" s="57">
        <v>586</v>
      </c>
      <c r="R1778" s="62">
        <f>ТабПозиции[[#This Row],[totalSumm]]-ТабПозиции[[#This Row],[payment]]</f>
        <v>0</v>
      </c>
      <c r="S1778" s="34" t="s">
        <v>965</v>
      </c>
      <c r="T1778" s="56" t="s">
        <v>3061</v>
      </c>
      <c r="U1778" s="56" t="str">
        <f>IF(AND(ТабПозиции[[#This Row],[Остаток]]=0,ТабПозиции[[#This Row],[ord]]="true"),"true","false")</f>
        <v>true</v>
      </c>
      <c r="V1778" s="56" t="str">
        <f>IF(AND(ТабПозиции[[#This Row],[Остаток]]=0,ТабПозиции[[#This Row],[ord]]="true"),"true","false")</f>
        <v>true</v>
      </c>
    </row>
    <row r="1779" spans="1:22" x14ac:dyDescent="0.25">
      <c r="A1779" s="26">
        <v>471</v>
      </c>
      <c r="B1779" s="1">
        <f>IFERROR(VLOOKUP(ТабПозиции[[#This Row],[orderNum]],ТабЗаказы[#Data],MATCH(B$7,ТабЗаказы[#Headers],0),0),"")</f>
        <v>45699</v>
      </c>
      <c r="C1779" t="str">
        <f>MONTH(ТабПозиции[[#This Row],[date]])&amp;"/"&amp;YEAR(ТабПозиции[[#This Row],[date]])</f>
        <v>2/2025</v>
      </c>
      <c r="D1779" s="1" t="str">
        <f>IFERROR(VLOOKUP(ТабПозиции[[#This Row],[orderNum]],ТабЗаказы[#Data],MATCH(D$7,ТабЗаказы[#Headers],0),0),"")</f>
        <v>Кирилл Куприна</v>
      </c>
      <c r="E1779" s="93" t="s">
        <v>2370</v>
      </c>
      <c r="F1779" s="56" t="s">
        <v>3061</v>
      </c>
      <c r="H1779" s="34">
        <v>45702</v>
      </c>
      <c r="I1779" s="26">
        <v>1</v>
      </c>
      <c r="J1779" s="26">
        <v>218</v>
      </c>
      <c r="K1779">
        <f>ТабПозиции[[#This Row],[discountPrice]]*ТабПозиции[[#This Row],[quantity]]</f>
        <v>218</v>
      </c>
      <c r="L1779" s="26">
        <v>230</v>
      </c>
      <c r="M1779">
        <f t="shared" si="38"/>
        <v>230</v>
      </c>
      <c r="O177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Row],[orderNum]],ТабПозиции[orderSumm])&gt;1500),ABS(M1779*VLOOKUP(ТабПозиции[[#This Row],[orderNum]],ТабЗаказы[#Data],MATCH("Percent",ТабЗаказы[#Headers],0),0))/100,200/COUNTIF(ТабПозиции[orderNum],ТабПозиции[[#This Row],[orderNum]])),0),"")</f>
        <v>23</v>
      </c>
      <c r="P1779">
        <f>IF(OR(ТабПозиции[[#This Row],[item]]="По штрихкоду",ТабПозиции[[#This Row],[item]]="Посылка"),ТабПозиции[[#This Row],[deliverySumm]]+ТабПозиции[[#This Row],[deliveryPost]],SUM(M1779:O1779))</f>
        <v>253</v>
      </c>
      <c r="Q1779" s="57">
        <v>253</v>
      </c>
      <c r="R1779" s="62">
        <f>ТабПозиции[[#This Row],[totalSumm]]-ТабПозиции[[#This Row],[payment]]</f>
        <v>0</v>
      </c>
      <c r="S1779" s="34" t="s">
        <v>965</v>
      </c>
      <c r="T1779" s="56" t="s">
        <v>3061</v>
      </c>
      <c r="U1779" s="56" t="str">
        <f>IF(AND(ТабПозиции[[#This Row],[Остаток]]=0,ТабПозиции[[#This Row],[ord]]="true"),"true","false")</f>
        <v>true</v>
      </c>
      <c r="V1779" s="56" t="str">
        <f>IF(AND(ТабПозиции[[#This Row],[Остаток]]=0,ТабПозиции[[#This Row],[ord]]="true"),"true","false")</f>
        <v>true</v>
      </c>
    </row>
    <row r="1780" spans="1:22" x14ac:dyDescent="0.25">
      <c r="A1780" s="26">
        <v>471</v>
      </c>
      <c r="B1780" s="1">
        <f>IFERROR(VLOOKUP(ТабПозиции[[#This Row],[orderNum]],ТабЗаказы[#Data],MATCH(B$7,ТабЗаказы[#Headers],0),0),"")</f>
        <v>45699</v>
      </c>
      <c r="C1780" t="str">
        <f>MONTH(ТабПозиции[[#This Row],[date]])&amp;"/"&amp;YEAR(ТабПозиции[[#This Row],[date]])</f>
        <v>2/2025</v>
      </c>
      <c r="D1780" s="1" t="str">
        <f>IFERROR(VLOOKUP(ТабПозиции[[#This Row],[orderNum]],ТабЗаказы[#Data],MATCH(D$7,ТабЗаказы[#Headers],0),0),"")</f>
        <v>Кирилл Куприна</v>
      </c>
      <c r="E1780" s="93" t="s">
        <v>2445</v>
      </c>
      <c r="F1780" s="56" t="s">
        <v>3061</v>
      </c>
      <c r="H1780" s="34">
        <v>45702</v>
      </c>
      <c r="I1780" s="26">
        <v>1</v>
      </c>
      <c r="J1780" s="26">
        <v>1398</v>
      </c>
      <c r="K1780">
        <f>ТабПозиции[[#This Row],[discountPrice]]*ТабПозиции[[#This Row],[quantity]]</f>
        <v>1398</v>
      </c>
      <c r="L1780" s="26">
        <v>1472</v>
      </c>
      <c r="M1780">
        <f t="shared" si="38"/>
        <v>1472</v>
      </c>
      <c r="O178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Row],[orderNum]],ТабПозиции[orderSumm])&gt;1500),ABS(M1780*VLOOKUP(ТабПозиции[[#This Row],[orderNum]],ТабЗаказы[#Data],MATCH("Percent",ТабЗаказы[#Headers],0),0))/100,200/COUNTIF(ТабПозиции[orderNum],ТабПозиции[[#This Row],[orderNum]])),0),"")</f>
        <v>147</v>
      </c>
      <c r="P1780">
        <f>IF(OR(ТабПозиции[[#This Row],[item]]="По штрихкоду",ТабПозиции[[#This Row],[item]]="Посылка"),ТабПозиции[[#This Row],[deliverySumm]]+ТабПозиции[[#This Row],[deliveryPost]],SUM(M1780:O1780))</f>
        <v>1619</v>
      </c>
      <c r="Q1780" s="57">
        <v>1619</v>
      </c>
      <c r="R1780" s="62">
        <f>ТабПозиции[[#This Row],[totalSumm]]-ТабПозиции[[#This Row],[payment]]</f>
        <v>0</v>
      </c>
      <c r="S1780" s="34" t="s">
        <v>965</v>
      </c>
      <c r="T1780" s="56" t="s">
        <v>3061</v>
      </c>
      <c r="U1780" s="56" t="str">
        <f>IF(AND(ТабПозиции[[#This Row],[Остаток]]=0,ТабПозиции[[#This Row],[ord]]="true"),"true","false")</f>
        <v>true</v>
      </c>
      <c r="V1780" s="56" t="str">
        <f>IF(AND(ТабПозиции[[#This Row],[Остаток]]=0,ТабПозиции[[#This Row],[ord]]="true"),"true","false")</f>
        <v>true</v>
      </c>
    </row>
    <row r="1781" spans="1:22" x14ac:dyDescent="0.25">
      <c r="A1781" s="26">
        <v>471</v>
      </c>
      <c r="B1781" s="1">
        <f>IFERROR(VLOOKUP(ТабПозиции[[#This Row],[orderNum]],ТабЗаказы[#Data],MATCH(B$7,ТабЗаказы[#Headers],0),0),"")</f>
        <v>45699</v>
      </c>
      <c r="C1781" t="str">
        <f>MONTH(ТабПозиции[[#This Row],[date]])&amp;"/"&amp;YEAR(ТабПозиции[[#This Row],[date]])</f>
        <v>2/2025</v>
      </c>
      <c r="D1781" s="1" t="str">
        <f>IFERROR(VLOOKUP(ТабПозиции[[#This Row],[orderNum]],ТабЗаказы[#Data],MATCH(D$7,ТабЗаказы[#Headers],0),0),"")</f>
        <v>Кирилл Куприна</v>
      </c>
      <c r="E1781" s="93" t="s">
        <v>2445</v>
      </c>
      <c r="F1781" s="56" t="s">
        <v>3061</v>
      </c>
      <c r="H1781" s="34">
        <v>45702</v>
      </c>
      <c r="I1781" s="26">
        <v>1</v>
      </c>
      <c r="J1781" s="26">
        <v>1366</v>
      </c>
      <c r="K1781">
        <f>ТабПозиции[[#This Row],[discountPrice]]*ТабПозиции[[#This Row],[quantity]]</f>
        <v>1366</v>
      </c>
      <c r="L1781" s="26">
        <v>1438</v>
      </c>
      <c r="M1781">
        <f t="shared" si="38"/>
        <v>1438</v>
      </c>
      <c r="O178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Row],[orderNum]],ТабПозиции[orderSumm])&gt;1500),ABS(M1781*VLOOKUP(ТабПозиции[[#This Row],[orderNum]],ТабЗаказы[#Data],MATCH("Percent",ТабЗаказы[#Headers],0),0))/100,200/COUNTIF(ТабПозиции[orderNum],ТабПозиции[[#This Row],[orderNum]])),0),"")</f>
        <v>144</v>
      </c>
      <c r="P1781">
        <f>IF(OR(ТабПозиции[[#This Row],[item]]="По штрихкоду",ТабПозиции[[#This Row],[item]]="Посылка"),ТабПозиции[[#This Row],[deliverySumm]]+ТабПозиции[[#This Row],[deliveryPost]],SUM(M1781:O1781))</f>
        <v>1582</v>
      </c>
      <c r="Q1781" s="57">
        <v>1582</v>
      </c>
      <c r="R1781" s="62">
        <f>ТабПозиции[[#This Row],[totalSumm]]-ТабПозиции[[#This Row],[payment]]</f>
        <v>0</v>
      </c>
      <c r="S1781" s="34" t="s">
        <v>965</v>
      </c>
      <c r="T1781" s="56" t="s">
        <v>3061</v>
      </c>
      <c r="U1781" s="56" t="str">
        <f>IF(AND(ТабПозиции[[#This Row],[Остаток]]=0,ТабПозиции[[#This Row],[ord]]="true"),"true","false")</f>
        <v>true</v>
      </c>
      <c r="V1781" s="56" t="str">
        <f>IF(AND(ТабПозиции[[#This Row],[Остаток]]=0,ТабПозиции[[#This Row],[ord]]="true"),"true","false")</f>
        <v>true</v>
      </c>
    </row>
    <row r="1782" spans="1:22" x14ac:dyDescent="0.25">
      <c r="A1782" s="26">
        <v>471</v>
      </c>
      <c r="B1782" s="1">
        <f>IFERROR(VLOOKUP(ТабПозиции[[#This Row],[orderNum]],ТабЗаказы[#Data],MATCH(B$7,ТабЗаказы[#Headers],0),0),"")</f>
        <v>45699</v>
      </c>
      <c r="C1782" t="str">
        <f>MONTH(ТабПозиции[[#This Row],[date]])&amp;"/"&amp;YEAR(ТабПозиции[[#This Row],[date]])</f>
        <v>2/2025</v>
      </c>
      <c r="D1782" s="1" t="str">
        <f>IFERROR(VLOOKUP(ТабПозиции[[#This Row],[orderNum]],ТабЗаказы[#Data],MATCH(D$7,ТабЗаказы[#Headers],0),0),"")</f>
        <v>Кирилл Куприна</v>
      </c>
      <c r="E1782" s="93" t="s">
        <v>2446</v>
      </c>
      <c r="F1782" s="56" t="s">
        <v>3061</v>
      </c>
      <c r="H1782" s="34">
        <v>45702</v>
      </c>
      <c r="I1782" s="26">
        <v>1</v>
      </c>
      <c r="J1782" s="26">
        <v>371</v>
      </c>
      <c r="K1782">
        <f>ТабПозиции[[#This Row],[discountPrice]]*ТабПозиции[[#This Row],[quantity]]</f>
        <v>371</v>
      </c>
      <c r="L1782" s="26">
        <v>391</v>
      </c>
      <c r="M1782">
        <f t="shared" si="38"/>
        <v>391</v>
      </c>
      <c r="O178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Row],[orderNum]],ТабПозиции[orderSumm])&gt;1500),ABS(M1782*VLOOKUP(ТабПозиции[[#This Row],[orderNum]],ТабЗаказы[#Data],MATCH("Percent",ТабЗаказы[#Headers],0),0))/100,200/COUNTIF(ТабПозиции[orderNum],ТабПозиции[[#This Row],[orderNum]])),0),"")</f>
        <v>39</v>
      </c>
      <c r="P1782">
        <f>IF(OR(ТабПозиции[[#This Row],[item]]="По штрихкоду",ТабПозиции[[#This Row],[item]]="Посылка"),ТабПозиции[[#This Row],[deliverySumm]]+ТабПозиции[[#This Row],[deliveryPost]],SUM(M1782:O1782))</f>
        <v>430</v>
      </c>
      <c r="Q1782" s="57">
        <v>430</v>
      </c>
      <c r="R1782" s="62">
        <f>ТабПозиции[[#This Row],[totalSumm]]-ТабПозиции[[#This Row],[payment]]</f>
        <v>0</v>
      </c>
      <c r="S1782" s="34" t="s">
        <v>965</v>
      </c>
      <c r="T1782" s="56" t="s">
        <v>3061</v>
      </c>
      <c r="U1782" s="56" t="str">
        <f>IF(AND(ТабПозиции[[#This Row],[Остаток]]=0,ТабПозиции[[#This Row],[ord]]="true"),"true","false")</f>
        <v>true</v>
      </c>
      <c r="V1782" s="56" t="str">
        <f>IF(AND(ТабПозиции[[#This Row],[Остаток]]=0,ТабПозиции[[#This Row],[ord]]="true"),"true","false")</f>
        <v>true</v>
      </c>
    </row>
    <row r="1783" spans="1:22" x14ac:dyDescent="0.25">
      <c r="A1783" s="26">
        <v>473</v>
      </c>
      <c r="B1783" s="1">
        <f>IFERROR(VLOOKUP(ТабПозиции[[#This Row],[orderNum]],ТабЗаказы[#Data],MATCH(B$7,ТабЗаказы[#Headers],0),0),"")</f>
        <v>45702</v>
      </c>
      <c r="C1783" t="str">
        <f>MONTH(ТабПозиции[[#This Row],[date]])&amp;"/"&amp;YEAR(ТабПозиции[[#This Row],[date]])</f>
        <v>2/2025</v>
      </c>
      <c r="D1783" s="1" t="str">
        <f>IFERROR(VLOOKUP(ТабПозиции[[#This Row],[orderNum]],ТабЗаказы[#Data],MATCH(D$7,ТабЗаказы[#Headers],0),0),"")</f>
        <v>ИнДоб</v>
      </c>
      <c r="E1783" s="26" t="s">
        <v>32</v>
      </c>
      <c r="F1783" s="56" t="s">
        <v>3061</v>
      </c>
      <c r="H1783" s="34">
        <v>45702</v>
      </c>
      <c r="I1783" s="26">
        <v>1</v>
      </c>
      <c r="J1783" s="26">
        <f>4364+2734</f>
        <v>7098</v>
      </c>
      <c r="K1783">
        <f>ТабПозиции[[#This Row],[discountPrice]]*ТабПозиции[[#This Row],[quantity]]</f>
        <v>7098</v>
      </c>
      <c r="L1783" s="26">
        <v>7098</v>
      </c>
      <c r="M1783">
        <f t="shared" si="38"/>
        <v>7098</v>
      </c>
      <c r="O178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Row],[orderNum]],ТабПозиции[orderSumm])&gt;1500),ABS(M1783*VLOOKUP(ТабПозиции[[#This Row],[orderNum]],ТабЗаказы[#Data],MATCH("Percent",ТабЗаказы[#Headers],0),0))/100,200/COUNTIF(ТабПозиции[orderNum],ТабПозиции[[#This Row],[orderNum]])),0),"")</f>
        <v>1065</v>
      </c>
      <c r="P1783">
        <f>IF(OR(ТабПозиции[[#This Row],[item]]="По штрихкоду",ТабПозиции[[#This Row],[item]]="Посылка"),ТабПозиции[[#This Row],[deliverySumm]]+ТабПозиции[[#This Row],[deliveryPost]],SUM(M1783:O1783))</f>
        <v>1065</v>
      </c>
      <c r="Q1783" s="57">
        <v>1065</v>
      </c>
      <c r="R1783" s="62">
        <f>ТабПозиции[[#This Row],[totalSumm]]-ТабПозиции[[#This Row],[payment]]</f>
        <v>0</v>
      </c>
      <c r="S1783" s="34" t="s">
        <v>541</v>
      </c>
      <c r="T1783" s="56" t="s">
        <v>3061</v>
      </c>
      <c r="U1783" s="56" t="str">
        <f>IF(AND(ТабПозиции[[#This Row],[Остаток]]=0,ТабПозиции[[#This Row],[ord]]="true"),"true","false")</f>
        <v>true</v>
      </c>
      <c r="V1783" s="56" t="s">
        <v>3061</v>
      </c>
    </row>
    <row r="1784" spans="1:22" x14ac:dyDescent="0.25">
      <c r="A1784" s="26">
        <v>475</v>
      </c>
      <c r="B1784" s="1">
        <f>IFERROR(VLOOKUP(ТабПозиции[[#This Row],[orderNum]],ТабЗаказы[#Data],MATCH(B$7,ТабЗаказы[#Headers],0),0),"")</f>
        <v>45703</v>
      </c>
      <c r="C1784" t="str">
        <f>MONTH(ТабПозиции[[#This Row],[date]])&amp;"/"&amp;YEAR(ТабПозиции[[#This Row],[date]])</f>
        <v>2/2025</v>
      </c>
      <c r="D1784" s="1" t="str">
        <f>IFERROR(VLOOKUP(ТабПозиции[[#This Row],[orderNum]],ТабЗаказы[#Data],MATCH(D$7,ТабЗаказы[#Headers],0),0),"")</f>
        <v>Митрофанов Евгений</v>
      </c>
      <c r="E1784" s="93" t="s">
        <v>1111</v>
      </c>
      <c r="F1784" s="56" t="s">
        <v>3061</v>
      </c>
      <c r="G1784" s="28" t="s">
        <v>2496</v>
      </c>
      <c r="H1784" s="34">
        <v>45709</v>
      </c>
      <c r="I1784" s="26">
        <v>1</v>
      </c>
      <c r="J1784" s="26">
        <v>10000</v>
      </c>
      <c r="K1784">
        <f>ТабПозиции[[#This Row],[discountPrice]]*ТабПозиции[[#This Row],[quantity]]</f>
        <v>10000</v>
      </c>
      <c r="L1784" s="26">
        <v>10001</v>
      </c>
      <c r="M1784">
        <f t="shared" si="38"/>
        <v>10001</v>
      </c>
      <c r="N1784" s="26">
        <v>265</v>
      </c>
      <c r="O178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Row],[orderNum]],ТабПозиции[orderSumm])&gt;1500),ABS(M1784*VLOOKUP(ТабПозиции[[#This Row],[orderNum]],ТабЗаказы[#Data],MATCH("Percent",ТабЗаказы[#Headers],0),0))/100,200/COUNTIF(ТабПозиции[orderNum],ТабПозиции[[#This Row],[orderNum]])),0),"")</f>
        <v>1000</v>
      </c>
      <c r="P1784">
        <f>IF(OR(ТабПозиции[[#This Row],[item]]="По штрихкоду",ТабПозиции[[#This Row],[item]]="Посылка"),ТабПозиции[[#This Row],[deliverySumm]]+ТабПозиции[[#This Row],[deliveryPost]],SUM(M1784:O1784))</f>
        <v>11266</v>
      </c>
      <c r="Q1784" s="57">
        <v>11266</v>
      </c>
      <c r="R1784" s="62">
        <f>ТабПозиции[[#This Row],[totalSumm]]-ТабПозиции[[#This Row],[payment]]</f>
        <v>0</v>
      </c>
      <c r="S1784" s="34" t="s">
        <v>1000</v>
      </c>
      <c r="T1784" s="56" t="s">
        <v>3061</v>
      </c>
      <c r="U1784" s="56" t="str">
        <f>IF(AND(ТабПозиции[[#This Row],[Остаток]]=0,ТабПозиции[[#This Row],[ord]]="true"),"true","false")</f>
        <v>true</v>
      </c>
      <c r="V1784" s="56" t="s">
        <v>3061</v>
      </c>
    </row>
    <row r="1785" spans="1:22" x14ac:dyDescent="0.25">
      <c r="A1785" s="26">
        <v>475</v>
      </c>
      <c r="B1785" s="1">
        <f>IFERROR(VLOOKUP(ТабПозиции[[#This Row],[orderNum]],ТабЗаказы[#Data],MATCH(B$7,ТабЗаказы[#Headers],0),0),"")</f>
        <v>45703</v>
      </c>
      <c r="C1785" t="str">
        <f>MONTH(ТабПозиции[[#This Row],[date]])&amp;"/"&amp;YEAR(ТабПозиции[[#This Row],[date]])</f>
        <v>2/2025</v>
      </c>
      <c r="D1785" s="1" t="str">
        <f>IFERROR(VLOOKUP(ТабПозиции[[#This Row],[orderNum]],ТабЗаказы[#Data],MATCH(D$7,ТабЗаказы[#Headers],0),0),"")</f>
        <v>Митрофанов Евгений</v>
      </c>
      <c r="E1785" s="93" t="s">
        <v>2451</v>
      </c>
      <c r="F1785" s="56" t="s">
        <v>3061</v>
      </c>
      <c r="G1785" s="28" t="s">
        <v>2497</v>
      </c>
      <c r="H1785" s="34">
        <v>45713</v>
      </c>
      <c r="I1785" s="26">
        <v>1</v>
      </c>
      <c r="J1785" s="26">
        <v>1690</v>
      </c>
      <c r="K1785">
        <f>ТабПозиции[[#This Row],[discountPrice]]*ТабПозиции[[#This Row],[quantity]]</f>
        <v>1690</v>
      </c>
      <c r="L1785" s="26">
        <v>1690</v>
      </c>
      <c r="M1785">
        <f t="shared" si="38"/>
        <v>1690</v>
      </c>
      <c r="N1785" s="26">
        <v>199</v>
      </c>
      <c r="O178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Row],[orderNum]],ТабПозиции[orderSumm])&gt;1500),ABS(M1785*VLOOKUP(ТабПозиции[[#This Row],[orderNum]],ТабЗаказы[#Data],MATCH("Percent",ТабЗаказы[#Headers],0),0))/100,200/COUNTIF(ТабПозиции[orderNum],ТабПозиции[[#This Row],[orderNum]])),0),"")</f>
        <v>169</v>
      </c>
      <c r="P1785">
        <f>IF(OR(ТабПозиции[[#This Row],[item]]="По штрихкоду",ТабПозиции[[#This Row],[item]]="Посылка"),ТабПозиции[[#This Row],[deliverySumm]]+ТабПозиции[[#This Row],[deliveryPost]],SUM(M1785:O1785))</f>
        <v>2058</v>
      </c>
      <c r="Q1785" s="57">
        <v>2058</v>
      </c>
      <c r="R1785" s="62">
        <f>ТабПозиции[[#This Row],[totalSumm]]-ТабПозиции[[#This Row],[payment]]</f>
        <v>0</v>
      </c>
      <c r="S1785" s="34" t="s">
        <v>1000</v>
      </c>
      <c r="T1785" s="56" t="s">
        <v>3061</v>
      </c>
      <c r="U1785" s="56" t="str">
        <f>IF(AND(ТабПозиции[[#This Row],[Остаток]]=0,ТабПозиции[[#This Row],[ord]]="true"),"true","false")</f>
        <v>true</v>
      </c>
      <c r="V1785" s="56" t="s">
        <v>3061</v>
      </c>
    </row>
    <row r="1786" spans="1:22" x14ac:dyDescent="0.25">
      <c r="A1786" s="26">
        <v>474</v>
      </c>
      <c r="B1786" s="1">
        <f>IFERROR(VLOOKUP(ТабПозиции[[#This Row],[orderNum]],ТабЗаказы[#Data],MATCH(B$7,ТабЗаказы[#Headers],0),0),"")</f>
        <v>45702</v>
      </c>
      <c r="C1786" t="str">
        <f>MONTH(ТабПозиции[[#This Row],[date]])&amp;"/"&amp;YEAR(ТабПозиции[[#This Row],[date]])</f>
        <v>2/2025</v>
      </c>
      <c r="D1786" s="1" t="str">
        <f>IFERROR(VLOOKUP(ТабПозиции[[#This Row],[orderNum]],ТабЗаказы[#Data],MATCH(D$7,ТабЗаказы[#Headers],0),0),"")</f>
        <v>Светлана от Александра</v>
      </c>
      <c r="E1786" s="93" t="s">
        <v>1923</v>
      </c>
      <c r="F1786" s="56" t="s">
        <v>3061</v>
      </c>
      <c r="H1786" s="34">
        <v>45704</v>
      </c>
      <c r="I1786" s="26">
        <v>1</v>
      </c>
      <c r="J1786" s="26">
        <v>249</v>
      </c>
      <c r="K1786">
        <f>ТабПозиции[[#This Row],[discountPrice]]*ТабПозиции[[#This Row],[quantity]]</f>
        <v>249</v>
      </c>
      <c r="L1786" s="26">
        <v>263</v>
      </c>
      <c r="M1786">
        <f t="shared" si="38"/>
        <v>263</v>
      </c>
      <c r="O178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Row],[orderNum]],ТабПозиции[orderSumm])&gt;1500),ABS(M1786*VLOOKUP(ТабПозиции[[#This Row],[orderNum]],ТабЗаказы[#Data],MATCH("Percent",ТабЗаказы[#Headers],0),0))/100,200/COUNTIF(ТабПозиции[orderNum],ТабПозиции[[#This Row],[orderNum]])),0),"")</f>
        <v>26</v>
      </c>
      <c r="P1786">
        <f>IF(OR(ТабПозиции[[#This Row],[item]]="По штрихкоду",ТабПозиции[[#This Row],[item]]="Посылка"),ТабПозиции[[#This Row],[deliverySumm]]+ТабПозиции[[#This Row],[deliveryPost]],SUM(M1786:O1786))</f>
        <v>289</v>
      </c>
      <c r="Q1786" s="57">
        <v>289</v>
      </c>
      <c r="R1786" s="62">
        <f>ТабПозиции[[#This Row],[totalSumm]]-ТабПозиции[[#This Row],[payment]]</f>
        <v>0</v>
      </c>
      <c r="S1786" s="34" t="s">
        <v>965</v>
      </c>
      <c r="T1786" s="56" t="s">
        <v>3061</v>
      </c>
      <c r="U1786" s="56" t="str">
        <f>IF(AND(ТабПозиции[[#This Row],[Остаток]]=0,ТабПозиции[[#This Row],[ord]]="true"),"true","false")</f>
        <v>true</v>
      </c>
      <c r="V1786" s="56" t="str">
        <f>IF(AND(ТабПозиции[[#This Row],[Остаток]]=0,ТабПозиции[[#This Row],[ord]]="true"),"true","false")</f>
        <v>true</v>
      </c>
    </row>
    <row r="1787" spans="1:22" x14ac:dyDescent="0.25">
      <c r="A1787" s="26">
        <v>474</v>
      </c>
      <c r="B1787" s="1">
        <f>IFERROR(VLOOKUP(ТабПозиции[[#This Row],[orderNum]],ТабЗаказы[#Data],MATCH(B$7,ТабЗаказы[#Headers],0),0),"")</f>
        <v>45702</v>
      </c>
      <c r="C1787" t="str">
        <f>MONTH(ТабПозиции[[#This Row],[date]])&amp;"/"&amp;YEAR(ТабПозиции[[#This Row],[date]])</f>
        <v>2/2025</v>
      </c>
      <c r="D1787" s="1" t="str">
        <f>IFERROR(VLOOKUP(ТабПозиции[[#This Row],[orderNum]],ТабЗаказы[#Data],MATCH(D$7,ТабЗаказы[#Headers],0),0),"")</f>
        <v>Светлана от Александра</v>
      </c>
      <c r="E1787" s="93" t="s">
        <v>2452</v>
      </c>
      <c r="F1787" s="56" t="s">
        <v>3061</v>
      </c>
      <c r="H1787" s="34">
        <v>45704</v>
      </c>
      <c r="I1787" s="26">
        <v>1</v>
      </c>
      <c r="J1787" s="26">
        <v>196</v>
      </c>
      <c r="K1787">
        <f>ТабПозиции[[#This Row],[discountPrice]]*ТабПозиции[[#This Row],[quantity]]</f>
        <v>196</v>
      </c>
      <c r="L1787" s="26">
        <v>207</v>
      </c>
      <c r="M1787">
        <f t="shared" si="38"/>
        <v>207</v>
      </c>
      <c r="O178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Row],[orderNum]],ТабПозиции[orderSumm])&gt;1500),ABS(M1787*VLOOKUP(ТабПозиции[[#This Row],[orderNum]],ТабЗаказы[#Data],MATCH("Percent",ТабЗаказы[#Headers],0),0))/100,200/COUNTIF(ТабПозиции[orderNum],ТабПозиции[[#This Row],[orderNum]])),0),"")</f>
        <v>21</v>
      </c>
      <c r="P1787">
        <f>IF(OR(ТабПозиции[[#This Row],[item]]="По штрихкоду",ТабПозиции[[#This Row],[item]]="Посылка"),ТабПозиции[[#This Row],[deliverySumm]]+ТабПозиции[[#This Row],[deliveryPost]],SUM(M1787:O1787))</f>
        <v>228</v>
      </c>
      <c r="Q1787" s="57">
        <v>228</v>
      </c>
      <c r="R1787" s="62">
        <f>ТабПозиции[[#This Row],[totalSumm]]-ТабПозиции[[#This Row],[payment]]</f>
        <v>0</v>
      </c>
      <c r="S1787" s="34" t="s">
        <v>965</v>
      </c>
      <c r="T1787" s="56" t="s">
        <v>3061</v>
      </c>
      <c r="U1787" s="56" t="str">
        <f>IF(AND(ТабПозиции[[#This Row],[Остаток]]=0,ТабПозиции[[#This Row],[ord]]="true"),"true","false")</f>
        <v>true</v>
      </c>
      <c r="V1787" s="56" t="str">
        <f>IF(AND(ТабПозиции[[#This Row],[Остаток]]=0,ТабПозиции[[#This Row],[ord]]="true"),"true","false")</f>
        <v>true</v>
      </c>
    </row>
    <row r="1788" spans="1:22" x14ac:dyDescent="0.25">
      <c r="A1788" s="26">
        <v>474</v>
      </c>
      <c r="B1788" s="1">
        <f>IFERROR(VLOOKUP(ТабПозиции[[#This Row],[orderNum]],ТабЗаказы[#Data],MATCH(B$7,ТабЗаказы[#Headers],0),0),"")</f>
        <v>45702</v>
      </c>
      <c r="C1788" t="str">
        <f>MONTH(ТабПозиции[[#This Row],[date]])&amp;"/"&amp;YEAR(ТабПозиции[[#This Row],[date]])</f>
        <v>2/2025</v>
      </c>
      <c r="D1788" s="1" t="str">
        <f>IFERROR(VLOOKUP(ТабПозиции[[#This Row],[orderNum]],ТабЗаказы[#Data],MATCH(D$7,ТабЗаказы[#Headers],0),0),"")</f>
        <v>Светлана от Александра</v>
      </c>
      <c r="E1788" s="93" t="s">
        <v>963</v>
      </c>
      <c r="F1788" s="56" t="s">
        <v>3061</v>
      </c>
      <c r="H1788" s="34">
        <v>45703</v>
      </c>
      <c r="I1788" s="26">
        <v>1</v>
      </c>
      <c r="J1788" s="26">
        <v>328</v>
      </c>
      <c r="K1788">
        <f>ТабПозиции[[#This Row],[discountPrice]]*ТабПозиции[[#This Row],[quantity]]</f>
        <v>328</v>
      </c>
      <c r="L1788" s="26">
        <v>346</v>
      </c>
      <c r="M1788">
        <f t="shared" si="38"/>
        <v>346</v>
      </c>
      <c r="O178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Row],[orderNum]],ТабПозиции[orderSumm])&gt;1500),ABS(M1788*VLOOKUP(ТабПозиции[[#This Row],[orderNum]],ТабЗаказы[#Data],MATCH("Percent",ТабЗаказы[#Headers],0),0))/100,200/COUNTIF(ТабПозиции[orderNum],ТабПозиции[[#This Row],[orderNum]])),0),"")</f>
        <v>35</v>
      </c>
      <c r="P1788">
        <f>IF(OR(ТабПозиции[[#This Row],[item]]="По штрихкоду",ТабПозиции[[#This Row],[item]]="Посылка"),ТабПозиции[[#This Row],[deliverySumm]]+ТабПозиции[[#This Row],[deliveryPost]],SUM(M1788:O1788))</f>
        <v>381</v>
      </c>
      <c r="Q1788" s="57">
        <v>381</v>
      </c>
      <c r="R1788" s="62">
        <f>ТабПозиции[[#This Row],[totalSumm]]-ТабПозиции[[#This Row],[payment]]</f>
        <v>0</v>
      </c>
      <c r="S1788" s="34" t="s">
        <v>965</v>
      </c>
      <c r="T1788" s="56" t="s">
        <v>3061</v>
      </c>
      <c r="U1788" s="56" t="str">
        <f>IF(AND(ТабПозиции[[#This Row],[Остаток]]=0,ТабПозиции[[#This Row],[ord]]="true"),"true","false")</f>
        <v>true</v>
      </c>
      <c r="V1788" s="56" t="str">
        <f>IF(AND(ТабПозиции[[#This Row],[Остаток]]=0,ТабПозиции[[#This Row],[ord]]="true"),"true","false")</f>
        <v>true</v>
      </c>
    </row>
    <row r="1789" spans="1:22" x14ac:dyDescent="0.25">
      <c r="A1789" s="26">
        <v>474</v>
      </c>
      <c r="B1789" s="1">
        <f>IFERROR(VLOOKUP(ТабПозиции[[#This Row],[orderNum]],ТабЗаказы[#Data],MATCH(B$7,ТабЗаказы[#Headers],0),0),"")</f>
        <v>45702</v>
      </c>
      <c r="C1789" t="str">
        <f>MONTH(ТабПозиции[[#This Row],[date]])&amp;"/"&amp;YEAR(ТабПозиции[[#This Row],[date]])</f>
        <v>2/2025</v>
      </c>
      <c r="D1789" s="1" t="str">
        <f>IFERROR(VLOOKUP(ТабПозиции[[#This Row],[orderNum]],ТабЗаказы[#Data],MATCH(D$7,ТабЗаказы[#Headers],0),0),"")</f>
        <v>Светлана от Александра</v>
      </c>
      <c r="E1789" s="93" t="s">
        <v>1365</v>
      </c>
      <c r="F1789" s="56" t="s">
        <v>3061</v>
      </c>
      <c r="H1789" s="34">
        <v>45703</v>
      </c>
      <c r="I1789" s="26">
        <v>1</v>
      </c>
      <c r="J1789" s="26">
        <v>420</v>
      </c>
      <c r="K1789">
        <f>ТабПозиции[[#This Row],[discountPrice]]*ТабПозиции[[#This Row],[quantity]]</f>
        <v>420</v>
      </c>
      <c r="L1789" s="26">
        <v>443</v>
      </c>
      <c r="M1789">
        <f t="shared" si="38"/>
        <v>443</v>
      </c>
      <c r="O178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Row],[orderNum]],ТабПозиции[orderSumm])&gt;1500),ABS(M1789*VLOOKUP(ТабПозиции[[#This Row],[orderNum]],ТабЗаказы[#Data],MATCH("Percent",ТабЗаказы[#Headers],0),0))/100,200/COUNTIF(ТабПозиции[orderNum],ТабПозиции[[#This Row],[orderNum]])),0),"")</f>
        <v>44</v>
      </c>
      <c r="P1789">
        <f>IF(OR(ТабПозиции[[#This Row],[item]]="По штрихкоду",ТабПозиции[[#This Row],[item]]="Посылка"),ТабПозиции[[#This Row],[deliverySumm]]+ТабПозиции[[#This Row],[deliveryPost]],SUM(M1789:O1789))</f>
        <v>487</v>
      </c>
      <c r="Q1789" s="57">
        <v>487</v>
      </c>
      <c r="R1789" s="62">
        <f>ТабПозиции[[#This Row],[totalSumm]]-ТабПозиции[[#This Row],[payment]]</f>
        <v>0</v>
      </c>
      <c r="S1789" s="34" t="s">
        <v>965</v>
      </c>
      <c r="T1789" s="56" t="s">
        <v>3061</v>
      </c>
      <c r="U1789" s="56" t="str">
        <f>IF(AND(ТабПозиции[[#This Row],[Остаток]]=0,ТабПозиции[[#This Row],[ord]]="true"),"true","false")</f>
        <v>true</v>
      </c>
      <c r="V1789" s="56" t="str">
        <f>IF(AND(ТабПозиции[[#This Row],[Остаток]]=0,ТабПозиции[[#This Row],[ord]]="true"),"true","false")</f>
        <v>true</v>
      </c>
    </row>
    <row r="1790" spans="1:22" x14ac:dyDescent="0.25">
      <c r="A1790" s="26">
        <v>474</v>
      </c>
      <c r="B1790" s="1">
        <f>IFERROR(VLOOKUP(ТабПозиции[[#This Row],[orderNum]],ТабЗаказы[#Data],MATCH(B$7,ТабЗаказы[#Headers],0),0),"")</f>
        <v>45702</v>
      </c>
      <c r="C1790" t="str">
        <f>MONTH(ТабПозиции[[#This Row],[date]])&amp;"/"&amp;YEAR(ТабПозиции[[#This Row],[date]])</f>
        <v>2/2025</v>
      </c>
      <c r="D1790" s="1" t="str">
        <f>IFERROR(VLOOKUP(ТабПозиции[[#This Row],[orderNum]],ТабЗаказы[#Data],MATCH(D$7,ТабЗаказы[#Headers],0),0),"")</f>
        <v>Светлана от Александра</v>
      </c>
      <c r="E1790" s="93" t="s">
        <v>2453</v>
      </c>
      <c r="F1790" s="56" t="s">
        <v>3061</v>
      </c>
      <c r="H1790" s="34">
        <v>45703</v>
      </c>
      <c r="I1790" s="26">
        <v>1</v>
      </c>
      <c r="J1790" s="26">
        <v>428</v>
      </c>
      <c r="K1790">
        <f>ТабПозиции[[#This Row],[discountPrice]]*ТабПозиции[[#This Row],[quantity]]</f>
        <v>428</v>
      </c>
      <c r="L1790" s="26">
        <v>451</v>
      </c>
      <c r="M1790">
        <f t="shared" si="38"/>
        <v>451</v>
      </c>
      <c r="O179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Row],[orderNum]],ТабПозиции[orderSumm])&gt;1500),ABS(M1790*VLOOKUP(ТабПозиции[[#This Row],[orderNum]],ТабЗаказы[#Data],MATCH("Percent",ТабЗаказы[#Headers],0),0))/100,200/COUNTIF(ТабПозиции[orderNum],ТабПозиции[[#This Row],[orderNum]])),0),"")</f>
        <v>45</v>
      </c>
      <c r="P1790">
        <f>IF(OR(ТабПозиции[[#This Row],[item]]="По штрихкоду",ТабПозиции[[#This Row],[item]]="Посылка"),ТабПозиции[[#This Row],[deliverySumm]]+ТабПозиции[[#This Row],[deliveryPost]],SUM(M1790:O1790))</f>
        <v>496</v>
      </c>
      <c r="Q1790" s="57">
        <v>496</v>
      </c>
      <c r="R1790" s="62">
        <f>ТабПозиции[[#This Row],[totalSumm]]-ТабПозиции[[#This Row],[payment]]</f>
        <v>0</v>
      </c>
      <c r="S1790" s="34" t="s">
        <v>965</v>
      </c>
      <c r="T1790" s="56" t="s">
        <v>3061</v>
      </c>
      <c r="U1790" s="56" t="str">
        <f>IF(AND(ТабПозиции[[#This Row],[Остаток]]=0,ТабПозиции[[#This Row],[ord]]="true"),"true","false")</f>
        <v>true</v>
      </c>
      <c r="V1790" s="56" t="str">
        <f>IF(AND(ТабПозиции[[#This Row],[Остаток]]=0,ТабПозиции[[#This Row],[ord]]="true"),"true","false")</f>
        <v>true</v>
      </c>
    </row>
    <row r="1791" spans="1:22" x14ac:dyDescent="0.25">
      <c r="A1791" s="26">
        <v>474</v>
      </c>
      <c r="B1791" s="1">
        <f>IFERROR(VLOOKUP(ТабПозиции[[#This Row],[orderNum]],ТабЗаказы[#Data],MATCH(B$7,ТабЗаказы[#Headers],0),0),"")</f>
        <v>45702</v>
      </c>
      <c r="C1791" t="str">
        <f>MONTH(ТабПозиции[[#This Row],[date]])&amp;"/"&amp;YEAR(ТабПозиции[[#This Row],[date]])</f>
        <v>2/2025</v>
      </c>
      <c r="D1791" s="1" t="str">
        <f>IFERROR(VLOOKUP(ТабПозиции[[#This Row],[orderNum]],ТабЗаказы[#Data],MATCH(D$7,ТабЗаказы[#Headers],0),0),"")</f>
        <v>Светлана от Александра</v>
      </c>
      <c r="E1791" s="93" t="s">
        <v>2454</v>
      </c>
      <c r="F1791" s="56" t="s">
        <v>3061</v>
      </c>
      <c r="H1791" s="34">
        <v>45705</v>
      </c>
      <c r="I1791" s="26">
        <v>1</v>
      </c>
      <c r="J1791" s="26">
        <v>403</v>
      </c>
      <c r="K1791">
        <f>ТабПозиции[[#This Row],[discountPrice]]*ТабПозиции[[#This Row],[quantity]]</f>
        <v>403</v>
      </c>
      <c r="L1791" s="26">
        <v>425</v>
      </c>
      <c r="M1791">
        <f t="shared" si="38"/>
        <v>425</v>
      </c>
      <c r="O179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Row],[orderNum]],ТабПозиции[orderSumm])&gt;1500),ABS(M1791*VLOOKUP(ТабПозиции[[#This Row],[orderNum]],ТабЗаказы[#Data],MATCH("Percent",ТабЗаказы[#Headers],0),0))/100,200/COUNTIF(ТабПозиции[orderNum],ТабПозиции[[#This Row],[orderNum]])),0),"")</f>
        <v>43</v>
      </c>
      <c r="P1791">
        <f>IF(OR(ТабПозиции[[#This Row],[item]]="По штрихкоду",ТабПозиции[[#This Row],[item]]="Посылка"),ТабПозиции[[#This Row],[deliverySumm]]+ТабПозиции[[#This Row],[deliveryPost]],SUM(M1791:O1791))</f>
        <v>468</v>
      </c>
      <c r="Q1791" s="57">
        <v>468</v>
      </c>
      <c r="R1791" s="62">
        <f>ТабПозиции[[#This Row],[totalSumm]]-ТабПозиции[[#This Row],[payment]]</f>
        <v>0</v>
      </c>
      <c r="S1791" s="34" t="s">
        <v>965</v>
      </c>
      <c r="T1791" s="56" t="s">
        <v>3061</v>
      </c>
      <c r="U1791" s="56" t="str">
        <f>IF(AND(ТабПозиции[[#This Row],[Остаток]]=0,ТабПозиции[[#This Row],[ord]]="true"),"true","false")</f>
        <v>true</v>
      </c>
      <c r="V1791" s="56" t="str">
        <f>IF(AND(ТабПозиции[[#This Row],[Остаток]]=0,ТабПозиции[[#This Row],[ord]]="true"),"true","false")</f>
        <v>true</v>
      </c>
    </row>
    <row r="1792" spans="1:22" x14ac:dyDescent="0.25">
      <c r="A1792" s="26">
        <v>474</v>
      </c>
      <c r="B1792" s="1">
        <f>IFERROR(VLOOKUP(ТабПозиции[[#This Row],[orderNum]],ТабЗаказы[#Data],MATCH(B$7,ТабЗаказы[#Headers],0),0),"")</f>
        <v>45702</v>
      </c>
      <c r="C1792" t="str">
        <f>MONTH(ТабПозиции[[#This Row],[date]])&amp;"/"&amp;YEAR(ТабПозиции[[#This Row],[date]])</f>
        <v>2/2025</v>
      </c>
      <c r="D1792" s="1" t="str">
        <f>IFERROR(VLOOKUP(ТабПозиции[[#This Row],[orderNum]],ТабЗаказы[#Data],MATCH(D$7,ТабЗаказы[#Headers],0),0),"")</f>
        <v>Светлана от Александра</v>
      </c>
      <c r="E1792" s="93" t="s">
        <v>2455</v>
      </c>
      <c r="F1792" s="56" t="s">
        <v>3061</v>
      </c>
      <c r="H1792" s="34">
        <v>45703</v>
      </c>
      <c r="I1792" s="26">
        <v>1</v>
      </c>
      <c r="J1792" s="26">
        <v>305</v>
      </c>
      <c r="K1792">
        <f>ТабПозиции[[#This Row],[discountPrice]]*ТабПозиции[[#This Row],[quantity]]</f>
        <v>305</v>
      </c>
      <c r="L1792" s="26">
        <v>322</v>
      </c>
      <c r="M1792">
        <f t="shared" si="38"/>
        <v>322</v>
      </c>
      <c r="O179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Row],[orderNum]],ТабПозиции[orderSumm])&gt;1500),ABS(M1792*VLOOKUP(ТабПозиции[[#This Row],[orderNum]],ТабЗаказы[#Data],MATCH("Percent",ТабЗаказы[#Headers],0),0))/100,200/COUNTIF(ТабПозиции[orderNum],ТабПозиции[[#This Row],[orderNum]])),0),"")</f>
        <v>32</v>
      </c>
      <c r="P1792">
        <f>IF(OR(ТабПозиции[[#This Row],[item]]="По штрихкоду",ТабПозиции[[#This Row],[item]]="Посылка"),ТабПозиции[[#This Row],[deliverySumm]]+ТабПозиции[[#This Row],[deliveryPost]],SUM(M1792:O1792))</f>
        <v>354</v>
      </c>
      <c r="Q1792" s="57">
        <v>354</v>
      </c>
      <c r="R1792" s="62">
        <f>ТабПозиции[[#This Row],[totalSumm]]-ТабПозиции[[#This Row],[payment]]</f>
        <v>0</v>
      </c>
      <c r="S1792" s="34" t="s">
        <v>965</v>
      </c>
      <c r="T1792" s="56" t="s">
        <v>3061</v>
      </c>
      <c r="U1792" s="56" t="str">
        <f>IF(AND(ТабПозиции[[#This Row],[Остаток]]=0,ТабПозиции[[#This Row],[ord]]="true"),"true","false")</f>
        <v>true</v>
      </c>
      <c r="V1792" s="56" t="str">
        <f>IF(AND(ТабПозиции[[#This Row],[Остаток]]=0,ТабПозиции[[#This Row],[ord]]="true"),"true","false")</f>
        <v>true</v>
      </c>
    </row>
    <row r="1793" spans="1:22" x14ac:dyDescent="0.25">
      <c r="A1793" s="26">
        <v>474</v>
      </c>
      <c r="B1793" s="1">
        <f>IFERROR(VLOOKUP(ТабПозиции[[#This Row],[orderNum]],ТабЗаказы[#Data],MATCH(B$7,ТабЗаказы[#Headers],0),0),"")</f>
        <v>45702</v>
      </c>
      <c r="C1793" t="str">
        <f>MONTH(ТабПозиции[[#This Row],[date]])&amp;"/"&amp;YEAR(ТабПозиции[[#This Row],[date]])</f>
        <v>2/2025</v>
      </c>
      <c r="D1793" s="1" t="str">
        <f>IFERROR(VLOOKUP(ТабПозиции[[#This Row],[orderNum]],ТабЗаказы[#Data],MATCH(D$7,ТабЗаказы[#Headers],0),0),"")</f>
        <v>Светлана от Александра</v>
      </c>
      <c r="E1793" s="93" t="s">
        <v>2454</v>
      </c>
      <c r="F1793" s="56" t="s">
        <v>3061</v>
      </c>
      <c r="H1793" s="34">
        <v>45703</v>
      </c>
      <c r="I1793" s="26">
        <v>1</v>
      </c>
      <c r="J1793" s="26">
        <v>326</v>
      </c>
      <c r="K1793">
        <f>ТабПозиции[[#This Row],[discountPrice]]*ТабПозиции[[#This Row],[quantity]]</f>
        <v>326</v>
      </c>
      <c r="L1793" s="26">
        <v>344</v>
      </c>
      <c r="M1793">
        <f t="shared" si="38"/>
        <v>344</v>
      </c>
      <c r="O179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Row],[orderNum]],ТабПозиции[orderSumm])&gt;1500),ABS(M1793*VLOOKUP(ТабПозиции[[#This Row],[orderNum]],ТабЗаказы[#Data],MATCH("Percent",ТабЗаказы[#Headers],0),0))/100,200/COUNTIF(ТабПозиции[orderNum],ТабПозиции[[#This Row],[orderNum]])),0),"")</f>
        <v>34</v>
      </c>
      <c r="P1793">
        <f>IF(OR(ТабПозиции[[#This Row],[item]]="По штрихкоду",ТабПозиции[[#This Row],[item]]="Посылка"),ТабПозиции[[#This Row],[deliverySumm]]+ТабПозиции[[#This Row],[deliveryPost]],SUM(M1793:O1793))</f>
        <v>378</v>
      </c>
      <c r="Q1793" s="57">
        <v>378</v>
      </c>
      <c r="R1793" s="62">
        <f>ТабПозиции[[#This Row],[totalSumm]]-ТабПозиции[[#This Row],[payment]]</f>
        <v>0</v>
      </c>
      <c r="S1793" s="34" t="s">
        <v>965</v>
      </c>
      <c r="T1793" s="56" t="s">
        <v>3061</v>
      </c>
      <c r="U1793" s="56" t="str">
        <f>IF(AND(ТабПозиции[[#This Row],[Остаток]]=0,ТабПозиции[[#This Row],[ord]]="true"),"true","false")</f>
        <v>true</v>
      </c>
      <c r="V1793" s="56" t="str">
        <f>IF(AND(ТабПозиции[[#This Row],[Остаток]]=0,ТабПозиции[[#This Row],[ord]]="true"),"true","false")</f>
        <v>true</v>
      </c>
    </row>
    <row r="1794" spans="1:22" x14ac:dyDescent="0.25">
      <c r="A1794" s="26">
        <v>474</v>
      </c>
      <c r="B1794" s="1">
        <f>IFERROR(VLOOKUP(ТабПозиции[[#This Row],[orderNum]],ТабЗаказы[#Data],MATCH(B$7,ТабЗаказы[#Headers],0),0),"")</f>
        <v>45702</v>
      </c>
      <c r="C1794" t="str">
        <f>MONTH(ТабПозиции[[#This Row],[date]])&amp;"/"&amp;YEAR(ТабПозиции[[#This Row],[date]])</f>
        <v>2/2025</v>
      </c>
      <c r="D1794" s="1" t="str">
        <f>IFERROR(VLOOKUP(ТабПозиции[[#This Row],[orderNum]],ТабЗаказы[#Data],MATCH(D$7,ТабЗаказы[#Headers],0),0),"")</f>
        <v>Светлана от Александра</v>
      </c>
      <c r="E1794" s="93" t="s">
        <v>2059</v>
      </c>
      <c r="F1794" s="56" t="s">
        <v>3061</v>
      </c>
      <c r="H1794" s="34">
        <v>45704</v>
      </c>
      <c r="I1794" s="26">
        <v>1</v>
      </c>
      <c r="J1794" s="26">
        <v>447</v>
      </c>
      <c r="K1794">
        <f>ТабПозиции[[#This Row],[discountPrice]]*ТабПозиции[[#This Row],[quantity]]</f>
        <v>447</v>
      </c>
      <c r="L1794" s="26">
        <v>471</v>
      </c>
      <c r="M1794">
        <f t="shared" si="38"/>
        <v>471</v>
      </c>
      <c r="O179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Row],[orderNum]],ТабПозиции[orderSumm])&gt;1500),ABS(M1794*VLOOKUP(ТабПозиции[[#This Row],[orderNum]],ТабЗаказы[#Data],MATCH("Percent",ТабЗаказы[#Headers],0),0))/100,200/COUNTIF(ТабПозиции[orderNum],ТабПозиции[[#This Row],[orderNum]])),0),"")</f>
        <v>47</v>
      </c>
      <c r="P1794">
        <f>IF(OR(ТабПозиции[[#This Row],[item]]="По штрихкоду",ТабПозиции[[#This Row],[item]]="Посылка"),ТабПозиции[[#This Row],[deliverySumm]]+ТабПозиции[[#This Row],[deliveryPost]],SUM(M1794:O1794))</f>
        <v>518</v>
      </c>
      <c r="Q1794" s="57">
        <v>518</v>
      </c>
      <c r="R1794" s="62">
        <f>ТабПозиции[[#This Row],[totalSumm]]-ТабПозиции[[#This Row],[payment]]</f>
        <v>0</v>
      </c>
      <c r="S1794" s="34" t="s">
        <v>965</v>
      </c>
      <c r="T1794" s="56" t="s">
        <v>3061</v>
      </c>
      <c r="U1794" s="56" t="str">
        <f>IF(AND(ТабПозиции[[#This Row],[Остаток]]=0,ТабПозиции[[#This Row],[ord]]="true"),"true","false")</f>
        <v>true</v>
      </c>
      <c r="V1794" s="56" t="str">
        <f>IF(AND(ТабПозиции[[#This Row],[Остаток]]=0,ТабПозиции[[#This Row],[ord]]="true"),"true","false")</f>
        <v>true</v>
      </c>
    </row>
    <row r="1795" spans="1:22" x14ac:dyDescent="0.25">
      <c r="A1795" s="26">
        <v>474</v>
      </c>
      <c r="B1795" s="1">
        <f>IFERROR(VLOOKUP(ТабПозиции[[#This Row],[orderNum]],ТабЗаказы[#Data],MATCH(B$7,ТабЗаказы[#Headers],0),0),"")</f>
        <v>45702</v>
      </c>
      <c r="C1795" t="str">
        <f>MONTH(ТабПозиции[[#This Row],[date]])&amp;"/"&amp;YEAR(ТабПозиции[[#This Row],[date]])</f>
        <v>2/2025</v>
      </c>
      <c r="D1795" s="1" t="str">
        <f>IFERROR(VLOOKUP(ТабПозиции[[#This Row],[orderNum]],ТабЗаказы[#Data],MATCH(D$7,ТабЗаказы[#Headers],0),0),"")</f>
        <v>Светлана от Александра</v>
      </c>
      <c r="E1795" s="93" t="s">
        <v>2456</v>
      </c>
      <c r="F1795" s="56" t="s">
        <v>3061</v>
      </c>
      <c r="H1795" s="34">
        <v>45704</v>
      </c>
      <c r="I1795" s="26">
        <v>1</v>
      </c>
      <c r="J1795" s="26">
        <v>582</v>
      </c>
      <c r="K1795">
        <f>ТабПозиции[[#This Row],[discountPrice]]*ТабПозиции[[#This Row],[quantity]]</f>
        <v>582</v>
      </c>
      <c r="L1795" s="26">
        <v>613</v>
      </c>
      <c r="M1795">
        <f t="shared" ref="M1795:M1834" si="39">L1795*I1795</f>
        <v>613</v>
      </c>
      <c r="O179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Row],[orderNum]],ТабПозиции[orderSumm])&gt;1500),ABS(M1795*VLOOKUP(ТабПозиции[[#This Row],[orderNum]],ТабЗаказы[#Data],MATCH("Percent",ТабЗаказы[#Headers],0),0))/100,200/COUNTIF(ТабПозиции[orderNum],ТабПозиции[[#This Row],[orderNum]])),0),"")</f>
        <v>61</v>
      </c>
      <c r="P1795">
        <f>IF(OR(ТабПозиции[[#This Row],[item]]="По штрихкоду",ТабПозиции[[#This Row],[item]]="Посылка"),ТабПозиции[[#This Row],[deliverySumm]]+ТабПозиции[[#This Row],[deliveryPost]],SUM(M1795:O1795))</f>
        <v>674</v>
      </c>
      <c r="Q1795" s="57">
        <v>674</v>
      </c>
      <c r="R1795" s="62">
        <f>ТабПозиции[[#This Row],[totalSumm]]-ТабПозиции[[#This Row],[payment]]</f>
        <v>0</v>
      </c>
      <c r="S1795" s="34" t="s">
        <v>965</v>
      </c>
      <c r="T1795" s="56" t="s">
        <v>3061</v>
      </c>
      <c r="U1795" s="56" t="str">
        <f>IF(AND(ТабПозиции[[#This Row],[Остаток]]=0,ТабПозиции[[#This Row],[ord]]="true"),"true","false")</f>
        <v>true</v>
      </c>
      <c r="V1795" s="56" t="str">
        <f>IF(AND(ТабПозиции[[#This Row],[Остаток]]=0,ТабПозиции[[#This Row],[ord]]="true"),"true","false")</f>
        <v>true</v>
      </c>
    </row>
    <row r="1796" spans="1:22" x14ac:dyDescent="0.25">
      <c r="A1796" s="26">
        <v>474</v>
      </c>
      <c r="B1796" s="1">
        <f>IFERROR(VLOOKUP(ТабПозиции[[#This Row],[orderNum]],ТабЗаказы[#Data],MATCH(B$7,ТабЗаказы[#Headers],0),0),"")</f>
        <v>45702</v>
      </c>
      <c r="C1796" t="str">
        <f>MONTH(ТабПозиции[[#This Row],[date]])&amp;"/"&amp;YEAR(ТабПозиции[[#This Row],[date]])</f>
        <v>2/2025</v>
      </c>
      <c r="D1796" s="1" t="str">
        <f>IFERROR(VLOOKUP(ТабПозиции[[#This Row],[orderNum]],ТабЗаказы[#Data],MATCH(D$7,ТабЗаказы[#Headers],0),0),"")</f>
        <v>Светлана от Александра</v>
      </c>
      <c r="E1796" s="93" t="s">
        <v>2457</v>
      </c>
      <c r="F1796" s="56" t="s">
        <v>3061</v>
      </c>
      <c r="H1796" s="34">
        <v>45704</v>
      </c>
      <c r="I1796" s="26">
        <v>2</v>
      </c>
      <c r="J1796" s="26">
        <v>499</v>
      </c>
      <c r="K1796">
        <f>ТабПозиции[[#This Row],[discountPrice]]*ТабПозиции[[#This Row],[quantity]]</f>
        <v>998</v>
      </c>
      <c r="L1796" s="26">
        <v>526</v>
      </c>
      <c r="M1796">
        <f t="shared" si="39"/>
        <v>1052</v>
      </c>
      <c r="O179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Row],[orderNum]],ТабПозиции[orderSumm])&gt;1500),ABS(M1796*VLOOKUP(ТабПозиции[[#This Row],[orderNum]],ТабЗаказы[#Data],MATCH("Percent",ТабЗаказы[#Headers],0),0))/100,200/COUNTIF(ТабПозиции[orderNum],ТабПозиции[[#This Row],[orderNum]])),0),"")</f>
        <v>105</v>
      </c>
      <c r="P1796">
        <f>IF(OR(ТабПозиции[[#This Row],[item]]="По штрихкоду",ТабПозиции[[#This Row],[item]]="Посылка"),ТабПозиции[[#This Row],[deliverySumm]]+ТабПозиции[[#This Row],[deliveryPost]],SUM(M1796:O1796))</f>
        <v>1157</v>
      </c>
      <c r="Q1796" s="57">
        <v>1157</v>
      </c>
      <c r="R1796" s="62">
        <f>ТабПозиции[[#This Row],[totalSumm]]-ТабПозиции[[#This Row],[payment]]</f>
        <v>0</v>
      </c>
      <c r="S1796" s="34" t="s">
        <v>965</v>
      </c>
      <c r="T1796" s="56" t="s">
        <v>3061</v>
      </c>
      <c r="U1796" s="56" t="str">
        <f>IF(AND(ТабПозиции[[#This Row],[Остаток]]=0,ТабПозиции[[#This Row],[ord]]="true"),"true","false")</f>
        <v>true</v>
      </c>
      <c r="V1796" s="56" t="str">
        <f>IF(AND(ТабПозиции[[#This Row],[Остаток]]=0,ТабПозиции[[#This Row],[ord]]="true"),"true","false")</f>
        <v>true</v>
      </c>
    </row>
    <row r="1797" spans="1:22" x14ac:dyDescent="0.25">
      <c r="A1797" s="26">
        <v>474</v>
      </c>
      <c r="B1797" s="1">
        <f>IFERROR(VLOOKUP(ТабПозиции[[#This Row],[orderNum]],ТабЗаказы[#Data],MATCH(B$7,ТабЗаказы[#Headers],0),0),"")</f>
        <v>45702</v>
      </c>
      <c r="C1797" t="str">
        <f>MONTH(ТабПозиции[[#This Row],[date]])&amp;"/"&amp;YEAR(ТабПозиции[[#This Row],[date]])</f>
        <v>2/2025</v>
      </c>
      <c r="D1797" s="1" t="str">
        <f>IFERROR(VLOOKUP(ТабПозиции[[#This Row],[orderNum]],ТабЗаказы[#Data],MATCH(D$7,ТабЗаказы[#Headers],0),0),"")</f>
        <v>Светлана от Александра</v>
      </c>
      <c r="E1797" s="93" t="s">
        <v>2100</v>
      </c>
      <c r="F1797" s="56" t="s">
        <v>3061</v>
      </c>
      <c r="H1797" s="34">
        <v>45704</v>
      </c>
      <c r="I1797" s="26">
        <v>1</v>
      </c>
      <c r="J1797" s="26">
        <v>374</v>
      </c>
      <c r="K1797">
        <f>ТабПозиции[[#This Row],[discountPrice]]*ТабПозиции[[#This Row],[quantity]]</f>
        <v>374</v>
      </c>
      <c r="L1797" s="26">
        <v>394</v>
      </c>
      <c r="M1797">
        <f t="shared" si="39"/>
        <v>394</v>
      </c>
      <c r="O179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Row],[orderNum]],ТабПозиции[orderSumm])&gt;1500),ABS(M1797*VLOOKUP(ТабПозиции[[#This Row],[orderNum]],ТабЗаказы[#Data],MATCH("Percent",ТабЗаказы[#Headers],0),0))/100,200/COUNTIF(ТабПозиции[orderNum],ТабПозиции[[#This Row],[orderNum]])),0),"")</f>
        <v>39</v>
      </c>
      <c r="P1797">
        <f>IF(OR(ТабПозиции[[#This Row],[item]]="По штрихкоду",ТабПозиции[[#This Row],[item]]="Посылка"),ТабПозиции[[#This Row],[deliverySumm]]+ТабПозиции[[#This Row],[deliveryPost]],SUM(M1797:O1797))</f>
        <v>433</v>
      </c>
      <c r="Q1797" s="57">
        <v>433</v>
      </c>
      <c r="R1797" s="62">
        <f>ТабПозиции[[#This Row],[totalSumm]]-ТабПозиции[[#This Row],[payment]]</f>
        <v>0</v>
      </c>
      <c r="S1797" s="34" t="s">
        <v>965</v>
      </c>
      <c r="T1797" s="56" t="s">
        <v>3061</v>
      </c>
      <c r="U1797" s="56" t="str">
        <f>IF(AND(ТабПозиции[[#This Row],[Остаток]]=0,ТабПозиции[[#This Row],[ord]]="true"),"true","false")</f>
        <v>true</v>
      </c>
      <c r="V1797" s="56" t="str">
        <f>IF(AND(ТабПозиции[[#This Row],[Остаток]]=0,ТабПозиции[[#This Row],[ord]]="true"),"true","false")</f>
        <v>true</v>
      </c>
    </row>
    <row r="1798" spans="1:22" x14ac:dyDescent="0.25">
      <c r="A1798" s="26">
        <v>474</v>
      </c>
      <c r="B1798" s="1">
        <f>IFERROR(VLOOKUP(ТабПозиции[[#This Row],[orderNum]],ТабЗаказы[#Data],MATCH(B$7,ТабЗаказы[#Headers],0),0),"")</f>
        <v>45702</v>
      </c>
      <c r="C1798" t="str">
        <f>MONTH(ТабПозиции[[#This Row],[date]])&amp;"/"&amp;YEAR(ТабПозиции[[#This Row],[date]])</f>
        <v>2/2025</v>
      </c>
      <c r="D1798" s="1" t="str">
        <f>IFERROR(VLOOKUP(ТабПозиции[[#This Row],[orderNum]],ТабЗаказы[#Data],MATCH(D$7,ТабЗаказы[#Headers],0),0),"")</f>
        <v>Светлана от Александра</v>
      </c>
      <c r="E1798" s="93" t="s">
        <v>1365</v>
      </c>
      <c r="F1798" s="56" t="s">
        <v>3061</v>
      </c>
      <c r="H1798" s="34">
        <v>45704</v>
      </c>
      <c r="I1798" s="26">
        <v>1</v>
      </c>
      <c r="J1798" s="26">
        <v>247</v>
      </c>
      <c r="K1798">
        <f>ТабПозиции[[#This Row],[discountPrice]]*ТабПозиции[[#This Row],[quantity]]</f>
        <v>247</v>
      </c>
      <c r="L1798" s="26">
        <v>260</v>
      </c>
      <c r="M1798">
        <f t="shared" si="39"/>
        <v>260</v>
      </c>
      <c r="O179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Row],[orderNum]],ТабПозиции[orderSumm])&gt;1500),ABS(M1798*VLOOKUP(ТабПозиции[[#This Row],[orderNum]],ТабЗаказы[#Data],MATCH("Percent",ТабЗаказы[#Headers],0),0))/100,200/COUNTIF(ТабПозиции[orderNum],ТабПозиции[[#This Row],[orderNum]])),0),"")</f>
        <v>26</v>
      </c>
      <c r="P1798">
        <f>IF(OR(ТабПозиции[[#This Row],[item]]="По штрихкоду",ТабПозиции[[#This Row],[item]]="Посылка"),ТабПозиции[[#This Row],[deliverySumm]]+ТабПозиции[[#This Row],[deliveryPost]],SUM(M1798:O1798))</f>
        <v>286</v>
      </c>
      <c r="Q1798" s="57">
        <v>286</v>
      </c>
      <c r="R1798" s="62">
        <f>ТабПозиции[[#This Row],[totalSumm]]-ТабПозиции[[#This Row],[payment]]</f>
        <v>0</v>
      </c>
      <c r="S1798" s="34" t="s">
        <v>965</v>
      </c>
      <c r="T1798" s="56" t="s">
        <v>3061</v>
      </c>
      <c r="U1798" s="56" t="str">
        <f>IF(AND(ТабПозиции[[#This Row],[Остаток]]=0,ТабПозиции[[#This Row],[ord]]="true"),"true","false")</f>
        <v>true</v>
      </c>
      <c r="V1798" s="56" t="str">
        <f>IF(AND(ТабПозиции[[#This Row],[Остаток]]=0,ТабПозиции[[#This Row],[ord]]="true"),"true","false")</f>
        <v>true</v>
      </c>
    </row>
    <row r="1799" spans="1:22" x14ac:dyDescent="0.25">
      <c r="A1799" s="26">
        <v>474</v>
      </c>
      <c r="B1799" s="1">
        <f>IFERROR(VLOOKUP(ТабПозиции[[#This Row],[orderNum]],ТабЗаказы[#Data],MATCH(B$7,ТабЗаказы[#Headers],0),0),"")</f>
        <v>45702</v>
      </c>
      <c r="C1799" t="str">
        <f>MONTH(ТабПозиции[[#This Row],[date]])&amp;"/"&amp;YEAR(ТабПозиции[[#This Row],[date]])</f>
        <v>2/2025</v>
      </c>
      <c r="D1799" s="1" t="str">
        <f>IFERROR(VLOOKUP(ТабПозиции[[#This Row],[orderNum]],ТабЗаказы[#Data],MATCH(D$7,ТабЗаказы[#Headers],0),0),"")</f>
        <v>Светлана от Александра</v>
      </c>
      <c r="E1799" s="93" t="s">
        <v>2458</v>
      </c>
      <c r="F1799" s="56" t="s">
        <v>3061</v>
      </c>
      <c r="H1799" s="34">
        <v>45703</v>
      </c>
      <c r="I1799" s="26">
        <v>1</v>
      </c>
      <c r="J1799" s="26">
        <v>1504</v>
      </c>
      <c r="K1799">
        <f>ТабПозиции[[#This Row],[discountPrice]]*ТабПозиции[[#This Row],[quantity]]</f>
        <v>1504</v>
      </c>
      <c r="L1799" s="26">
        <v>1584</v>
      </c>
      <c r="M1799">
        <f t="shared" si="39"/>
        <v>1584</v>
      </c>
      <c r="O179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Row],[orderNum]],ТабПозиции[orderSumm])&gt;1500),ABS(M1799*VLOOKUP(ТабПозиции[[#This Row],[orderNum]],ТабЗаказы[#Data],MATCH("Percent",ТабЗаказы[#Headers],0),0))/100,200/COUNTIF(ТабПозиции[orderNum],ТабПозиции[[#This Row],[orderNum]])),0),"")</f>
        <v>158</v>
      </c>
      <c r="P1799">
        <f>IF(OR(ТабПозиции[[#This Row],[item]]="По штрихкоду",ТабПозиции[[#This Row],[item]]="Посылка"),ТабПозиции[[#This Row],[deliverySumm]]+ТабПозиции[[#This Row],[deliveryPost]],SUM(M1799:O1799))</f>
        <v>1742</v>
      </c>
      <c r="Q1799" s="57">
        <v>1742</v>
      </c>
      <c r="R1799" s="62">
        <f>ТабПозиции[[#This Row],[totalSumm]]-ТабПозиции[[#This Row],[payment]]</f>
        <v>0</v>
      </c>
      <c r="S1799" s="34" t="s">
        <v>965</v>
      </c>
      <c r="T1799" s="56" t="s">
        <v>3061</v>
      </c>
      <c r="U1799" s="56" t="str">
        <f>IF(AND(ТабПозиции[[#This Row],[Остаток]]=0,ТабПозиции[[#This Row],[ord]]="true"),"true","false")</f>
        <v>true</v>
      </c>
      <c r="V1799" s="56" t="str">
        <f>IF(AND(ТабПозиции[[#This Row],[Остаток]]=0,ТабПозиции[[#This Row],[ord]]="true"),"true","false")</f>
        <v>true</v>
      </c>
    </row>
    <row r="1800" spans="1:22" x14ac:dyDescent="0.25">
      <c r="A1800" s="26">
        <v>474</v>
      </c>
      <c r="B1800" s="1">
        <f>IFERROR(VLOOKUP(ТабПозиции[[#This Row],[orderNum]],ТабЗаказы[#Data],MATCH(B$7,ТабЗаказы[#Headers],0),0),"")</f>
        <v>45702</v>
      </c>
      <c r="C1800" t="str">
        <f>MONTH(ТабПозиции[[#This Row],[date]])&amp;"/"&amp;YEAR(ТабПозиции[[#This Row],[date]])</f>
        <v>2/2025</v>
      </c>
      <c r="D1800" s="1" t="str">
        <f>IFERROR(VLOOKUP(ТабПозиции[[#This Row],[orderNum]],ТабЗаказы[#Data],MATCH(D$7,ТабЗаказы[#Headers],0),0),"")</f>
        <v>Светлана от Александра</v>
      </c>
      <c r="E1800" s="93" t="s">
        <v>2459</v>
      </c>
      <c r="F1800" s="56" t="s">
        <v>3061</v>
      </c>
      <c r="H1800" s="34">
        <v>45706</v>
      </c>
      <c r="I1800" s="26">
        <v>1</v>
      </c>
      <c r="J1800" s="26">
        <v>367</v>
      </c>
      <c r="K1800">
        <f>ТабПозиции[[#This Row],[discountPrice]]*ТабПозиции[[#This Row],[quantity]]</f>
        <v>367</v>
      </c>
      <c r="L1800" s="26">
        <v>387</v>
      </c>
      <c r="M1800">
        <f t="shared" si="39"/>
        <v>387</v>
      </c>
      <c r="O180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Row],[orderNum]],ТабПозиции[orderSumm])&gt;1500),ABS(M1800*VLOOKUP(ТабПозиции[[#This Row],[orderNum]],ТабЗаказы[#Data],MATCH("Percent",ТабЗаказы[#Headers],0),0))/100,200/COUNTIF(ТабПозиции[orderNum],ТабПозиции[[#This Row],[orderNum]])),0),"")</f>
        <v>39</v>
      </c>
      <c r="P1800">
        <f>IF(OR(ТабПозиции[[#This Row],[item]]="По штрихкоду",ТабПозиции[[#This Row],[item]]="Посылка"),ТабПозиции[[#This Row],[deliverySumm]]+ТабПозиции[[#This Row],[deliveryPost]],SUM(M1800:O1800))</f>
        <v>426</v>
      </c>
      <c r="Q1800" s="57">
        <v>426</v>
      </c>
      <c r="R1800" s="62">
        <f>ТабПозиции[[#This Row],[totalSumm]]-ТабПозиции[[#This Row],[payment]]</f>
        <v>0</v>
      </c>
      <c r="S1800" s="34" t="s">
        <v>965</v>
      </c>
      <c r="T1800" s="56" t="s">
        <v>3061</v>
      </c>
      <c r="U1800" s="56" t="str">
        <f>IF(AND(ТабПозиции[[#This Row],[Остаток]]=0,ТабПозиции[[#This Row],[ord]]="true"),"true","false")</f>
        <v>true</v>
      </c>
      <c r="V1800" s="56" t="str">
        <f>IF(AND(ТабПозиции[[#This Row],[Остаток]]=0,ТабПозиции[[#This Row],[ord]]="true"),"true","false")</f>
        <v>true</v>
      </c>
    </row>
    <row r="1801" spans="1:22" x14ac:dyDescent="0.25">
      <c r="A1801" s="26">
        <v>474</v>
      </c>
      <c r="B1801" s="1">
        <f>IFERROR(VLOOKUP(ТабПозиции[[#This Row],[orderNum]],ТабЗаказы[#Data],MATCH(B$7,ТабЗаказы[#Headers],0),0),"")</f>
        <v>45702</v>
      </c>
      <c r="C1801" t="str">
        <f>MONTH(ТабПозиции[[#This Row],[date]])&amp;"/"&amp;YEAR(ТабПозиции[[#This Row],[date]])</f>
        <v>2/2025</v>
      </c>
      <c r="D1801" s="1" t="str">
        <f>IFERROR(VLOOKUP(ТабПозиции[[#This Row],[orderNum]],ТабЗаказы[#Data],MATCH(D$7,ТабЗаказы[#Headers],0),0),"")</f>
        <v>Светлана от Александра</v>
      </c>
      <c r="E1801" s="93" t="s">
        <v>2460</v>
      </c>
      <c r="F1801" s="56" t="s">
        <v>3061</v>
      </c>
      <c r="H1801" s="34">
        <v>45704</v>
      </c>
      <c r="I1801" s="26">
        <v>1</v>
      </c>
      <c r="J1801" s="26">
        <v>174</v>
      </c>
      <c r="K1801">
        <f>ТабПозиции[[#This Row],[discountPrice]]*ТабПозиции[[#This Row],[quantity]]</f>
        <v>174</v>
      </c>
      <c r="L1801" s="26">
        <v>184</v>
      </c>
      <c r="M1801">
        <f t="shared" si="39"/>
        <v>184</v>
      </c>
      <c r="O180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Row],[orderNum]],ТабПозиции[orderSumm])&gt;1500),ABS(M1801*VLOOKUP(ТабПозиции[[#This Row],[orderNum]],ТабЗаказы[#Data],MATCH("Percent",ТабЗаказы[#Headers],0),0))/100,200/COUNTIF(ТабПозиции[orderNum],ТабПозиции[[#This Row],[orderNum]])),0),"")</f>
        <v>18</v>
      </c>
      <c r="P1801">
        <f>IF(OR(ТабПозиции[[#This Row],[item]]="По штрихкоду",ТабПозиции[[#This Row],[item]]="Посылка"),ТабПозиции[[#This Row],[deliverySumm]]+ТабПозиции[[#This Row],[deliveryPost]],SUM(M1801:O1801))</f>
        <v>202</v>
      </c>
      <c r="Q1801" s="57">
        <v>202</v>
      </c>
      <c r="R1801" s="62">
        <f>ТабПозиции[[#This Row],[totalSumm]]-ТабПозиции[[#This Row],[payment]]</f>
        <v>0</v>
      </c>
      <c r="S1801" s="34" t="s">
        <v>965</v>
      </c>
      <c r="T1801" s="56" t="s">
        <v>3061</v>
      </c>
      <c r="U1801" s="56" t="str">
        <f>IF(AND(ТабПозиции[[#This Row],[Остаток]]=0,ТабПозиции[[#This Row],[ord]]="true"),"true","false")</f>
        <v>true</v>
      </c>
      <c r="V1801" s="56" t="str">
        <f>IF(AND(ТабПозиции[[#This Row],[Остаток]]=0,ТабПозиции[[#This Row],[ord]]="true"),"true","false")</f>
        <v>true</v>
      </c>
    </row>
    <row r="1802" spans="1:22" x14ac:dyDescent="0.25">
      <c r="A1802" s="26">
        <v>474</v>
      </c>
      <c r="B1802" s="1">
        <f>IFERROR(VLOOKUP(ТабПозиции[[#This Row],[orderNum]],ТабЗаказы[#Data],MATCH(B$7,ТабЗаказы[#Headers],0),0),"")</f>
        <v>45702</v>
      </c>
      <c r="C1802" t="str">
        <f>MONTH(ТабПозиции[[#This Row],[date]])&amp;"/"&amp;YEAR(ТабПозиции[[#This Row],[date]])</f>
        <v>2/2025</v>
      </c>
      <c r="D1802" s="1" t="str">
        <f>IFERROR(VLOOKUP(ТабПозиции[[#This Row],[orderNum]],ТабЗаказы[#Data],MATCH(D$7,ТабЗаказы[#Headers],0),0),"")</f>
        <v>Светлана от Александра</v>
      </c>
      <c r="E1802" s="93" t="s">
        <v>2461</v>
      </c>
      <c r="F1802" s="56" t="s">
        <v>3061</v>
      </c>
      <c r="H1802" s="34">
        <v>45703</v>
      </c>
      <c r="I1802" s="26">
        <v>1</v>
      </c>
      <c r="J1802" s="26">
        <v>363</v>
      </c>
      <c r="K1802">
        <f>ТабПозиции[[#This Row],[discountPrice]]*ТабПозиции[[#This Row],[quantity]]</f>
        <v>363</v>
      </c>
      <c r="L1802" s="26">
        <v>383</v>
      </c>
      <c r="M1802">
        <f t="shared" si="39"/>
        <v>383</v>
      </c>
      <c r="O180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Row],[orderNum]],ТабПозиции[orderSumm])&gt;1500),ABS(M1802*VLOOKUP(ТабПозиции[[#This Row],[orderNum]],ТабЗаказы[#Data],MATCH("Percent",ТабЗаказы[#Headers],0),0))/100,200/COUNTIF(ТабПозиции[orderNum],ТабПозиции[[#This Row],[orderNum]])),0),"")</f>
        <v>38</v>
      </c>
      <c r="P1802">
        <f>IF(OR(ТабПозиции[[#This Row],[item]]="По штрихкоду",ТабПозиции[[#This Row],[item]]="Посылка"),ТабПозиции[[#This Row],[deliverySumm]]+ТабПозиции[[#This Row],[deliveryPost]],SUM(M1802:O1802))</f>
        <v>421</v>
      </c>
      <c r="Q1802" s="57">
        <v>421</v>
      </c>
      <c r="R1802" s="62">
        <f>ТабПозиции[[#This Row],[totalSumm]]-ТабПозиции[[#This Row],[payment]]</f>
        <v>0</v>
      </c>
      <c r="S1802" s="34" t="s">
        <v>965</v>
      </c>
      <c r="T1802" s="56" t="s">
        <v>3061</v>
      </c>
      <c r="U1802" s="56" t="str">
        <f>IF(AND(ТабПозиции[[#This Row],[Остаток]]=0,ТабПозиции[[#This Row],[ord]]="true"),"true","false")</f>
        <v>true</v>
      </c>
      <c r="V1802" s="56" t="str">
        <f>IF(AND(ТабПозиции[[#This Row],[Остаток]]=0,ТабПозиции[[#This Row],[ord]]="true"),"true","false")</f>
        <v>true</v>
      </c>
    </row>
    <row r="1803" spans="1:22" x14ac:dyDescent="0.25">
      <c r="A1803" s="26">
        <v>474</v>
      </c>
      <c r="B1803" s="1">
        <f>IFERROR(VLOOKUP(ТабПозиции[[#This Row],[orderNum]],ТабЗаказы[#Data],MATCH(B$7,ТабЗаказы[#Headers],0),0),"")</f>
        <v>45702</v>
      </c>
      <c r="C1803" t="str">
        <f>MONTH(ТабПозиции[[#This Row],[date]])&amp;"/"&amp;YEAR(ТабПозиции[[#This Row],[date]])</f>
        <v>2/2025</v>
      </c>
      <c r="D1803" s="1" t="str">
        <f>IFERROR(VLOOKUP(ТабПозиции[[#This Row],[orderNum]],ТабЗаказы[#Data],MATCH(D$7,ТабЗаказы[#Headers],0),0),"")</f>
        <v>Светлана от Александра</v>
      </c>
      <c r="E1803" s="93" t="s">
        <v>2462</v>
      </c>
      <c r="F1803" s="56" t="s">
        <v>3061</v>
      </c>
      <c r="H1803" s="34">
        <v>45703</v>
      </c>
      <c r="I1803" s="26">
        <v>1</v>
      </c>
      <c r="J1803" s="26">
        <v>258</v>
      </c>
      <c r="K1803">
        <f>ТабПозиции[[#This Row],[discountPrice]]*ТабПозиции[[#This Row],[quantity]]</f>
        <v>258</v>
      </c>
      <c r="L1803" s="26">
        <v>272</v>
      </c>
      <c r="M1803">
        <f t="shared" si="39"/>
        <v>272</v>
      </c>
      <c r="O180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Row],[orderNum]],ТабПозиции[orderSumm])&gt;1500),ABS(M1803*VLOOKUP(ТабПозиции[[#This Row],[orderNum]],ТабЗаказы[#Data],MATCH("Percent",ТабЗаказы[#Headers],0),0))/100,200/COUNTIF(ТабПозиции[orderNum],ТабПозиции[[#This Row],[orderNum]])),0),"")</f>
        <v>27</v>
      </c>
      <c r="P1803">
        <f>IF(OR(ТабПозиции[[#This Row],[item]]="По штрихкоду",ТабПозиции[[#This Row],[item]]="Посылка"),ТабПозиции[[#This Row],[deliverySumm]]+ТабПозиции[[#This Row],[deliveryPost]],SUM(M1803:O1803))</f>
        <v>299</v>
      </c>
      <c r="Q1803" s="57">
        <v>299</v>
      </c>
      <c r="R1803" s="62">
        <f>ТабПозиции[[#This Row],[totalSumm]]-ТабПозиции[[#This Row],[payment]]</f>
        <v>0</v>
      </c>
      <c r="S1803" s="34" t="s">
        <v>965</v>
      </c>
      <c r="T1803" s="56" t="s">
        <v>3061</v>
      </c>
      <c r="U1803" s="56" t="str">
        <f>IF(AND(ТабПозиции[[#This Row],[Остаток]]=0,ТабПозиции[[#This Row],[ord]]="true"),"true","false")</f>
        <v>true</v>
      </c>
      <c r="V1803" s="56" t="str">
        <f>IF(AND(ТабПозиции[[#This Row],[Остаток]]=0,ТабПозиции[[#This Row],[ord]]="true"),"true","false")</f>
        <v>true</v>
      </c>
    </row>
    <row r="1804" spans="1:22" x14ac:dyDescent="0.25">
      <c r="A1804" s="26">
        <v>474</v>
      </c>
      <c r="B1804" s="1">
        <f>IFERROR(VLOOKUP(ТабПозиции[[#This Row],[orderNum]],ТабЗаказы[#Data],MATCH(B$7,ТабЗаказы[#Headers],0),0),"")</f>
        <v>45702</v>
      </c>
      <c r="C1804" t="str">
        <f>MONTH(ТабПозиции[[#This Row],[date]])&amp;"/"&amp;YEAR(ТабПозиции[[#This Row],[date]])</f>
        <v>2/2025</v>
      </c>
      <c r="D1804" s="1" t="str">
        <f>IFERROR(VLOOKUP(ТабПозиции[[#This Row],[orderNum]],ТабЗаказы[#Data],MATCH(D$7,ТабЗаказы[#Headers],0),0),"")</f>
        <v>Светлана от Александра</v>
      </c>
      <c r="E1804" s="93" t="s">
        <v>2036</v>
      </c>
      <c r="F1804" s="56" t="s">
        <v>3061</v>
      </c>
      <c r="H1804" s="34">
        <v>45706</v>
      </c>
      <c r="I1804" s="26">
        <v>2</v>
      </c>
      <c r="J1804" s="26">
        <v>428</v>
      </c>
      <c r="K1804">
        <f>ТабПозиции[[#This Row],[discountPrice]]*ТабПозиции[[#This Row],[quantity]]</f>
        <v>856</v>
      </c>
      <c r="L1804" s="26">
        <v>451</v>
      </c>
      <c r="M1804">
        <f t="shared" si="39"/>
        <v>902</v>
      </c>
      <c r="O180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Row],[orderNum]],ТабПозиции[orderSumm])&gt;1500),ABS(M1804*VLOOKUP(ТабПозиции[[#This Row],[orderNum]],ТабЗаказы[#Data],MATCH("Percent",ТабЗаказы[#Headers],0),0))/100,200/COUNTIF(ТабПозиции[orderNum],ТабПозиции[[#This Row],[orderNum]])),0),"")</f>
        <v>90</v>
      </c>
      <c r="P1804">
        <f>IF(OR(ТабПозиции[[#This Row],[item]]="По штрихкоду",ТабПозиции[[#This Row],[item]]="Посылка"),ТабПозиции[[#This Row],[deliverySumm]]+ТабПозиции[[#This Row],[deliveryPost]],SUM(M1804:O1804))</f>
        <v>992</v>
      </c>
      <c r="Q1804" s="57">
        <v>992</v>
      </c>
      <c r="R1804" s="62">
        <f>ТабПозиции[[#This Row],[totalSumm]]-ТабПозиции[[#This Row],[payment]]</f>
        <v>0</v>
      </c>
      <c r="S1804" s="34" t="s">
        <v>965</v>
      </c>
      <c r="T1804" s="56" t="s">
        <v>3061</v>
      </c>
      <c r="U1804" s="56" t="str">
        <f>IF(AND(ТабПозиции[[#This Row],[Остаток]]=0,ТабПозиции[[#This Row],[ord]]="true"),"true","false")</f>
        <v>true</v>
      </c>
      <c r="V1804" s="56" t="str">
        <f>IF(AND(ТабПозиции[[#This Row],[Остаток]]=0,ТабПозиции[[#This Row],[ord]]="true"),"true","false")</f>
        <v>true</v>
      </c>
    </row>
    <row r="1805" spans="1:22" x14ac:dyDescent="0.25">
      <c r="A1805" s="26">
        <v>474</v>
      </c>
      <c r="B1805" s="1">
        <f>IFERROR(VLOOKUP(ТабПозиции[[#This Row],[orderNum]],ТабЗаказы[#Data],MATCH(B$7,ТабЗаказы[#Headers],0),0),"")</f>
        <v>45702</v>
      </c>
      <c r="C1805" t="str">
        <f>MONTH(ТабПозиции[[#This Row],[date]])&amp;"/"&amp;YEAR(ТабПозиции[[#This Row],[date]])</f>
        <v>2/2025</v>
      </c>
      <c r="D1805" s="1" t="str">
        <f>IFERROR(VLOOKUP(ТабПозиции[[#This Row],[orderNum]],ТабЗаказы[#Data],MATCH(D$7,ТабЗаказы[#Headers],0),0),"")</f>
        <v>Светлана от Александра</v>
      </c>
      <c r="E1805" s="93" t="s">
        <v>2463</v>
      </c>
      <c r="F1805" s="56" t="s">
        <v>3061</v>
      </c>
      <c r="H1805" s="34">
        <v>45704</v>
      </c>
      <c r="I1805" s="26">
        <v>1</v>
      </c>
      <c r="J1805" s="26">
        <v>179</v>
      </c>
      <c r="K1805">
        <f>ТабПозиции[[#This Row],[discountPrice]]*ТабПозиции[[#This Row],[quantity]]</f>
        <v>179</v>
      </c>
      <c r="L1805" s="26">
        <v>189</v>
      </c>
      <c r="M1805">
        <f t="shared" si="39"/>
        <v>189</v>
      </c>
      <c r="O180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Row],[orderNum]],ТабПозиции[orderSumm])&gt;1500),ABS(M1805*VLOOKUP(ТабПозиции[[#This Row],[orderNum]],ТабЗаказы[#Data],MATCH("Percent",ТабЗаказы[#Headers],0),0))/100,200/COUNTIF(ТабПозиции[orderNum],ТабПозиции[[#This Row],[orderNum]])),0),"")</f>
        <v>19</v>
      </c>
      <c r="P1805">
        <f>IF(OR(ТабПозиции[[#This Row],[item]]="По штрихкоду",ТабПозиции[[#This Row],[item]]="Посылка"),ТабПозиции[[#This Row],[deliverySumm]]+ТабПозиции[[#This Row],[deliveryPost]],SUM(M1805:O1805))</f>
        <v>208</v>
      </c>
      <c r="Q1805" s="57">
        <v>208</v>
      </c>
      <c r="R1805" s="62">
        <f>ТабПозиции[[#This Row],[totalSumm]]-ТабПозиции[[#This Row],[payment]]</f>
        <v>0</v>
      </c>
      <c r="S1805" s="34" t="s">
        <v>965</v>
      </c>
      <c r="T1805" s="56" t="s">
        <v>3061</v>
      </c>
      <c r="U1805" s="56" t="str">
        <f>IF(AND(ТабПозиции[[#This Row],[Остаток]]=0,ТабПозиции[[#This Row],[ord]]="true"),"true","false")</f>
        <v>true</v>
      </c>
      <c r="V1805" s="56" t="str">
        <f>IF(AND(ТабПозиции[[#This Row],[Остаток]]=0,ТабПозиции[[#This Row],[ord]]="true"),"true","false")</f>
        <v>true</v>
      </c>
    </row>
    <row r="1806" spans="1:22" x14ac:dyDescent="0.25">
      <c r="A1806" s="26">
        <v>474</v>
      </c>
      <c r="B1806" s="1">
        <f>IFERROR(VLOOKUP(ТабПозиции[[#This Row],[orderNum]],ТабЗаказы[#Data],MATCH(B$7,ТабЗаказы[#Headers],0),0),"")</f>
        <v>45702</v>
      </c>
      <c r="C1806" t="str">
        <f>MONTH(ТабПозиции[[#This Row],[date]])&amp;"/"&amp;YEAR(ТабПозиции[[#This Row],[date]])</f>
        <v>2/2025</v>
      </c>
      <c r="D1806" s="1" t="str">
        <f>IFERROR(VLOOKUP(ТабПозиции[[#This Row],[orderNum]],ТабЗаказы[#Data],MATCH(D$7,ТабЗаказы[#Headers],0),0),"")</f>
        <v>Светлана от Александра</v>
      </c>
      <c r="E1806" s="93" t="s">
        <v>2464</v>
      </c>
      <c r="F1806" s="56" t="s">
        <v>3061</v>
      </c>
      <c r="H1806" s="34">
        <v>45703</v>
      </c>
      <c r="I1806" s="26">
        <v>1</v>
      </c>
      <c r="J1806" s="26">
        <v>499</v>
      </c>
      <c r="K1806">
        <f>ТабПозиции[[#This Row],[discountPrice]]*ТабПозиции[[#This Row],[quantity]]</f>
        <v>499</v>
      </c>
      <c r="L1806" s="26">
        <v>526</v>
      </c>
      <c r="M1806">
        <f t="shared" si="39"/>
        <v>526</v>
      </c>
      <c r="O180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Row],[orderNum]],ТабПозиции[orderSumm])&gt;1500),ABS(M1806*VLOOKUP(ТабПозиции[[#This Row],[orderNum]],ТабЗаказы[#Data],MATCH("Percent",ТабЗаказы[#Headers],0),0))/100,200/COUNTIF(ТабПозиции[orderNum],ТабПозиции[[#This Row],[orderNum]])),0),"")</f>
        <v>53</v>
      </c>
      <c r="P1806">
        <f>IF(OR(ТабПозиции[[#This Row],[item]]="По штрихкоду",ТабПозиции[[#This Row],[item]]="Посылка"),ТабПозиции[[#This Row],[deliverySumm]]+ТабПозиции[[#This Row],[deliveryPost]],SUM(M1806:O1806))</f>
        <v>579</v>
      </c>
      <c r="Q1806" s="57">
        <v>579</v>
      </c>
      <c r="R1806" s="62">
        <f>ТабПозиции[[#This Row],[totalSumm]]-ТабПозиции[[#This Row],[payment]]</f>
        <v>0</v>
      </c>
      <c r="S1806" s="34" t="s">
        <v>965</v>
      </c>
      <c r="T1806" s="56" t="s">
        <v>3061</v>
      </c>
      <c r="U1806" s="56" t="str">
        <f>IF(AND(ТабПозиции[[#This Row],[Остаток]]=0,ТабПозиции[[#This Row],[ord]]="true"),"true","false")</f>
        <v>true</v>
      </c>
      <c r="V1806" s="56" t="str">
        <f>IF(AND(ТабПозиции[[#This Row],[Остаток]]=0,ТабПозиции[[#This Row],[ord]]="true"),"true","false")</f>
        <v>true</v>
      </c>
    </row>
    <row r="1807" spans="1:22" x14ac:dyDescent="0.25">
      <c r="A1807" s="26">
        <v>474</v>
      </c>
      <c r="B1807" s="1">
        <f>IFERROR(VLOOKUP(ТабПозиции[[#This Row],[orderNum]],ТабЗаказы[#Data],MATCH(B$7,ТабЗаказы[#Headers],0),0),"")</f>
        <v>45702</v>
      </c>
      <c r="C1807" t="str">
        <f>MONTH(ТабПозиции[[#This Row],[date]])&amp;"/"&amp;YEAR(ТабПозиции[[#This Row],[date]])</f>
        <v>2/2025</v>
      </c>
      <c r="D1807" s="1" t="str">
        <f>IFERROR(VLOOKUP(ТабПозиции[[#This Row],[orderNum]],ТабЗаказы[#Data],MATCH(D$7,ТабЗаказы[#Headers],0),0),"")</f>
        <v>Светлана от Александра</v>
      </c>
      <c r="E1807" s="93" t="s">
        <v>2465</v>
      </c>
      <c r="F1807" s="56" t="s">
        <v>3061</v>
      </c>
      <c r="H1807" s="34">
        <v>45704</v>
      </c>
      <c r="I1807" s="26">
        <v>1</v>
      </c>
      <c r="J1807" s="26">
        <v>927</v>
      </c>
      <c r="K1807">
        <f>ТабПозиции[[#This Row],[discountPrice]]*ТабПозиции[[#This Row],[quantity]]</f>
        <v>927</v>
      </c>
      <c r="L1807" s="26">
        <v>976</v>
      </c>
      <c r="M1807">
        <f t="shared" si="39"/>
        <v>976</v>
      </c>
      <c r="O180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Row],[orderNum]],ТабПозиции[orderSumm])&gt;1500),ABS(M1807*VLOOKUP(ТабПозиции[[#This Row],[orderNum]],ТабЗаказы[#Data],MATCH("Percent",ТабЗаказы[#Headers],0),0))/100,200/COUNTIF(ТабПозиции[orderNum],ТабПозиции[[#This Row],[orderNum]])),0),"")</f>
        <v>98</v>
      </c>
      <c r="P1807">
        <f>IF(OR(ТабПозиции[[#This Row],[item]]="По штрихкоду",ТабПозиции[[#This Row],[item]]="Посылка"),ТабПозиции[[#This Row],[deliverySumm]]+ТабПозиции[[#This Row],[deliveryPost]],SUM(M1807:O1807))</f>
        <v>1074</v>
      </c>
      <c r="Q1807" s="57">
        <v>1074</v>
      </c>
      <c r="R1807" s="62">
        <f>ТабПозиции[[#This Row],[totalSumm]]-ТабПозиции[[#This Row],[payment]]</f>
        <v>0</v>
      </c>
      <c r="S1807" s="34" t="s">
        <v>965</v>
      </c>
      <c r="T1807" s="56" t="s">
        <v>3061</v>
      </c>
      <c r="U1807" s="56" t="str">
        <f>IF(AND(ТабПозиции[[#This Row],[Остаток]]=0,ТабПозиции[[#This Row],[ord]]="true"),"true","false")</f>
        <v>true</v>
      </c>
      <c r="V1807" s="56" t="str">
        <f>IF(AND(ТабПозиции[[#This Row],[Остаток]]=0,ТабПозиции[[#This Row],[ord]]="true"),"true","false")</f>
        <v>true</v>
      </c>
    </row>
    <row r="1808" spans="1:22" x14ac:dyDescent="0.25">
      <c r="A1808" s="26">
        <v>474</v>
      </c>
      <c r="B1808" s="1">
        <f>IFERROR(VLOOKUP(ТабПозиции[[#This Row],[orderNum]],ТабЗаказы[#Data],MATCH(B$7,ТабЗаказы[#Headers],0),0),"")</f>
        <v>45702</v>
      </c>
      <c r="C1808" t="str">
        <f>MONTH(ТабПозиции[[#This Row],[date]])&amp;"/"&amp;YEAR(ТабПозиции[[#This Row],[date]])</f>
        <v>2/2025</v>
      </c>
      <c r="D1808" s="1" t="str">
        <f>IFERROR(VLOOKUP(ТабПозиции[[#This Row],[orderNum]],ТабЗаказы[#Data],MATCH(D$7,ТабЗаказы[#Headers],0),0),"")</f>
        <v>Светлана от Александра</v>
      </c>
      <c r="E1808" s="93" t="s">
        <v>1959</v>
      </c>
      <c r="F1808" s="56" t="s">
        <v>3061</v>
      </c>
      <c r="H1808" s="34">
        <v>45704</v>
      </c>
      <c r="I1808" s="26">
        <v>1</v>
      </c>
      <c r="J1808" s="26">
        <v>344</v>
      </c>
      <c r="K1808">
        <f>ТабПозиции[[#This Row],[discountPrice]]*ТабПозиции[[#This Row],[quantity]]</f>
        <v>344</v>
      </c>
      <c r="L1808" s="26">
        <v>363</v>
      </c>
      <c r="M1808">
        <f t="shared" si="39"/>
        <v>363</v>
      </c>
      <c r="O180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Row],[orderNum]],ТабПозиции[orderSumm])&gt;1500),ABS(M1808*VLOOKUP(ТабПозиции[[#This Row],[orderNum]],ТабЗаказы[#Data],MATCH("Percent",ТабЗаказы[#Headers],0),0))/100,200/COUNTIF(ТабПозиции[orderNum],ТабПозиции[[#This Row],[orderNum]])),0),"")</f>
        <v>36</v>
      </c>
      <c r="P1808">
        <f>IF(OR(ТабПозиции[[#This Row],[item]]="По штрихкоду",ТабПозиции[[#This Row],[item]]="Посылка"),ТабПозиции[[#This Row],[deliverySumm]]+ТабПозиции[[#This Row],[deliveryPost]],SUM(M1808:O1808))</f>
        <v>399</v>
      </c>
      <c r="Q1808" s="57">
        <v>399</v>
      </c>
      <c r="R1808" s="62">
        <f>ТабПозиции[[#This Row],[totalSumm]]-ТабПозиции[[#This Row],[payment]]</f>
        <v>0</v>
      </c>
      <c r="S1808" s="34" t="s">
        <v>965</v>
      </c>
      <c r="T1808" s="56" t="s">
        <v>3061</v>
      </c>
      <c r="U1808" s="56" t="str">
        <f>IF(AND(ТабПозиции[[#This Row],[Остаток]]=0,ТабПозиции[[#This Row],[ord]]="true"),"true","false")</f>
        <v>true</v>
      </c>
      <c r="V1808" s="56" t="str">
        <f>IF(AND(ТабПозиции[[#This Row],[Остаток]]=0,ТабПозиции[[#This Row],[ord]]="true"),"true","false")</f>
        <v>true</v>
      </c>
    </row>
    <row r="1809" spans="1:22" x14ac:dyDescent="0.25">
      <c r="A1809" s="26">
        <v>474</v>
      </c>
      <c r="B1809" s="1">
        <f>IFERROR(VLOOKUP(ТабПозиции[[#This Row],[orderNum]],ТабЗаказы[#Data],MATCH(B$7,ТабЗаказы[#Headers],0),0),"")</f>
        <v>45702</v>
      </c>
      <c r="C1809" t="str">
        <f>MONTH(ТабПозиции[[#This Row],[date]])&amp;"/"&amp;YEAR(ТабПозиции[[#This Row],[date]])</f>
        <v>2/2025</v>
      </c>
      <c r="D1809" s="1" t="str">
        <f>IFERROR(VLOOKUP(ТабПозиции[[#This Row],[orderNum]],ТабЗаказы[#Data],MATCH(D$7,ТабЗаказы[#Headers],0),0),"")</f>
        <v>Светлана от Александра</v>
      </c>
      <c r="E1809" s="93" t="s">
        <v>2466</v>
      </c>
      <c r="F1809" s="56" t="s">
        <v>3061</v>
      </c>
      <c r="H1809" s="34">
        <v>45704</v>
      </c>
      <c r="I1809" s="26">
        <v>1</v>
      </c>
      <c r="J1809" s="26">
        <v>211</v>
      </c>
      <c r="K1809">
        <f>ТабПозиции[[#This Row],[discountPrice]]*ТабПозиции[[#This Row],[quantity]]</f>
        <v>211</v>
      </c>
      <c r="L1809" s="26">
        <v>223</v>
      </c>
      <c r="M1809">
        <f t="shared" si="39"/>
        <v>223</v>
      </c>
      <c r="O180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Row],[orderNum]],ТабПозиции[orderSumm])&gt;1500),ABS(M1809*VLOOKUP(ТабПозиции[[#This Row],[orderNum]],ТабЗаказы[#Data],MATCH("Percent",ТабЗаказы[#Headers],0),0))/100,200/COUNTIF(ТабПозиции[orderNum],ТабПозиции[[#This Row],[orderNum]])),0),"")</f>
        <v>22</v>
      </c>
      <c r="P1809">
        <f>IF(OR(ТабПозиции[[#This Row],[item]]="По штрихкоду",ТабПозиции[[#This Row],[item]]="Посылка"),ТабПозиции[[#This Row],[deliverySumm]]+ТабПозиции[[#This Row],[deliveryPost]],SUM(M1809:O1809))</f>
        <v>245</v>
      </c>
      <c r="Q1809" s="57">
        <v>245</v>
      </c>
      <c r="R1809" s="62">
        <f>ТабПозиции[[#This Row],[totalSumm]]-ТабПозиции[[#This Row],[payment]]</f>
        <v>0</v>
      </c>
      <c r="S1809" s="34" t="s">
        <v>965</v>
      </c>
      <c r="T1809" s="56" t="s">
        <v>3061</v>
      </c>
      <c r="U1809" s="56" t="str">
        <f>IF(AND(ТабПозиции[[#This Row],[Остаток]]=0,ТабПозиции[[#This Row],[ord]]="true"),"true","false")</f>
        <v>true</v>
      </c>
      <c r="V1809" s="56" t="str">
        <f>IF(AND(ТабПозиции[[#This Row],[Остаток]]=0,ТабПозиции[[#This Row],[ord]]="true"),"true","false")</f>
        <v>true</v>
      </c>
    </row>
    <row r="1810" spans="1:22" x14ac:dyDescent="0.25">
      <c r="A1810" s="26">
        <v>474</v>
      </c>
      <c r="B1810" s="1">
        <f>IFERROR(VLOOKUP(ТабПозиции[[#This Row],[orderNum]],ТабЗаказы[#Data],MATCH(B$7,ТабЗаказы[#Headers],0),0),"")</f>
        <v>45702</v>
      </c>
      <c r="C1810" t="str">
        <f>MONTH(ТабПозиции[[#This Row],[date]])&amp;"/"&amp;YEAR(ТабПозиции[[#This Row],[date]])</f>
        <v>2/2025</v>
      </c>
      <c r="D1810" s="1" t="str">
        <f>IFERROR(VLOOKUP(ТабПозиции[[#This Row],[orderNum]],ТабЗаказы[#Data],MATCH(D$7,ТабЗаказы[#Headers],0),0),"")</f>
        <v>Светлана от Александра</v>
      </c>
      <c r="E1810" s="93" t="s">
        <v>1372</v>
      </c>
      <c r="F1810" s="56" t="s">
        <v>3061</v>
      </c>
      <c r="H1810" s="34">
        <v>45703</v>
      </c>
      <c r="I1810" s="26">
        <v>1</v>
      </c>
      <c r="J1810" s="26">
        <v>158</v>
      </c>
      <c r="K1810">
        <f>ТабПозиции[[#This Row],[discountPrice]]*ТабПозиции[[#This Row],[quantity]]</f>
        <v>158</v>
      </c>
      <c r="L1810" s="26">
        <v>167</v>
      </c>
      <c r="M1810">
        <f t="shared" si="39"/>
        <v>167</v>
      </c>
      <c r="O181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Row],[orderNum]],ТабПозиции[orderSumm])&gt;1500),ABS(M1810*VLOOKUP(ТабПозиции[[#This Row],[orderNum]],ТабЗаказы[#Data],MATCH("Percent",ТабЗаказы[#Headers],0),0))/100,200/COUNTIF(ТабПозиции[orderNum],ТабПозиции[[#This Row],[orderNum]])),0),"")</f>
        <v>17</v>
      </c>
      <c r="P1810">
        <f>IF(OR(ТабПозиции[[#This Row],[item]]="По штрихкоду",ТабПозиции[[#This Row],[item]]="Посылка"),ТабПозиции[[#This Row],[deliverySumm]]+ТабПозиции[[#This Row],[deliveryPost]],SUM(M1810:O1810))</f>
        <v>184</v>
      </c>
      <c r="Q1810" s="57">
        <v>184</v>
      </c>
      <c r="R1810" s="62">
        <f>ТабПозиции[[#This Row],[totalSumm]]-ТабПозиции[[#This Row],[payment]]</f>
        <v>0</v>
      </c>
      <c r="S1810" s="34" t="s">
        <v>965</v>
      </c>
      <c r="T1810" s="56" t="s">
        <v>3061</v>
      </c>
      <c r="U1810" s="56" t="str">
        <f>IF(AND(ТабПозиции[[#This Row],[Остаток]]=0,ТабПозиции[[#This Row],[ord]]="true"),"true","false")</f>
        <v>true</v>
      </c>
      <c r="V1810" s="56" t="str">
        <f>IF(AND(ТабПозиции[[#This Row],[Остаток]]=0,ТабПозиции[[#This Row],[ord]]="true"),"true","false")</f>
        <v>true</v>
      </c>
    </row>
    <row r="1811" spans="1:22" x14ac:dyDescent="0.25">
      <c r="A1811" s="26">
        <v>476</v>
      </c>
      <c r="B1811" s="1">
        <f>IFERROR(VLOOKUP(ТабПозиции[[#This Row],[orderNum]],ТабЗаказы[#Data],MATCH(B$7,ТабЗаказы[#Headers],0),0),"")</f>
        <v>45705</v>
      </c>
      <c r="C1811" t="str">
        <f>MONTH(ТабПозиции[[#This Row],[date]])&amp;"/"&amp;YEAR(ТабПозиции[[#This Row],[date]])</f>
        <v>2/2025</v>
      </c>
      <c r="D1811" s="1" t="str">
        <f>IFERROR(VLOOKUP(ТабПозиции[[#This Row],[orderNum]],ТабЗаказы[#Data],MATCH(D$7,ТабЗаказы[#Headers],0),0),"")</f>
        <v>Галина Агабекова(церковь)</v>
      </c>
      <c r="E1811" s="93" t="s">
        <v>2467</v>
      </c>
      <c r="F1811" s="56" t="s">
        <v>3061</v>
      </c>
      <c r="H1811" s="34">
        <v>45708</v>
      </c>
      <c r="I1811" s="26">
        <v>2</v>
      </c>
      <c r="J1811" s="26">
        <v>626</v>
      </c>
      <c r="K1811">
        <f>ТабПозиции[[#This Row],[discountPrice]]*ТабПозиции[[#This Row],[quantity]]</f>
        <v>1252</v>
      </c>
      <c r="L1811" s="26">
        <v>674</v>
      </c>
      <c r="M1811">
        <f t="shared" si="39"/>
        <v>1348</v>
      </c>
      <c r="O181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Row],[orderNum]],ТабПозиции[orderSumm])&gt;1500),ABS(M1811*VLOOKUP(ТабПозиции[[#This Row],[orderNum]],ТабЗаказы[#Data],MATCH("Percent",ТабЗаказы[#Headers],0),0))/100,200/COUNTIF(ТабПозиции[orderNum],ТабПозиции[[#This Row],[orderNum]])),0),"")</f>
        <v>202</v>
      </c>
      <c r="P1811">
        <f>IF(OR(ТабПозиции[[#This Row],[item]]="По штрихкоду",ТабПозиции[[#This Row],[item]]="Посылка"),ТабПозиции[[#This Row],[deliverySumm]]+ТабПозиции[[#This Row],[deliveryPost]],SUM(M1811:O1811))</f>
        <v>1550</v>
      </c>
      <c r="Q1811" s="57">
        <v>1550</v>
      </c>
      <c r="R1811" s="62">
        <f>ТабПозиции[[#This Row],[totalSumm]]-ТабПозиции[[#This Row],[payment]]</f>
        <v>0</v>
      </c>
      <c r="S1811" s="34" t="s">
        <v>955</v>
      </c>
      <c r="T1811" s="56" t="s">
        <v>3061</v>
      </c>
      <c r="U1811" s="56" t="str">
        <f>IF(AND(ТабПозиции[[#This Row],[Остаток]]=0,ТабПозиции[[#This Row],[ord]]="true"),"true","false")</f>
        <v>true</v>
      </c>
      <c r="V1811" s="56" t="str">
        <f>IF(AND(ТабПозиции[[#This Row],[Остаток]]=0,ТабПозиции[[#This Row],[ord]]="true"),"true","false")</f>
        <v>true</v>
      </c>
    </row>
    <row r="1812" spans="1:22" x14ac:dyDescent="0.25">
      <c r="A1812" s="26">
        <v>476</v>
      </c>
      <c r="B1812" s="1">
        <f>IFERROR(VLOOKUP(ТабПозиции[[#This Row],[orderNum]],ТабЗаказы[#Data],MATCH(B$7,ТабЗаказы[#Headers],0),0),"")</f>
        <v>45705</v>
      </c>
      <c r="C1812" t="str">
        <f>MONTH(ТабПозиции[[#This Row],[date]])&amp;"/"&amp;YEAR(ТабПозиции[[#This Row],[date]])</f>
        <v>2/2025</v>
      </c>
      <c r="D1812" s="1" t="str">
        <f>IFERROR(VLOOKUP(ТабПозиции[[#This Row],[orderNum]],ТабЗаказы[#Data],MATCH(D$7,ТабЗаказы[#Headers],0),0),"")</f>
        <v>Галина Агабекова(церковь)</v>
      </c>
      <c r="E1812" s="93" t="s">
        <v>2468</v>
      </c>
      <c r="F1812" s="56" t="s">
        <v>3061</v>
      </c>
      <c r="H1812" s="34">
        <v>45713</v>
      </c>
      <c r="I1812" s="26">
        <v>1</v>
      </c>
      <c r="J1812" s="26">
        <v>533</v>
      </c>
      <c r="K1812">
        <f>ТабПозиции[[#This Row],[discountPrice]]*ТабПозиции[[#This Row],[quantity]]</f>
        <v>533</v>
      </c>
      <c r="L1812" s="26">
        <v>574</v>
      </c>
      <c r="M1812">
        <f t="shared" si="39"/>
        <v>574</v>
      </c>
      <c r="O181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Row],[orderNum]],ТабПозиции[orderSumm])&gt;1500),ABS(M1812*VLOOKUP(ТабПозиции[[#This Row],[orderNum]],ТабЗаказы[#Data],MATCH("Percent",ТабЗаказы[#Headers],0),0))/100,200/COUNTIF(ТабПозиции[orderNum],ТабПозиции[[#This Row],[orderNum]])),0),"")</f>
        <v>86</v>
      </c>
      <c r="P1812">
        <f>IF(OR(ТабПозиции[[#This Row],[item]]="По штрихкоду",ТабПозиции[[#This Row],[item]]="Посылка"),ТабПозиции[[#This Row],[deliverySumm]]+ТабПозиции[[#This Row],[deliveryPost]],SUM(M1812:O1812))</f>
        <v>660</v>
      </c>
      <c r="Q1812" s="57">
        <v>660</v>
      </c>
      <c r="R1812" s="62">
        <f>ТабПозиции[[#This Row],[totalSumm]]-ТабПозиции[[#This Row],[payment]]</f>
        <v>0</v>
      </c>
      <c r="S1812" s="34" t="s">
        <v>955</v>
      </c>
      <c r="T1812" s="56" t="s">
        <v>3061</v>
      </c>
      <c r="U1812" s="56" t="str">
        <f>IF(AND(ТабПозиции[[#This Row],[Остаток]]=0,ТабПозиции[[#This Row],[ord]]="true"),"true","false")</f>
        <v>true</v>
      </c>
      <c r="V1812" s="56" t="s">
        <v>3061</v>
      </c>
    </row>
    <row r="1813" spans="1:22" x14ac:dyDescent="0.25">
      <c r="A1813" s="26">
        <v>476</v>
      </c>
      <c r="B1813" s="1">
        <f>IFERROR(VLOOKUP(ТабПозиции[[#This Row],[orderNum]],ТабЗаказы[#Data],MATCH(B$7,ТабЗаказы[#Headers],0),0),"")</f>
        <v>45705</v>
      </c>
      <c r="C1813" t="str">
        <f>MONTH(ТабПозиции[[#This Row],[date]])&amp;"/"&amp;YEAR(ТабПозиции[[#This Row],[date]])</f>
        <v>2/2025</v>
      </c>
      <c r="D1813" s="1" t="str">
        <f>IFERROR(VLOOKUP(ТабПозиции[[#This Row],[orderNum]],ТабЗаказы[#Data],MATCH(D$7,ТабЗаказы[#Headers],0),0),"")</f>
        <v>Галина Агабекова(церковь)</v>
      </c>
      <c r="E1813" s="93" t="s">
        <v>2469</v>
      </c>
      <c r="F1813" s="56" t="s">
        <v>3061</v>
      </c>
      <c r="H1813" s="34">
        <v>45709</v>
      </c>
      <c r="I1813" s="26">
        <v>1</v>
      </c>
      <c r="J1813" s="26">
        <v>580</v>
      </c>
      <c r="K1813">
        <f>ТабПозиции[[#This Row],[discountPrice]]*ТабПозиции[[#This Row],[quantity]]</f>
        <v>580</v>
      </c>
      <c r="L1813" s="26">
        <v>625</v>
      </c>
      <c r="M1813">
        <f t="shared" si="39"/>
        <v>625</v>
      </c>
      <c r="O181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Row],[orderNum]],ТабПозиции[orderSumm])&gt;1500),ABS(M1813*VLOOKUP(ТабПозиции[[#This Row],[orderNum]],ТабЗаказы[#Data],MATCH("Percent",ТабЗаказы[#Headers],0),0))/100,200/COUNTIF(ТабПозиции[orderNum],ТабПозиции[[#This Row],[orderNum]])),0),"")</f>
        <v>94</v>
      </c>
      <c r="P1813">
        <f>IF(OR(ТабПозиции[[#This Row],[item]]="По штрихкоду",ТабПозиции[[#This Row],[item]]="Посылка"),ТабПозиции[[#This Row],[deliverySumm]]+ТабПозиции[[#This Row],[deliveryPost]],SUM(M1813:O1813))</f>
        <v>719</v>
      </c>
      <c r="Q1813" s="57">
        <v>719</v>
      </c>
      <c r="R1813" s="62">
        <f>ТабПозиции[[#This Row],[totalSumm]]-ТабПозиции[[#This Row],[payment]]</f>
        <v>0</v>
      </c>
      <c r="S1813" s="34" t="s">
        <v>955</v>
      </c>
      <c r="T1813" s="56" t="s">
        <v>3061</v>
      </c>
      <c r="U1813" s="56" t="str">
        <f>IF(AND(ТабПозиции[[#This Row],[Остаток]]=0,ТабПозиции[[#This Row],[ord]]="true"),"true","false")</f>
        <v>true</v>
      </c>
      <c r="V1813" s="56" t="str">
        <f>IF(AND(ТабПозиции[[#This Row],[Остаток]]=0,ТабПозиции[[#This Row],[ord]]="true"),"true","false")</f>
        <v>true</v>
      </c>
    </row>
    <row r="1814" spans="1:22" x14ac:dyDescent="0.25">
      <c r="A1814" s="26">
        <v>477</v>
      </c>
      <c r="B1814" s="1">
        <f>IFERROR(VLOOKUP(ТабПозиции[[#This Row],[orderNum]],ТабЗаказы[#Data],MATCH(B$7,ТабЗаказы[#Headers],0),0),"")</f>
        <v>45706</v>
      </c>
      <c r="C1814" t="str">
        <f>MONTH(ТабПозиции[[#This Row],[date]])&amp;"/"&amp;YEAR(ТабПозиции[[#This Row],[date]])</f>
        <v>2/2025</v>
      </c>
      <c r="D1814" s="1" t="str">
        <f>IFERROR(VLOOKUP(ТабПозиции[[#This Row],[orderNum]],ТабЗаказы[#Data],MATCH(D$7,ТабЗаказы[#Headers],0),0),"")</f>
        <v>Юлина Мама</v>
      </c>
      <c r="E1814" s="93" t="s">
        <v>2473</v>
      </c>
      <c r="F1814" s="56" t="s">
        <v>3061</v>
      </c>
      <c r="H1814" s="34">
        <v>45708</v>
      </c>
      <c r="I1814" s="26">
        <v>0</v>
      </c>
      <c r="J1814" s="26">
        <v>847</v>
      </c>
      <c r="K1814">
        <f>ТабПозиции[[#This Row],[discountPrice]]*ТабПозиции[[#This Row],[quantity]]</f>
        <v>0</v>
      </c>
      <c r="L1814" s="26">
        <v>892</v>
      </c>
      <c r="M1814">
        <f t="shared" si="39"/>
        <v>0</v>
      </c>
      <c r="O181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Row],[orderNum]],ТабПозиции[orderSumm])&gt;1500),ABS(M1814*VLOOKUP(ТабПозиции[[#This Row],[orderNum]],ТабЗаказы[#Data],MATCH("Percent",ТабЗаказы[#Headers],0),0))/100,200/COUNTIF(ТабПозиции[orderNum],ТабПозиции[[#This Row],[orderNum]])),0),"")</f>
        <v>0</v>
      </c>
      <c r="P1814">
        <f>IF(OR(ТабПозиции[[#This Row],[item]]="По штрихкоду",ТабПозиции[[#This Row],[item]]="Посылка"),ТабПозиции[[#This Row],[deliverySumm]]+ТабПозиции[[#This Row],[deliveryPost]],SUM(M1814:O1814))</f>
        <v>0</v>
      </c>
      <c r="R1814" s="62">
        <f>ТабПозиции[[#This Row],[totalSumm]]-ТабПозиции[[#This Row],[payment]]</f>
        <v>0</v>
      </c>
      <c r="S1814" s="34" t="s">
        <v>965</v>
      </c>
      <c r="T1814" s="56" t="s">
        <v>3061</v>
      </c>
      <c r="U1814" s="56" t="str">
        <f>IF(AND(ТабПозиции[[#This Row],[Остаток]]=0,ТабПозиции[[#This Row],[ord]]="true"),"true","false")</f>
        <v>true</v>
      </c>
      <c r="V1814" s="56" t="s">
        <v>3061</v>
      </c>
    </row>
    <row r="1815" spans="1:22" x14ac:dyDescent="0.25">
      <c r="A1815" s="26">
        <v>477</v>
      </c>
      <c r="B1815" s="1">
        <f>IFERROR(VLOOKUP(ТабПозиции[[#This Row],[orderNum]],ТабЗаказы[#Data],MATCH(B$7,ТабЗаказы[#Headers],0),0),"")</f>
        <v>45706</v>
      </c>
      <c r="C1815" t="str">
        <f>MONTH(ТабПозиции[[#This Row],[date]])&amp;"/"&amp;YEAR(ТабПозиции[[#This Row],[date]])</f>
        <v>2/2025</v>
      </c>
      <c r="D1815" s="1" t="str">
        <f>IFERROR(VLOOKUP(ТабПозиции[[#This Row],[orderNum]],ТабЗаказы[#Data],MATCH(D$7,ТабЗаказы[#Headers],0),0),"")</f>
        <v>Юлина Мама</v>
      </c>
      <c r="E1815" s="93" t="s">
        <v>1749</v>
      </c>
      <c r="F1815" s="56" t="s">
        <v>3061</v>
      </c>
      <c r="H1815" s="34">
        <v>45708</v>
      </c>
      <c r="I1815" s="26">
        <v>1</v>
      </c>
      <c r="J1815" s="26">
        <v>504</v>
      </c>
      <c r="K1815">
        <f>ТабПозиции[[#This Row],[discountPrice]]*ТабПозиции[[#This Row],[quantity]]</f>
        <v>504</v>
      </c>
      <c r="L1815" s="26">
        <v>531</v>
      </c>
      <c r="M1815">
        <f t="shared" si="39"/>
        <v>531</v>
      </c>
      <c r="O181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Row],[orderNum]],ТабПозиции[orderSumm])&gt;1500),ABS(M1815*VLOOKUP(ТабПозиции[[#This Row],[orderNum]],ТабЗаказы[#Data],MATCH("Percent",ТабЗаказы[#Headers],0),0))/100,200/COUNTIF(ТабПозиции[orderNum],ТабПозиции[[#This Row],[orderNum]])),0),"")</f>
        <v>80</v>
      </c>
      <c r="P1815">
        <f>IF(OR(ТабПозиции[[#This Row],[item]]="По штрихкоду",ТабПозиции[[#This Row],[item]]="Посылка"),ТабПозиции[[#This Row],[deliverySumm]]+ТабПозиции[[#This Row],[deliveryPost]],SUM(M1815:O1815))</f>
        <v>611</v>
      </c>
      <c r="Q1815" s="57">
        <v>611</v>
      </c>
      <c r="R1815" s="62">
        <f>ТабПозиции[[#This Row],[totalSumm]]-ТабПозиции[[#This Row],[payment]]</f>
        <v>0</v>
      </c>
      <c r="S1815" s="34" t="s">
        <v>965</v>
      </c>
      <c r="T1815" s="56" t="s">
        <v>3061</v>
      </c>
      <c r="U1815" s="56" t="str">
        <f>IF(AND(ТабПозиции[[#This Row],[Остаток]]=0,ТабПозиции[[#This Row],[ord]]="true"),"true","false")</f>
        <v>true</v>
      </c>
      <c r="V1815" s="56" t="str">
        <f>IF(AND(ТабПозиции[[#This Row],[Остаток]]=0,ТабПозиции[[#This Row],[ord]]="true"),"true","false")</f>
        <v>true</v>
      </c>
    </row>
    <row r="1816" spans="1:22" x14ac:dyDescent="0.25">
      <c r="A1816" s="26">
        <v>477</v>
      </c>
      <c r="B1816" s="1">
        <f>IFERROR(VLOOKUP(ТабПозиции[[#This Row],[orderNum]],ТабЗаказы[#Data],MATCH(B$7,ТабЗаказы[#Headers],0),0),"")</f>
        <v>45706</v>
      </c>
      <c r="C1816" t="str">
        <f>MONTH(ТабПозиции[[#This Row],[date]])&amp;"/"&amp;YEAR(ТабПозиции[[#This Row],[date]])</f>
        <v>2/2025</v>
      </c>
      <c r="D1816" s="1" t="str">
        <f>IFERROR(VLOOKUP(ТабПозиции[[#This Row],[orderNum]],ТабЗаказы[#Data],MATCH(D$7,ТабЗаказы[#Headers],0),0),"")</f>
        <v>Юлина Мама</v>
      </c>
      <c r="E1816" s="93" t="s">
        <v>2474</v>
      </c>
      <c r="F1816" s="56" t="s">
        <v>3061</v>
      </c>
      <c r="H1816" s="34">
        <v>45708</v>
      </c>
      <c r="I1816" s="26">
        <v>1</v>
      </c>
      <c r="J1816" s="26">
        <v>374</v>
      </c>
      <c r="K1816">
        <f>ТабПозиции[[#This Row],[discountPrice]]*ТабПозиции[[#This Row],[quantity]]</f>
        <v>374</v>
      </c>
      <c r="L1816" s="26">
        <v>394</v>
      </c>
      <c r="M1816">
        <f t="shared" si="39"/>
        <v>394</v>
      </c>
      <c r="O181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Row],[orderNum]],ТабПозиции[orderSumm])&gt;1500),ABS(M1816*VLOOKUP(ТабПозиции[[#This Row],[orderNum]],ТабЗаказы[#Data],MATCH("Percent",ТабЗаказы[#Headers],0),0))/100,200/COUNTIF(ТабПозиции[orderNum],ТабПозиции[[#This Row],[orderNum]])),0),"")</f>
        <v>59</v>
      </c>
      <c r="P1816">
        <f>IF(OR(ТабПозиции[[#This Row],[item]]="По штрихкоду",ТабПозиции[[#This Row],[item]]="Посылка"),ТабПозиции[[#This Row],[deliverySumm]]+ТабПозиции[[#This Row],[deliveryPost]],SUM(M1816:O1816))</f>
        <v>453</v>
      </c>
      <c r="Q1816" s="57">
        <v>453</v>
      </c>
      <c r="R1816" s="62">
        <f>ТабПозиции[[#This Row],[totalSumm]]-ТабПозиции[[#This Row],[payment]]</f>
        <v>0</v>
      </c>
      <c r="S1816" s="34" t="s">
        <v>965</v>
      </c>
      <c r="T1816" s="56" t="s">
        <v>3061</v>
      </c>
      <c r="U1816" s="56" t="str">
        <f>IF(AND(ТабПозиции[[#This Row],[Остаток]]=0,ТабПозиции[[#This Row],[ord]]="true"),"true","false")</f>
        <v>true</v>
      </c>
      <c r="V1816" s="56" t="str">
        <f>IF(AND(ТабПозиции[[#This Row],[Остаток]]=0,ТабПозиции[[#This Row],[ord]]="true"),"true","false")</f>
        <v>true</v>
      </c>
    </row>
    <row r="1817" spans="1:22" x14ac:dyDescent="0.25">
      <c r="A1817" s="26">
        <v>477</v>
      </c>
      <c r="B1817" s="1">
        <f>IFERROR(VLOOKUP(ТабПозиции[[#This Row],[orderNum]],ТабЗаказы[#Data],MATCH(B$7,ТабЗаказы[#Headers],0),0),"")</f>
        <v>45706</v>
      </c>
      <c r="C1817" t="str">
        <f>MONTH(ТабПозиции[[#This Row],[date]])&amp;"/"&amp;YEAR(ТабПозиции[[#This Row],[date]])</f>
        <v>2/2025</v>
      </c>
      <c r="D1817" s="1" t="str">
        <f>IFERROR(VLOOKUP(ТабПозиции[[#This Row],[orderNum]],ТабЗаказы[#Data],MATCH(D$7,ТабЗаказы[#Headers],0),0),"")</f>
        <v>Юлина Мама</v>
      </c>
      <c r="E1817" s="93" t="s">
        <v>2400</v>
      </c>
      <c r="F1817" s="56" t="s">
        <v>3061</v>
      </c>
      <c r="H1817" s="34">
        <v>45708</v>
      </c>
      <c r="I1817" s="26">
        <v>1</v>
      </c>
      <c r="J1817" s="26">
        <v>340</v>
      </c>
      <c r="K1817">
        <f>ТабПозиции[[#This Row],[discountPrice]]*ТабПозиции[[#This Row],[quantity]]</f>
        <v>340</v>
      </c>
      <c r="L1817" s="26">
        <v>358</v>
      </c>
      <c r="M1817">
        <f t="shared" si="39"/>
        <v>358</v>
      </c>
      <c r="O181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Row],[orderNum]],ТабПозиции[orderSumm])&gt;1500),ABS(M1817*VLOOKUP(ТабПозиции[[#This Row],[orderNum]],ТабЗаказы[#Data],MATCH("Percent",ТабЗаказы[#Headers],0),0))/100,200/COUNTIF(ТабПозиции[orderNum],ТабПозиции[[#This Row],[orderNum]])),0),"")</f>
        <v>54</v>
      </c>
      <c r="P1817">
        <f>IF(OR(ТабПозиции[[#This Row],[item]]="По штрихкоду",ТабПозиции[[#This Row],[item]]="Посылка"),ТабПозиции[[#This Row],[deliverySumm]]+ТабПозиции[[#This Row],[deliveryPost]],SUM(M1817:O1817))</f>
        <v>412</v>
      </c>
      <c r="Q1817" s="57">
        <v>412</v>
      </c>
      <c r="R1817" s="62">
        <f>ТабПозиции[[#This Row],[totalSumm]]-ТабПозиции[[#This Row],[payment]]</f>
        <v>0</v>
      </c>
      <c r="S1817" s="34" t="s">
        <v>965</v>
      </c>
      <c r="T1817" s="56" t="s">
        <v>3061</v>
      </c>
      <c r="U1817" s="56" t="str">
        <f>IF(AND(ТабПозиции[[#This Row],[Остаток]]=0,ТабПозиции[[#This Row],[ord]]="true"),"true","false")</f>
        <v>true</v>
      </c>
      <c r="V1817" s="56" t="str">
        <f>IF(AND(ТабПозиции[[#This Row],[Остаток]]=0,ТабПозиции[[#This Row],[ord]]="true"),"true","false")</f>
        <v>true</v>
      </c>
    </row>
    <row r="1818" spans="1:22" x14ac:dyDescent="0.25">
      <c r="A1818" s="26">
        <v>477</v>
      </c>
      <c r="B1818" s="1">
        <f>IFERROR(VLOOKUP(ТабПозиции[[#This Row],[orderNum]],ТабЗаказы[#Data],MATCH(B$7,ТабЗаказы[#Headers],0),0),"")</f>
        <v>45706</v>
      </c>
      <c r="C1818" t="str">
        <f>MONTH(ТабПозиции[[#This Row],[date]])&amp;"/"&amp;YEAR(ТабПозиции[[#This Row],[date]])</f>
        <v>2/2025</v>
      </c>
      <c r="D1818" s="1" t="str">
        <f>IFERROR(VLOOKUP(ТабПозиции[[#This Row],[orderNum]],ТабЗаказы[#Data],MATCH(D$7,ТабЗаказы[#Headers],0),0),"")</f>
        <v>Юлина Мама</v>
      </c>
      <c r="E1818" s="93" t="s">
        <v>2475</v>
      </c>
      <c r="F1818" s="56" t="s">
        <v>3061</v>
      </c>
      <c r="H1818" s="34">
        <v>45710</v>
      </c>
      <c r="I1818" s="26">
        <v>1</v>
      </c>
      <c r="J1818" s="26">
        <v>120</v>
      </c>
      <c r="K1818">
        <f>ТабПозиции[[#This Row],[discountPrice]]*ТабПозиции[[#This Row],[quantity]]</f>
        <v>120</v>
      </c>
      <c r="L1818" s="26">
        <v>127</v>
      </c>
      <c r="M1818">
        <f t="shared" si="39"/>
        <v>127</v>
      </c>
      <c r="O181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Row],[orderNum]],ТабПозиции[orderSumm])&gt;1500),ABS(M1818*VLOOKUP(ТабПозиции[[#This Row],[orderNum]],ТабЗаказы[#Data],MATCH("Percent",ТабЗаказы[#Headers],0),0))/100,200/COUNTIF(ТабПозиции[orderNum],ТабПозиции[[#This Row],[orderNum]])),0),"")</f>
        <v>19</v>
      </c>
      <c r="P1818">
        <f>IF(OR(ТабПозиции[[#This Row],[item]]="По штрихкоду",ТабПозиции[[#This Row],[item]]="Посылка"),ТабПозиции[[#This Row],[deliverySumm]]+ТабПозиции[[#This Row],[deliveryPost]],SUM(M1818:O1818))</f>
        <v>146</v>
      </c>
      <c r="Q1818" s="57">
        <v>146</v>
      </c>
      <c r="R1818" s="62">
        <f>ТабПозиции[[#This Row],[totalSumm]]-ТабПозиции[[#This Row],[payment]]</f>
        <v>0</v>
      </c>
      <c r="S1818" s="34" t="s">
        <v>965</v>
      </c>
      <c r="T1818" s="56" t="s">
        <v>3061</v>
      </c>
      <c r="U1818" s="56" t="str">
        <f>IF(AND(ТабПозиции[[#This Row],[Остаток]]=0,ТабПозиции[[#This Row],[ord]]="true"),"true","false")</f>
        <v>true</v>
      </c>
      <c r="V1818" s="56" t="s">
        <v>3061</v>
      </c>
    </row>
    <row r="1819" spans="1:22" x14ac:dyDescent="0.25">
      <c r="A1819" s="26">
        <v>477</v>
      </c>
      <c r="B1819" s="1">
        <f>IFERROR(VLOOKUP(ТабПозиции[[#This Row],[orderNum]],ТабЗаказы[#Data],MATCH(B$7,ТабЗаказы[#Headers],0),0),"")</f>
        <v>45706</v>
      </c>
      <c r="C1819" t="str">
        <f>MONTH(ТабПозиции[[#This Row],[date]])&amp;"/"&amp;YEAR(ТабПозиции[[#This Row],[date]])</f>
        <v>2/2025</v>
      </c>
      <c r="D1819" s="1" t="str">
        <f>IFERROR(VLOOKUP(ТабПозиции[[#This Row],[orderNum]],ТабЗаказы[#Data],MATCH(D$7,ТабЗаказы[#Headers],0),0),"")</f>
        <v>Юлина Мама</v>
      </c>
      <c r="E1819" s="93" t="s">
        <v>2476</v>
      </c>
      <c r="F1819" s="56" t="s">
        <v>3061</v>
      </c>
      <c r="H1819" s="34">
        <v>45708</v>
      </c>
      <c r="I1819" s="26">
        <v>1</v>
      </c>
      <c r="J1819" s="26">
        <v>286</v>
      </c>
      <c r="K1819">
        <f>ТабПозиции[[#This Row],[discountPrice]]*ТабПозиции[[#This Row],[quantity]]</f>
        <v>286</v>
      </c>
      <c r="L1819" s="26">
        <v>302</v>
      </c>
      <c r="M1819">
        <f t="shared" si="39"/>
        <v>302</v>
      </c>
      <c r="O181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Row],[orderNum]],ТабПозиции[orderSumm])&gt;1500),ABS(M1819*VLOOKUP(ТабПозиции[[#This Row],[orderNum]],ТабЗаказы[#Data],MATCH("Percent",ТабЗаказы[#Headers],0),0))/100,200/COUNTIF(ТабПозиции[orderNum],ТабПозиции[[#This Row],[orderNum]])),0),"")</f>
        <v>45</v>
      </c>
      <c r="P1819">
        <f>IF(OR(ТабПозиции[[#This Row],[item]]="По штрихкоду",ТабПозиции[[#This Row],[item]]="Посылка"),ТабПозиции[[#This Row],[deliverySumm]]+ТабПозиции[[#This Row],[deliveryPost]],SUM(M1819:O1819))</f>
        <v>347</v>
      </c>
      <c r="Q1819" s="57">
        <v>347</v>
      </c>
      <c r="R1819" s="62">
        <f>ТабПозиции[[#This Row],[totalSumm]]-ТабПозиции[[#This Row],[payment]]</f>
        <v>0</v>
      </c>
      <c r="S1819" s="34" t="s">
        <v>965</v>
      </c>
      <c r="T1819" s="56" t="s">
        <v>3061</v>
      </c>
      <c r="U1819" s="56" t="str">
        <f>IF(AND(ТабПозиции[[#This Row],[Остаток]]=0,ТабПозиции[[#This Row],[ord]]="true"),"true","false")</f>
        <v>true</v>
      </c>
      <c r="V1819" s="56" t="str">
        <f>IF(AND(ТабПозиции[[#This Row],[Остаток]]=0,ТабПозиции[[#This Row],[ord]]="true"),"true","false")</f>
        <v>true</v>
      </c>
    </row>
    <row r="1820" spans="1:22" x14ac:dyDescent="0.25">
      <c r="A1820" s="26">
        <v>478</v>
      </c>
      <c r="B1820" s="1">
        <f>IFERROR(VLOOKUP(ТабПозиции[[#This Row],[orderNum]],ТабЗаказы[#Data],MATCH(B$7,ТабЗаказы[#Headers],0),0),"")</f>
        <v>45706</v>
      </c>
      <c r="C1820" t="str">
        <f>MONTH(ТабПозиции[[#This Row],[date]])&amp;"/"&amp;YEAR(ТабПозиции[[#This Row],[date]])</f>
        <v>2/2025</v>
      </c>
      <c r="D1820" s="1" t="str">
        <f>IFERROR(VLOOKUP(ТабПозиции[[#This Row],[orderNum]],ТабЗаказы[#Data],MATCH(D$7,ТабЗаказы[#Headers],0),0),"")</f>
        <v>Юля Ларисына</v>
      </c>
      <c r="E1820" s="93" t="s">
        <v>1688</v>
      </c>
      <c r="F1820" s="56" t="s">
        <v>3061</v>
      </c>
      <c r="H1820" s="34">
        <v>45708</v>
      </c>
      <c r="I1820" s="26">
        <v>1</v>
      </c>
      <c r="J1820" s="26">
        <v>155</v>
      </c>
      <c r="K1820">
        <f>ТабПозиции[[#This Row],[discountPrice]]*ТабПозиции[[#This Row],[quantity]]</f>
        <v>155</v>
      </c>
      <c r="L1820" s="26">
        <v>164</v>
      </c>
      <c r="M1820">
        <f t="shared" si="39"/>
        <v>164</v>
      </c>
      <c r="O182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Row],[orderNum]],ТабПозиции[orderSumm])&gt;1500),ABS(M1820*VLOOKUP(ТабПозиции[[#This Row],[orderNum]],ТабЗаказы[#Data],MATCH("Percent",ТабЗаказы[#Headers],0),0))/100,200/COUNTIF(ТабПозиции[orderNum],ТабПозиции[[#This Row],[orderNum]])),0),"")</f>
        <v>25</v>
      </c>
      <c r="P1820">
        <f>IF(OR(ТабПозиции[[#This Row],[item]]="По штрихкоду",ТабПозиции[[#This Row],[item]]="Посылка"),ТабПозиции[[#This Row],[deliverySumm]]+ТабПозиции[[#This Row],[deliveryPost]],SUM(M1820:O1820))</f>
        <v>189</v>
      </c>
      <c r="Q1820" s="57">
        <v>189</v>
      </c>
      <c r="R1820" s="62">
        <f>ТабПозиции[[#This Row],[totalSumm]]-ТабПозиции[[#This Row],[payment]]</f>
        <v>0</v>
      </c>
      <c r="S1820" s="34" t="s">
        <v>965</v>
      </c>
      <c r="T1820" s="56" t="s">
        <v>3061</v>
      </c>
      <c r="U1820" s="56" t="str">
        <f>IF(AND(ТабПозиции[[#This Row],[Остаток]]=0,ТабПозиции[[#This Row],[ord]]="true"),"true","false")</f>
        <v>true</v>
      </c>
      <c r="V1820" s="56" t="str">
        <f>IF(AND(ТабПозиции[[#This Row],[Остаток]]=0,ТабПозиции[[#This Row],[ord]]="true"),"true","false")</f>
        <v>true</v>
      </c>
    </row>
    <row r="1821" spans="1:22" x14ac:dyDescent="0.25">
      <c r="A1821" s="26">
        <v>478</v>
      </c>
      <c r="B1821" s="1">
        <f>IFERROR(VLOOKUP(ТабПозиции[[#This Row],[orderNum]],ТабЗаказы[#Data],MATCH(B$7,ТабЗаказы[#Headers],0),0),"")</f>
        <v>45706</v>
      </c>
      <c r="C1821" t="str">
        <f>MONTH(ТабПозиции[[#This Row],[date]])&amp;"/"&amp;YEAR(ТабПозиции[[#This Row],[date]])</f>
        <v>2/2025</v>
      </c>
      <c r="D1821" s="1" t="str">
        <f>IFERROR(VLOOKUP(ТабПозиции[[#This Row],[orderNum]],ТабЗаказы[#Data],MATCH(D$7,ТабЗаказы[#Headers],0),0),"")</f>
        <v>Юля Ларисына</v>
      </c>
      <c r="E1821" s="93" t="s">
        <v>1987</v>
      </c>
      <c r="F1821" s="56" t="s">
        <v>3061</v>
      </c>
      <c r="H1821" s="34">
        <v>45708</v>
      </c>
      <c r="I1821" s="26">
        <v>1</v>
      </c>
      <c r="J1821" s="26">
        <v>333</v>
      </c>
      <c r="K1821">
        <f>ТабПозиции[[#This Row],[discountPrice]]*ТабПозиции[[#This Row],[quantity]]</f>
        <v>333</v>
      </c>
      <c r="L1821" s="26">
        <v>351</v>
      </c>
      <c r="M1821">
        <f t="shared" si="39"/>
        <v>351</v>
      </c>
      <c r="O182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Row],[orderNum]],ТабПозиции[orderSumm])&gt;1500),ABS(M1821*VLOOKUP(ТабПозиции[[#This Row],[orderNum]],ТабЗаказы[#Data],MATCH("Percent",ТабЗаказы[#Headers],0),0))/100,200/COUNTIF(ТабПозиции[orderNum],ТабПозиции[[#This Row],[orderNum]])),0),"")</f>
        <v>53</v>
      </c>
      <c r="P1821">
        <f>IF(OR(ТабПозиции[[#This Row],[item]]="По штрихкоду",ТабПозиции[[#This Row],[item]]="Посылка"),ТабПозиции[[#This Row],[deliverySumm]]+ТабПозиции[[#This Row],[deliveryPost]],SUM(M1821:O1821))</f>
        <v>404</v>
      </c>
      <c r="Q1821" s="57">
        <v>404</v>
      </c>
      <c r="R1821" s="62">
        <f>ТабПозиции[[#This Row],[totalSumm]]-ТабПозиции[[#This Row],[payment]]</f>
        <v>0</v>
      </c>
      <c r="S1821" s="34" t="s">
        <v>965</v>
      </c>
      <c r="T1821" s="56" t="s">
        <v>3061</v>
      </c>
      <c r="U1821" s="56" t="str">
        <f>IF(AND(ТабПозиции[[#This Row],[Остаток]]=0,ТабПозиции[[#This Row],[ord]]="true"),"true","false")</f>
        <v>true</v>
      </c>
      <c r="V1821" s="56" t="str">
        <f>IF(AND(ТабПозиции[[#This Row],[Остаток]]=0,ТабПозиции[[#This Row],[ord]]="true"),"true","false")</f>
        <v>true</v>
      </c>
    </row>
    <row r="1822" spans="1:22" x14ac:dyDescent="0.25">
      <c r="A1822" s="26">
        <v>478</v>
      </c>
      <c r="B1822" s="1">
        <f>IFERROR(VLOOKUP(ТабПозиции[[#This Row],[orderNum]],ТабЗаказы[#Data],MATCH(B$7,ТабЗаказы[#Headers],0),0),"")</f>
        <v>45706</v>
      </c>
      <c r="C1822" t="str">
        <f>MONTH(ТабПозиции[[#This Row],[date]])&amp;"/"&amp;YEAR(ТабПозиции[[#This Row],[date]])</f>
        <v>2/2025</v>
      </c>
      <c r="D1822" s="1" t="str">
        <f>IFERROR(VLOOKUP(ТабПозиции[[#This Row],[orderNum]],ТабЗаказы[#Data],MATCH(D$7,ТабЗаказы[#Headers],0),0),"")</f>
        <v>Юля Ларисына</v>
      </c>
      <c r="E1822" s="93" t="s">
        <v>2411</v>
      </c>
      <c r="F1822" s="56" t="s">
        <v>3061</v>
      </c>
      <c r="H1822" s="34">
        <v>45708</v>
      </c>
      <c r="I1822" s="26">
        <v>1</v>
      </c>
      <c r="J1822" s="26">
        <v>348</v>
      </c>
      <c r="K1822">
        <f>ТабПозиции[[#This Row],[discountPrice]]*ТабПозиции[[#This Row],[quantity]]</f>
        <v>348</v>
      </c>
      <c r="L1822" s="26">
        <v>367</v>
      </c>
      <c r="M1822">
        <f t="shared" si="39"/>
        <v>367</v>
      </c>
      <c r="O182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Row],[orderNum]],ТабПозиции[orderSumm])&gt;1500),ABS(M1822*VLOOKUP(ТабПозиции[[#This Row],[orderNum]],ТабЗаказы[#Data],MATCH("Percent",ТабЗаказы[#Headers],0),0))/100,200/COUNTIF(ТабПозиции[orderNum],ТабПозиции[[#This Row],[orderNum]])),0),"")</f>
        <v>55</v>
      </c>
      <c r="P1822">
        <f>IF(OR(ТабПозиции[[#This Row],[item]]="По штрихкоду",ТабПозиции[[#This Row],[item]]="Посылка"),ТабПозиции[[#This Row],[deliverySumm]]+ТабПозиции[[#This Row],[deliveryPost]],SUM(M1822:O1822))</f>
        <v>422</v>
      </c>
      <c r="Q1822" s="57">
        <v>422</v>
      </c>
      <c r="R1822" s="62">
        <f>ТабПозиции[[#This Row],[totalSumm]]-ТабПозиции[[#This Row],[payment]]</f>
        <v>0</v>
      </c>
      <c r="S1822" s="34" t="s">
        <v>965</v>
      </c>
      <c r="T1822" s="56" t="s">
        <v>3061</v>
      </c>
      <c r="U1822" s="56" t="str">
        <f>IF(AND(ТабПозиции[[#This Row],[Остаток]]=0,ТабПозиции[[#This Row],[ord]]="true"),"true","false")</f>
        <v>true</v>
      </c>
      <c r="V1822" s="56" t="str">
        <f>IF(AND(ТабПозиции[[#This Row],[Остаток]]=0,ТабПозиции[[#This Row],[ord]]="true"),"true","false")</f>
        <v>true</v>
      </c>
    </row>
    <row r="1823" spans="1:22" x14ac:dyDescent="0.25">
      <c r="A1823" s="26">
        <v>478</v>
      </c>
      <c r="B1823" s="1">
        <f>IFERROR(VLOOKUP(ТабПозиции[[#This Row],[orderNum]],ТабЗаказы[#Data],MATCH(B$7,ТабЗаказы[#Headers],0),0),"")</f>
        <v>45706</v>
      </c>
      <c r="C1823" t="str">
        <f>MONTH(ТабПозиции[[#This Row],[date]])&amp;"/"&amp;YEAR(ТабПозиции[[#This Row],[date]])</f>
        <v>2/2025</v>
      </c>
      <c r="D1823" s="1" t="str">
        <f>IFERROR(VLOOKUP(ТабПозиции[[#This Row],[orderNum]],ТабЗаказы[#Data],MATCH(D$7,ТабЗаказы[#Headers],0),0),"")</f>
        <v>Юля Ларисына</v>
      </c>
      <c r="E1823" s="93" t="s">
        <v>989</v>
      </c>
      <c r="F1823" s="56" t="s">
        <v>3061</v>
      </c>
      <c r="H1823" s="34">
        <v>45713</v>
      </c>
      <c r="I1823" s="26">
        <v>1</v>
      </c>
      <c r="J1823" s="26">
        <v>182</v>
      </c>
      <c r="K1823">
        <f>ТабПозиции[[#This Row],[discountPrice]]*ТабПозиции[[#This Row],[quantity]]</f>
        <v>182</v>
      </c>
      <c r="L1823" s="26">
        <v>192</v>
      </c>
      <c r="M1823">
        <f t="shared" si="39"/>
        <v>192</v>
      </c>
      <c r="O182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Row],[orderNum]],ТабПозиции[orderSumm])&gt;1500),ABS(M1823*VLOOKUP(ТабПозиции[[#This Row],[orderNum]],ТабЗаказы[#Data],MATCH("Percent",ТабЗаказы[#Headers],0),0))/100,200/COUNTIF(ТабПозиции[orderNum],ТабПозиции[[#This Row],[orderNum]])),0),"")</f>
        <v>29</v>
      </c>
      <c r="P1823">
        <f>IF(OR(ТабПозиции[[#This Row],[item]]="По штрихкоду",ТабПозиции[[#This Row],[item]]="Посылка"),ТабПозиции[[#This Row],[deliverySumm]]+ТабПозиции[[#This Row],[deliveryPost]],SUM(M1823:O1823))</f>
        <v>221</v>
      </c>
      <c r="Q1823" s="57">
        <v>221</v>
      </c>
      <c r="R1823" s="62">
        <f>ТабПозиции[[#This Row],[totalSumm]]-ТабПозиции[[#This Row],[payment]]</f>
        <v>0</v>
      </c>
      <c r="S1823" s="34" t="s">
        <v>965</v>
      </c>
      <c r="T1823" s="56" t="s">
        <v>3061</v>
      </c>
      <c r="U1823" s="56" t="str">
        <f>IF(AND(ТабПозиции[[#This Row],[Остаток]]=0,ТабПозиции[[#This Row],[ord]]="true"),"true","false")</f>
        <v>true</v>
      </c>
      <c r="V1823" s="56" t="s">
        <v>3061</v>
      </c>
    </row>
    <row r="1824" spans="1:22" x14ac:dyDescent="0.25">
      <c r="A1824" s="26">
        <v>478</v>
      </c>
      <c r="B1824" s="1">
        <f>IFERROR(VLOOKUP(ТабПозиции[[#This Row],[orderNum]],ТабЗаказы[#Data],MATCH(B$7,ТабЗаказы[#Headers],0),0),"")</f>
        <v>45706</v>
      </c>
      <c r="C1824" t="str">
        <f>MONTH(ТабПозиции[[#This Row],[date]])&amp;"/"&amp;YEAR(ТабПозиции[[#This Row],[date]])</f>
        <v>2/2025</v>
      </c>
      <c r="D1824" s="1" t="str">
        <f>IFERROR(VLOOKUP(ТабПозиции[[#This Row],[orderNum]],ТабЗаказы[#Data],MATCH(D$7,ТабЗаказы[#Headers],0),0),"")</f>
        <v>Юля Ларисына</v>
      </c>
      <c r="E1824" s="93" t="s">
        <v>1919</v>
      </c>
      <c r="F1824" s="56" t="s">
        <v>3061</v>
      </c>
      <c r="H1824" s="34">
        <v>45708</v>
      </c>
      <c r="I1824" s="26">
        <v>1</v>
      </c>
      <c r="J1824" s="26">
        <v>323</v>
      </c>
      <c r="K1824">
        <f>ТабПозиции[[#This Row],[discountPrice]]*ТабПозиции[[#This Row],[quantity]]</f>
        <v>323</v>
      </c>
      <c r="L1824" s="26">
        <v>340</v>
      </c>
      <c r="M1824">
        <f t="shared" si="39"/>
        <v>340</v>
      </c>
      <c r="O182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Row],[orderNum]],ТабПозиции[orderSumm])&gt;1500),ABS(M1824*VLOOKUP(ТабПозиции[[#This Row],[orderNum]],ТабЗаказы[#Data],MATCH("Percent",ТабЗаказы[#Headers],0),0))/100,200/COUNTIF(ТабПозиции[orderNum],ТабПозиции[[#This Row],[orderNum]])),0),"")</f>
        <v>51</v>
      </c>
      <c r="P1824">
        <f>IF(OR(ТабПозиции[[#This Row],[item]]="По штрихкоду",ТабПозиции[[#This Row],[item]]="Посылка"),ТабПозиции[[#This Row],[deliverySumm]]+ТабПозиции[[#This Row],[deliveryPost]],SUM(M1824:O1824))</f>
        <v>391</v>
      </c>
      <c r="Q1824" s="57">
        <v>391</v>
      </c>
      <c r="R1824" s="62">
        <f>ТабПозиции[[#This Row],[totalSumm]]-ТабПозиции[[#This Row],[payment]]</f>
        <v>0</v>
      </c>
      <c r="S1824" s="34" t="s">
        <v>965</v>
      </c>
      <c r="T1824" s="56" t="s">
        <v>3061</v>
      </c>
      <c r="U1824" s="56" t="str">
        <f>IF(AND(ТабПозиции[[#This Row],[Остаток]]=0,ТабПозиции[[#This Row],[ord]]="true"),"true","false")</f>
        <v>true</v>
      </c>
      <c r="V1824" s="56" t="str">
        <f>IF(AND(ТабПозиции[[#This Row],[Остаток]]=0,ТабПозиции[[#This Row],[ord]]="true"),"true","false")</f>
        <v>true</v>
      </c>
    </row>
    <row r="1825" spans="1:22" x14ac:dyDescent="0.25">
      <c r="A1825" s="26">
        <v>478</v>
      </c>
      <c r="B1825" s="1">
        <f>IFERROR(VLOOKUP(ТабПозиции[[#This Row],[orderNum]],ТабЗаказы[#Data],MATCH(B$7,ТабЗаказы[#Headers],0),0),"")</f>
        <v>45706</v>
      </c>
      <c r="C1825" t="str">
        <f>MONTH(ТабПозиции[[#This Row],[date]])&amp;"/"&amp;YEAR(ТабПозиции[[#This Row],[date]])</f>
        <v>2/2025</v>
      </c>
      <c r="D1825" s="1" t="str">
        <f>IFERROR(VLOOKUP(ТабПозиции[[#This Row],[orderNum]],ТабЗаказы[#Data],MATCH(D$7,ТабЗаказы[#Headers],0),0),"")</f>
        <v>Юля Ларисына</v>
      </c>
      <c r="E1825" s="93" t="s">
        <v>2477</v>
      </c>
      <c r="F1825" s="56" t="s">
        <v>3061</v>
      </c>
      <c r="H1825" s="34">
        <v>45708</v>
      </c>
      <c r="I1825" s="26">
        <v>1</v>
      </c>
      <c r="J1825" s="26">
        <v>332</v>
      </c>
      <c r="K1825">
        <f>ТабПозиции[[#This Row],[discountPrice]]*ТабПозиции[[#This Row],[quantity]]</f>
        <v>332</v>
      </c>
      <c r="L1825" s="26">
        <v>350</v>
      </c>
      <c r="M1825">
        <f t="shared" si="39"/>
        <v>350</v>
      </c>
      <c r="O182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Row],[orderNum]],ТабПозиции[orderSumm])&gt;1500),ABS(M1825*VLOOKUP(ТабПозиции[[#This Row],[orderNum]],ТабЗаказы[#Data],MATCH("Percent",ТабЗаказы[#Headers],0),0))/100,200/COUNTIF(ТабПозиции[orderNum],ТабПозиции[[#This Row],[orderNum]])),0),"")</f>
        <v>53</v>
      </c>
      <c r="P1825">
        <f>IF(OR(ТабПозиции[[#This Row],[item]]="По штрихкоду",ТабПозиции[[#This Row],[item]]="Посылка"),ТабПозиции[[#This Row],[deliverySumm]]+ТабПозиции[[#This Row],[deliveryPost]],SUM(M1825:O1825))</f>
        <v>403</v>
      </c>
      <c r="Q1825" s="57">
        <v>403</v>
      </c>
      <c r="R1825" s="62">
        <f>ТабПозиции[[#This Row],[totalSumm]]-ТабПозиции[[#This Row],[payment]]</f>
        <v>0</v>
      </c>
      <c r="S1825" s="34" t="s">
        <v>965</v>
      </c>
      <c r="T1825" s="56" t="s">
        <v>3061</v>
      </c>
      <c r="U1825" s="56" t="str">
        <f>IF(AND(ТабПозиции[[#This Row],[Остаток]]=0,ТабПозиции[[#This Row],[ord]]="true"),"true","false")</f>
        <v>true</v>
      </c>
      <c r="V1825" s="56" t="str">
        <f>IF(AND(ТабПозиции[[#This Row],[Остаток]]=0,ТабПозиции[[#This Row],[ord]]="true"),"true","false")</f>
        <v>true</v>
      </c>
    </row>
    <row r="1826" spans="1:22" x14ac:dyDescent="0.25">
      <c r="A1826" s="26">
        <v>478</v>
      </c>
      <c r="B1826" s="1">
        <f>IFERROR(VLOOKUP(ТабПозиции[[#This Row],[orderNum]],ТабЗаказы[#Data],MATCH(B$7,ТабЗаказы[#Headers],0),0),"")</f>
        <v>45706</v>
      </c>
      <c r="C1826" t="str">
        <f>MONTH(ТабПозиции[[#This Row],[date]])&amp;"/"&amp;YEAR(ТабПозиции[[#This Row],[date]])</f>
        <v>2/2025</v>
      </c>
      <c r="D1826" s="1" t="str">
        <f>IFERROR(VLOOKUP(ТабПозиции[[#This Row],[orderNum]],ТабЗаказы[#Data],MATCH(D$7,ТабЗаказы[#Headers],0),0),"")</f>
        <v>Юля Ларисына</v>
      </c>
      <c r="E1826" s="93" t="s">
        <v>1403</v>
      </c>
      <c r="F1826" s="56" t="s">
        <v>3061</v>
      </c>
      <c r="H1826" s="34">
        <v>45710</v>
      </c>
      <c r="I1826" s="26">
        <v>1</v>
      </c>
      <c r="J1826" s="26">
        <v>189</v>
      </c>
      <c r="K1826">
        <f>ТабПозиции[[#This Row],[discountPrice]]*ТабПозиции[[#This Row],[quantity]]</f>
        <v>189</v>
      </c>
      <c r="L1826" s="26">
        <v>199</v>
      </c>
      <c r="M1826">
        <f t="shared" si="39"/>
        <v>199</v>
      </c>
      <c r="O182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Row],[orderNum]],ТабПозиции[orderSumm])&gt;1500),ABS(M1826*VLOOKUP(ТабПозиции[[#This Row],[orderNum]],ТабЗаказы[#Data],MATCH("Percent",ТабЗаказы[#Headers],0),0))/100,200/COUNTIF(ТабПозиции[orderNum],ТабПозиции[[#This Row],[orderNum]])),0),"")</f>
        <v>30</v>
      </c>
      <c r="P1826">
        <f>IF(OR(ТабПозиции[[#This Row],[item]]="По штрихкоду",ТабПозиции[[#This Row],[item]]="Посылка"),ТабПозиции[[#This Row],[deliverySumm]]+ТабПозиции[[#This Row],[deliveryPost]],SUM(M1826:O1826))</f>
        <v>229</v>
      </c>
      <c r="Q1826" s="57">
        <v>229</v>
      </c>
      <c r="R1826" s="62">
        <f>ТабПозиции[[#This Row],[totalSumm]]-ТабПозиции[[#This Row],[payment]]</f>
        <v>0</v>
      </c>
      <c r="S1826" s="34" t="s">
        <v>965</v>
      </c>
      <c r="T1826" s="56" t="s">
        <v>3061</v>
      </c>
      <c r="U1826" s="56" t="str">
        <f>IF(AND(ТабПозиции[[#This Row],[Остаток]]=0,ТабПозиции[[#This Row],[ord]]="true"),"true","false")</f>
        <v>true</v>
      </c>
      <c r="V1826" s="56" t="s">
        <v>3061</v>
      </c>
    </row>
    <row r="1827" spans="1:22" x14ac:dyDescent="0.25">
      <c r="A1827" s="26">
        <v>478</v>
      </c>
      <c r="B1827" s="1">
        <f>IFERROR(VLOOKUP(ТабПозиции[[#This Row],[orderNum]],ТабЗаказы[#Data],MATCH(B$7,ТабЗаказы[#Headers],0),0),"")</f>
        <v>45706</v>
      </c>
      <c r="C1827" t="str">
        <f>MONTH(ТабПозиции[[#This Row],[date]])&amp;"/"&amp;YEAR(ТабПозиции[[#This Row],[date]])</f>
        <v>2/2025</v>
      </c>
      <c r="D1827" s="1" t="str">
        <f>IFERROR(VLOOKUP(ТабПозиции[[#This Row],[orderNum]],ТабЗаказы[#Data],MATCH(D$7,ТабЗаказы[#Headers],0),0),"")</f>
        <v>Юля Ларисына</v>
      </c>
      <c r="E1827" s="93" t="s">
        <v>667</v>
      </c>
      <c r="F1827" s="56" t="s">
        <v>3061</v>
      </c>
      <c r="H1827" s="34">
        <v>45708</v>
      </c>
      <c r="I1827" s="26">
        <v>1</v>
      </c>
      <c r="J1827" s="26">
        <v>339</v>
      </c>
      <c r="K1827">
        <f>ТабПозиции[[#This Row],[discountPrice]]*ТабПозиции[[#This Row],[quantity]]</f>
        <v>339</v>
      </c>
      <c r="L1827" s="26">
        <v>357</v>
      </c>
      <c r="M1827">
        <f t="shared" si="39"/>
        <v>357</v>
      </c>
      <c r="O182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Row],[orderNum]],ТабПозиции[orderSumm])&gt;1500),ABS(M1827*VLOOKUP(ТабПозиции[[#This Row],[orderNum]],ТабЗаказы[#Data],MATCH("Percent",ТабЗаказы[#Headers],0),0))/100,200/COUNTIF(ТабПозиции[orderNum],ТабПозиции[[#This Row],[orderNum]])),0),"")</f>
        <v>54</v>
      </c>
      <c r="P1827">
        <f>IF(OR(ТабПозиции[[#This Row],[item]]="По штрихкоду",ТабПозиции[[#This Row],[item]]="Посылка"),ТабПозиции[[#This Row],[deliverySumm]]+ТабПозиции[[#This Row],[deliveryPost]],SUM(M1827:O1827))</f>
        <v>411</v>
      </c>
      <c r="Q1827" s="57">
        <v>411</v>
      </c>
      <c r="R1827" s="62">
        <f>ТабПозиции[[#This Row],[totalSumm]]-ТабПозиции[[#This Row],[payment]]</f>
        <v>0</v>
      </c>
      <c r="S1827" s="34" t="s">
        <v>965</v>
      </c>
      <c r="T1827" s="56" t="s">
        <v>3061</v>
      </c>
      <c r="U1827" s="56" t="str">
        <f>IF(AND(ТабПозиции[[#This Row],[Остаток]]=0,ТабПозиции[[#This Row],[ord]]="true"),"true","false")</f>
        <v>true</v>
      </c>
      <c r="V1827" s="56" t="str">
        <f>IF(AND(ТабПозиции[[#This Row],[Остаток]]=0,ТабПозиции[[#This Row],[ord]]="true"),"true","false")</f>
        <v>true</v>
      </c>
    </row>
    <row r="1828" spans="1:22" x14ac:dyDescent="0.25">
      <c r="A1828" s="26">
        <v>478</v>
      </c>
      <c r="B1828" s="1">
        <f>IFERROR(VLOOKUP(ТабПозиции[[#This Row],[orderNum]],ТабЗаказы[#Data],MATCH(B$7,ТабЗаказы[#Headers],0),0),"")</f>
        <v>45706</v>
      </c>
      <c r="C1828" t="str">
        <f>MONTH(ТабПозиции[[#This Row],[date]])&amp;"/"&amp;YEAR(ТабПозиции[[#This Row],[date]])</f>
        <v>2/2025</v>
      </c>
      <c r="D1828" s="1" t="str">
        <f>IFERROR(VLOOKUP(ТабПозиции[[#This Row],[orderNum]],ТабЗаказы[#Data],MATCH(D$7,ТабЗаказы[#Headers],0),0),"")</f>
        <v>Юля Ларисына</v>
      </c>
      <c r="E1828" s="93" t="s">
        <v>2207</v>
      </c>
      <c r="F1828" s="56" t="s">
        <v>3061</v>
      </c>
      <c r="H1828" s="34">
        <v>45708</v>
      </c>
      <c r="I1828" s="26">
        <v>1</v>
      </c>
      <c r="J1828" s="26">
        <v>432</v>
      </c>
      <c r="K1828">
        <f>ТабПозиции[[#This Row],[discountPrice]]*ТабПозиции[[#This Row],[quantity]]</f>
        <v>432</v>
      </c>
      <c r="L1828" s="26">
        <v>455</v>
      </c>
      <c r="M1828">
        <f t="shared" si="39"/>
        <v>455</v>
      </c>
      <c r="O182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Row],[orderNum]],ТабПозиции[orderSumm])&gt;1500),ABS(M1828*VLOOKUP(ТабПозиции[[#This Row],[orderNum]],ТабЗаказы[#Data],MATCH("Percent",ТабЗаказы[#Headers],0),0))/100,200/COUNTIF(ТабПозиции[orderNum],ТабПозиции[[#This Row],[orderNum]])),0),"")</f>
        <v>68</v>
      </c>
      <c r="P1828">
        <f>IF(OR(ТабПозиции[[#This Row],[item]]="По штрихкоду",ТабПозиции[[#This Row],[item]]="Посылка"),ТабПозиции[[#This Row],[deliverySumm]]+ТабПозиции[[#This Row],[deliveryPost]],SUM(M1828:O1828))</f>
        <v>523</v>
      </c>
      <c r="Q1828" s="57">
        <v>523</v>
      </c>
      <c r="R1828" s="62">
        <f>ТабПозиции[[#This Row],[totalSumm]]-ТабПозиции[[#This Row],[payment]]</f>
        <v>0</v>
      </c>
      <c r="S1828" s="34" t="s">
        <v>965</v>
      </c>
      <c r="T1828" s="56" t="s">
        <v>3061</v>
      </c>
      <c r="U1828" s="56" t="str">
        <f>IF(AND(ТабПозиции[[#This Row],[Остаток]]=0,ТабПозиции[[#This Row],[ord]]="true"),"true","false")</f>
        <v>true</v>
      </c>
      <c r="V1828" s="56" t="str">
        <f>IF(AND(ТабПозиции[[#This Row],[Остаток]]=0,ТабПозиции[[#This Row],[ord]]="true"),"true","false")</f>
        <v>true</v>
      </c>
    </row>
    <row r="1829" spans="1:22" x14ac:dyDescent="0.25">
      <c r="A1829" s="26">
        <v>478</v>
      </c>
      <c r="B1829" s="1">
        <f>IFERROR(VLOOKUP(ТабПозиции[[#This Row],[orderNum]],ТабЗаказы[#Data],MATCH(B$7,ТабЗаказы[#Headers],0),0),"")</f>
        <v>45706</v>
      </c>
      <c r="C1829" t="str">
        <f>MONTH(ТабПозиции[[#This Row],[date]])&amp;"/"&amp;YEAR(ТабПозиции[[#This Row],[date]])</f>
        <v>2/2025</v>
      </c>
      <c r="D1829" s="1" t="str">
        <f>IFERROR(VLOOKUP(ТабПозиции[[#This Row],[orderNum]],ТабЗаказы[#Data],MATCH(D$7,ТабЗаказы[#Headers],0),0),"")</f>
        <v>Юля Ларисына</v>
      </c>
      <c r="E1829" s="93" t="s">
        <v>1567</v>
      </c>
      <c r="F1829" s="56" t="s">
        <v>3061</v>
      </c>
      <c r="H1829" s="34">
        <v>45709</v>
      </c>
      <c r="I1829" s="26">
        <v>0</v>
      </c>
      <c r="J1829" s="26">
        <v>453</v>
      </c>
      <c r="K1829">
        <f>ТабПозиции[[#This Row],[discountPrice]]*ТабПозиции[[#This Row],[quantity]]</f>
        <v>0</v>
      </c>
      <c r="L1829" s="26">
        <v>477</v>
      </c>
      <c r="M1829">
        <f t="shared" si="39"/>
        <v>0</v>
      </c>
      <c r="O182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Row],[orderNum]],ТабПозиции[orderSumm])&gt;1500),ABS(M1829*VLOOKUP(ТабПозиции[[#This Row],[orderNum]],ТабЗаказы[#Data],MATCH("Percent",ТабЗаказы[#Headers],0),0))/100,200/COUNTIF(ТабПозиции[orderNum],ТабПозиции[[#This Row],[orderNum]])),0),"")</f>
        <v>0</v>
      </c>
      <c r="P1829">
        <f>IF(OR(ТабПозиции[[#This Row],[item]]="По штрихкоду",ТабПозиции[[#This Row],[item]]="Посылка"),ТабПозиции[[#This Row],[deliverySumm]]+ТабПозиции[[#This Row],[deliveryPost]],SUM(M1829:O1829))</f>
        <v>0</v>
      </c>
      <c r="R1829" s="62">
        <f>ТабПозиции[[#This Row],[totalSumm]]-ТабПозиции[[#This Row],[payment]]</f>
        <v>0</v>
      </c>
      <c r="S1829" s="34" t="s">
        <v>965</v>
      </c>
      <c r="T1829" s="56" t="s">
        <v>3061</v>
      </c>
      <c r="U1829" s="56" t="str">
        <f>IF(AND(ТабПозиции[[#This Row],[Остаток]]=0,ТабПозиции[[#This Row],[ord]]="true"),"true","false")</f>
        <v>true</v>
      </c>
      <c r="V1829" s="56" t="s">
        <v>3061</v>
      </c>
    </row>
    <row r="1830" spans="1:22" x14ac:dyDescent="0.25">
      <c r="A1830" s="26">
        <v>478</v>
      </c>
      <c r="B1830" s="1">
        <f>IFERROR(VLOOKUP(ТабПозиции[[#This Row],[orderNum]],ТабЗаказы[#Data],MATCH(B$7,ТабЗаказы[#Headers],0),0),"")</f>
        <v>45706</v>
      </c>
      <c r="C1830" t="str">
        <f>MONTH(ТабПозиции[[#This Row],[date]])&amp;"/"&amp;YEAR(ТабПозиции[[#This Row],[date]])</f>
        <v>2/2025</v>
      </c>
      <c r="D1830" s="1" t="str">
        <f>IFERROR(VLOOKUP(ТабПозиции[[#This Row],[orderNum]],ТабЗаказы[#Data],MATCH(D$7,ТабЗаказы[#Headers],0),0),"")</f>
        <v>Юля Ларисына</v>
      </c>
      <c r="E1830" s="93" t="s">
        <v>2478</v>
      </c>
      <c r="F1830" s="56" t="s">
        <v>3061</v>
      </c>
      <c r="H1830" s="34">
        <v>45708</v>
      </c>
      <c r="I1830" s="26">
        <v>1</v>
      </c>
      <c r="J1830" s="26">
        <v>150</v>
      </c>
      <c r="K1830">
        <f>ТабПозиции[[#This Row],[discountPrice]]*ТабПозиции[[#This Row],[quantity]]</f>
        <v>150</v>
      </c>
      <c r="L1830" s="26">
        <v>158</v>
      </c>
      <c r="M1830">
        <f t="shared" si="39"/>
        <v>158</v>
      </c>
      <c r="O183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Row],[orderNum]],ТабПозиции[orderSumm])&gt;1500),ABS(M1830*VLOOKUP(ТабПозиции[[#This Row],[orderNum]],ТабЗаказы[#Data],MATCH("Percent",ТабЗаказы[#Headers],0),0))/100,200/COUNTIF(ТабПозиции[orderNum],ТабПозиции[[#This Row],[orderNum]])),0),"")</f>
        <v>24</v>
      </c>
      <c r="P1830">
        <f>IF(OR(ТабПозиции[[#This Row],[item]]="По штрихкоду",ТабПозиции[[#This Row],[item]]="Посылка"),ТабПозиции[[#This Row],[deliverySumm]]+ТабПозиции[[#This Row],[deliveryPost]],SUM(M1830:O1830))</f>
        <v>182</v>
      </c>
      <c r="Q1830" s="57">
        <v>182</v>
      </c>
      <c r="R1830" s="62">
        <f>ТабПозиции[[#This Row],[totalSumm]]-ТабПозиции[[#This Row],[payment]]</f>
        <v>0</v>
      </c>
      <c r="S1830" s="34" t="s">
        <v>965</v>
      </c>
      <c r="T1830" s="56" t="s">
        <v>3061</v>
      </c>
      <c r="U1830" s="56" t="str">
        <f>IF(AND(ТабПозиции[[#This Row],[Остаток]]=0,ТабПозиции[[#This Row],[ord]]="true"),"true","false")</f>
        <v>true</v>
      </c>
      <c r="V1830" s="56" t="str">
        <f>IF(AND(ТабПозиции[[#This Row],[Остаток]]=0,ТабПозиции[[#This Row],[ord]]="true"),"true","false")</f>
        <v>true</v>
      </c>
    </row>
    <row r="1831" spans="1:22" x14ac:dyDescent="0.25">
      <c r="A1831" s="26">
        <v>478</v>
      </c>
      <c r="B1831" s="1">
        <f>IFERROR(VLOOKUP(ТабПозиции[[#This Row],[orderNum]],ТабЗаказы[#Data],MATCH(B$7,ТабЗаказы[#Headers],0),0),"")</f>
        <v>45706</v>
      </c>
      <c r="C1831" t="str">
        <f>MONTH(ТабПозиции[[#This Row],[date]])&amp;"/"&amp;YEAR(ТабПозиции[[#This Row],[date]])</f>
        <v>2/2025</v>
      </c>
      <c r="D1831" s="1" t="str">
        <f>IFERROR(VLOOKUP(ТабПозиции[[#This Row],[orderNum]],ТабЗаказы[#Data],MATCH(D$7,ТабЗаказы[#Headers],0),0),"")</f>
        <v>Юля Ларисына</v>
      </c>
      <c r="E1831" s="93" t="s">
        <v>1069</v>
      </c>
      <c r="F1831" s="56" t="s">
        <v>3061</v>
      </c>
      <c r="H1831" s="34">
        <v>45711</v>
      </c>
      <c r="I1831" s="26">
        <v>1</v>
      </c>
      <c r="J1831" s="26">
        <v>556</v>
      </c>
      <c r="K1831">
        <f>ТабПозиции[[#This Row],[discountPrice]]*ТабПозиции[[#This Row],[quantity]]</f>
        <v>556</v>
      </c>
      <c r="L1831" s="26">
        <v>586</v>
      </c>
      <c r="M1831">
        <f t="shared" si="39"/>
        <v>586</v>
      </c>
      <c r="O183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Row],[orderNum]],ТабПозиции[orderSumm])&gt;1500),ABS(M1831*VLOOKUP(ТабПозиции[[#This Row],[orderNum]],ТабЗаказы[#Data],MATCH("Percent",ТабЗаказы[#Headers],0),0))/100,200/COUNTIF(ТабПозиции[orderNum],ТабПозиции[[#This Row],[orderNum]])),0),"")</f>
        <v>88</v>
      </c>
      <c r="P1831">
        <f>IF(OR(ТабПозиции[[#This Row],[item]]="По штрихкоду",ТабПозиции[[#This Row],[item]]="Посылка"),ТабПозиции[[#This Row],[deliverySumm]]+ТабПозиции[[#This Row],[deliveryPost]],SUM(M1831:O1831))</f>
        <v>674</v>
      </c>
      <c r="Q1831" s="57">
        <v>674</v>
      </c>
      <c r="R1831" s="62">
        <f>ТабПозиции[[#This Row],[totalSumm]]-ТабПозиции[[#This Row],[payment]]</f>
        <v>0</v>
      </c>
      <c r="S1831" s="34" t="s">
        <v>965</v>
      </c>
      <c r="T1831" s="56" t="s">
        <v>3061</v>
      </c>
      <c r="U1831" s="56" t="str">
        <f>IF(AND(ТабПозиции[[#This Row],[Остаток]]=0,ТабПозиции[[#This Row],[ord]]="true"),"true","false")</f>
        <v>true</v>
      </c>
      <c r="V1831" s="56" t="s">
        <v>3061</v>
      </c>
    </row>
    <row r="1832" spans="1:22" x14ac:dyDescent="0.25">
      <c r="A1832" s="26">
        <v>479</v>
      </c>
      <c r="B1832" s="1">
        <f>IFERROR(VLOOKUP(ТабПозиции[[#This Row],[orderNum]],ТабЗаказы[#Data],MATCH(B$7,ТабЗаказы[#Headers],0),0),"")</f>
        <v>45708</v>
      </c>
      <c r="C1832" t="str">
        <f>MONTH(ТабПозиции[[#This Row],[date]])&amp;"/"&amp;YEAR(ТабПозиции[[#This Row],[date]])</f>
        <v>2/2025</v>
      </c>
      <c r="D1832" s="1" t="str">
        <f>IFERROR(VLOOKUP(ТабПозиции[[#This Row],[orderNum]],ТабЗаказы[#Data],MATCH(D$7,ТабЗаказы[#Headers],0),0),"")</f>
        <v>Максим телевизор</v>
      </c>
      <c r="E1832" s="26" t="s">
        <v>815</v>
      </c>
      <c r="F1832" s="56" t="s">
        <v>3061</v>
      </c>
      <c r="G1832" s="47" t="s">
        <v>2504</v>
      </c>
      <c r="H1832" s="34">
        <v>45719</v>
      </c>
      <c r="I1832" s="26">
        <v>1</v>
      </c>
      <c r="J1832" s="26">
        <v>800</v>
      </c>
      <c r="K1832">
        <f>ТабПозиции[[#This Row],[discountPrice]]*ТабПозиции[[#This Row],[quantity]]</f>
        <v>800</v>
      </c>
      <c r="L1832" s="26">
        <v>800</v>
      </c>
      <c r="M1832">
        <f t="shared" si="39"/>
        <v>800</v>
      </c>
      <c r="O183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Row],[orderNum]],ТабПозиции[orderSumm])&gt;1500),ABS(M1832*VLOOKUP(ТабПозиции[[#This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832">
        <f>IF(OR(ТабПозиции[[#This Row],[item]]="По штрихкоду",ТабПозиции[[#This Row],[item]]="Посылка"),ТабПозиции[[#This Row],[deliverySumm]]+ТабПозиции[[#This Row],[deliveryPost]],SUM(M1832:O1832))</f>
        <v>200</v>
      </c>
      <c r="Q1832" s="57">
        <v>200</v>
      </c>
      <c r="R1832" s="62">
        <f>ТабПозиции[[#This Row],[totalSumm]]-ТабПозиции[[#This Row],[payment]]</f>
        <v>0</v>
      </c>
      <c r="S1832" s="34" t="s">
        <v>1062</v>
      </c>
      <c r="T1832" s="56" t="s">
        <v>3061</v>
      </c>
      <c r="U1832" s="56" t="str">
        <f>IF(AND(ТабПозиции[[#This Row],[Остаток]]=0,ТабПозиции[[#This Row],[ord]]="true"),"true","false")</f>
        <v>true</v>
      </c>
      <c r="V1832" s="56" t="s">
        <v>3061</v>
      </c>
    </row>
    <row r="1833" spans="1:22" x14ac:dyDescent="0.25">
      <c r="A1833" s="26">
        <v>484</v>
      </c>
      <c r="B1833" s="1">
        <f>IFERROR(VLOOKUP(ТабПозиции[[#This Row],[orderNum]],ТабЗаказы[#Data],MATCH(B$7,ТабЗаказы[#Headers],0),0),"")</f>
        <v>45708</v>
      </c>
      <c r="C1833" t="str">
        <f>MONTH(ТабПозиции[[#This Row],[date]])&amp;"/"&amp;YEAR(ТабПозиции[[#This Row],[date]])</f>
        <v>2/2025</v>
      </c>
      <c r="D1833" s="1" t="str">
        <f>IFERROR(VLOOKUP(ТабПозиции[[#This Row],[orderNum]],ТабЗаказы[#Data],MATCH(D$7,ТабЗаказы[#Headers],0),0),"")</f>
        <v>Максим телевизор</v>
      </c>
      <c r="E1833" s="26" t="s">
        <v>815</v>
      </c>
      <c r="F1833" s="56" t="s">
        <v>3061</v>
      </c>
      <c r="G1833" s="47" t="s">
        <v>2498</v>
      </c>
      <c r="H1833" s="34">
        <v>45708</v>
      </c>
      <c r="I1833" s="26">
        <v>1</v>
      </c>
      <c r="J1833" s="26">
        <v>220</v>
      </c>
      <c r="K1833">
        <f>ТабПозиции[[#This Row],[discountPrice]]*ТабПозиции[[#This Row],[quantity]]</f>
        <v>220</v>
      </c>
      <c r="L1833" s="26">
        <v>220</v>
      </c>
      <c r="M1833">
        <f t="shared" si="39"/>
        <v>220</v>
      </c>
      <c r="O183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Row],[orderNum]],ТабПозиции[orderSumm])&gt;1500),ABS(M1833*VLOOKUP(ТабПозиции[[#This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833">
        <f>IF(OR(ТабПозиции[[#This Row],[item]]="По штрихкоду",ТабПозиции[[#This Row],[item]]="Посылка"),ТабПозиции[[#This Row],[deliverySumm]]+ТабПозиции[[#This Row],[deliveryPost]],SUM(M1833:O1833))</f>
        <v>200</v>
      </c>
      <c r="Q1833" s="57">
        <v>200</v>
      </c>
      <c r="R1833" s="62">
        <f>ТабПозиции[[#This Row],[totalSumm]]-ТабПозиции[[#This Row],[payment]]</f>
        <v>0</v>
      </c>
      <c r="S1833" s="34" t="s">
        <v>1000</v>
      </c>
      <c r="T1833" s="56" t="s">
        <v>3061</v>
      </c>
      <c r="U1833" s="56" t="str">
        <f>IF(AND(ТабПозиции[[#This Row],[Остаток]]=0,ТабПозиции[[#This Row],[ord]]="true"),"true","false")</f>
        <v>true</v>
      </c>
      <c r="V1833" s="56" t="s">
        <v>3061</v>
      </c>
    </row>
    <row r="1834" spans="1:22" x14ac:dyDescent="0.25">
      <c r="A1834" s="26">
        <v>485</v>
      </c>
      <c r="B1834" s="1">
        <f>IFERROR(VLOOKUP(ТабПозиции[[#This Row],[orderNum]],ТабЗаказы[#Data],MATCH(B$7,ТабЗаказы[#Headers],0),0),"")</f>
        <v>45708</v>
      </c>
      <c r="C1834" t="str">
        <f>MONTH(ТабПозиции[[#This Row],[date]])&amp;"/"&amp;YEAR(ТабПозиции[[#This Row],[date]])</f>
        <v>2/2025</v>
      </c>
      <c r="D1834" s="1" t="str">
        <f>IFERROR(VLOOKUP(ТабПозиции[[#This Row],[orderNum]],ТабЗаказы[#Data],MATCH(D$7,ТабЗаказы[#Headers],0),0),"")</f>
        <v>Максим телевизор</v>
      </c>
      <c r="E1834" s="26" t="s">
        <v>815</v>
      </c>
      <c r="F1834" s="56" t="s">
        <v>3061</v>
      </c>
      <c r="G1834" s="47" t="s">
        <v>2499</v>
      </c>
      <c r="H1834" s="34">
        <v>45708</v>
      </c>
      <c r="I1834" s="26">
        <v>1</v>
      </c>
      <c r="J1834" s="26">
        <v>3000</v>
      </c>
      <c r="K1834">
        <f>ТабПозиции[[#This Row],[discountPrice]]*ТабПозиции[[#This Row],[quantity]]</f>
        <v>3000</v>
      </c>
      <c r="L1834" s="26">
        <v>3000</v>
      </c>
      <c r="M1834">
        <f t="shared" si="39"/>
        <v>3000</v>
      </c>
      <c r="O183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Row],[orderNum]],ТабПозиции[orderSumm])&gt;1500),ABS(M1834*VLOOKUP(ТабПозиции[[#This Row],[orderNum]],ТабЗаказы[#Data],MATCH("Percent",ТабЗаказы[#Headers],0),0))/100,200/COUNTIF(ТабПозиции[orderNum],ТабПозиции[[#This Row],[orderNum]])),0),"")</f>
        <v>300</v>
      </c>
      <c r="P1834">
        <f>IF(OR(ТабПозиции[[#This Row],[item]]="По штрихкоду",ТабПозиции[[#This Row],[item]]="Посылка"),ТабПозиции[[#This Row],[deliverySumm]]+ТабПозиции[[#This Row],[deliveryPost]],SUM(M1834:O1834))</f>
        <v>300</v>
      </c>
      <c r="Q1834" s="57">
        <v>300</v>
      </c>
      <c r="R1834" s="62">
        <f>ТабПозиции[[#This Row],[totalSumm]]-ТабПозиции[[#This Row],[payment]]</f>
        <v>0</v>
      </c>
      <c r="S1834" s="34" t="s">
        <v>1000</v>
      </c>
      <c r="T1834" s="56" t="s">
        <v>3061</v>
      </c>
      <c r="U1834" s="56" t="str">
        <f>IF(AND(ТабПозиции[[#This Row],[Остаток]]=0,ТабПозиции[[#This Row],[ord]]="true"),"true","false")</f>
        <v>true</v>
      </c>
      <c r="V1834" s="56" t="s">
        <v>3061</v>
      </c>
    </row>
    <row r="1835" spans="1:22" x14ac:dyDescent="0.25">
      <c r="A1835" s="26">
        <v>486</v>
      </c>
      <c r="B1835" s="1">
        <f>IFERROR(VLOOKUP(ТабПозиции[[#This Row],[orderNum]],ТабЗаказы[#Data],MATCH(B$7,ТабЗаказы[#Headers],0),0),"")</f>
        <v>45708</v>
      </c>
      <c r="C1835" t="str">
        <f>MONTH(ТабПозиции[[#This Row],[date]])&amp;"/"&amp;YEAR(ТабПозиции[[#This Row],[date]])</f>
        <v>2/2025</v>
      </c>
      <c r="D1835" s="1" t="str">
        <f>IFERROR(VLOOKUP(ТабПозиции[[#This Row],[orderNum]],ТабЗаказы[#Data],MATCH(D$7,ТабЗаказы[#Headers],0),0),"")</f>
        <v>Максим телевизор</v>
      </c>
      <c r="E1835" s="26" t="s">
        <v>815</v>
      </c>
      <c r="F1835" s="56" t="s">
        <v>3061</v>
      </c>
      <c r="G1835" s="47" t="s">
        <v>2500</v>
      </c>
      <c r="H1835" s="34">
        <v>45710</v>
      </c>
      <c r="I1835" s="26">
        <v>1</v>
      </c>
      <c r="J1835" s="26">
        <v>1075</v>
      </c>
      <c r="K1835">
        <f>ТабПозиции[[#This Row],[discountPrice]]*ТабПозиции[[#This Row],[quantity]]</f>
        <v>1075</v>
      </c>
      <c r="L1835" s="26">
        <v>1075</v>
      </c>
      <c r="M1835">
        <f t="shared" si="37"/>
        <v>1075</v>
      </c>
      <c r="O183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Row],[orderNum]],ТабПозиции[orderSumm])&gt;1500),ABS(M1835*VLOOKUP(ТабПозиции[[#This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835">
        <f>IF(OR(ТабПозиции[[#This Row],[item]]="По штрихкоду",ТабПозиции[[#This Row],[item]]="Посылка"),ТабПозиции[[#This Row],[deliverySumm]]+ТабПозиции[[#This Row],[deliveryPost]],SUM(M1835:O1835))</f>
        <v>200</v>
      </c>
      <c r="Q1835" s="57">
        <v>200</v>
      </c>
      <c r="R1835" s="62">
        <f>ТабПозиции[[#This Row],[totalSumm]]-ТабПозиции[[#This Row],[payment]]</f>
        <v>0</v>
      </c>
      <c r="S1835" s="34" t="s">
        <v>1000</v>
      </c>
      <c r="T1835" s="56" t="s">
        <v>3061</v>
      </c>
      <c r="U1835" s="56" t="str">
        <f>IF(AND(ТабПозиции[[#This Row],[Остаток]]=0,ТабПозиции[[#This Row],[ord]]="true"),"true","false")</f>
        <v>true</v>
      </c>
      <c r="V1835" s="56" t="s">
        <v>3061</v>
      </c>
    </row>
    <row r="1836" spans="1:22" ht="12" customHeight="1" x14ac:dyDescent="0.25">
      <c r="A1836" s="26">
        <v>487</v>
      </c>
      <c r="B1836" s="1">
        <f>IFERROR(VLOOKUP(ТабПозиции[[#This Row],[orderNum]],ТабЗаказы[#Data],MATCH(B$7,ТабЗаказы[#Headers],0),0),"")</f>
        <v>45708</v>
      </c>
      <c r="C1836" t="str">
        <f>MONTH(ТабПозиции[[#This Row],[date]])&amp;"/"&amp;YEAR(ТабПозиции[[#This Row],[date]])</f>
        <v>2/2025</v>
      </c>
      <c r="D1836" s="1" t="str">
        <f>IFERROR(VLOOKUP(ТабПозиции[[#This Row],[orderNum]],ТабЗаказы[#Data],MATCH(D$7,ТабЗаказы[#Headers],0),0),"")</f>
        <v>Максим телевизор</v>
      </c>
      <c r="E1836" s="26" t="s">
        <v>815</v>
      </c>
      <c r="F1836" s="56" t="s">
        <v>3061</v>
      </c>
      <c r="G1836" s="47" t="s">
        <v>2501</v>
      </c>
      <c r="H1836" s="34">
        <v>45711</v>
      </c>
      <c r="I1836" s="26">
        <v>1</v>
      </c>
      <c r="J1836" s="26">
        <v>1075</v>
      </c>
      <c r="K1836">
        <f>ТабПозиции[[#This Row],[discountPrice]]*ТабПозиции[[#This Row],[quantity]]</f>
        <v>1075</v>
      </c>
      <c r="L1836" s="26">
        <v>1075</v>
      </c>
      <c r="M1836">
        <f t="shared" si="37"/>
        <v>1075</v>
      </c>
      <c r="O183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Row],[orderNum]],ТабПозиции[orderSumm])&gt;1500),ABS(M1836*VLOOKUP(ТабПозиции[[#This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836">
        <f>IF(OR(ТабПозиции[[#This Row],[item]]="По штрихкоду",ТабПозиции[[#This Row],[item]]="Посылка"),ТабПозиции[[#This Row],[deliverySumm]]+ТабПозиции[[#This Row],[deliveryPost]],SUM(M1836:O1836))</f>
        <v>200</v>
      </c>
      <c r="Q1836" s="57">
        <v>200</v>
      </c>
      <c r="R1836" s="62">
        <f>ТабПозиции[[#This Row],[totalSumm]]-ТабПозиции[[#This Row],[payment]]</f>
        <v>0</v>
      </c>
      <c r="S1836" s="34" t="s">
        <v>1000</v>
      </c>
      <c r="T1836" s="56" t="s">
        <v>3061</v>
      </c>
      <c r="U1836" s="56" t="str">
        <f>IF(AND(ТабПозиции[[#This Row],[Остаток]]=0,ТабПозиции[[#This Row],[ord]]="true"),"true","false")</f>
        <v>true</v>
      </c>
      <c r="V1836" s="56" t="s">
        <v>3061</v>
      </c>
    </row>
    <row r="1837" spans="1:22" x14ac:dyDescent="0.25">
      <c r="A1837" s="26">
        <v>488</v>
      </c>
      <c r="B1837" s="1">
        <f>IFERROR(VLOOKUP(ТабПозиции[[#This Row],[orderNum]],ТабЗаказы[#Data],MATCH(B$7,ТабЗаказы[#Headers],0),0),"")</f>
        <v>45708</v>
      </c>
      <c r="C1837" t="str">
        <f>MONTH(ТабПозиции[[#This Row],[date]])&amp;"/"&amp;YEAR(ТабПозиции[[#This Row],[date]])</f>
        <v>2/2025</v>
      </c>
      <c r="D1837" s="1" t="str">
        <f>IFERROR(VLOOKUP(ТабПозиции[[#This Row],[orderNum]],ТабЗаказы[#Data],MATCH(D$7,ТабЗаказы[#Headers],0),0),"")</f>
        <v>Максим телевизор</v>
      </c>
      <c r="E1837" s="26" t="s">
        <v>815</v>
      </c>
      <c r="F1837" s="56" t="s">
        <v>3061</v>
      </c>
      <c r="G1837" s="47" t="s">
        <v>2502</v>
      </c>
      <c r="H1837" s="34">
        <v>45711</v>
      </c>
      <c r="I1837" s="26">
        <v>1</v>
      </c>
      <c r="J1837" s="26">
        <v>5000</v>
      </c>
      <c r="K1837">
        <f>ТабПозиции[[#This Row],[discountPrice]]*ТабПозиции[[#This Row],[quantity]]</f>
        <v>5000</v>
      </c>
      <c r="L1837" s="26">
        <v>5000</v>
      </c>
      <c r="M1837">
        <f t="shared" si="37"/>
        <v>5000</v>
      </c>
      <c r="O183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Row],[orderNum]],ТабПозиции[orderSumm])&gt;1500),ABS(M1837*VLOOKUP(ТабПозиции[[#This Row],[orderNum]],ТабЗаказы[#Data],MATCH("Percent",ТабЗаказы[#Headers],0),0))/100,200/COUNTIF(ТабПозиции[orderNum],ТабПозиции[[#This Row],[orderNum]])),0),"")</f>
        <v>500</v>
      </c>
      <c r="P1837">
        <f>IF(OR(ТабПозиции[[#This Row],[item]]="По штрихкоду",ТабПозиции[[#This Row],[item]]="Посылка"),ТабПозиции[[#This Row],[deliverySumm]]+ТабПозиции[[#This Row],[deliveryPost]],SUM(M1837:O1837))</f>
        <v>500</v>
      </c>
      <c r="Q1837" s="57">
        <v>500</v>
      </c>
      <c r="R1837" s="62">
        <f>ТабПозиции[[#This Row],[totalSumm]]-ТабПозиции[[#This Row],[payment]]</f>
        <v>0</v>
      </c>
      <c r="S1837" s="34" t="s">
        <v>1000</v>
      </c>
      <c r="T1837" s="56" t="s">
        <v>3061</v>
      </c>
      <c r="U1837" s="56" t="str">
        <f>IF(AND(ТабПозиции[[#This Row],[Остаток]]=0,ТабПозиции[[#This Row],[ord]]="true"),"true","false")</f>
        <v>true</v>
      </c>
      <c r="V1837" s="56" t="s">
        <v>3061</v>
      </c>
    </row>
    <row r="1838" spans="1:22" x14ac:dyDescent="0.25">
      <c r="A1838" s="26">
        <v>489</v>
      </c>
      <c r="B1838" s="1">
        <f>IFERROR(VLOOKUP(ТабПозиции[[#This Row],[orderNum]],ТабЗаказы[#Data],MATCH(B$7,ТабЗаказы[#Headers],0),0),"")</f>
        <v>45708</v>
      </c>
      <c r="C1838" t="str">
        <f>MONTH(ТабПозиции[[#This Row],[date]])&amp;"/"&amp;YEAR(ТабПозиции[[#This Row],[date]])</f>
        <v>2/2025</v>
      </c>
      <c r="D1838" s="1" t="str">
        <f>IFERROR(VLOOKUP(ТабПозиции[[#This Row],[orderNum]],ТабЗаказы[#Data],MATCH(D$7,ТабЗаказы[#Headers],0),0),"")</f>
        <v>Максим телевизор</v>
      </c>
      <c r="E1838" s="26" t="s">
        <v>815</v>
      </c>
      <c r="F1838" s="56" t="s">
        <v>3061</v>
      </c>
      <c r="G1838" s="47" t="s">
        <v>2503</v>
      </c>
      <c r="H1838" s="34">
        <v>45708</v>
      </c>
      <c r="I1838" s="26">
        <v>1</v>
      </c>
      <c r="J1838" s="26">
        <v>1100</v>
      </c>
      <c r="K1838">
        <f>ТабПозиции[[#This Row],[discountPrice]]*ТабПозиции[[#This Row],[quantity]]</f>
        <v>1100</v>
      </c>
      <c r="L1838" s="26">
        <v>1100</v>
      </c>
      <c r="M1838">
        <f t="shared" si="37"/>
        <v>1100</v>
      </c>
      <c r="O183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Row],[orderNum]],ТабПозиции[orderSumm])&gt;1500),ABS(M1838*VLOOKUP(ТабПозиции[[#This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838">
        <f>IF(OR(ТабПозиции[[#This Row],[item]]="По штрихкоду",ТабПозиции[[#This Row],[item]]="Посылка"),ТабПозиции[[#This Row],[deliverySumm]]+ТабПозиции[[#This Row],[deliveryPost]],SUM(M1838:O1838))</f>
        <v>200</v>
      </c>
      <c r="Q1838" s="57">
        <v>200</v>
      </c>
      <c r="R1838" s="62">
        <f>ТабПозиции[[#This Row],[totalSumm]]-ТабПозиции[[#This Row],[payment]]</f>
        <v>0</v>
      </c>
      <c r="S1838" s="34" t="s">
        <v>1000</v>
      </c>
      <c r="T1838" s="56" t="s">
        <v>3061</v>
      </c>
      <c r="U1838" s="56" t="str">
        <f>IF(AND(ТабПозиции[[#This Row],[Остаток]]=0,ТабПозиции[[#This Row],[ord]]="true"),"true","false")</f>
        <v>true</v>
      </c>
      <c r="V1838" s="56" t="s">
        <v>3061</v>
      </c>
    </row>
    <row r="1839" spans="1:22" x14ac:dyDescent="0.25">
      <c r="A1839" s="26">
        <v>480</v>
      </c>
      <c r="B1839" s="1">
        <f>IFERROR(VLOOKUP(ТабПозиции[[#This Row],[orderNum]],ТабЗаказы[#Data],MATCH(B$7,ТабЗаказы[#Headers],0),0),"")</f>
        <v>45708</v>
      </c>
      <c r="C1839" t="str">
        <f>MONTH(ТабПозиции[[#This Row],[date]])&amp;"/"&amp;YEAR(ТабПозиции[[#This Row],[date]])</f>
        <v>2/2025</v>
      </c>
      <c r="D1839" s="1" t="str">
        <f>IFERROR(VLOOKUP(ТабПозиции[[#This Row],[orderNum]],ТабЗаказы[#Data],MATCH(D$7,ТабЗаказы[#Headers],0),0),"")</f>
        <v>Макс Шаповалов</v>
      </c>
      <c r="E1839" s="93" t="s">
        <v>2508</v>
      </c>
      <c r="F1839" s="56" t="s">
        <v>3061</v>
      </c>
      <c r="H1839" s="34">
        <v>45710</v>
      </c>
      <c r="I1839" s="26">
        <v>1</v>
      </c>
      <c r="J1839" s="26">
        <v>6242</v>
      </c>
      <c r="K1839">
        <f>ТабПозиции[[#This Row],[discountPrice]]*ТабПозиции[[#This Row],[quantity]]</f>
        <v>6242</v>
      </c>
      <c r="L1839" s="26">
        <v>6658</v>
      </c>
      <c r="M1839">
        <f t="shared" si="37"/>
        <v>6658</v>
      </c>
      <c r="O183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Row],[orderNum]],ТабПозиции[orderSumm])&gt;1500),ABS(M1839*VLOOKUP(ТабПозиции[[#This Row],[orderNum]],ТабЗаказы[#Data],MATCH("Percent",ТабЗаказы[#Headers],0),0))/100,200/COUNTIF(ТабПозиции[orderNum],ТабПозиции[[#This Row],[orderNum]])),0),"")</f>
        <v>1332</v>
      </c>
      <c r="P1839">
        <f>IF(OR(ТабПозиции[[#This Row],[item]]="По штрихкоду",ТабПозиции[[#This Row],[item]]="Посылка"),ТабПозиции[[#This Row],[deliverySumm]]+ТабПозиции[[#This Row],[deliveryPost]],SUM(M1839:O1839))</f>
        <v>7990</v>
      </c>
      <c r="Q1839" s="57">
        <v>7990</v>
      </c>
      <c r="R1839" s="62">
        <f>ТабПозиции[[#This Row],[totalSumm]]-ТабПозиции[[#This Row],[payment]]</f>
        <v>0</v>
      </c>
      <c r="S1839" s="34" t="s">
        <v>955</v>
      </c>
      <c r="T1839" s="56" t="s">
        <v>3061</v>
      </c>
      <c r="U1839" s="56" t="str">
        <f>IF(AND(ТабПозиции[[#This Row],[Остаток]]=0,ТабПозиции[[#This Row],[ord]]="true"),"true","false")</f>
        <v>true</v>
      </c>
      <c r="V1839" s="56" t="s">
        <v>3061</v>
      </c>
    </row>
    <row r="1840" spans="1:22" x14ac:dyDescent="0.25">
      <c r="A1840" s="26">
        <v>480</v>
      </c>
      <c r="B1840" s="1">
        <f>IFERROR(VLOOKUP(ТабПозиции[[#This Row],[orderNum]],ТабЗаказы[#Data],MATCH(B$7,ТабЗаказы[#Headers],0),0),"")</f>
        <v>45708</v>
      </c>
      <c r="C1840" t="str">
        <f>MONTH(ТабПозиции[[#This Row],[date]])&amp;"/"&amp;YEAR(ТабПозиции[[#This Row],[date]])</f>
        <v>2/2025</v>
      </c>
      <c r="D1840" s="1" t="str">
        <f>IFERROR(VLOOKUP(ТабПозиции[[#This Row],[orderNum]],ТабЗаказы[#Data],MATCH(D$7,ТабЗаказы[#Headers],0),0),"")</f>
        <v>Макс Шаповалов</v>
      </c>
      <c r="E1840" s="93" t="s">
        <v>2507</v>
      </c>
      <c r="F1840" s="56" t="s">
        <v>3061</v>
      </c>
      <c r="H1840" s="34">
        <v>45710</v>
      </c>
      <c r="I1840" s="26">
        <v>1</v>
      </c>
      <c r="J1840" s="26">
        <v>7295</v>
      </c>
      <c r="K1840">
        <f>ТабПозиции[[#This Row],[discountPrice]]*ТабПозиции[[#This Row],[quantity]]</f>
        <v>7295</v>
      </c>
      <c r="L1840" s="26">
        <v>7679</v>
      </c>
      <c r="M1840">
        <f t="shared" si="37"/>
        <v>7679</v>
      </c>
      <c r="O184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Row],[orderNum]],ТабПозиции[orderSumm])&gt;1500),ABS(M1840*VLOOKUP(ТабПозиции[[#This Row],[orderNum]],ТабЗаказы[#Data],MATCH("Percent",ТабЗаказы[#Headers],0),0))/100,200/COUNTIF(ТабПозиции[orderNum],ТабПозиции[[#This Row],[orderNum]])),0),"")</f>
        <v>1536</v>
      </c>
      <c r="P1840">
        <f>IF(OR(ТабПозиции[[#This Row],[item]]="По штрихкоду",ТабПозиции[[#This Row],[item]]="Посылка"),ТабПозиции[[#This Row],[deliverySumm]]+ТабПозиции[[#This Row],[deliveryPost]],SUM(M1840:O1840))</f>
        <v>9215</v>
      </c>
      <c r="Q1840" s="57">
        <v>9215</v>
      </c>
      <c r="R1840" s="62">
        <f>ТабПозиции[[#This Row],[totalSumm]]-ТабПозиции[[#This Row],[payment]]</f>
        <v>0</v>
      </c>
      <c r="S1840" s="34" t="s">
        <v>955</v>
      </c>
      <c r="T1840" s="56" t="s">
        <v>3061</v>
      </c>
      <c r="U1840" s="56" t="str">
        <f>IF(AND(ТабПозиции[[#This Row],[Остаток]]=0,ТабПозиции[[#This Row],[ord]]="true"),"true","false")</f>
        <v>true</v>
      </c>
      <c r="V1840" s="56" t="s">
        <v>3061</v>
      </c>
    </row>
    <row r="1841" spans="1:22" x14ac:dyDescent="0.25">
      <c r="A1841" s="26">
        <v>481</v>
      </c>
      <c r="B1841" s="1">
        <f>IFERROR(VLOOKUP(ТабПозиции[[#This Row],[orderNum]],ТабЗаказы[#Data],MATCH(B$7,ТабЗаказы[#Headers],0),0),"")</f>
        <v>45709</v>
      </c>
      <c r="C1841" t="str">
        <f>MONTH(ТабПозиции[[#This Row],[date]])&amp;"/"&amp;YEAR(ТабПозиции[[#This Row],[date]])</f>
        <v>2/2025</v>
      </c>
      <c r="D1841" s="1" t="str">
        <f>IFERROR(VLOOKUP(ТабПозиции[[#This Row],[orderNum]],ТабЗаказы[#Data],MATCH(D$7,ТабЗаказы[#Headers],0),0),"")</f>
        <v>Наталья Лунина 13</v>
      </c>
      <c r="E1841" s="26" t="s">
        <v>32</v>
      </c>
      <c r="F1841" s="56" t="s">
        <v>3061</v>
      </c>
      <c r="H1841" s="34">
        <v>45709</v>
      </c>
      <c r="I1841" s="26">
        <v>1</v>
      </c>
      <c r="J1841" s="26">
        <v>1112</v>
      </c>
      <c r="K1841">
        <f>ТабПозиции[[#This Row],[discountPrice]]*ТабПозиции[[#This Row],[quantity]]</f>
        <v>1112</v>
      </c>
      <c r="L1841" s="26">
        <v>1112</v>
      </c>
      <c r="M1841">
        <f t="shared" si="37"/>
        <v>1112</v>
      </c>
      <c r="O184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Row],[orderNum]],ТабПозиции[orderSumm])&gt;1500),ABS(M1841*VLOOKUP(ТабПозиции[[#This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841">
        <f>IF(OR(ТабПозиции[[#This Row],[item]]="По штрихкоду",ТабПозиции[[#This Row],[item]]="Посылка"),ТабПозиции[[#This Row],[deliverySumm]]+ТабПозиции[[#This Row],[deliveryPost]],SUM(M1841:O1841))</f>
        <v>200</v>
      </c>
      <c r="Q1841" s="57">
        <v>200</v>
      </c>
      <c r="R1841" s="62">
        <f>ТабПозиции[[#This Row],[totalSumm]]-ТабПозиции[[#This Row],[payment]]</f>
        <v>0</v>
      </c>
      <c r="S1841" s="34" t="s">
        <v>965</v>
      </c>
      <c r="T1841" s="56" t="s">
        <v>3061</v>
      </c>
      <c r="U1841" s="56" t="str">
        <f>IF(AND(ТабПозиции[[#This Row],[Остаток]]=0,ТабПозиции[[#This Row],[ord]]="true"),"true","false")</f>
        <v>true</v>
      </c>
      <c r="V1841" s="56" t="s">
        <v>3061</v>
      </c>
    </row>
    <row r="1842" spans="1:22" x14ac:dyDescent="0.25">
      <c r="A1842" s="26">
        <v>482</v>
      </c>
      <c r="B1842" s="1">
        <f>IFERROR(VLOOKUP(ТабПозиции[[#This Row],[orderNum]],ТабЗаказы[#Data],MATCH(B$7,ТабЗаказы[#Headers],0),0),"")</f>
        <v>45709</v>
      </c>
      <c r="C1842" t="str">
        <f>MONTH(ТабПозиции[[#This Row],[date]])&amp;"/"&amp;YEAR(ТабПозиции[[#This Row],[date]])</f>
        <v>2/2025</v>
      </c>
      <c r="D1842" s="1" t="str">
        <f>IFERROR(VLOOKUP(ТабПозиции[[#This Row],[orderNum]],ТабЗаказы[#Data],MATCH(D$7,ТабЗаказы[#Headers],0),0),"")</f>
        <v>АлисаСофия</v>
      </c>
      <c r="E1842" s="26" t="s">
        <v>32</v>
      </c>
      <c r="F1842" s="56" t="s">
        <v>3061</v>
      </c>
      <c r="H1842" s="34">
        <v>45709</v>
      </c>
      <c r="I1842" s="26">
        <v>1</v>
      </c>
      <c r="J1842" s="26">
        <v>7313</v>
      </c>
      <c r="K1842">
        <f>ТабПозиции[[#This Row],[discountPrice]]*ТабПозиции[[#This Row],[quantity]]</f>
        <v>7313</v>
      </c>
      <c r="L1842" s="26">
        <v>7313</v>
      </c>
      <c r="M1842">
        <f t="shared" si="37"/>
        <v>7313</v>
      </c>
      <c r="O184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Row],[orderNum]],ТабПозиции[orderSumm])&gt;1500),ABS(M1842*VLOOKUP(ТабПозиции[[#This Row],[orderNum]],ТабЗаказы[#Data],MATCH("Percent",ТабЗаказы[#Headers],0),0))/100,200/COUNTIF(ТабПозиции[orderNum],ТабПозиции[[#This Row],[orderNum]])),0),"")</f>
        <v>1097</v>
      </c>
      <c r="P1842">
        <f>IF(OR(ТабПозиции[[#This Row],[item]]="По штрихкоду",ТабПозиции[[#This Row],[item]]="Посылка"),ТабПозиции[[#This Row],[deliverySumm]]+ТабПозиции[[#This Row],[deliveryPost]],SUM(M1842:O1842))</f>
        <v>1097</v>
      </c>
      <c r="Q1842" s="57">
        <v>1097</v>
      </c>
      <c r="R1842" s="62">
        <f>ТабПозиции[[#This Row],[totalSumm]]-ТабПозиции[[#This Row],[payment]]</f>
        <v>0</v>
      </c>
      <c r="S1842" s="34" t="s">
        <v>955</v>
      </c>
      <c r="T1842" s="56" t="s">
        <v>3061</v>
      </c>
      <c r="U1842" s="56" t="str">
        <f>IF(AND(ТабПозиции[[#This Row],[Остаток]]=0,ТабПозиции[[#This Row],[ord]]="true"),"true","false")</f>
        <v>true</v>
      </c>
      <c r="V1842" s="56" t="s">
        <v>3061</v>
      </c>
    </row>
    <row r="1843" spans="1:22" x14ac:dyDescent="0.25">
      <c r="A1843" s="26">
        <v>483</v>
      </c>
      <c r="B1843" s="1">
        <f>IFERROR(VLOOKUP(ТабПозиции[[#This Row],[orderNum]],ТабЗаказы[#Data],MATCH(B$7,ТабЗаказы[#Headers],0),0),"")</f>
        <v>45709</v>
      </c>
      <c r="C1843" t="str">
        <f>MONTH(ТабПозиции[[#This Row],[date]])&amp;"/"&amp;YEAR(ТабПозиции[[#This Row],[date]])</f>
        <v>2/2025</v>
      </c>
      <c r="D1843" s="1" t="str">
        <f>IFERROR(VLOOKUP(ТабПозиции[[#This Row],[orderNum]],ТабЗаказы[#Data],MATCH(D$7,ТабЗаказы[#Headers],0),0),"")</f>
        <v>Виталик Металлургов 235</v>
      </c>
      <c r="E1843" s="26" t="s">
        <v>32</v>
      </c>
      <c r="F1843" s="56" t="s">
        <v>3061</v>
      </c>
      <c r="H1843" s="34">
        <v>45709</v>
      </c>
      <c r="I1843" s="26">
        <v>1</v>
      </c>
      <c r="J1843" s="26">
        <v>500</v>
      </c>
      <c r="K1843">
        <f>ТабПозиции[[#This Row],[discountPrice]]*ТабПозиции[[#This Row],[quantity]]</f>
        <v>500</v>
      </c>
      <c r="L1843" s="26">
        <v>500</v>
      </c>
      <c r="M1843">
        <f t="shared" si="37"/>
        <v>500</v>
      </c>
      <c r="N1843" s="26">
        <v>200</v>
      </c>
      <c r="O184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Row],[orderNum]],ТабПозиции[orderSumm])&gt;1500),ABS(M1843*VLOOKUP(ТабПозиции[[#This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843">
        <f>IF(OR(ТабПозиции[[#This Row],[item]]="По штрихкоду",ТабПозиции[[#This Row],[item]]="Посылка"),ТабПозиции[[#This Row],[deliverySumm]]+ТабПозиции[[#This Row],[deliveryPost]],SUM(M1843:O1843))</f>
        <v>400</v>
      </c>
      <c r="Q1843" s="57">
        <v>400</v>
      </c>
      <c r="R1843" s="62">
        <f>ТабПозиции[[#This Row],[totalSumm]]-ТабПозиции[[#This Row],[payment]]</f>
        <v>0</v>
      </c>
      <c r="S1843" s="34" t="s">
        <v>955</v>
      </c>
      <c r="T1843" s="56" t="s">
        <v>3061</v>
      </c>
      <c r="U1843" s="56" t="str">
        <f>IF(AND(ТабПозиции[[#This Row],[Остаток]]=0,ТабПозиции[[#This Row],[ord]]="true"),"true","false")</f>
        <v>true</v>
      </c>
      <c r="V1843" s="56" t="s">
        <v>3061</v>
      </c>
    </row>
    <row r="1844" spans="1:22" x14ac:dyDescent="0.25">
      <c r="A1844" s="26">
        <v>490</v>
      </c>
      <c r="B1844" s="1">
        <f>IFERROR(VLOOKUP(ТабПозиции[[#This Row],[orderNum]],ТабЗаказы[#Data],MATCH(B$7,ТабЗаказы[#Headers],0),0),"")</f>
        <v>45710</v>
      </c>
      <c r="C1844" t="str">
        <f>MONTH(ТабПозиции[[#This Row],[date]])&amp;"/"&amp;YEAR(ТабПозиции[[#This Row],[date]])</f>
        <v>2/2025</v>
      </c>
      <c r="D1844" s="1" t="str">
        <f>IFERROR(VLOOKUP(ТабПозиции[[#This Row],[orderNum]],ТабЗаказы[#Data],MATCH(D$7,ТабЗаказы[#Headers],0),0),"")</f>
        <v>Игорь Рельефная</v>
      </c>
      <c r="E1844" s="93" t="s">
        <v>2531</v>
      </c>
      <c r="F1844" s="56" t="s">
        <v>3061</v>
      </c>
      <c r="H1844" s="34">
        <v>45714</v>
      </c>
      <c r="I1844" s="26">
        <v>1</v>
      </c>
      <c r="J1844" s="26">
        <v>431</v>
      </c>
      <c r="K1844">
        <f>ТабПозиции[[#This Row],[discountPrice]]*ТабПозиции[[#This Row],[quantity]]</f>
        <v>431</v>
      </c>
      <c r="L1844" s="26">
        <v>465</v>
      </c>
      <c r="M1844">
        <f t="shared" si="37"/>
        <v>465</v>
      </c>
      <c r="O184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Row],[orderNum]],ТабПозиции[orderSumm])&gt;1500),ABS(M1844*VLOOKUP(ТабПозиции[[#This Row],[orderNum]],ТабЗаказы[#Data],MATCH("Percent",ТабЗаказы[#Headers],0),0))/100,200/COUNTIF(ТабПозиции[orderNum],ТабПозиции[[#This Row],[orderNum]])),0),"")</f>
        <v>70</v>
      </c>
      <c r="P1844">
        <f>IF(OR(ТабПозиции[[#This Row],[item]]="По штрихкоду",ТабПозиции[[#This Row],[item]]="Посылка"),ТабПозиции[[#This Row],[deliverySumm]]+ТабПозиции[[#This Row],[deliveryPost]],SUM(M1844:O1844))</f>
        <v>535</v>
      </c>
      <c r="Q1844" s="57">
        <v>535</v>
      </c>
      <c r="R1844" s="62">
        <f>ТабПозиции[[#This Row],[totalSumm]]-ТабПозиции[[#This Row],[payment]]</f>
        <v>0</v>
      </c>
      <c r="S1844" s="34" t="s">
        <v>955</v>
      </c>
      <c r="T1844" s="56" t="s">
        <v>3061</v>
      </c>
      <c r="U1844" s="56" t="str">
        <f>IF(AND(ТабПозиции[[#This Row],[Остаток]]=0,ТабПозиции[[#This Row],[ord]]="true"),"true","false")</f>
        <v>true</v>
      </c>
      <c r="V1844" s="56" t="s">
        <v>3061</v>
      </c>
    </row>
    <row r="1845" spans="1:22" x14ac:dyDescent="0.25">
      <c r="A1845" s="26">
        <v>490</v>
      </c>
      <c r="B1845" s="1">
        <f>IFERROR(VLOOKUP(ТабПозиции[[#This Row],[orderNum]],ТабЗаказы[#Data],MATCH(B$7,ТабЗаказы[#Headers],0),0),"")</f>
        <v>45710</v>
      </c>
      <c r="C1845" t="str">
        <f>MONTH(ТабПозиции[[#This Row],[date]])&amp;"/"&amp;YEAR(ТабПозиции[[#This Row],[date]])</f>
        <v>2/2025</v>
      </c>
      <c r="D1845" s="1" t="str">
        <f>IFERROR(VLOOKUP(ТабПозиции[[#This Row],[orderNum]],ТабЗаказы[#Data],MATCH(D$7,ТабЗаказы[#Headers],0),0),"")</f>
        <v>Игорь Рельефная</v>
      </c>
      <c r="E1845" s="93" t="s">
        <v>2532</v>
      </c>
      <c r="F1845" s="56" t="s">
        <v>3061</v>
      </c>
      <c r="H1845" s="34">
        <v>45744</v>
      </c>
      <c r="I1845" s="26">
        <v>1</v>
      </c>
      <c r="J1845" s="26">
        <v>1146</v>
      </c>
      <c r="K1845">
        <f>ТабПозиции[[#This Row],[discountPrice]]*ТабПозиции[[#This Row],[quantity]]</f>
        <v>1146</v>
      </c>
      <c r="L1845" s="26">
        <v>1232</v>
      </c>
      <c r="M1845">
        <f t="shared" ref="M1845:M1854" si="40">L1845*I1845</f>
        <v>1232</v>
      </c>
      <c r="O184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Row],[orderNum]],ТабПозиции[orderSumm])&gt;1500),ABS(M1845*VLOOKUP(ТабПозиции[[#This Row],[orderNum]],ТабЗаказы[#Data],MATCH("Percent",ТабЗаказы[#Headers],0),0))/100,200/COUNTIF(ТабПозиции[orderNum],ТабПозиции[[#This Row],[orderNum]])),0),"")</f>
        <v>185</v>
      </c>
      <c r="P1845">
        <f>IF(OR(ТабПозиции[[#This Row],[item]]="По штрихкоду",ТабПозиции[[#This Row],[item]]="Посылка"),ТабПозиции[[#This Row],[deliverySumm]]+ТабПозиции[[#This Row],[deliveryPost]],SUM(M1845:O1845))</f>
        <v>1417</v>
      </c>
      <c r="Q1845" s="57">
        <v>1417</v>
      </c>
      <c r="R1845" s="62">
        <f>ТабПозиции[[#This Row],[totalSumm]]-ТабПозиции[[#This Row],[payment]]</f>
        <v>0</v>
      </c>
      <c r="S1845" s="34" t="s">
        <v>955</v>
      </c>
      <c r="T1845" s="56" t="s">
        <v>3061</v>
      </c>
      <c r="U1845" s="56" t="str">
        <f>IF(AND(ТабПозиции[[#This Row],[Остаток]]=0,ТабПозиции[[#This Row],[ord]]="true"),"true","false")</f>
        <v>true</v>
      </c>
      <c r="V1845" s="56" t="s">
        <v>3061</v>
      </c>
    </row>
    <row r="1846" spans="1:22" x14ac:dyDescent="0.25">
      <c r="A1846" s="26">
        <v>490</v>
      </c>
      <c r="B1846" s="1">
        <f>IFERROR(VLOOKUP(ТабПозиции[[#This Row],[orderNum]],ТабЗаказы[#Data],MATCH(B$7,ТабЗаказы[#Headers],0),0),"")</f>
        <v>45710</v>
      </c>
      <c r="C1846" t="str">
        <f>MONTH(ТабПозиции[[#This Row],[date]])&amp;"/"&amp;YEAR(ТабПозиции[[#This Row],[date]])</f>
        <v>2/2025</v>
      </c>
      <c r="D1846" s="1" t="str">
        <f>IFERROR(VLOOKUP(ТабПозиции[[#This Row],[orderNum]],ТабЗаказы[#Data],MATCH(D$7,ТабЗаказы[#Headers],0),0),"")</f>
        <v>Игорь Рельефная</v>
      </c>
      <c r="E1846" s="93" t="s">
        <v>2533</v>
      </c>
      <c r="F1846" s="56" t="s">
        <v>3061</v>
      </c>
      <c r="H1846" s="34">
        <v>45711</v>
      </c>
      <c r="I1846" s="26">
        <v>1</v>
      </c>
      <c r="J1846" s="26">
        <v>924</v>
      </c>
      <c r="K1846">
        <f>ТабПозиции[[#This Row],[discountPrice]]*ТабПозиции[[#This Row],[quantity]]</f>
        <v>924</v>
      </c>
      <c r="L1846" s="26">
        <v>990</v>
      </c>
      <c r="M1846">
        <f t="shared" si="40"/>
        <v>990</v>
      </c>
      <c r="O184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Row],[orderNum]],ТабПозиции[orderSumm])&gt;1500),ABS(M1846*VLOOKUP(ТабПозиции[[#This Row],[orderNum]],ТабЗаказы[#Data],MATCH("Percent",ТабЗаказы[#Headers],0),0))/100,200/COUNTIF(ТабПозиции[orderNum],ТабПозиции[[#This Row],[orderNum]])),0),"")</f>
        <v>149</v>
      </c>
      <c r="P1846">
        <f>IF(OR(ТабПозиции[[#This Row],[item]]="По штрихкоду",ТабПозиции[[#This Row],[item]]="Посылка"),ТабПозиции[[#This Row],[deliverySumm]]+ТабПозиции[[#This Row],[deliveryPost]],SUM(M1846:O1846))</f>
        <v>1139</v>
      </c>
      <c r="Q1846" s="57">
        <v>1139</v>
      </c>
      <c r="R1846" s="62">
        <f>ТабПозиции[[#This Row],[totalSumm]]-ТабПозиции[[#This Row],[payment]]</f>
        <v>0</v>
      </c>
      <c r="S1846" s="34" t="s">
        <v>955</v>
      </c>
      <c r="T1846" s="56" t="s">
        <v>3061</v>
      </c>
      <c r="U1846" s="56" t="str">
        <f>IF(AND(ТабПозиции[[#This Row],[Остаток]]=0,ТабПозиции[[#This Row],[ord]]="true"),"true","false")</f>
        <v>true</v>
      </c>
      <c r="V1846" s="56" t="s">
        <v>3061</v>
      </c>
    </row>
    <row r="1847" spans="1:22" x14ac:dyDescent="0.25">
      <c r="A1847" s="26">
        <v>490</v>
      </c>
      <c r="B1847" s="1">
        <f>IFERROR(VLOOKUP(ТабПозиции[[#This Row],[orderNum]],ТабЗаказы[#Data],MATCH(B$7,ТабЗаказы[#Headers],0),0),"")</f>
        <v>45710</v>
      </c>
      <c r="C1847" t="str">
        <f>MONTH(ТабПозиции[[#This Row],[date]])&amp;"/"&amp;YEAR(ТабПозиции[[#This Row],[date]])</f>
        <v>2/2025</v>
      </c>
      <c r="D1847" s="1" t="str">
        <f>IFERROR(VLOOKUP(ТабПозиции[[#This Row],[orderNum]],ТабЗаказы[#Data],MATCH(D$7,ТабЗаказы[#Headers],0),0),"")</f>
        <v>Игорь Рельефная</v>
      </c>
      <c r="E1847" s="93" t="s">
        <v>2534</v>
      </c>
      <c r="F1847" s="56" t="s">
        <v>3061</v>
      </c>
      <c r="H1847" s="34">
        <v>45713</v>
      </c>
      <c r="I1847" s="26">
        <v>1</v>
      </c>
      <c r="J1847" s="26">
        <v>745</v>
      </c>
      <c r="K1847">
        <f>ТабПозиции[[#This Row],[discountPrice]]*ТабПозиции[[#This Row],[quantity]]</f>
        <v>745</v>
      </c>
      <c r="L1847" s="26">
        <v>800</v>
      </c>
      <c r="M1847">
        <f t="shared" si="40"/>
        <v>800</v>
      </c>
      <c r="O184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Row],[orderNum]],ТабПозиции[orderSumm])&gt;1500),ABS(M1847*VLOOKUP(ТабПозиции[[#This Row],[orderNum]],ТабЗаказы[#Data],MATCH("Percent",ТабЗаказы[#Headers],0),0))/100,200/COUNTIF(ТабПозиции[orderNum],ТабПозиции[[#This Row],[orderNum]])),0),"")</f>
        <v>120</v>
      </c>
      <c r="P1847">
        <f>IF(OR(ТабПозиции[[#This Row],[item]]="По штрихкоду",ТабПозиции[[#This Row],[item]]="Посылка"),ТабПозиции[[#This Row],[deliverySumm]]+ТабПозиции[[#This Row],[deliveryPost]],SUM(M1847:O1847))</f>
        <v>920</v>
      </c>
      <c r="Q1847" s="57">
        <v>920</v>
      </c>
      <c r="R1847" s="62">
        <f>ТабПозиции[[#This Row],[totalSumm]]-ТабПозиции[[#This Row],[payment]]</f>
        <v>0</v>
      </c>
      <c r="S1847" s="34" t="s">
        <v>955</v>
      </c>
      <c r="T1847" s="56" t="s">
        <v>3061</v>
      </c>
      <c r="U1847" s="56" t="str">
        <f>IF(AND(ТабПозиции[[#This Row],[Остаток]]=0,ТабПозиции[[#This Row],[ord]]="true"),"true","false")</f>
        <v>true</v>
      </c>
      <c r="V1847" s="56" t="s">
        <v>3061</v>
      </c>
    </row>
    <row r="1848" spans="1:22" x14ac:dyDescent="0.25">
      <c r="A1848" s="26">
        <v>490</v>
      </c>
      <c r="B1848" s="1">
        <f>IFERROR(VLOOKUP(ТабПозиции[[#This Row],[orderNum]],ТабЗаказы[#Data],MATCH(B$7,ТабЗаказы[#Headers],0),0),"")</f>
        <v>45710</v>
      </c>
      <c r="C1848" t="str">
        <f>MONTH(ТабПозиции[[#This Row],[date]])&amp;"/"&amp;YEAR(ТабПозиции[[#This Row],[date]])</f>
        <v>2/2025</v>
      </c>
      <c r="D1848" s="1" t="str">
        <f>IFERROR(VLOOKUP(ТабПозиции[[#This Row],[orderNum]],ТабЗаказы[#Data],MATCH(D$7,ТабЗаказы[#Headers],0),0),"")</f>
        <v>Игорь Рельефная</v>
      </c>
      <c r="E1848" s="93" t="s">
        <v>2535</v>
      </c>
      <c r="F1848" s="56" t="s">
        <v>3061</v>
      </c>
      <c r="H1848" s="34">
        <v>45737</v>
      </c>
      <c r="I1848" s="26">
        <v>1</v>
      </c>
      <c r="J1848" s="26">
        <v>488</v>
      </c>
      <c r="K1848">
        <f>ТабПозиции[[#This Row],[discountPrice]]*ТабПозиции[[#This Row],[quantity]]</f>
        <v>488</v>
      </c>
      <c r="L1848" s="26">
        <v>512</v>
      </c>
      <c r="M1848">
        <f t="shared" si="40"/>
        <v>512</v>
      </c>
      <c r="O184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Row],[orderNum]],ТабПозиции[orderSumm])&gt;1500),ABS(M1848*VLOOKUP(ТабПозиции[[#This Row],[orderNum]],ТабЗаказы[#Data],MATCH("Percent",ТабЗаказы[#Headers],0),0))/100,200/COUNTIF(ТабПозиции[orderNum],ТабПозиции[[#This Row],[orderNum]])),0),"")</f>
        <v>77</v>
      </c>
      <c r="P1848">
        <f>IF(OR(ТабПозиции[[#This Row],[item]]="По штрихкоду",ТабПозиции[[#This Row],[item]]="Посылка"),ТабПозиции[[#This Row],[deliverySumm]]+ТабПозиции[[#This Row],[deliveryPost]],SUM(M1848:O1848))</f>
        <v>589</v>
      </c>
      <c r="Q1848" s="57">
        <v>589</v>
      </c>
      <c r="R1848" s="62">
        <f>ТабПозиции[[#This Row],[totalSumm]]-ТабПозиции[[#This Row],[payment]]</f>
        <v>0</v>
      </c>
      <c r="S1848" s="34" t="s">
        <v>955</v>
      </c>
      <c r="T1848" s="56" t="s">
        <v>3061</v>
      </c>
      <c r="U1848" s="56" t="str">
        <f>IF(AND(ТабПозиции[[#This Row],[Остаток]]=0,ТабПозиции[[#This Row],[ord]]="true"),"true","false")</f>
        <v>true</v>
      </c>
      <c r="V1848" s="56" t="s">
        <v>3061</v>
      </c>
    </row>
    <row r="1849" spans="1:22" x14ac:dyDescent="0.25">
      <c r="A1849" s="26">
        <v>490</v>
      </c>
      <c r="B1849" s="1">
        <f>IFERROR(VLOOKUP(ТабПозиции[[#This Row],[orderNum]],ТабЗаказы[#Data],MATCH(B$7,ТабЗаказы[#Headers],0),0),"")</f>
        <v>45710</v>
      </c>
      <c r="C1849" t="str">
        <f>MONTH(ТабПозиции[[#This Row],[date]])&amp;"/"&amp;YEAR(ТабПозиции[[#This Row],[date]])</f>
        <v>2/2025</v>
      </c>
      <c r="D1849" s="1" t="str">
        <f>IFERROR(VLOOKUP(ТабПозиции[[#This Row],[orderNum]],ТабЗаказы[#Data],MATCH(D$7,ТабЗаказы[#Headers],0),0),"")</f>
        <v>Игорь Рельефная</v>
      </c>
      <c r="E1849" s="93" t="s">
        <v>2536</v>
      </c>
      <c r="F1849" s="56" t="s">
        <v>3061</v>
      </c>
      <c r="H1849" s="34">
        <v>45712</v>
      </c>
      <c r="I1849" s="26">
        <v>1</v>
      </c>
      <c r="J1849" s="26">
        <v>136</v>
      </c>
      <c r="K1849">
        <f>ТабПозиции[[#This Row],[discountPrice]]*ТабПозиции[[#This Row],[quantity]]</f>
        <v>136</v>
      </c>
      <c r="L1849" s="26">
        <v>140</v>
      </c>
      <c r="M1849">
        <f t="shared" si="40"/>
        <v>140</v>
      </c>
      <c r="O184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Row],[orderNum]],ТабПозиции[orderSumm])&gt;1500),ABS(M1849*VLOOKUP(ТабПозиции[[#This Row],[orderNum]],ТабЗаказы[#Data],MATCH("Percent",ТабЗаказы[#Headers],0),0))/100,200/COUNTIF(ТабПозиции[orderNum],ТабПозиции[[#This Row],[orderNum]])),0),"")</f>
        <v>21</v>
      </c>
      <c r="P1849">
        <f>IF(OR(ТабПозиции[[#This Row],[item]]="По штрихкоду",ТабПозиции[[#This Row],[item]]="Посылка"),ТабПозиции[[#This Row],[deliverySumm]]+ТабПозиции[[#This Row],[deliveryPost]],SUM(M1849:O1849))</f>
        <v>161</v>
      </c>
      <c r="Q1849" s="57">
        <v>161</v>
      </c>
      <c r="R1849" s="62">
        <f>ТабПозиции[[#This Row],[totalSumm]]-ТабПозиции[[#This Row],[payment]]</f>
        <v>0</v>
      </c>
      <c r="S1849" s="34" t="s">
        <v>955</v>
      </c>
      <c r="T1849" s="56" t="s">
        <v>3061</v>
      </c>
      <c r="U1849" s="56" t="str">
        <f>IF(AND(ТабПозиции[[#This Row],[Остаток]]=0,ТабПозиции[[#This Row],[ord]]="true"),"true","false")</f>
        <v>true</v>
      </c>
      <c r="V1849" s="56" t="s">
        <v>3061</v>
      </c>
    </row>
    <row r="1850" spans="1:22" x14ac:dyDescent="0.25">
      <c r="A1850" s="26">
        <v>490</v>
      </c>
      <c r="B1850" s="1">
        <f>IFERROR(VLOOKUP(ТабПозиции[[#This Row],[orderNum]],ТабЗаказы[#Data],MATCH(B$7,ТабЗаказы[#Headers],0),0),"")</f>
        <v>45710</v>
      </c>
      <c r="C1850" t="str">
        <f>MONTH(ТабПозиции[[#This Row],[date]])&amp;"/"&amp;YEAR(ТабПозиции[[#This Row],[date]])</f>
        <v>2/2025</v>
      </c>
      <c r="D1850" s="1" t="str">
        <f>IFERROR(VLOOKUP(ТабПозиции[[#This Row],[orderNum]],ТабЗаказы[#Data],MATCH(D$7,ТабЗаказы[#Headers],0),0),"")</f>
        <v>Игорь Рельефная</v>
      </c>
      <c r="E1850" s="93" t="s">
        <v>2537</v>
      </c>
      <c r="F1850" s="56" t="s">
        <v>3061</v>
      </c>
      <c r="H1850" s="34">
        <v>45734</v>
      </c>
      <c r="I1850" s="26">
        <v>1</v>
      </c>
      <c r="J1850" s="26">
        <v>321</v>
      </c>
      <c r="K1850">
        <f>ТабПозиции[[#This Row],[discountPrice]]*ТабПозиции[[#This Row],[quantity]]</f>
        <v>321</v>
      </c>
      <c r="L1850" s="26">
        <v>336</v>
      </c>
      <c r="M1850">
        <f t="shared" si="40"/>
        <v>336</v>
      </c>
      <c r="O185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Row],[orderNum]],ТабПозиции[orderSumm])&gt;1500),ABS(M1850*VLOOKUP(ТабПозиции[[#This Row],[orderNum]],ТабЗаказы[#Data],MATCH("Percent",ТабЗаказы[#Headers],0),0))/100,200/COUNTIF(ТабПозиции[orderNum],ТабПозиции[[#This Row],[orderNum]])),0),"")</f>
        <v>50</v>
      </c>
      <c r="P1850">
        <f>IF(OR(ТабПозиции[[#This Row],[item]]="По штрихкоду",ТабПозиции[[#This Row],[item]]="Посылка"),ТабПозиции[[#This Row],[deliverySumm]]+ТабПозиции[[#This Row],[deliveryPost]],SUM(M1850:O1850))</f>
        <v>386</v>
      </c>
      <c r="Q1850" s="57">
        <v>386</v>
      </c>
      <c r="R1850" s="62">
        <f>ТабПозиции[[#This Row],[totalSumm]]-ТабПозиции[[#This Row],[payment]]</f>
        <v>0</v>
      </c>
      <c r="S1850" s="34" t="s">
        <v>955</v>
      </c>
      <c r="T1850" s="56" t="s">
        <v>3061</v>
      </c>
      <c r="U1850" s="56" t="str">
        <f>IF(AND(ТабПозиции[[#This Row],[Остаток]]=0,ТабПозиции[[#This Row],[ord]]="true"),"true","false")</f>
        <v>true</v>
      </c>
      <c r="V1850" s="56" t="s">
        <v>3061</v>
      </c>
    </row>
    <row r="1851" spans="1:22" x14ac:dyDescent="0.25">
      <c r="A1851" s="26">
        <v>490</v>
      </c>
      <c r="B1851" s="1">
        <f>IFERROR(VLOOKUP(ТабПозиции[[#This Row],[orderNum]],ТабЗаказы[#Data],MATCH(B$7,ТабЗаказы[#Headers],0),0),"")</f>
        <v>45710</v>
      </c>
      <c r="C1851" t="str">
        <f>MONTH(ТабПозиции[[#This Row],[date]])&amp;"/"&amp;YEAR(ТабПозиции[[#This Row],[date]])</f>
        <v>2/2025</v>
      </c>
      <c r="D1851" s="1" t="str">
        <f>IFERROR(VLOOKUP(ТабПозиции[[#This Row],[orderNum]],ТабЗаказы[#Data],MATCH(D$7,ТабЗаказы[#Headers],0),0),"")</f>
        <v>Игорь Рельефная</v>
      </c>
      <c r="E1851" s="93" t="s">
        <v>2538</v>
      </c>
      <c r="F1851" s="56" t="s">
        <v>3061</v>
      </c>
      <c r="H1851" s="34">
        <v>45711</v>
      </c>
      <c r="I1851" s="26">
        <v>2</v>
      </c>
      <c r="J1851" s="26">
        <v>267</v>
      </c>
      <c r="K1851">
        <f>ТабПозиции[[#This Row],[discountPrice]]*ТабПозиции[[#This Row],[quantity]]</f>
        <v>534</v>
      </c>
      <c r="L1851" s="26">
        <v>274</v>
      </c>
      <c r="M1851">
        <f t="shared" si="40"/>
        <v>548</v>
      </c>
      <c r="O185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Row],[orderNum]],ТабПозиции[orderSumm])&gt;1500),ABS(M1851*VLOOKUP(ТабПозиции[[#This Row],[orderNum]],ТабЗаказы[#Data],MATCH("Percent",ТабЗаказы[#Headers],0),0))/100,200/COUNTIF(ТабПозиции[orderNum],ТабПозиции[[#This Row],[orderNum]])),0),"")</f>
        <v>82</v>
      </c>
      <c r="P1851">
        <f>IF(OR(ТабПозиции[[#This Row],[item]]="По штрихкоду",ТабПозиции[[#This Row],[item]]="Посылка"),ТабПозиции[[#This Row],[deliverySumm]]+ТабПозиции[[#This Row],[deliveryPost]],SUM(M1851:O1851))</f>
        <v>630</v>
      </c>
      <c r="Q1851" s="57">
        <v>630</v>
      </c>
      <c r="R1851" s="62">
        <f>ТабПозиции[[#This Row],[totalSumm]]-ТабПозиции[[#This Row],[payment]]</f>
        <v>0</v>
      </c>
      <c r="S1851" s="34" t="s">
        <v>955</v>
      </c>
      <c r="T1851" s="56" t="s">
        <v>3061</v>
      </c>
      <c r="U1851" s="56" t="str">
        <f>IF(AND(ТабПозиции[[#This Row],[Остаток]]=0,ТабПозиции[[#This Row],[ord]]="true"),"true","false")</f>
        <v>true</v>
      </c>
      <c r="V1851" s="56" t="s">
        <v>3061</v>
      </c>
    </row>
    <row r="1852" spans="1:22" x14ac:dyDescent="0.25">
      <c r="A1852" s="26">
        <v>490</v>
      </c>
      <c r="B1852" s="1">
        <f>IFERROR(VLOOKUP(ТабПозиции[[#This Row],[orderNum]],ТабЗаказы[#Data],MATCH(B$7,ТабЗаказы[#Headers],0),0),"")</f>
        <v>45710</v>
      </c>
      <c r="C1852" t="str">
        <f>MONTH(ТабПозиции[[#This Row],[date]])&amp;"/"&amp;YEAR(ТабПозиции[[#This Row],[date]])</f>
        <v>2/2025</v>
      </c>
      <c r="D1852" s="1" t="str">
        <f>IFERROR(VLOOKUP(ТабПозиции[[#This Row],[orderNum]],ТабЗаказы[#Data],MATCH(D$7,ТабЗаказы[#Headers],0),0),"")</f>
        <v>Игорь Рельефная</v>
      </c>
      <c r="E1852" s="93" t="s">
        <v>2575</v>
      </c>
      <c r="F1852" s="56" t="s">
        <v>3061</v>
      </c>
      <c r="H1852" s="34">
        <v>45713</v>
      </c>
      <c r="I1852" s="26">
        <v>3</v>
      </c>
      <c r="J1852" s="26">
        <v>633</v>
      </c>
      <c r="K1852">
        <f>ТабПозиции[[#This Row],[discountPrice]]*ТабПозиции[[#This Row],[quantity]]</f>
        <v>1899</v>
      </c>
      <c r="L1852" s="26">
        <v>681</v>
      </c>
      <c r="M1852">
        <f t="shared" si="40"/>
        <v>2043</v>
      </c>
      <c r="O185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Row],[orderNum]],ТабПозиции[orderSumm])&gt;1500),ABS(M1852*VLOOKUP(ТабПозиции[[#This Row],[orderNum]],ТабЗаказы[#Data],MATCH("Percent",ТабЗаказы[#Headers],0),0))/100,200/COUNTIF(ТабПозиции[orderNum],ТабПозиции[[#This Row],[orderNum]])),0),"")</f>
        <v>306</v>
      </c>
      <c r="P1852">
        <f>IF(OR(ТабПозиции[[#This Row],[item]]="По штрихкоду",ТабПозиции[[#This Row],[item]]="Посылка"),ТабПозиции[[#This Row],[deliverySumm]]+ТабПозиции[[#This Row],[deliveryPost]],SUM(M1852:O1852))</f>
        <v>2349</v>
      </c>
      <c r="Q1852" s="57">
        <v>2349</v>
      </c>
      <c r="R1852" s="62">
        <f>ТабПозиции[[#This Row],[totalSumm]]-ТабПозиции[[#This Row],[payment]]</f>
        <v>0</v>
      </c>
      <c r="S1852" s="34" t="s">
        <v>955</v>
      </c>
      <c r="T1852" s="56" t="s">
        <v>3061</v>
      </c>
      <c r="U1852" s="56" t="str">
        <f>IF(AND(ТабПозиции[[#This Row],[Остаток]]=0,ТабПозиции[[#This Row],[ord]]="true"),"true","false")</f>
        <v>true</v>
      </c>
      <c r="V1852" s="56" t="s">
        <v>3061</v>
      </c>
    </row>
    <row r="1853" spans="1:22" x14ac:dyDescent="0.25">
      <c r="A1853" s="26">
        <v>490</v>
      </c>
      <c r="B1853" s="1">
        <f>IFERROR(VLOOKUP(ТабПозиции[[#This Row],[orderNum]],ТабЗаказы[#Data],MATCH(B$7,ТабЗаказы[#Headers],0),0),"")</f>
        <v>45710</v>
      </c>
      <c r="C1853" t="str">
        <f>MONTH(ТабПозиции[[#This Row],[date]])&amp;"/"&amp;YEAR(ТабПозиции[[#This Row],[date]])</f>
        <v>2/2025</v>
      </c>
      <c r="D1853" s="1" t="str">
        <f>IFERROR(VLOOKUP(ТабПозиции[[#This Row],[orderNum]],ТабЗаказы[#Data],MATCH(D$7,ТабЗаказы[#Headers],0),0),"")</f>
        <v>Игорь Рельефная</v>
      </c>
      <c r="E1853" s="93" t="s">
        <v>2539</v>
      </c>
      <c r="F1853" s="56" t="s">
        <v>3061</v>
      </c>
      <c r="H1853" s="34">
        <v>45737</v>
      </c>
      <c r="I1853" s="26">
        <v>1</v>
      </c>
      <c r="J1853" s="26">
        <v>606</v>
      </c>
      <c r="K1853">
        <f>ТабПозиции[[#This Row],[discountPrice]]*ТабПозиции[[#This Row],[quantity]]</f>
        <v>606</v>
      </c>
      <c r="L1853" s="26">
        <v>634</v>
      </c>
      <c r="M1853">
        <f t="shared" si="40"/>
        <v>634</v>
      </c>
      <c r="O185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Row],[orderNum]],ТабПозиции[orderSumm])&gt;1500),ABS(M1853*VLOOKUP(ТабПозиции[[#This Row],[orderNum]],ТабЗаказы[#Data],MATCH("Percent",ТабЗаказы[#Headers],0),0))/100,200/COUNTIF(ТабПозиции[orderNum],ТабПозиции[[#This Row],[orderNum]])),0),"")</f>
        <v>95</v>
      </c>
      <c r="P1853">
        <f>IF(OR(ТабПозиции[[#This Row],[item]]="По штрихкоду",ТабПозиции[[#This Row],[item]]="Посылка"),ТабПозиции[[#This Row],[deliverySumm]]+ТабПозиции[[#This Row],[deliveryPost]],SUM(M1853:O1853))</f>
        <v>729</v>
      </c>
      <c r="Q1853" s="57">
        <v>729</v>
      </c>
      <c r="R1853" s="62">
        <f>ТабПозиции[[#This Row],[totalSumm]]-ТабПозиции[[#This Row],[payment]]</f>
        <v>0</v>
      </c>
      <c r="S1853" s="34" t="s">
        <v>955</v>
      </c>
      <c r="T1853" s="56" t="s">
        <v>3061</v>
      </c>
      <c r="U1853" s="56" t="str">
        <f>IF(AND(ТабПозиции[[#This Row],[Остаток]]=0,ТабПозиции[[#This Row],[ord]]="true"),"true","false")</f>
        <v>true</v>
      </c>
      <c r="V1853" s="56" t="s">
        <v>3061</v>
      </c>
    </row>
    <row r="1854" spans="1:22" x14ac:dyDescent="0.25">
      <c r="A1854" s="26">
        <v>491</v>
      </c>
      <c r="B1854" s="1">
        <f>IFERROR(VLOOKUP(ТабПозиции[[#This Row],[orderNum]],ТабЗаказы[#Data],MATCH(B$7,ТабЗаказы[#Headers],0),0),"")</f>
        <v>45711</v>
      </c>
      <c r="C1854" t="str">
        <f>MONTH(ТабПозиции[[#This Row],[date]])&amp;"/"&amp;YEAR(ТабПозиции[[#This Row],[date]])</f>
        <v>2/2025</v>
      </c>
      <c r="D1854" s="1" t="str">
        <f>IFERROR(VLOOKUP(ТабПозиции[[#This Row],[orderNum]],ТабЗаказы[#Data],MATCH(D$7,ТабЗаказы[#Headers],0),0),"")</f>
        <v>Светлана от Александра</v>
      </c>
      <c r="E1854" s="93" t="s">
        <v>2542</v>
      </c>
      <c r="F1854" s="56" t="s">
        <v>3061</v>
      </c>
      <c r="H1854" s="34">
        <v>45714</v>
      </c>
      <c r="I1854" s="26">
        <v>1</v>
      </c>
      <c r="J1854" s="26">
        <v>342</v>
      </c>
      <c r="K1854">
        <f>ТабПозиции[[#This Row],[discountPrice]]*ТабПозиции[[#This Row],[quantity]]</f>
        <v>342</v>
      </c>
      <c r="L1854" s="26">
        <v>361</v>
      </c>
      <c r="M1854">
        <f t="shared" si="40"/>
        <v>361</v>
      </c>
      <c r="O185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Row],[orderNum]],ТабПозиции[orderSumm])&gt;1500),ABS(M1854*VLOOKUP(ТабПозиции[[#This Row],[orderNum]],ТабЗаказы[#Data],MATCH("Percent",ТабЗаказы[#Headers],0),0))/100,200/COUNTIF(ТабПозиции[orderNum],ТабПозиции[[#This Row],[orderNum]])),0),"")</f>
        <v>54</v>
      </c>
      <c r="P1854">
        <f>IF(OR(ТабПозиции[[#This Row],[item]]="По штрихкоду",ТабПозиции[[#This Row],[item]]="Посылка"),ТабПозиции[[#This Row],[deliverySumm]]+ТабПозиции[[#This Row],[deliveryPost]],SUM(M1854:O1854))</f>
        <v>415</v>
      </c>
      <c r="Q1854" s="57">
        <v>415</v>
      </c>
      <c r="R1854" s="62">
        <f>ТабПозиции[[#This Row],[totalSumm]]-ТабПозиции[[#This Row],[payment]]</f>
        <v>0</v>
      </c>
      <c r="S1854" s="34" t="s">
        <v>965</v>
      </c>
      <c r="T1854" s="56" t="s">
        <v>3061</v>
      </c>
      <c r="U1854" s="56" t="str">
        <f>IF(AND(ТабПозиции[[#This Row],[Остаток]]=0,ТабПозиции[[#This Row],[ord]]="true"),"true","false")</f>
        <v>true</v>
      </c>
      <c r="V1854" s="56" t="s">
        <v>3061</v>
      </c>
    </row>
    <row r="1855" spans="1:22" x14ac:dyDescent="0.25">
      <c r="A1855" s="26">
        <v>491</v>
      </c>
      <c r="B1855" s="1">
        <f>IFERROR(VLOOKUP(ТабПозиции[[#This Row],[orderNum]],ТабЗаказы[#Data],MATCH(B$7,ТабЗаказы[#Headers],0),0),"")</f>
        <v>45711</v>
      </c>
      <c r="C1855" t="str">
        <f>MONTH(ТабПозиции[[#This Row],[date]])&amp;"/"&amp;YEAR(ТабПозиции[[#This Row],[date]])</f>
        <v>2/2025</v>
      </c>
      <c r="D1855" s="1" t="str">
        <f>IFERROR(VLOOKUP(ТабПозиции[[#This Row],[orderNum]],ТабЗаказы[#Data],MATCH(D$7,ТабЗаказы[#Headers],0),0),"")</f>
        <v>Светлана от Александра</v>
      </c>
      <c r="E1855" s="93" t="s">
        <v>2543</v>
      </c>
      <c r="F1855" s="56" t="s">
        <v>3061</v>
      </c>
      <c r="H1855" s="34">
        <v>45712</v>
      </c>
      <c r="I1855" s="26">
        <v>1</v>
      </c>
      <c r="J1855" s="26">
        <v>305</v>
      </c>
      <c r="K1855">
        <f>ТабПозиции[[#This Row],[discountPrice]]*ТабПозиции[[#This Row],[quantity]]</f>
        <v>305</v>
      </c>
      <c r="L1855" s="26">
        <v>322</v>
      </c>
      <c r="M1855">
        <f t="shared" ref="M1855:M1863" si="41">L1855*I1855</f>
        <v>322</v>
      </c>
      <c r="O185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Row],[orderNum]],ТабПозиции[orderSumm])&gt;1500),ABS(M1855*VLOOKUP(ТабПозиции[[#This Row],[orderNum]],ТабЗаказы[#Data],MATCH("Percent",ТабЗаказы[#Headers],0),0))/100,200/COUNTIF(ТабПозиции[orderNum],ТабПозиции[[#This Row],[orderNum]])),0),"")</f>
        <v>48</v>
      </c>
      <c r="P1855">
        <f>IF(OR(ТабПозиции[[#This Row],[item]]="По штрихкоду",ТабПозиции[[#This Row],[item]]="Посылка"),ТабПозиции[[#This Row],[deliverySumm]]+ТабПозиции[[#This Row],[deliveryPost]],SUM(M1855:O1855))</f>
        <v>370</v>
      </c>
      <c r="Q1855" s="57">
        <v>370</v>
      </c>
      <c r="R1855" s="62">
        <f>ТабПозиции[[#This Row],[totalSumm]]-ТабПозиции[[#This Row],[payment]]</f>
        <v>0</v>
      </c>
      <c r="S1855" s="34" t="s">
        <v>965</v>
      </c>
      <c r="T1855" s="56" t="s">
        <v>3061</v>
      </c>
      <c r="U1855" s="56" t="str">
        <f>IF(AND(ТабПозиции[[#This Row],[Остаток]]=0,ТабПозиции[[#This Row],[ord]]="true"),"true","false")</f>
        <v>true</v>
      </c>
      <c r="V1855" s="56" t="s">
        <v>3061</v>
      </c>
    </row>
    <row r="1856" spans="1:22" x14ac:dyDescent="0.25">
      <c r="A1856" s="26">
        <v>491</v>
      </c>
      <c r="B1856" s="1">
        <f>IFERROR(VLOOKUP(ТабПозиции[[#This Row],[orderNum]],ТабЗаказы[#Data],MATCH(B$7,ТабЗаказы[#Headers],0),0),"")</f>
        <v>45711</v>
      </c>
      <c r="C1856" t="str">
        <f>MONTH(ТабПозиции[[#This Row],[date]])&amp;"/"&amp;YEAR(ТабПозиции[[#This Row],[date]])</f>
        <v>2/2025</v>
      </c>
      <c r="D1856" s="1" t="str">
        <f>IFERROR(VLOOKUP(ТабПозиции[[#This Row],[orderNum]],ТабЗаказы[#Data],MATCH(D$7,ТабЗаказы[#Headers],0),0),"")</f>
        <v>Светлана от Александра</v>
      </c>
      <c r="E1856" s="93" t="s">
        <v>2543</v>
      </c>
      <c r="F1856" s="56" t="s">
        <v>3061</v>
      </c>
      <c r="H1856" s="34">
        <v>45712</v>
      </c>
      <c r="I1856" s="26">
        <v>1</v>
      </c>
      <c r="J1856" s="26">
        <v>305</v>
      </c>
      <c r="K1856">
        <f>ТабПозиции[[#This Row],[discountPrice]]*ТабПозиции[[#This Row],[quantity]]</f>
        <v>305</v>
      </c>
      <c r="L1856" s="26">
        <v>322</v>
      </c>
      <c r="M1856">
        <f t="shared" si="41"/>
        <v>322</v>
      </c>
      <c r="O185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Row],[orderNum]],ТабПозиции[orderSumm])&gt;1500),ABS(M1856*VLOOKUP(ТабПозиции[[#This Row],[orderNum]],ТабЗаказы[#Data],MATCH("Percent",ТабЗаказы[#Headers],0),0))/100,200/COUNTIF(ТабПозиции[orderNum],ТабПозиции[[#This Row],[orderNum]])),0),"")</f>
        <v>48</v>
      </c>
      <c r="P1856">
        <f>IF(OR(ТабПозиции[[#This Row],[item]]="По штрихкоду",ТабПозиции[[#This Row],[item]]="Посылка"),ТабПозиции[[#This Row],[deliverySumm]]+ТабПозиции[[#This Row],[deliveryPost]],SUM(M1856:O1856))</f>
        <v>370</v>
      </c>
      <c r="Q1856" s="57">
        <v>370</v>
      </c>
      <c r="R1856" s="62">
        <f>ТабПозиции[[#This Row],[totalSumm]]-ТабПозиции[[#This Row],[payment]]</f>
        <v>0</v>
      </c>
      <c r="S1856" s="34" t="s">
        <v>965</v>
      </c>
      <c r="T1856" s="56" t="s">
        <v>3061</v>
      </c>
      <c r="U1856" s="56" t="str">
        <f>IF(AND(ТабПозиции[[#This Row],[Остаток]]=0,ТабПозиции[[#This Row],[ord]]="true"),"true","false")</f>
        <v>true</v>
      </c>
      <c r="V1856" s="56" t="s">
        <v>3061</v>
      </c>
    </row>
    <row r="1857" spans="1:22" x14ac:dyDescent="0.25">
      <c r="A1857" s="26">
        <v>491</v>
      </c>
      <c r="B1857" s="1">
        <f>IFERROR(VLOOKUP(ТабПозиции[[#This Row],[orderNum]],ТабЗаказы[#Data],MATCH(B$7,ТабЗаказы[#Headers],0),0),"")</f>
        <v>45711</v>
      </c>
      <c r="C1857" t="str">
        <f>MONTH(ТабПозиции[[#This Row],[date]])&amp;"/"&amp;YEAR(ТабПозиции[[#This Row],[date]])</f>
        <v>2/2025</v>
      </c>
      <c r="D1857" s="1" t="str">
        <f>IFERROR(VLOOKUP(ТабПозиции[[#This Row],[orderNum]],ТабЗаказы[#Data],MATCH(D$7,ТабЗаказы[#Headers],0),0),"")</f>
        <v>Светлана от Александра</v>
      </c>
      <c r="E1857" s="93" t="s">
        <v>2544</v>
      </c>
      <c r="F1857" s="56" t="s">
        <v>3061</v>
      </c>
      <c r="H1857" s="34">
        <v>45716</v>
      </c>
      <c r="I1857" s="26">
        <v>1</v>
      </c>
      <c r="J1857" s="26">
        <v>565</v>
      </c>
      <c r="K1857">
        <f>ТабПозиции[[#This Row],[discountPrice]]*ТабПозиции[[#This Row],[quantity]]</f>
        <v>565</v>
      </c>
      <c r="L1857" s="26">
        <v>595</v>
      </c>
      <c r="M1857">
        <f t="shared" si="41"/>
        <v>595</v>
      </c>
      <c r="O185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Row],[orderNum]],ТабПозиции[orderSumm])&gt;1500),ABS(M1857*VLOOKUP(ТабПозиции[[#This Row],[orderNum]],ТабЗаказы[#Data],MATCH("Percent",ТабЗаказы[#Headers],0),0))/100,200/COUNTIF(ТабПозиции[orderNum],ТабПозиции[[#This Row],[orderNum]])),0),"")</f>
        <v>89</v>
      </c>
      <c r="P1857">
        <f>IF(OR(ТабПозиции[[#This Row],[item]]="По штрихкоду",ТабПозиции[[#This Row],[item]]="Посылка"),ТабПозиции[[#This Row],[deliverySumm]]+ТабПозиции[[#This Row],[deliveryPost]],SUM(M1857:O1857))</f>
        <v>684</v>
      </c>
      <c r="Q1857" s="57">
        <v>684</v>
      </c>
      <c r="R1857" s="62">
        <f>ТабПозиции[[#This Row],[totalSumm]]-ТабПозиции[[#This Row],[payment]]</f>
        <v>0</v>
      </c>
      <c r="S1857" s="34" t="s">
        <v>965</v>
      </c>
      <c r="T1857" s="56" t="s">
        <v>3061</v>
      </c>
      <c r="U1857" s="56" t="str">
        <f>IF(AND(ТабПозиции[[#This Row],[Остаток]]=0,ТабПозиции[[#This Row],[ord]]="true"),"true","false")</f>
        <v>true</v>
      </c>
      <c r="V1857" s="56" t="s">
        <v>3061</v>
      </c>
    </row>
    <row r="1858" spans="1:22" x14ac:dyDescent="0.25">
      <c r="A1858" s="26">
        <v>491</v>
      </c>
      <c r="B1858" s="1">
        <f>IFERROR(VLOOKUP(ТабПозиции[[#This Row],[orderNum]],ТабЗаказы[#Data],MATCH(B$7,ТабЗаказы[#Headers],0),0),"")</f>
        <v>45711</v>
      </c>
      <c r="C1858" t="str">
        <f>MONTH(ТабПозиции[[#This Row],[date]])&amp;"/"&amp;YEAR(ТабПозиции[[#This Row],[date]])</f>
        <v>2/2025</v>
      </c>
      <c r="D1858" s="1" t="str">
        <f>IFERROR(VLOOKUP(ТабПозиции[[#This Row],[orderNum]],ТабЗаказы[#Data],MATCH(D$7,ТабЗаказы[#Headers],0),0),"")</f>
        <v>Светлана от Александра</v>
      </c>
      <c r="E1858" s="93" t="s">
        <v>2545</v>
      </c>
      <c r="F1858" s="56" t="s">
        <v>3061</v>
      </c>
      <c r="H1858" s="34">
        <v>45713</v>
      </c>
      <c r="I1858" s="26">
        <v>1</v>
      </c>
      <c r="J1858" s="26">
        <v>467</v>
      </c>
      <c r="K1858">
        <f>ТабПозиции[[#This Row],[discountPrice]]*ТабПозиции[[#This Row],[quantity]]</f>
        <v>467</v>
      </c>
      <c r="L1858" s="26">
        <v>492</v>
      </c>
      <c r="M1858">
        <f t="shared" si="41"/>
        <v>492</v>
      </c>
      <c r="O185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Row],[orderNum]],ТабПозиции[orderSumm])&gt;1500),ABS(M1858*VLOOKUP(ТабПозиции[[#This Row],[orderNum]],ТабЗаказы[#Data],MATCH("Percent",ТабЗаказы[#Headers],0),0))/100,200/COUNTIF(ТабПозиции[orderNum],ТабПозиции[[#This Row],[orderNum]])),0),"")</f>
        <v>74</v>
      </c>
      <c r="P1858">
        <f>IF(OR(ТабПозиции[[#This Row],[item]]="По штрихкоду",ТабПозиции[[#This Row],[item]]="Посылка"),ТабПозиции[[#This Row],[deliverySumm]]+ТабПозиции[[#This Row],[deliveryPost]],SUM(M1858:O1858))</f>
        <v>566</v>
      </c>
      <c r="Q1858" s="57">
        <v>566</v>
      </c>
      <c r="R1858" s="62">
        <f>ТабПозиции[[#This Row],[totalSumm]]-ТабПозиции[[#This Row],[payment]]</f>
        <v>0</v>
      </c>
      <c r="S1858" s="34" t="s">
        <v>965</v>
      </c>
      <c r="T1858" s="56" t="s">
        <v>3061</v>
      </c>
      <c r="U1858" s="56" t="str">
        <f>IF(AND(ТабПозиции[[#This Row],[Остаток]]=0,ТабПозиции[[#This Row],[ord]]="true"),"true","false")</f>
        <v>true</v>
      </c>
      <c r="V1858" s="56" t="s">
        <v>3061</v>
      </c>
    </row>
    <row r="1859" spans="1:22" x14ac:dyDescent="0.25">
      <c r="A1859" s="26">
        <v>491</v>
      </c>
      <c r="B1859" s="1">
        <f>IFERROR(VLOOKUP(ТабПозиции[[#This Row],[orderNum]],ТабЗаказы[#Data],MATCH(B$7,ТабЗаказы[#Headers],0),0),"")</f>
        <v>45711</v>
      </c>
      <c r="C1859" t="str">
        <f>MONTH(ТабПозиции[[#This Row],[date]])&amp;"/"&amp;YEAR(ТабПозиции[[#This Row],[date]])</f>
        <v>2/2025</v>
      </c>
      <c r="D1859" s="1" t="str">
        <f>IFERROR(VLOOKUP(ТабПозиции[[#This Row],[orderNum]],ТабЗаказы[#Data],MATCH(D$7,ТабЗаказы[#Headers],0),0),"")</f>
        <v>Светлана от Александра</v>
      </c>
      <c r="E1859" s="93" t="s">
        <v>768</v>
      </c>
      <c r="F1859" s="56" t="s">
        <v>3061</v>
      </c>
      <c r="H1859" s="34">
        <v>45712</v>
      </c>
      <c r="I1859" s="26">
        <v>1</v>
      </c>
      <c r="J1859" s="26">
        <v>403</v>
      </c>
      <c r="K1859">
        <f>ТабПозиции[[#This Row],[discountPrice]]*ТабПозиции[[#This Row],[quantity]]</f>
        <v>403</v>
      </c>
      <c r="L1859" s="26">
        <v>425</v>
      </c>
      <c r="M1859">
        <f t="shared" si="41"/>
        <v>425</v>
      </c>
      <c r="O185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Row],[orderNum]],ТабПозиции[orderSumm])&gt;1500),ABS(M1859*VLOOKUP(ТабПозиции[[#This Row],[orderNum]],ТабЗаказы[#Data],MATCH("Percent",ТабЗаказы[#Headers],0),0))/100,200/COUNTIF(ТабПозиции[orderNum],ТабПозиции[[#This Row],[orderNum]])),0),"")</f>
        <v>64</v>
      </c>
      <c r="P1859">
        <f>IF(OR(ТабПозиции[[#This Row],[item]]="По штрихкоду",ТабПозиции[[#This Row],[item]]="Посылка"),ТабПозиции[[#This Row],[deliverySumm]]+ТабПозиции[[#This Row],[deliveryPost]],SUM(M1859:O1859))</f>
        <v>489</v>
      </c>
      <c r="Q1859" s="57">
        <v>489</v>
      </c>
      <c r="R1859" s="62">
        <f>ТабПозиции[[#This Row],[totalSumm]]-ТабПозиции[[#This Row],[payment]]</f>
        <v>0</v>
      </c>
      <c r="S1859" s="34" t="s">
        <v>965</v>
      </c>
      <c r="T1859" s="56" t="s">
        <v>3061</v>
      </c>
      <c r="U1859" s="56" t="str">
        <f>IF(AND(ТабПозиции[[#This Row],[Остаток]]=0,ТабПозиции[[#This Row],[ord]]="true"),"true","false")</f>
        <v>true</v>
      </c>
      <c r="V1859" s="56" t="s">
        <v>3061</v>
      </c>
    </row>
    <row r="1860" spans="1:22" x14ac:dyDescent="0.25">
      <c r="A1860" s="26">
        <v>491</v>
      </c>
      <c r="B1860" s="1">
        <f>IFERROR(VLOOKUP(ТабПозиции[[#This Row],[orderNum]],ТабЗаказы[#Data],MATCH(B$7,ТабЗаказы[#Headers],0),0),"")</f>
        <v>45711</v>
      </c>
      <c r="C1860" t="str">
        <f>MONTH(ТабПозиции[[#This Row],[date]])&amp;"/"&amp;YEAR(ТабПозиции[[#This Row],[date]])</f>
        <v>2/2025</v>
      </c>
      <c r="D1860" s="1" t="str">
        <f>IFERROR(VLOOKUP(ТабПозиции[[#This Row],[orderNum]],ТабЗаказы[#Data],MATCH(D$7,ТабЗаказы[#Headers],0),0),"")</f>
        <v>Светлана от Александра</v>
      </c>
      <c r="E1860" s="93" t="s">
        <v>768</v>
      </c>
      <c r="F1860" s="56" t="s">
        <v>3061</v>
      </c>
      <c r="H1860" s="34">
        <v>45713</v>
      </c>
      <c r="I1860" s="26">
        <v>1</v>
      </c>
      <c r="J1860" s="26">
        <v>327</v>
      </c>
      <c r="K1860">
        <f>ТабПозиции[[#This Row],[discountPrice]]*ТабПозиции[[#This Row],[quantity]]</f>
        <v>327</v>
      </c>
      <c r="L1860" s="26">
        <v>345</v>
      </c>
      <c r="M1860">
        <f t="shared" si="41"/>
        <v>345</v>
      </c>
      <c r="O186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Row],[orderNum]],ТабПозиции[orderSumm])&gt;1500),ABS(M1860*VLOOKUP(ТабПозиции[[#This Row],[orderNum]],ТабЗаказы[#Data],MATCH("Percent",ТабЗаказы[#Headers],0),0))/100,200/COUNTIF(ТабПозиции[orderNum],ТабПозиции[[#This Row],[orderNum]])),0),"")</f>
        <v>52</v>
      </c>
      <c r="P1860">
        <f>IF(OR(ТабПозиции[[#This Row],[item]]="По штрихкоду",ТабПозиции[[#This Row],[item]]="Посылка"),ТабПозиции[[#This Row],[deliverySumm]]+ТабПозиции[[#This Row],[deliveryPost]],SUM(M1860:O1860))</f>
        <v>397</v>
      </c>
      <c r="Q1860" s="57">
        <v>397</v>
      </c>
      <c r="R1860" s="62">
        <f>ТабПозиции[[#This Row],[totalSumm]]-ТабПозиции[[#This Row],[payment]]</f>
        <v>0</v>
      </c>
      <c r="S1860" s="34" t="s">
        <v>965</v>
      </c>
      <c r="T1860" s="56" t="s">
        <v>3061</v>
      </c>
      <c r="U1860" s="56" t="str">
        <f>IF(AND(ТабПозиции[[#This Row],[Остаток]]=0,ТабПозиции[[#This Row],[ord]]="true"),"true","false")</f>
        <v>true</v>
      </c>
      <c r="V1860" s="56" t="s">
        <v>3061</v>
      </c>
    </row>
    <row r="1861" spans="1:22" x14ac:dyDescent="0.25">
      <c r="A1861" s="26">
        <v>491</v>
      </c>
      <c r="B1861" s="1">
        <f>IFERROR(VLOOKUP(ТабПозиции[[#This Row],[orderNum]],ТабЗаказы[#Data],MATCH(B$7,ТабЗаказы[#Headers],0),0),"")</f>
        <v>45711</v>
      </c>
      <c r="C1861" t="str">
        <f>MONTH(ТабПозиции[[#This Row],[date]])&amp;"/"&amp;YEAR(ТабПозиции[[#This Row],[date]])</f>
        <v>2/2025</v>
      </c>
      <c r="D1861" s="1" t="str">
        <f>IFERROR(VLOOKUP(ТабПозиции[[#This Row],[orderNum]],ТабЗаказы[#Data],MATCH(D$7,ТабЗаказы[#Headers],0),0),"")</f>
        <v>Светлана от Александра</v>
      </c>
      <c r="E1861" s="93" t="s">
        <v>2546</v>
      </c>
      <c r="F1861" s="56" t="s">
        <v>3061</v>
      </c>
      <c r="H1861" s="34">
        <v>45713</v>
      </c>
      <c r="I1861" s="26">
        <v>1</v>
      </c>
      <c r="J1861" s="26">
        <v>532</v>
      </c>
      <c r="K1861">
        <f>ТабПозиции[[#This Row],[discountPrice]]*ТабПозиции[[#This Row],[quantity]]</f>
        <v>532</v>
      </c>
      <c r="L1861" s="26">
        <v>561</v>
      </c>
      <c r="M1861">
        <f t="shared" si="41"/>
        <v>561</v>
      </c>
      <c r="O186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Row],[orderNum]],ТабПозиции[orderSumm])&gt;1500),ABS(M1861*VLOOKUP(ТабПозиции[[#This Row],[orderNum]],ТабЗаказы[#Data],MATCH("Percent",ТабЗаказы[#Headers],0),0))/100,200/COUNTIF(ТабПозиции[orderNum],ТабПозиции[[#This Row],[orderNum]])),0),"")</f>
        <v>84</v>
      </c>
      <c r="P1861">
        <f>IF(OR(ТабПозиции[[#This Row],[item]]="По штрихкоду",ТабПозиции[[#This Row],[item]]="Посылка"),ТабПозиции[[#This Row],[deliverySumm]]+ТабПозиции[[#This Row],[deliveryPost]],SUM(M1861:O1861))</f>
        <v>645</v>
      </c>
      <c r="Q1861" s="57">
        <v>645</v>
      </c>
      <c r="R1861" s="62">
        <f>ТабПозиции[[#This Row],[totalSumm]]-ТабПозиции[[#This Row],[payment]]</f>
        <v>0</v>
      </c>
      <c r="S1861" s="34" t="s">
        <v>965</v>
      </c>
      <c r="T1861" s="56" t="s">
        <v>3061</v>
      </c>
      <c r="U1861" s="56" t="str">
        <f>IF(AND(ТабПозиции[[#This Row],[Остаток]]=0,ТабПозиции[[#This Row],[ord]]="true"),"true","false")</f>
        <v>true</v>
      </c>
      <c r="V1861" s="56" t="s">
        <v>3061</v>
      </c>
    </row>
    <row r="1862" spans="1:22" x14ac:dyDescent="0.25">
      <c r="A1862" s="26">
        <v>480</v>
      </c>
      <c r="B1862" s="1">
        <f>IFERROR(VLOOKUP(ТабПозиции[[#This Row],[orderNum]],ТабЗаказы[#Data],MATCH(B$7,ТабЗаказы[#Headers],0),0),"")</f>
        <v>45708</v>
      </c>
      <c r="C1862" t="str">
        <f>MONTH(ТабПозиции[[#This Row],[date]])&amp;"/"&amp;YEAR(ТабПозиции[[#This Row],[date]])</f>
        <v>2/2025</v>
      </c>
      <c r="D1862" s="1" t="str">
        <f>IFERROR(VLOOKUP(ТабПозиции[[#This Row],[orderNum]],ТабЗаказы[#Data],MATCH(D$7,ТабЗаказы[#Headers],0),0),"")</f>
        <v>Макс Шаповалов</v>
      </c>
      <c r="E1862" s="93" t="s">
        <v>2547</v>
      </c>
      <c r="F1862" s="56" t="s">
        <v>3061</v>
      </c>
      <c r="H1862" s="34">
        <v>45715</v>
      </c>
      <c r="I1862" s="26">
        <v>1</v>
      </c>
      <c r="J1862" s="26">
        <v>337</v>
      </c>
      <c r="K1862">
        <f>ТабПозиции[[#This Row],[discountPrice]]*ТабПозиции[[#This Row],[quantity]]</f>
        <v>337</v>
      </c>
      <c r="L1862" s="26">
        <v>347</v>
      </c>
      <c r="M1862">
        <f t="shared" si="41"/>
        <v>347</v>
      </c>
      <c r="O1862">
        <v>35</v>
      </c>
      <c r="P1862">
        <f>IF(OR(ТабПозиции[[#This Row],[item]]="По штрихкоду",ТабПозиции[[#This Row],[item]]="Посылка"),ТабПозиции[[#This Row],[deliverySumm]]+ТабПозиции[[#This Row],[deliveryPost]],SUM(M1862:O1862))</f>
        <v>382</v>
      </c>
      <c r="Q1862" s="57">
        <v>382</v>
      </c>
      <c r="R1862" s="62">
        <f>ТабПозиции[[#This Row],[totalSumm]]-ТабПозиции[[#This Row],[payment]]</f>
        <v>0</v>
      </c>
      <c r="S1862" s="34" t="s">
        <v>955</v>
      </c>
      <c r="T1862" s="56" t="s">
        <v>3061</v>
      </c>
      <c r="U1862" s="56" t="str">
        <f>IF(AND(ТабПозиции[[#This Row],[Остаток]]=0,ТабПозиции[[#This Row],[ord]]="true"),"true","false")</f>
        <v>true</v>
      </c>
      <c r="V1862" s="56" t="s">
        <v>3061</v>
      </c>
    </row>
    <row r="1863" spans="1:22" x14ac:dyDescent="0.25">
      <c r="A1863" s="26">
        <v>492</v>
      </c>
      <c r="B1863" s="1">
        <f>IFERROR(VLOOKUP(ТабПозиции[[#This Row],[orderNum]],ТабЗаказы[#Data],MATCH(B$7,ТабЗаказы[#Headers],0),0),"")</f>
        <v>45712</v>
      </c>
      <c r="C1863" t="str">
        <f>MONTH(ТабПозиции[[#This Row],[date]])&amp;"/"&amp;YEAR(ТабПозиции[[#This Row],[date]])</f>
        <v>2/2025</v>
      </c>
      <c r="D1863" s="1" t="str">
        <f>IFERROR(VLOOKUP(ТабПозиции[[#This Row],[orderNum]],ТабЗаказы[#Data],MATCH(D$7,ТабЗаказы[#Headers],0),0),"")</f>
        <v>Александр 3 Металлургов</v>
      </c>
      <c r="E1863" s="93" t="s">
        <v>2548</v>
      </c>
      <c r="F1863" s="56" t="s">
        <v>3061</v>
      </c>
      <c r="H1863" s="34">
        <v>45714</v>
      </c>
      <c r="I1863" s="26">
        <v>1</v>
      </c>
      <c r="J1863" s="26">
        <v>505</v>
      </c>
      <c r="K1863">
        <f>ТабПозиции[[#This Row],[discountPrice]]*ТабПозиции[[#This Row],[quantity]]</f>
        <v>505</v>
      </c>
      <c r="L1863" s="26">
        <v>532</v>
      </c>
      <c r="M1863">
        <f t="shared" si="41"/>
        <v>532</v>
      </c>
      <c r="O186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Row],[orderNum]],ТабПозиции[orderSumm])&gt;1500),ABS(M1863*VLOOKUP(ТабПозиции[[#This Row],[orderNum]],ТабЗаказы[#Data],MATCH("Percent",ТабЗаказы[#Headers],0),0))/100,200/COUNTIF(ТабПозиции[orderNum],ТабПозиции[[#This Row],[orderNum]])),0),"")</f>
        <v>80</v>
      </c>
      <c r="P1863">
        <f>IF(OR(ТабПозиции[[#This Row],[item]]="По штрихкоду",ТабПозиции[[#This Row],[item]]="Посылка"),ТабПозиции[[#This Row],[deliverySumm]]+ТабПозиции[[#This Row],[deliveryPost]],SUM(M1863:O1863))</f>
        <v>612</v>
      </c>
      <c r="Q1863" s="57">
        <v>612</v>
      </c>
      <c r="R1863" s="62">
        <f>ТабПозиции[[#This Row],[totalSumm]]-ТабПозиции[[#This Row],[payment]]</f>
        <v>0</v>
      </c>
      <c r="S1863" s="34" t="s">
        <v>965</v>
      </c>
      <c r="T1863" s="56" t="s">
        <v>3061</v>
      </c>
      <c r="U1863" s="56" t="str">
        <f>IF(AND(ТабПозиции[[#This Row],[Остаток]]=0,ТабПозиции[[#This Row],[ord]]="true"),"true","false")</f>
        <v>true</v>
      </c>
      <c r="V1863" s="56" t="s">
        <v>3061</v>
      </c>
    </row>
    <row r="1864" spans="1:22" x14ac:dyDescent="0.25">
      <c r="A1864" s="26">
        <v>492</v>
      </c>
      <c r="B1864" s="1">
        <f>IFERROR(VLOOKUP(ТабПозиции[[#This Row],[orderNum]],ТабЗаказы[#Data],MATCH(B$7,ТабЗаказы[#Headers],0),0),"")</f>
        <v>45712</v>
      </c>
      <c r="C1864" t="str">
        <f>MONTH(ТабПозиции[[#This Row],[date]])&amp;"/"&amp;YEAR(ТабПозиции[[#This Row],[date]])</f>
        <v>2/2025</v>
      </c>
      <c r="D1864" s="1" t="str">
        <f>IFERROR(VLOOKUP(ТабПозиции[[#This Row],[orderNum]],ТабЗаказы[#Data],MATCH(D$7,ТабЗаказы[#Headers],0),0),"")</f>
        <v>Александр 3 Металлургов</v>
      </c>
      <c r="E1864" s="93" t="s">
        <v>2549</v>
      </c>
      <c r="F1864" s="56" t="s">
        <v>3061</v>
      </c>
      <c r="H1864" s="34">
        <v>45719</v>
      </c>
      <c r="I1864" s="26">
        <v>1</v>
      </c>
      <c r="J1864" s="26">
        <v>990</v>
      </c>
      <c r="K1864">
        <f>ТабПозиции[[#This Row],[discountPrice]]*ТабПозиции[[#This Row],[quantity]]</f>
        <v>990</v>
      </c>
      <c r="L1864" s="26">
        <v>990</v>
      </c>
      <c r="M1864">
        <f t="shared" si="37"/>
        <v>990</v>
      </c>
      <c r="O186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Row],[orderNum]],ТабПозиции[orderSumm])&gt;1500),ABS(M1864*VLOOKUP(ТабПозиции[[#This Row],[orderNum]],ТабЗаказы[#Data],MATCH("Percent",ТабЗаказы[#Headers],0),0))/100,200/COUNTIF(ТабПозиции[orderNum],ТабПозиции[[#This Row],[orderNum]])),0),"")</f>
        <v>149</v>
      </c>
      <c r="P1864">
        <f>IF(OR(ТабПозиции[[#This Row],[item]]="По штрихкоду",ТабПозиции[[#This Row],[item]]="Посылка"),ТабПозиции[[#This Row],[deliverySumm]]+ТабПозиции[[#This Row],[deliveryPost]],SUM(M1864:O1864))</f>
        <v>1139</v>
      </c>
      <c r="Q1864" s="57">
        <v>1139</v>
      </c>
      <c r="R1864" s="62">
        <f>ТабПозиции[[#This Row],[totalSumm]]-ТабПозиции[[#This Row],[payment]]</f>
        <v>0</v>
      </c>
      <c r="S1864" s="34" t="s">
        <v>1000</v>
      </c>
      <c r="T1864" s="56" t="s">
        <v>3061</v>
      </c>
      <c r="U1864" s="56" t="str">
        <f>IF(AND(ТабПозиции[[#This Row],[Остаток]]=0,ТабПозиции[[#This Row],[ord]]="true"),"true","false")</f>
        <v>true</v>
      </c>
      <c r="V1864" s="56" t="s">
        <v>3061</v>
      </c>
    </row>
    <row r="1865" spans="1:22" x14ac:dyDescent="0.25">
      <c r="A1865" s="26">
        <v>493</v>
      </c>
      <c r="B1865" s="1">
        <f>IFERROR(VLOOKUP(ТабПозиции[[#This Row],[orderNum]],ТабЗаказы[#Data],MATCH(B$7,ТабЗаказы[#Headers],0),0),"")</f>
        <v>45714</v>
      </c>
      <c r="C1865" t="str">
        <f>MONTH(ТабПозиции[[#This Row],[date]])&amp;"/"&amp;YEAR(ТабПозиции[[#This Row],[date]])</f>
        <v>2/2025</v>
      </c>
      <c r="D1865" s="1" t="str">
        <f>IFERROR(VLOOKUP(ТабПозиции[[#This Row],[orderNum]],ТабЗаказы[#Data],MATCH(D$7,ТабЗаказы[#Headers],0),0),"")</f>
        <v>Юля Ларисына</v>
      </c>
      <c r="E1865" s="93" t="s">
        <v>1555</v>
      </c>
      <c r="F1865" s="56" t="s">
        <v>3061</v>
      </c>
      <c r="H1865" s="34">
        <v>45715</v>
      </c>
      <c r="I1865" s="26">
        <v>1</v>
      </c>
      <c r="J1865" s="26">
        <v>472</v>
      </c>
      <c r="K1865">
        <f>ТабПозиции[[#This Row],[discountPrice]]*ТабПозиции[[#This Row],[quantity]]</f>
        <v>472</v>
      </c>
      <c r="L1865" s="26">
        <v>497</v>
      </c>
      <c r="M1865">
        <f t="shared" si="37"/>
        <v>497</v>
      </c>
      <c r="O186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Row],[orderNum]],ТабПозиции[orderSumm])&gt;1500),ABS(M1865*VLOOKUP(ТабПозиции[[#This Row],[orderNum]],ТабЗаказы[#Data],MATCH("Percent",ТабЗаказы[#Headers],0),0))/100,200/COUNTIF(ТабПозиции[orderNum],ТабПозиции[[#This Row],[orderNum]])),0),"")</f>
        <v>75</v>
      </c>
      <c r="P1865">
        <f>IF(OR(ТабПозиции[[#This Row],[item]]="По штрихкоду",ТабПозиции[[#This Row],[item]]="Посылка"),ТабПозиции[[#This Row],[deliverySumm]]+ТабПозиции[[#This Row],[deliveryPost]],SUM(M1865:O1865))</f>
        <v>572</v>
      </c>
      <c r="Q1865" s="57">
        <v>572</v>
      </c>
      <c r="R1865" s="62">
        <f>ТабПозиции[[#This Row],[totalSumm]]-ТабПозиции[[#This Row],[payment]]</f>
        <v>0</v>
      </c>
      <c r="S1865" s="34" t="s">
        <v>965</v>
      </c>
      <c r="T1865" s="56" t="s">
        <v>3061</v>
      </c>
      <c r="U1865" s="56" t="str">
        <f>IF(AND(ТабПозиции[[#This Row],[Остаток]]=0,ТабПозиции[[#This Row],[ord]]="true"),"true","false")</f>
        <v>true</v>
      </c>
      <c r="V1865" s="56" t="s">
        <v>3061</v>
      </c>
    </row>
    <row r="1866" spans="1:22" x14ac:dyDescent="0.25">
      <c r="A1866" s="26">
        <v>493</v>
      </c>
      <c r="B1866" s="1">
        <f>IFERROR(VLOOKUP(ТабПозиции[[#This Row],[orderNum]],ТабЗаказы[#Data],MATCH(B$7,ТабЗаказы[#Headers],0),0),"")</f>
        <v>45714</v>
      </c>
      <c r="C1866" t="str">
        <f>MONTH(ТабПозиции[[#This Row],[date]])&amp;"/"&amp;YEAR(ТабПозиции[[#This Row],[date]])</f>
        <v>2/2025</v>
      </c>
      <c r="D1866" s="1" t="str">
        <f>IFERROR(VLOOKUP(ТабПозиции[[#This Row],[orderNum]],ТабЗаказы[#Data],MATCH(D$7,ТабЗаказы[#Headers],0),0),"")</f>
        <v>Юля Ларисына</v>
      </c>
      <c r="E1866" s="93" t="s">
        <v>2550</v>
      </c>
      <c r="F1866" s="56" t="s">
        <v>3061</v>
      </c>
      <c r="H1866" s="34">
        <v>45716</v>
      </c>
      <c r="I1866" s="26">
        <v>1</v>
      </c>
      <c r="J1866" s="26">
        <v>312</v>
      </c>
      <c r="K1866">
        <f>ТабПозиции[[#This Row],[discountPrice]]*ТабПозиции[[#This Row],[quantity]]</f>
        <v>312</v>
      </c>
      <c r="L1866" s="26">
        <v>329</v>
      </c>
      <c r="M1866">
        <f t="shared" si="37"/>
        <v>329</v>
      </c>
      <c r="O186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Row],[orderNum]],ТабПозиции[orderSumm])&gt;1500),ABS(M1866*VLOOKUP(ТабПозиции[[#This Row],[orderNum]],ТабЗаказы[#Data],MATCH("Percent",ТабЗаказы[#Headers],0),0))/100,200/COUNTIF(ТабПозиции[orderNum],ТабПозиции[[#This Row],[orderNum]])),0),"")</f>
        <v>49</v>
      </c>
      <c r="P1866">
        <f>IF(OR(ТабПозиции[[#This Row],[item]]="По штрихкоду",ТабПозиции[[#This Row],[item]]="Посылка"),ТабПозиции[[#This Row],[deliverySumm]]+ТабПозиции[[#This Row],[deliveryPost]],SUM(M1866:O1866))</f>
        <v>378</v>
      </c>
      <c r="Q1866" s="57">
        <v>378</v>
      </c>
      <c r="R1866" s="62">
        <f>ТабПозиции[[#This Row],[totalSumm]]-ТабПозиции[[#This Row],[payment]]</f>
        <v>0</v>
      </c>
      <c r="S1866" s="34" t="s">
        <v>965</v>
      </c>
      <c r="T1866" s="56" t="s">
        <v>3061</v>
      </c>
      <c r="U1866" s="56" t="str">
        <f>IF(AND(ТабПозиции[[#This Row],[Остаток]]=0,ТабПозиции[[#This Row],[ord]]="true"),"true","false")</f>
        <v>true</v>
      </c>
      <c r="V1866" s="56" t="s">
        <v>3061</v>
      </c>
    </row>
    <row r="1867" spans="1:22" x14ac:dyDescent="0.25">
      <c r="A1867" s="26">
        <v>493</v>
      </c>
      <c r="B1867" s="1">
        <f>IFERROR(VLOOKUP(ТабПозиции[[#This Row],[orderNum]],ТабЗаказы[#Data],MATCH(B$7,ТабЗаказы[#Headers],0),0),"")</f>
        <v>45714</v>
      </c>
      <c r="C1867" t="str">
        <f>MONTH(ТабПозиции[[#This Row],[date]])&amp;"/"&amp;YEAR(ТабПозиции[[#This Row],[date]])</f>
        <v>2/2025</v>
      </c>
      <c r="D1867" s="1" t="str">
        <f>IFERROR(VLOOKUP(ТабПозиции[[#This Row],[orderNum]],ТабЗаказы[#Data],MATCH(D$7,ТабЗаказы[#Headers],0),0),"")</f>
        <v>Юля Ларисына</v>
      </c>
      <c r="E1867" s="93" t="s">
        <v>2551</v>
      </c>
      <c r="F1867" s="56" t="s">
        <v>3061</v>
      </c>
      <c r="H1867" s="34">
        <v>45717</v>
      </c>
      <c r="I1867" s="26">
        <v>1</v>
      </c>
      <c r="J1867" s="26">
        <v>380</v>
      </c>
      <c r="K1867">
        <f>ТабПозиции[[#This Row],[discountPrice]]*ТабПозиции[[#This Row],[quantity]]</f>
        <v>380</v>
      </c>
      <c r="L1867" s="26">
        <v>400</v>
      </c>
      <c r="M1867">
        <f t="shared" si="37"/>
        <v>400</v>
      </c>
      <c r="O186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Row],[orderNum]],ТабПозиции[orderSumm])&gt;1500),ABS(M1867*VLOOKUP(ТабПозиции[[#This Row],[orderNum]],ТабЗаказы[#Data],MATCH("Percent",ТабЗаказы[#Headers],0),0))/100,200/COUNTIF(ТабПозиции[orderNum],ТабПозиции[[#This Row],[orderNum]])),0),"")</f>
        <v>60</v>
      </c>
      <c r="P1867">
        <f>IF(OR(ТабПозиции[[#This Row],[item]]="По штрихкоду",ТабПозиции[[#This Row],[item]]="Посылка"),ТабПозиции[[#This Row],[deliverySumm]]+ТабПозиции[[#This Row],[deliveryPost]],SUM(M1867:O1867))</f>
        <v>460</v>
      </c>
      <c r="Q1867" s="57">
        <v>460</v>
      </c>
      <c r="R1867" s="62">
        <f>ТабПозиции[[#This Row],[totalSumm]]-ТабПозиции[[#This Row],[payment]]</f>
        <v>0</v>
      </c>
      <c r="S1867" s="34" t="s">
        <v>965</v>
      </c>
      <c r="T1867" s="56" t="s">
        <v>3061</v>
      </c>
      <c r="U1867" s="56" t="str">
        <f>IF(AND(ТабПозиции[[#This Row],[Остаток]]=0,ТабПозиции[[#This Row],[ord]]="true"),"true","false")</f>
        <v>true</v>
      </c>
      <c r="V1867" s="56" t="s">
        <v>3061</v>
      </c>
    </row>
    <row r="1868" spans="1:22" x14ac:dyDescent="0.25">
      <c r="A1868" s="26">
        <v>493</v>
      </c>
      <c r="B1868" s="1">
        <f>IFERROR(VLOOKUP(ТабПозиции[[#This Row],[orderNum]],ТабЗаказы[#Data],MATCH(B$7,ТабЗаказы[#Headers],0),0),"")</f>
        <v>45714</v>
      </c>
      <c r="C1868" t="str">
        <f>MONTH(ТабПозиции[[#This Row],[date]])&amp;"/"&amp;YEAR(ТабПозиции[[#This Row],[date]])</f>
        <v>2/2025</v>
      </c>
      <c r="D1868" s="1" t="str">
        <f>IFERROR(VLOOKUP(ТабПозиции[[#This Row],[orderNum]],ТабЗаказы[#Data],MATCH(D$7,ТабЗаказы[#Headers],0),0),"")</f>
        <v>Юля Ларисына</v>
      </c>
      <c r="E1868" s="93" t="s">
        <v>2552</v>
      </c>
      <c r="F1868" s="56" t="s">
        <v>3061</v>
      </c>
      <c r="H1868" s="34">
        <v>45716</v>
      </c>
      <c r="I1868" s="26">
        <v>1</v>
      </c>
      <c r="J1868" s="26">
        <v>136</v>
      </c>
      <c r="K1868">
        <f>ТабПозиции[[#This Row],[discountPrice]]*ТабПозиции[[#This Row],[quantity]]</f>
        <v>136</v>
      </c>
      <c r="L1868" s="26">
        <v>144</v>
      </c>
      <c r="M1868">
        <f t="shared" si="37"/>
        <v>144</v>
      </c>
      <c r="O186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Row],[orderNum]],ТабПозиции[orderSumm])&gt;1500),ABS(M1868*VLOOKUP(ТабПозиции[[#This Row],[orderNum]],ТабЗаказы[#Data],MATCH("Percent",ТабЗаказы[#Headers],0),0))/100,200/COUNTIF(ТабПозиции[orderNum],ТабПозиции[[#This Row],[orderNum]])),0),"")</f>
        <v>22</v>
      </c>
      <c r="P1868">
        <f>IF(OR(ТабПозиции[[#This Row],[item]]="По штрихкоду",ТабПозиции[[#This Row],[item]]="Посылка"),ТабПозиции[[#This Row],[deliverySumm]]+ТабПозиции[[#This Row],[deliveryPost]],SUM(M1868:O1868))</f>
        <v>166</v>
      </c>
      <c r="Q1868" s="57">
        <v>166</v>
      </c>
      <c r="R1868" s="62">
        <f>ТабПозиции[[#This Row],[totalSumm]]-ТабПозиции[[#This Row],[payment]]</f>
        <v>0</v>
      </c>
      <c r="S1868" s="34" t="s">
        <v>965</v>
      </c>
      <c r="T1868" s="56" t="s">
        <v>3061</v>
      </c>
      <c r="U1868" s="56" t="str">
        <f>IF(AND(ТабПозиции[[#This Row],[Остаток]]=0,ТабПозиции[[#This Row],[ord]]="true"),"true","false")</f>
        <v>true</v>
      </c>
      <c r="V1868" s="56" t="s">
        <v>3061</v>
      </c>
    </row>
    <row r="1869" spans="1:22" x14ac:dyDescent="0.25">
      <c r="A1869" s="26">
        <v>493</v>
      </c>
      <c r="B1869" s="1">
        <f>IFERROR(VLOOKUP(ТабПозиции[[#This Row],[orderNum]],ТабЗаказы[#Data],MATCH(B$7,ТабЗаказы[#Headers],0),0),"")</f>
        <v>45714</v>
      </c>
      <c r="C1869" t="str">
        <f>MONTH(ТабПозиции[[#This Row],[date]])&amp;"/"&amp;YEAR(ТабПозиции[[#This Row],[date]])</f>
        <v>2/2025</v>
      </c>
      <c r="D1869" s="1" t="str">
        <f>IFERROR(VLOOKUP(ТабПозиции[[#This Row],[orderNum]],ТабЗаказы[#Data],MATCH(D$7,ТабЗаказы[#Headers],0),0),"")</f>
        <v>Юля Ларисына</v>
      </c>
      <c r="E1869" s="93" t="s">
        <v>2553</v>
      </c>
      <c r="F1869" s="56" t="s">
        <v>3061</v>
      </c>
      <c r="H1869" s="34">
        <v>45715</v>
      </c>
      <c r="I1869" s="26">
        <v>1</v>
      </c>
      <c r="J1869" s="26">
        <v>359</v>
      </c>
      <c r="K1869">
        <f>ТабПозиции[[#This Row],[discountPrice]]*ТабПозиции[[#This Row],[quantity]]</f>
        <v>359</v>
      </c>
      <c r="L1869" s="26">
        <v>378</v>
      </c>
      <c r="M1869">
        <f t="shared" si="30"/>
        <v>378</v>
      </c>
      <c r="O186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Row],[orderNum]],ТабПозиции[orderSumm])&gt;1500),ABS(M1869*VLOOKUP(ТабПозиции[[#This Row],[orderNum]],ТабЗаказы[#Data],MATCH("Percent",ТабЗаказы[#Headers],0),0))/100,200/COUNTIF(ТабПозиции[orderNum],ТабПозиции[[#This Row],[orderNum]])),0),"")</f>
        <v>57</v>
      </c>
      <c r="P1869">
        <f>IF(OR(ТабПозиции[[#This Row],[item]]="По штрихкоду",ТабПозиции[[#This Row],[item]]="Посылка"),ТабПозиции[[#This Row],[deliverySumm]]+ТабПозиции[[#This Row],[deliveryPost]],SUM(M1869:O1869))</f>
        <v>435</v>
      </c>
      <c r="Q1869" s="57">
        <v>435</v>
      </c>
      <c r="R1869" s="62">
        <f>ТабПозиции[[#This Row],[totalSumm]]-ТабПозиции[[#This Row],[payment]]</f>
        <v>0</v>
      </c>
      <c r="S1869" s="34" t="s">
        <v>965</v>
      </c>
      <c r="T1869" s="56" t="s">
        <v>3061</v>
      </c>
      <c r="U1869" s="56" t="str">
        <f>IF(AND(ТабПозиции[[#This Row],[Остаток]]=0,ТабПозиции[[#This Row],[ord]]="true"),"true","false")</f>
        <v>true</v>
      </c>
      <c r="V1869" s="56" t="s">
        <v>3061</v>
      </c>
    </row>
    <row r="1870" spans="1:22" x14ac:dyDescent="0.25">
      <c r="A1870" s="26">
        <v>493</v>
      </c>
      <c r="B1870" s="1">
        <f>IFERROR(VLOOKUP(ТабПозиции[[#This Row],[orderNum]],ТабЗаказы[#Data],MATCH(B$7,ТабЗаказы[#Headers],0),0),"")</f>
        <v>45714</v>
      </c>
      <c r="C1870" t="str">
        <f>MONTH(ТабПозиции[[#This Row],[date]])&amp;"/"&amp;YEAR(ТабПозиции[[#This Row],[date]])</f>
        <v>2/2025</v>
      </c>
      <c r="D1870" s="1" t="str">
        <f>IFERROR(VLOOKUP(ТабПозиции[[#This Row],[orderNum]],ТабЗаказы[#Data],MATCH(D$7,ТабЗаказы[#Headers],0),0),"")</f>
        <v>Юля Ларисына</v>
      </c>
      <c r="E1870" s="93" t="s">
        <v>2554</v>
      </c>
      <c r="F1870" s="56" t="s">
        <v>3061</v>
      </c>
      <c r="H1870" s="34">
        <v>45715</v>
      </c>
      <c r="I1870" s="26">
        <v>1</v>
      </c>
      <c r="J1870" s="26">
        <v>140</v>
      </c>
      <c r="K1870">
        <f>ТабПозиции[[#This Row],[discountPrice]]*ТабПозиции[[#This Row],[quantity]]</f>
        <v>140</v>
      </c>
      <c r="L1870" s="26">
        <v>148</v>
      </c>
      <c r="M1870">
        <f t="shared" ref="M1870" si="42">L1870*I1870</f>
        <v>148</v>
      </c>
      <c r="O187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Row],[orderNum]],ТабПозиции[orderSumm])&gt;1500),ABS(M1870*VLOOKUP(ТабПозиции[[#This Row],[orderNum]],ТабЗаказы[#Data],MATCH("Percent",ТабЗаказы[#Headers],0),0))/100,200/COUNTIF(ТабПозиции[orderNum],ТабПозиции[[#This Row],[orderNum]])),0),"")</f>
        <v>22</v>
      </c>
      <c r="P1870">
        <f>IF(OR(ТабПозиции[[#This Row],[item]]="По штрихкоду",ТабПозиции[[#This Row],[item]]="Посылка"),ТабПозиции[[#This Row],[deliverySumm]]+ТабПозиции[[#This Row],[deliveryPost]],SUM(M1870:O1870))</f>
        <v>170</v>
      </c>
      <c r="Q1870" s="57">
        <v>170</v>
      </c>
      <c r="R1870" s="62">
        <f>ТабПозиции[[#This Row],[totalSumm]]-ТабПозиции[[#This Row],[payment]]</f>
        <v>0</v>
      </c>
      <c r="S1870" s="34" t="s">
        <v>965</v>
      </c>
      <c r="T1870" s="56" t="s">
        <v>3061</v>
      </c>
      <c r="U1870" s="56" t="str">
        <f>IF(AND(ТабПозиции[[#This Row],[Остаток]]=0,ТабПозиции[[#This Row],[ord]]="true"),"true","false")</f>
        <v>true</v>
      </c>
      <c r="V1870" s="56" t="s">
        <v>3061</v>
      </c>
    </row>
    <row r="1871" spans="1:22" x14ac:dyDescent="0.25">
      <c r="A1871" s="26">
        <v>493</v>
      </c>
      <c r="B1871" s="1">
        <f>IFERROR(VLOOKUP(ТабПозиции[[#This Row],[orderNum]],ТабЗаказы[#Data],MATCH(B$7,ТабЗаказы[#Headers],0),0),"")</f>
        <v>45714</v>
      </c>
      <c r="C1871" t="str">
        <f>MONTH(ТабПозиции[[#This Row],[date]])&amp;"/"&amp;YEAR(ТабПозиции[[#This Row],[date]])</f>
        <v>2/2025</v>
      </c>
      <c r="D1871" s="1" t="str">
        <f>IFERROR(VLOOKUP(ТабПозиции[[#This Row],[orderNum]],ТабЗаказы[#Data],MATCH(D$7,ТабЗаказы[#Headers],0),0),"")</f>
        <v>Юля Ларисына</v>
      </c>
      <c r="E1871" s="93" t="s">
        <v>2555</v>
      </c>
      <c r="F1871" s="56" t="s">
        <v>3061</v>
      </c>
      <c r="H1871" s="34">
        <v>45715</v>
      </c>
      <c r="I1871" s="26">
        <v>1</v>
      </c>
      <c r="J1871" s="26">
        <v>169</v>
      </c>
      <c r="K1871">
        <f>ТабПозиции[[#This Row],[discountPrice]]*ТабПозиции[[#This Row],[quantity]]</f>
        <v>169</v>
      </c>
      <c r="L1871" s="26">
        <v>178</v>
      </c>
      <c r="M1871">
        <f t="shared" ref="M1871" si="43">L1871*I1871</f>
        <v>178</v>
      </c>
      <c r="O187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Row],[orderNum]],ТабПозиции[orderSumm])&gt;1500),ABS(M1871*VLOOKUP(ТабПозиции[[#This Row],[orderNum]],ТабЗаказы[#Data],MATCH("Percent",ТабЗаказы[#Headers],0),0))/100,200/COUNTIF(ТабПозиции[orderNum],ТабПозиции[[#This Row],[orderNum]])),0),"")</f>
        <v>27</v>
      </c>
      <c r="P1871">
        <f>IF(OR(ТабПозиции[[#This Row],[item]]="По штрихкоду",ТабПозиции[[#This Row],[item]]="Посылка"),ТабПозиции[[#This Row],[deliverySumm]]+ТабПозиции[[#This Row],[deliveryPost]],SUM(M1871:O1871))</f>
        <v>205</v>
      </c>
      <c r="Q1871" s="57">
        <v>205</v>
      </c>
      <c r="R1871" s="62">
        <f>ТабПозиции[[#This Row],[totalSumm]]-ТабПозиции[[#This Row],[payment]]</f>
        <v>0</v>
      </c>
      <c r="S1871" s="34" t="s">
        <v>965</v>
      </c>
      <c r="T1871" s="56" t="s">
        <v>3061</v>
      </c>
      <c r="U1871" s="56" t="str">
        <f>IF(AND(ТабПозиции[[#This Row],[Остаток]]=0,ТабПозиции[[#This Row],[ord]]="true"),"true","false")</f>
        <v>true</v>
      </c>
      <c r="V1871" s="56" t="s">
        <v>3061</v>
      </c>
    </row>
    <row r="1872" spans="1:22" x14ac:dyDescent="0.25">
      <c r="A1872" s="26">
        <v>493</v>
      </c>
      <c r="B1872" s="1">
        <f>IFERROR(VLOOKUP(ТабПозиции[[#This Row],[orderNum]],ТабЗаказы[#Data],MATCH(B$7,ТабЗаказы[#Headers],0),0),"")</f>
        <v>45714</v>
      </c>
      <c r="C1872" t="str">
        <f>MONTH(ТабПозиции[[#This Row],[date]])&amp;"/"&amp;YEAR(ТабПозиции[[#This Row],[date]])</f>
        <v>2/2025</v>
      </c>
      <c r="D1872" s="1" t="str">
        <f>IFERROR(VLOOKUP(ТабПозиции[[#This Row],[orderNum]],ТабЗаказы[#Data],MATCH(D$7,ТабЗаказы[#Headers],0),0),"")</f>
        <v>Юля Ларисына</v>
      </c>
      <c r="E1872" s="93" t="s">
        <v>1688</v>
      </c>
      <c r="F1872" s="56" t="s">
        <v>3061</v>
      </c>
      <c r="H1872" s="34">
        <v>45717</v>
      </c>
      <c r="I1872" s="26">
        <v>1</v>
      </c>
      <c r="J1872" s="26">
        <v>205</v>
      </c>
      <c r="K1872">
        <f>ТабПозиции[[#This Row],[discountPrice]]*ТабПозиции[[#This Row],[quantity]]</f>
        <v>205</v>
      </c>
      <c r="L1872" s="26">
        <v>216</v>
      </c>
      <c r="M1872">
        <f t="shared" si="30"/>
        <v>216</v>
      </c>
      <c r="O187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Row],[orderNum]],ТабПозиции[orderSumm])&gt;1500),ABS(M1872*VLOOKUP(ТабПозиции[[#This Row],[orderNum]],ТабЗаказы[#Data],MATCH("Percent",ТабЗаказы[#Headers],0),0))/100,200/COUNTIF(ТабПозиции[orderNum],ТабПозиции[[#This Row],[orderNum]])),0),"")</f>
        <v>32</v>
      </c>
      <c r="P1872">
        <f>IF(OR(ТабПозиции[[#This Row],[item]]="По штрихкоду",ТабПозиции[[#This Row],[item]]="Посылка"),ТабПозиции[[#This Row],[deliverySumm]]+ТабПозиции[[#This Row],[deliveryPost]],SUM(M1872:O1872))</f>
        <v>248</v>
      </c>
      <c r="Q1872" s="57">
        <v>248</v>
      </c>
      <c r="R1872" s="62">
        <f>ТабПозиции[[#This Row],[totalSumm]]-ТабПозиции[[#This Row],[payment]]</f>
        <v>0</v>
      </c>
      <c r="S1872" s="34" t="s">
        <v>965</v>
      </c>
      <c r="T1872" s="56" t="s">
        <v>3061</v>
      </c>
      <c r="U1872" s="56" t="str">
        <f>IF(AND(ТабПозиции[[#This Row],[Остаток]]=0,ТабПозиции[[#This Row],[ord]]="true"),"true","false")</f>
        <v>true</v>
      </c>
      <c r="V1872" s="56" t="s">
        <v>3061</v>
      </c>
    </row>
    <row r="1873" spans="1:22" x14ac:dyDescent="0.25">
      <c r="A1873" s="26">
        <v>493</v>
      </c>
      <c r="B1873" s="1">
        <f>IFERROR(VLOOKUP(ТабПозиции[[#This Row],[orderNum]],ТабЗаказы[#Data],MATCH(B$7,ТабЗаказы[#Headers],0),0),"")</f>
        <v>45714</v>
      </c>
      <c r="C1873" t="str">
        <f>MONTH(ТабПозиции[[#This Row],[date]])&amp;"/"&amp;YEAR(ТабПозиции[[#This Row],[date]])</f>
        <v>2/2025</v>
      </c>
      <c r="D1873" s="1" t="str">
        <f>IFERROR(VLOOKUP(ТабПозиции[[#This Row],[orderNum]],ТабЗаказы[#Data],MATCH(D$7,ТабЗаказы[#Headers],0),0),"")</f>
        <v>Юля Ларисына</v>
      </c>
      <c r="E1873" s="93" t="s">
        <v>989</v>
      </c>
      <c r="F1873" s="56" t="s">
        <v>3061</v>
      </c>
      <c r="H1873" s="34">
        <v>45717</v>
      </c>
      <c r="I1873" s="26">
        <v>0</v>
      </c>
      <c r="J1873" s="26">
        <v>109</v>
      </c>
      <c r="K1873">
        <f>ТабПозиции[[#This Row],[discountPrice]]*ТабПозиции[[#This Row],[quantity]]</f>
        <v>0</v>
      </c>
      <c r="L1873" s="26">
        <v>115</v>
      </c>
      <c r="M1873">
        <f t="shared" si="30"/>
        <v>0</v>
      </c>
      <c r="O187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Row],[orderNum]],ТабПозиции[orderSumm])&gt;1500),ABS(M1873*VLOOKUP(ТабПозиции[[#This Row],[orderNum]],ТабЗаказы[#Data],MATCH("Percent",ТабЗаказы[#Headers],0),0))/100,200/COUNTIF(ТабПозиции[orderNum],ТабПозиции[[#This Row],[orderNum]])),0),"")</f>
        <v>0</v>
      </c>
      <c r="P1873">
        <f>IF(OR(ТабПозиции[[#This Row],[item]]="По штрихкоду",ТабПозиции[[#This Row],[item]]="Посылка"),ТабПозиции[[#This Row],[deliverySumm]]+ТабПозиции[[#This Row],[deliveryPost]],SUM(M1873:O1873))</f>
        <v>0</v>
      </c>
      <c r="R1873" s="62">
        <f>ТабПозиции[[#This Row],[totalSumm]]-ТабПозиции[[#This Row],[payment]]</f>
        <v>0</v>
      </c>
      <c r="S1873" s="34" t="s">
        <v>965</v>
      </c>
      <c r="T1873" s="56" t="s">
        <v>3061</v>
      </c>
      <c r="U1873" s="56" t="str">
        <f>IF(AND(ТабПозиции[[#This Row],[Остаток]]=0,ТабПозиции[[#This Row],[ord]]="true"),"true","false")</f>
        <v>true</v>
      </c>
      <c r="V1873" s="56" t="s">
        <v>3061</v>
      </c>
    </row>
    <row r="1874" spans="1:22" x14ac:dyDescent="0.25">
      <c r="A1874" s="26">
        <v>493</v>
      </c>
      <c r="B1874" s="1">
        <f>IFERROR(VLOOKUP(ТабПозиции[[#This Row],[orderNum]],ТабЗаказы[#Data],MATCH(B$7,ТабЗаказы[#Headers],0),0),"")</f>
        <v>45714</v>
      </c>
      <c r="C1874" s="95" t="str">
        <f>MONTH(ТабПозиции[[#This Row],[date]])&amp;"/"&amp;YEAR(ТабПозиции[[#This Row],[date]])</f>
        <v>2/2025</v>
      </c>
      <c r="D1874" s="1" t="str">
        <f>IFERROR(VLOOKUP(ТабПозиции[[#This Row],[orderNum]],ТабЗаказы[#Data],MATCH(D$7,ТабЗаказы[#Headers],0),0),"")</f>
        <v>Юля Ларисына</v>
      </c>
      <c r="E1874" s="93" t="s">
        <v>2556</v>
      </c>
      <c r="F1874" s="56" t="s">
        <v>3061</v>
      </c>
      <c r="H1874" s="34">
        <v>45715</v>
      </c>
      <c r="I1874" s="96">
        <v>1</v>
      </c>
      <c r="J1874" s="96">
        <v>108</v>
      </c>
      <c r="K1874">
        <f>ТабПозиции[[#This Row],[discountPrice]]*ТабПозиции[[#This Row],[quantity]]</f>
        <v>108</v>
      </c>
      <c r="L1874" s="26">
        <v>114</v>
      </c>
      <c r="M1874">
        <f t="shared" ref="M1874:M2139" si="44">L1874*I1874</f>
        <v>114</v>
      </c>
      <c r="N1874" s="96"/>
      <c r="O187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Row],[orderNum]],ТабПозиции[orderSumm])&gt;1500),ABS(M1874*VLOOKUP(ТабПозиции[[#This Row],[orderNum]],ТабЗаказы[#Data],MATCH("Percent",ТабЗаказы[#Headers],0),0))/100,200/COUNTIF(ТабПозиции[orderNum],ТабПозиции[[#This Row],[orderNum]])),0),"")</f>
        <v>17</v>
      </c>
      <c r="P1874" s="95">
        <f>IF(OR(ТабПозиции[[#This Row],[item]]="По штрихкоду",ТабПозиции[[#This Row],[item]]="Посылка"),ТабПозиции[[#This Row],[deliverySumm]]+ТабПозиции[[#This Row],[deliveryPost]],SUM(M1874:O1874))</f>
        <v>131</v>
      </c>
      <c r="Q1874" s="57">
        <v>131</v>
      </c>
      <c r="R1874" s="62">
        <f>ТабПозиции[[#This Row],[totalSumm]]-ТабПозиции[[#This Row],[payment]]</f>
        <v>0</v>
      </c>
      <c r="S1874" s="34" t="s">
        <v>965</v>
      </c>
      <c r="T1874" s="56" t="s">
        <v>3061</v>
      </c>
      <c r="U1874" s="56" t="str">
        <f>IF(AND(ТабПозиции[[#This Row],[Остаток]]=0,ТабПозиции[[#This Row],[ord]]="true"),"true","false")</f>
        <v>true</v>
      </c>
      <c r="V1874" s="56" t="s">
        <v>3061</v>
      </c>
    </row>
    <row r="1875" spans="1:22" x14ac:dyDescent="0.25">
      <c r="A1875" s="26">
        <v>493</v>
      </c>
      <c r="B1875" s="1">
        <f>IFERROR(VLOOKUP(ТабПозиции[[#This Row],[orderNum]],ТабЗаказы[#Data],MATCH(B$7,ТабЗаказы[#Headers],0),0),"")</f>
        <v>45714</v>
      </c>
      <c r="C1875" s="95" t="str">
        <f>MONTH(ТабПозиции[[#This Row],[date]])&amp;"/"&amp;YEAR(ТабПозиции[[#This Row],[date]])</f>
        <v>2/2025</v>
      </c>
      <c r="D1875" s="1" t="str">
        <f>IFERROR(VLOOKUP(ТабПозиции[[#This Row],[orderNum]],ТабЗаказы[#Data],MATCH(D$7,ТабЗаказы[#Headers],0),0),"")</f>
        <v>Юля Ларисына</v>
      </c>
      <c r="E1875" s="93" t="s">
        <v>2357</v>
      </c>
      <c r="F1875" s="56" t="s">
        <v>3061</v>
      </c>
      <c r="H1875" s="34">
        <v>45715</v>
      </c>
      <c r="I1875" s="96">
        <v>1</v>
      </c>
      <c r="J1875" s="96">
        <v>266</v>
      </c>
      <c r="K1875">
        <f>ТабПозиции[[#This Row],[discountPrice]]*ТабПозиции[[#This Row],[quantity]]</f>
        <v>266</v>
      </c>
      <c r="L1875" s="26">
        <v>281</v>
      </c>
      <c r="M1875">
        <f t="shared" si="44"/>
        <v>281</v>
      </c>
      <c r="N1875" s="96"/>
      <c r="O187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Row],[orderNum]],ТабПозиции[orderSumm])&gt;1500),ABS(M1875*VLOOKUP(ТабПозиции[[#This Row],[orderNum]],ТабЗаказы[#Data],MATCH("Percent",ТабЗаказы[#Headers],0),0))/100,200/COUNTIF(ТабПозиции[orderNum],ТабПозиции[[#This Row],[orderNum]])),0),"")</f>
        <v>42</v>
      </c>
      <c r="P1875" s="95">
        <f>IF(OR(ТабПозиции[[#This Row],[item]]="По штрихкоду",ТабПозиции[[#This Row],[item]]="Посылка"),ТабПозиции[[#This Row],[deliverySumm]]+ТабПозиции[[#This Row],[deliveryPost]],SUM(M1875:O1875))</f>
        <v>323</v>
      </c>
      <c r="Q1875" s="57">
        <v>323</v>
      </c>
      <c r="R1875" s="62">
        <f>ТабПозиции[[#This Row],[totalSumm]]-ТабПозиции[[#This Row],[payment]]</f>
        <v>0</v>
      </c>
      <c r="S1875" s="34" t="s">
        <v>965</v>
      </c>
      <c r="T1875" s="56" t="s">
        <v>3061</v>
      </c>
      <c r="U1875" s="56" t="str">
        <f>IF(AND(ТабПозиции[[#This Row],[Остаток]]=0,ТабПозиции[[#This Row],[ord]]="true"),"true","false")</f>
        <v>true</v>
      </c>
      <c r="V1875" s="56" t="s">
        <v>3061</v>
      </c>
    </row>
    <row r="1876" spans="1:22" x14ac:dyDescent="0.25">
      <c r="A1876" s="26">
        <v>494</v>
      </c>
      <c r="B1876" s="1">
        <f>IFERROR(VLOOKUP(ТабПозиции[[#This Row],[orderNum]],ТабЗаказы[#Data],MATCH(B$7,ТабЗаказы[#Headers],0),0),"")</f>
        <v>45714</v>
      </c>
      <c r="C1876" s="95" t="str">
        <f>MONTH(ТабПозиции[[#This Row],[date]])&amp;"/"&amp;YEAR(ТабПозиции[[#This Row],[date]])</f>
        <v>2/2025</v>
      </c>
      <c r="D1876" s="1" t="str">
        <f>IFERROR(VLOOKUP(ТабПозиции[[#This Row],[orderNum]],ТабЗаказы[#Data],MATCH(D$7,ТабЗаказы[#Headers],0),0),"")</f>
        <v>Юлина Мама</v>
      </c>
      <c r="E1876" s="93" t="s">
        <v>1069</v>
      </c>
      <c r="F1876" s="56" t="s">
        <v>3061</v>
      </c>
      <c r="H1876" s="34">
        <v>45716</v>
      </c>
      <c r="I1876" s="96">
        <v>1</v>
      </c>
      <c r="J1876" s="96">
        <v>1026</v>
      </c>
      <c r="K1876">
        <f>ТабПозиции[[#This Row],[discountPrice]]*ТабПозиции[[#This Row],[quantity]]</f>
        <v>1026</v>
      </c>
      <c r="L1876" s="26">
        <v>1081</v>
      </c>
      <c r="M1876">
        <f t="shared" si="44"/>
        <v>1081</v>
      </c>
      <c r="N1876" s="96"/>
      <c r="O187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Row],[orderNum]],ТабПозиции[orderSumm])&gt;1500),ABS(M1876*VLOOKUP(ТабПозиции[[#This Row],[orderNum]],ТабЗаказы[#Data],MATCH("Percent",ТабЗаказы[#Headers],0),0))/100,200/COUNTIF(ТабПозиции[orderNum],ТабПозиции[[#This Row],[orderNum]])),0),"")</f>
        <v>162</v>
      </c>
      <c r="P1876" s="95">
        <f>IF(OR(ТабПозиции[[#This Row],[item]]="По штрихкоду",ТабПозиции[[#This Row],[item]]="Посылка"),ТабПозиции[[#This Row],[deliverySumm]]+ТабПозиции[[#This Row],[deliveryPost]],SUM(M1876:O1876))</f>
        <v>1243</v>
      </c>
      <c r="Q1876" s="57">
        <v>1243</v>
      </c>
      <c r="R1876" s="62">
        <f>ТабПозиции[[#This Row],[totalSumm]]-ТабПозиции[[#This Row],[payment]]</f>
        <v>0</v>
      </c>
      <c r="S1876" s="34" t="s">
        <v>965</v>
      </c>
      <c r="T1876" s="56" t="s">
        <v>3061</v>
      </c>
      <c r="U1876" s="56" t="str">
        <f>IF(AND(ТабПозиции[[#This Row],[Остаток]]=0,ТабПозиции[[#This Row],[ord]]="true"),"true","false")</f>
        <v>true</v>
      </c>
      <c r="V1876" s="56" t="s">
        <v>3061</v>
      </c>
    </row>
    <row r="1877" spans="1:22" x14ac:dyDescent="0.25">
      <c r="A1877" s="26">
        <v>494</v>
      </c>
      <c r="B1877" s="1">
        <f>IFERROR(VLOOKUP(ТабПозиции[[#This Row],[orderNum]],ТабЗаказы[#Data],MATCH(B$7,ТабЗаказы[#Headers],0),0),"")</f>
        <v>45714</v>
      </c>
      <c r="C1877" s="95" t="str">
        <f>MONTH(ТабПозиции[[#This Row],[date]])&amp;"/"&amp;YEAR(ТабПозиции[[#This Row],[date]])</f>
        <v>2/2025</v>
      </c>
      <c r="D1877" s="1" t="str">
        <f>IFERROR(VLOOKUP(ТабПозиции[[#This Row],[orderNum]],ТабЗаказы[#Data],MATCH(D$7,ТабЗаказы[#Headers],0),0),"")</f>
        <v>Юлина Мама</v>
      </c>
      <c r="E1877" s="93" t="s">
        <v>2014</v>
      </c>
      <c r="F1877" s="56" t="s">
        <v>3061</v>
      </c>
      <c r="H1877" s="34">
        <v>45719</v>
      </c>
      <c r="I1877" s="96">
        <v>1</v>
      </c>
      <c r="J1877" s="96">
        <v>199</v>
      </c>
      <c r="K1877">
        <f>ТабПозиции[[#This Row],[discountPrice]]*ТабПозиции[[#This Row],[quantity]]</f>
        <v>199</v>
      </c>
      <c r="L1877" s="26">
        <v>210</v>
      </c>
      <c r="M1877">
        <f t="shared" si="44"/>
        <v>210</v>
      </c>
      <c r="N1877" s="96"/>
      <c r="O187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Row],[orderNum]],ТабПозиции[orderSumm])&gt;1500),ABS(M1877*VLOOKUP(ТабПозиции[[#This Row],[orderNum]],ТабЗаказы[#Data],MATCH("Percent",ТабЗаказы[#Headers],0),0))/100,200/COUNTIF(ТабПозиции[orderNum],ТабПозиции[[#This Row],[orderNum]])),0),"")</f>
        <v>32</v>
      </c>
      <c r="P1877" s="95">
        <f>IF(OR(ТабПозиции[[#This Row],[item]]="По штрихкоду",ТабПозиции[[#This Row],[item]]="Посылка"),ТабПозиции[[#This Row],[deliverySumm]]+ТабПозиции[[#This Row],[deliveryPost]],SUM(M1877:O1877))</f>
        <v>242</v>
      </c>
      <c r="Q1877" s="57">
        <v>242</v>
      </c>
      <c r="R1877" s="62">
        <f>ТабПозиции[[#This Row],[totalSumm]]-ТабПозиции[[#This Row],[payment]]</f>
        <v>0</v>
      </c>
      <c r="S1877" s="34" t="s">
        <v>965</v>
      </c>
      <c r="T1877" s="56" t="s">
        <v>3061</v>
      </c>
      <c r="U1877" s="56" t="str">
        <f>IF(AND(ТабПозиции[[#This Row],[Остаток]]=0,ТабПозиции[[#This Row],[ord]]="true"),"true","false")</f>
        <v>true</v>
      </c>
      <c r="V1877" s="56" t="s">
        <v>3061</v>
      </c>
    </row>
    <row r="1878" spans="1:22" x14ac:dyDescent="0.25">
      <c r="A1878" s="26">
        <v>494</v>
      </c>
      <c r="B1878" s="1">
        <f>IFERROR(VLOOKUP(ТабПозиции[[#This Row],[orderNum]],ТабЗаказы[#Data],MATCH(B$7,ТабЗаказы[#Headers],0),0),"")</f>
        <v>45714</v>
      </c>
      <c r="C1878" s="95" t="str">
        <f>MONTH(ТабПозиции[[#This Row],[date]])&amp;"/"&amp;YEAR(ТабПозиции[[#This Row],[date]])</f>
        <v>2/2025</v>
      </c>
      <c r="D1878" s="1" t="str">
        <f>IFERROR(VLOOKUP(ТабПозиции[[#This Row],[orderNum]],ТабЗаказы[#Data],MATCH(D$7,ТабЗаказы[#Headers],0),0),"")</f>
        <v>Юлина Мама</v>
      </c>
      <c r="E1878" s="93" t="s">
        <v>2474</v>
      </c>
      <c r="F1878" s="56" t="s">
        <v>3061</v>
      </c>
      <c r="H1878" s="34">
        <v>45715</v>
      </c>
      <c r="I1878" s="96">
        <v>1</v>
      </c>
      <c r="J1878" s="96">
        <v>358</v>
      </c>
      <c r="K1878">
        <f>ТабПозиции[[#This Row],[discountPrice]]*ТабПозиции[[#This Row],[quantity]]</f>
        <v>358</v>
      </c>
      <c r="L1878" s="26">
        <v>377</v>
      </c>
      <c r="M1878">
        <f t="shared" si="44"/>
        <v>377</v>
      </c>
      <c r="N1878" s="96"/>
      <c r="O187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Row],[orderNum]],ТабПозиции[orderSumm])&gt;1500),ABS(M1878*VLOOKUP(ТабПозиции[[#This Row],[orderNum]],ТабЗаказы[#Data],MATCH("Percent",ТабЗаказы[#Headers],0),0))/100,200/COUNTIF(ТабПозиции[orderNum],ТабПозиции[[#This Row],[orderNum]])),0),"")</f>
        <v>57</v>
      </c>
      <c r="P1878" s="95">
        <f>IF(OR(ТабПозиции[[#This Row],[item]]="По штрихкоду",ТабПозиции[[#This Row],[item]]="Посылка"),ТабПозиции[[#This Row],[deliverySumm]]+ТабПозиции[[#This Row],[deliveryPost]],SUM(M1878:O1878))</f>
        <v>434</v>
      </c>
      <c r="Q1878" s="57">
        <v>434</v>
      </c>
      <c r="R1878" s="62">
        <f>ТабПозиции[[#This Row],[totalSumm]]-ТабПозиции[[#This Row],[payment]]</f>
        <v>0</v>
      </c>
      <c r="S1878" s="34" t="s">
        <v>965</v>
      </c>
      <c r="T1878" s="56" t="s">
        <v>3061</v>
      </c>
      <c r="U1878" s="56" t="str">
        <f>IF(AND(ТабПозиции[[#This Row],[Остаток]]=0,ТабПозиции[[#This Row],[ord]]="true"),"true","false")</f>
        <v>true</v>
      </c>
      <c r="V1878" s="56" t="s">
        <v>3061</v>
      </c>
    </row>
    <row r="1879" spans="1:22" x14ac:dyDescent="0.25">
      <c r="A1879" s="26">
        <v>494</v>
      </c>
      <c r="B1879" s="1">
        <f>IFERROR(VLOOKUP(ТабПозиции[[#This Row],[orderNum]],ТабЗаказы[#Data],MATCH(B$7,ТабЗаказы[#Headers],0),0),"")</f>
        <v>45714</v>
      </c>
      <c r="C1879" s="95" t="str">
        <f>MONTH(ТабПозиции[[#This Row],[date]])&amp;"/"&amp;YEAR(ТабПозиции[[#This Row],[date]])</f>
        <v>2/2025</v>
      </c>
      <c r="D1879" s="1" t="str">
        <f>IFERROR(VLOOKUP(ТабПозиции[[#This Row],[orderNum]],ТабЗаказы[#Data],MATCH(D$7,ТабЗаказы[#Headers],0),0),"")</f>
        <v>Юлина Мама</v>
      </c>
      <c r="E1879" s="93" t="s">
        <v>2557</v>
      </c>
      <c r="F1879" s="56" t="s">
        <v>3061</v>
      </c>
      <c r="H1879" s="34">
        <v>45716</v>
      </c>
      <c r="I1879" s="96">
        <v>1</v>
      </c>
      <c r="J1879" s="96">
        <v>204</v>
      </c>
      <c r="K1879">
        <f>ТабПозиции[[#This Row],[discountPrice]]*ТабПозиции[[#This Row],[quantity]]</f>
        <v>204</v>
      </c>
      <c r="L1879" s="26">
        <v>215</v>
      </c>
      <c r="M1879">
        <f t="shared" si="44"/>
        <v>215</v>
      </c>
      <c r="N1879" s="96"/>
      <c r="O187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Row],[orderNum]],ТабПозиции[orderSumm])&gt;1500),ABS(M1879*VLOOKUP(ТабПозиции[[#This Row],[orderNum]],ТабЗаказы[#Data],MATCH("Percent",ТабЗаказы[#Headers],0),0))/100,200/COUNTIF(ТабПозиции[orderNum],ТабПозиции[[#This Row],[orderNum]])),0),"")</f>
        <v>32</v>
      </c>
      <c r="P1879" s="95">
        <f>IF(OR(ТабПозиции[[#This Row],[item]]="По штрихкоду",ТабПозиции[[#This Row],[item]]="Посылка"),ТабПозиции[[#This Row],[deliverySumm]]+ТабПозиции[[#This Row],[deliveryPost]],SUM(M1879:O1879))</f>
        <v>247</v>
      </c>
      <c r="Q1879" s="57">
        <v>247</v>
      </c>
      <c r="R1879" s="62">
        <f>ТабПозиции[[#This Row],[totalSumm]]-ТабПозиции[[#This Row],[payment]]</f>
        <v>0</v>
      </c>
      <c r="S1879" s="34" t="s">
        <v>965</v>
      </c>
      <c r="T1879" s="56" t="s">
        <v>3061</v>
      </c>
      <c r="U1879" s="56" t="str">
        <f>IF(AND(ТабПозиции[[#This Row],[Остаток]]=0,ТабПозиции[[#This Row],[ord]]="true"),"true","false")</f>
        <v>true</v>
      </c>
      <c r="V1879" s="56" t="s">
        <v>3061</v>
      </c>
    </row>
    <row r="1880" spans="1:22" x14ac:dyDescent="0.25">
      <c r="A1880" s="26">
        <v>494</v>
      </c>
      <c r="B1880" s="1">
        <f>IFERROR(VLOOKUP(ТабПозиции[[#This Row],[orderNum]],ТабЗаказы[#Data],MATCH(B$7,ТабЗаказы[#Headers],0),0),"")</f>
        <v>45714</v>
      </c>
      <c r="C1880" s="95" t="str">
        <f>MONTH(ТабПозиции[[#This Row],[date]])&amp;"/"&amp;YEAR(ТабПозиции[[#This Row],[date]])</f>
        <v>2/2025</v>
      </c>
      <c r="D1880" s="1" t="str">
        <f>IFERROR(VLOOKUP(ТабПозиции[[#This Row],[orderNum]],ТабЗаказы[#Data],MATCH(D$7,ТабЗаказы[#Headers],0),0),"")</f>
        <v>Юлина Мама</v>
      </c>
      <c r="E1880" s="93" t="s">
        <v>2558</v>
      </c>
      <c r="F1880" s="56" t="s">
        <v>3061</v>
      </c>
      <c r="H1880" s="34">
        <v>45715</v>
      </c>
      <c r="I1880" s="96">
        <v>1</v>
      </c>
      <c r="J1880" s="96">
        <v>732</v>
      </c>
      <c r="K1880">
        <f>ТабПозиции[[#This Row],[discountPrice]]*ТабПозиции[[#This Row],[quantity]]</f>
        <v>732</v>
      </c>
      <c r="L1880" s="26">
        <v>771</v>
      </c>
      <c r="M1880">
        <f t="shared" si="44"/>
        <v>771</v>
      </c>
      <c r="N1880" s="96"/>
      <c r="O188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Row],[orderNum]],ТабПозиции[orderSumm])&gt;1500),ABS(M1880*VLOOKUP(ТабПозиции[[#This Row],[orderNum]],ТабЗаказы[#Data],MATCH("Percent",ТабЗаказы[#Headers],0),0))/100,200/COUNTIF(ТабПозиции[orderNum],ТабПозиции[[#This Row],[orderNum]])),0),"")</f>
        <v>116</v>
      </c>
      <c r="P1880" s="95">
        <f>IF(OR(ТабПозиции[[#This Row],[item]]="По штрихкоду",ТабПозиции[[#This Row],[item]]="Посылка"),ТабПозиции[[#This Row],[deliverySumm]]+ТабПозиции[[#This Row],[deliveryPost]],SUM(M1880:O1880))</f>
        <v>887</v>
      </c>
      <c r="Q1880" s="57">
        <v>887</v>
      </c>
      <c r="R1880" s="62">
        <f>ТабПозиции[[#This Row],[totalSumm]]-ТабПозиции[[#This Row],[payment]]</f>
        <v>0</v>
      </c>
      <c r="S1880" s="34" t="s">
        <v>965</v>
      </c>
      <c r="T1880" s="56" t="s">
        <v>3061</v>
      </c>
      <c r="U1880" s="56" t="str">
        <f>IF(AND(ТабПозиции[[#This Row],[Остаток]]=0,ТабПозиции[[#This Row],[ord]]="true"),"true","false")</f>
        <v>true</v>
      </c>
      <c r="V1880" s="56" t="s">
        <v>3061</v>
      </c>
    </row>
    <row r="1881" spans="1:22" x14ac:dyDescent="0.25">
      <c r="A1881" s="26">
        <v>495</v>
      </c>
      <c r="B1881" s="1">
        <f>IFERROR(VLOOKUP(ТабПозиции[[#This Row],[orderNum]],ТабЗаказы[#Data],MATCH(B$7,ТабЗаказы[#Headers],0),0),"")</f>
        <v>45715</v>
      </c>
      <c r="C1881" s="95" t="str">
        <f>MONTH(ТабПозиции[[#This Row],[date]])&amp;"/"&amp;YEAR(ТабПозиции[[#This Row],[date]])</f>
        <v>2/2025</v>
      </c>
      <c r="D1881" s="1" t="str">
        <f>IFERROR(VLOOKUP(ТабПозиции[[#This Row],[orderNum]],ТабЗаказы[#Data],MATCH(D$7,ТабЗаказы[#Headers],0),0),"")</f>
        <v>Светлана от Александра</v>
      </c>
      <c r="E1881" s="93" t="s">
        <v>2559</v>
      </c>
      <c r="F1881" s="56" t="s">
        <v>3061</v>
      </c>
      <c r="H1881" s="34">
        <v>45720</v>
      </c>
      <c r="I1881" s="96">
        <v>1</v>
      </c>
      <c r="J1881" s="96">
        <v>1621</v>
      </c>
      <c r="K1881">
        <f>ТабПозиции[[#This Row],[discountPrice]]*ТабПозиции[[#This Row],[quantity]]</f>
        <v>1621</v>
      </c>
      <c r="L1881" s="26">
        <v>1713</v>
      </c>
      <c r="M1881">
        <f t="shared" si="44"/>
        <v>1713</v>
      </c>
      <c r="N1881" s="96"/>
      <c r="O188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Row],[orderNum]],ТабПозиции[orderSumm])&gt;1500),ABS(M1881*VLOOKUP(ТабПозиции[[#This Row],[orderNum]],ТабЗаказы[#Data],MATCH("Percent",ТабЗаказы[#Headers],0),0))/100,200/COUNTIF(ТабПозиции[orderNum],ТабПозиции[[#This Row],[orderNum]])),0),"")</f>
        <v>257</v>
      </c>
      <c r="P1881" s="95">
        <f>IF(OR(ТабПозиции[[#This Row],[item]]="По штрихкоду",ТабПозиции[[#This Row],[item]]="Посылка"),ТабПозиции[[#This Row],[deliverySumm]]+ТабПозиции[[#This Row],[deliveryPost]],SUM(M1881:O1881))</f>
        <v>1970</v>
      </c>
      <c r="Q1881" s="57">
        <v>1970</v>
      </c>
      <c r="R1881" s="62">
        <f>ТабПозиции[[#This Row],[totalSumm]]-ТабПозиции[[#This Row],[payment]]</f>
        <v>0</v>
      </c>
      <c r="S1881" s="34" t="s">
        <v>955</v>
      </c>
      <c r="T1881" s="56" t="s">
        <v>3061</v>
      </c>
      <c r="U1881" s="56" t="str">
        <f>IF(AND(ТабПозиции[[#This Row],[Остаток]]=0,ТабПозиции[[#This Row],[ord]]="true"),"true","false")</f>
        <v>true</v>
      </c>
      <c r="V1881" s="56" t="s">
        <v>3061</v>
      </c>
    </row>
    <row r="1882" spans="1:22" x14ac:dyDescent="0.25">
      <c r="A1882" s="26">
        <v>495</v>
      </c>
      <c r="B1882" s="1">
        <f>IFERROR(VLOOKUP(ТабПозиции[[#This Row],[orderNum]],ТабЗаказы[#Data],MATCH(B$7,ТабЗаказы[#Headers],0),0),"")</f>
        <v>45715</v>
      </c>
      <c r="C1882" s="95" t="str">
        <f>MONTH(ТабПозиции[[#This Row],[date]])&amp;"/"&amp;YEAR(ТабПозиции[[#This Row],[date]])</f>
        <v>2/2025</v>
      </c>
      <c r="D1882" s="1" t="str">
        <f>IFERROR(VLOOKUP(ТабПозиции[[#This Row],[orderNum]],ТабЗаказы[#Data],MATCH(D$7,ТабЗаказы[#Headers],0),0),"")</f>
        <v>Светлана от Александра</v>
      </c>
      <c r="E1882" s="93" t="s">
        <v>2560</v>
      </c>
      <c r="F1882" s="56" t="s">
        <v>3061</v>
      </c>
      <c r="H1882" s="34">
        <v>45716</v>
      </c>
      <c r="I1882" s="96">
        <v>1</v>
      </c>
      <c r="J1882" s="96">
        <v>582</v>
      </c>
      <c r="K1882">
        <f>ТабПозиции[[#This Row],[discountPrice]]*ТабПозиции[[#This Row],[quantity]]</f>
        <v>582</v>
      </c>
      <c r="L1882" s="26">
        <v>613</v>
      </c>
      <c r="M1882">
        <f t="shared" si="44"/>
        <v>613</v>
      </c>
      <c r="N1882" s="96"/>
      <c r="O188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Row],[orderNum]],ТабПозиции[orderSumm])&gt;1500),ABS(M1882*VLOOKUP(ТабПозиции[[#This Row],[orderNum]],ТабЗаказы[#Data],MATCH("Percent",ТабЗаказы[#Headers],0),0))/100,200/COUNTIF(ТабПозиции[orderNum],ТабПозиции[[#This Row],[orderNum]])),0),"")</f>
        <v>92</v>
      </c>
      <c r="P1882" s="95">
        <f>IF(OR(ТабПозиции[[#This Row],[item]]="По штрихкоду",ТабПозиции[[#This Row],[item]]="Посылка"),ТабПозиции[[#This Row],[deliverySumm]]+ТабПозиции[[#This Row],[deliveryPost]],SUM(M1882:O1882))</f>
        <v>705</v>
      </c>
      <c r="Q1882" s="57">
        <v>705</v>
      </c>
      <c r="R1882" s="62">
        <f>ТабПозиции[[#This Row],[totalSumm]]-ТабПозиции[[#This Row],[payment]]</f>
        <v>0</v>
      </c>
      <c r="S1882" s="34" t="s">
        <v>965</v>
      </c>
      <c r="T1882" s="56" t="s">
        <v>3061</v>
      </c>
      <c r="U1882" s="56" t="str">
        <f>IF(AND(ТабПозиции[[#This Row],[Остаток]]=0,ТабПозиции[[#This Row],[ord]]="true"),"true","false")</f>
        <v>true</v>
      </c>
      <c r="V1882" s="56" t="s">
        <v>3061</v>
      </c>
    </row>
    <row r="1883" spans="1:22" x14ac:dyDescent="0.25">
      <c r="A1883" s="26">
        <v>495</v>
      </c>
      <c r="B1883" s="1">
        <f>IFERROR(VLOOKUP(ТабПозиции[[#This Row],[orderNum]],ТабЗаказы[#Data],MATCH(B$7,ТабЗаказы[#Headers],0),0),"")</f>
        <v>45715</v>
      </c>
      <c r="C1883" s="95" t="str">
        <f>MONTH(ТабПозиции[[#This Row],[date]])&amp;"/"&amp;YEAR(ТабПозиции[[#This Row],[date]])</f>
        <v>2/2025</v>
      </c>
      <c r="D1883" s="1" t="str">
        <f>IFERROR(VLOOKUP(ТабПозиции[[#This Row],[orderNum]],ТабЗаказы[#Data],MATCH(D$7,ТабЗаказы[#Headers],0),0),"")</f>
        <v>Светлана от Александра</v>
      </c>
      <c r="E1883" s="93" t="s">
        <v>1643</v>
      </c>
      <c r="F1883" s="56" t="s">
        <v>3061</v>
      </c>
      <c r="H1883" s="34">
        <v>45718</v>
      </c>
      <c r="I1883" s="96">
        <v>1</v>
      </c>
      <c r="J1883" s="96">
        <v>866</v>
      </c>
      <c r="K1883">
        <f>ТабПозиции[[#This Row],[discountPrice]]*ТабПозиции[[#This Row],[quantity]]</f>
        <v>866</v>
      </c>
      <c r="L1883" s="26">
        <v>912</v>
      </c>
      <c r="M1883">
        <f t="shared" si="44"/>
        <v>912</v>
      </c>
      <c r="N1883" s="96"/>
      <c r="O188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Row],[orderNum]],ТабПозиции[orderSumm])&gt;1500),ABS(M1883*VLOOKUP(ТабПозиции[[#This Row],[orderNum]],ТабЗаказы[#Data],MATCH("Percent",ТабЗаказы[#Headers],0),0))/100,200/COUNTIF(ТабПозиции[orderNum],ТабПозиции[[#This Row],[orderNum]])),0),"")</f>
        <v>137</v>
      </c>
      <c r="P1883" s="95">
        <f>IF(OR(ТабПозиции[[#This Row],[item]]="По штрихкоду",ТабПозиции[[#This Row],[item]]="Посылка"),ТабПозиции[[#This Row],[deliverySumm]]+ТабПозиции[[#This Row],[deliveryPost]],SUM(M1883:O1883))</f>
        <v>1049</v>
      </c>
      <c r="Q1883" s="57">
        <v>1049</v>
      </c>
      <c r="R1883" s="62">
        <f>ТабПозиции[[#This Row],[totalSumm]]-ТабПозиции[[#This Row],[payment]]</f>
        <v>0</v>
      </c>
      <c r="S1883" s="34" t="s">
        <v>965</v>
      </c>
      <c r="T1883" s="56" t="s">
        <v>3061</v>
      </c>
      <c r="U1883" s="56" t="str">
        <f>IF(AND(ТабПозиции[[#This Row],[Остаток]]=0,ТабПозиции[[#This Row],[ord]]="true"),"true","false")</f>
        <v>true</v>
      </c>
      <c r="V1883" s="56" t="s">
        <v>3061</v>
      </c>
    </row>
    <row r="1884" spans="1:22" x14ac:dyDescent="0.25">
      <c r="A1884" s="26">
        <v>495</v>
      </c>
      <c r="B1884" s="1">
        <f>IFERROR(VLOOKUP(ТабПозиции[[#This Row],[orderNum]],ТабЗаказы[#Data],MATCH(B$7,ТабЗаказы[#Headers],0),0),"")</f>
        <v>45715</v>
      </c>
      <c r="C1884" s="95" t="str">
        <f>MONTH(ТабПозиции[[#This Row],[date]])&amp;"/"&amp;YEAR(ТабПозиции[[#This Row],[date]])</f>
        <v>2/2025</v>
      </c>
      <c r="D1884" s="1" t="str">
        <f>IFERROR(VLOOKUP(ТабПозиции[[#This Row],[orderNum]],ТабЗаказы[#Data],MATCH(D$7,ТабЗаказы[#Headers],0),0),"")</f>
        <v>Светлана от Александра</v>
      </c>
      <c r="E1884" s="93" t="s">
        <v>1699</v>
      </c>
      <c r="F1884" s="56" t="s">
        <v>3061</v>
      </c>
      <c r="H1884" s="34">
        <v>45724</v>
      </c>
      <c r="I1884" s="96">
        <v>1</v>
      </c>
      <c r="J1884" s="96">
        <v>733</v>
      </c>
      <c r="K1884">
        <f>ТабПозиции[[#This Row],[discountPrice]]*ТабПозиции[[#This Row],[quantity]]</f>
        <v>733</v>
      </c>
      <c r="L1884" s="26">
        <v>772</v>
      </c>
      <c r="M1884">
        <f t="shared" si="44"/>
        <v>772</v>
      </c>
      <c r="N1884" s="96"/>
      <c r="O188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Row],[orderNum]],ТабПозиции[orderSumm])&gt;1500),ABS(M1884*VLOOKUP(ТабПозиции[[#This Row],[orderNum]],ТабЗаказы[#Data],MATCH("Percent",ТабЗаказы[#Headers],0),0))/100,200/COUNTIF(ТабПозиции[orderNum],ТабПозиции[[#This Row],[orderNum]])),0),"")</f>
        <v>116</v>
      </c>
      <c r="P1884" s="95">
        <f>IF(OR(ТабПозиции[[#This Row],[item]]="По штрихкоду",ТабПозиции[[#This Row],[item]]="Посылка"),ТабПозиции[[#This Row],[deliverySumm]]+ТабПозиции[[#This Row],[deliveryPost]],SUM(M1884:O1884))</f>
        <v>888</v>
      </c>
      <c r="Q1884" s="57">
        <v>888</v>
      </c>
      <c r="R1884" s="62">
        <f>ТабПозиции[[#This Row],[totalSumm]]-ТабПозиции[[#This Row],[payment]]</f>
        <v>0</v>
      </c>
      <c r="S1884" s="34" t="s">
        <v>965</v>
      </c>
      <c r="T1884" s="56" t="s">
        <v>3061</v>
      </c>
      <c r="U1884" s="56" t="str">
        <f>IF(AND(ТабПозиции[[#This Row],[Остаток]]=0,ТабПозиции[[#This Row],[ord]]="true"),"true","false")</f>
        <v>true</v>
      </c>
      <c r="V1884" s="56" t="s">
        <v>3061</v>
      </c>
    </row>
    <row r="1885" spans="1:22" x14ac:dyDescent="0.25">
      <c r="A1885" s="26">
        <v>496</v>
      </c>
      <c r="B1885" s="1">
        <f>IFERROR(VLOOKUP(ТабПозиции[[#This Row],[orderNum]],ТабЗаказы[#Data],MATCH(B$7,ТабЗаказы[#Headers],0),0),"")</f>
        <v>45716</v>
      </c>
      <c r="C1885" s="95" t="str">
        <f>MONTH(ТабПозиции[[#This Row],[date]])&amp;"/"&amp;YEAR(ТабПозиции[[#This Row],[date]])</f>
        <v>2/2025</v>
      </c>
      <c r="D1885" s="1" t="str">
        <f>IFERROR(VLOOKUP(ТабПозиции[[#This Row],[orderNum]],ТабЗаказы[#Data],MATCH(D$7,ТабЗаказы[#Headers],0),0),"")</f>
        <v>Максим телевизор</v>
      </c>
      <c r="E1885" s="26" t="s">
        <v>815</v>
      </c>
      <c r="F1885" s="56" t="s">
        <v>3061</v>
      </c>
      <c r="G1885" s="47" t="s">
        <v>2561</v>
      </c>
      <c r="H1885" s="34">
        <v>45716</v>
      </c>
      <c r="I1885" s="96">
        <v>1</v>
      </c>
      <c r="J1885" s="96">
        <v>1152</v>
      </c>
      <c r="K1885">
        <f>ТабПозиции[[#This Row],[discountPrice]]*ТабПозиции[[#This Row],[quantity]]</f>
        <v>1152</v>
      </c>
      <c r="L1885" s="26">
        <v>1152</v>
      </c>
      <c r="M1885">
        <f t="shared" si="44"/>
        <v>1152</v>
      </c>
      <c r="N1885" s="96"/>
      <c r="O188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Row],[orderNum]],ТабПозиции[orderSumm])&gt;1500),ABS(M1885*VLOOKUP(ТабПозиции[[#This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885" s="95">
        <f>IF(OR(ТабПозиции[[#This Row],[item]]="По штрихкоду",ТабПозиции[[#This Row],[item]]="Посылка"),ТабПозиции[[#This Row],[deliverySumm]]+ТабПозиции[[#This Row],[deliveryPost]],SUM(M1885:O1885))</f>
        <v>200</v>
      </c>
      <c r="Q1885" s="57">
        <v>200</v>
      </c>
      <c r="R1885" s="62">
        <f>ТабПозиции[[#This Row],[totalSumm]]-ТабПозиции[[#This Row],[payment]]</f>
        <v>0</v>
      </c>
      <c r="S1885" s="34" t="s">
        <v>1000</v>
      </c>
      <c r="T1885" s="56" t="s">
        <v>3061</v>
      </c>
      <c r="U1885" s="56" t="str">
        <f>IF(AND(ТабПозиции[[#This Row],[Остаток]]=0,ТабПозиции[[#This Row],[ord]]="true"),"true","false")</f>
        <v>true</v>
      </c>
      <c r="V1885" s="56" t="s">
        <v>3061</v>
      </c>
    </row>
    <row r="1886" spans="1:22" x14ac:dyDescent="0.25">
      <c r="A1886" s="26">
        <v>497</v>
      </c>
      <c r="B1886" s="1">
        <f>IFERROR(VLOOKUP(ТабПозиции[[#This Row],[orderNum]],ТабЗаказы[#Data],MATCH(B$7,ТабЗаказы[#Headers],0),0),"")</f>
        <v>45716</v>
      </c>
      <c r="C1886" s="95" t="str">
        <f>MONTH(ТабПозиции[[#This Row],[date]])&amp;"/"&amp;YEAR(ТабПозиции[[#This Row],[date]])</f>
        <v>2/2025</v>
      </c>
      <c r="D1886" s="1" t="str">
        <f>IFERROR(VLOOKUP(ТабПозиции[[#This Row],[orderNum]],ТабЗаказы[#Data],MATCH(D$7,ТабЗаказы[#Headers],0),0),"")</f>
        <v>Наталья Лунина 13</v>
      </c>
      <c r="E1886" s="26" t="s">
        <v>32</v>
      </c>
      <c r="F1886" s="56" t="s">
        <v>3061</v>
      </c>
      <c r="H1886" s="34">
        <v>45716</v>
      </c>
      <c r="I1886" s="96">
        <v>1</v>
      </c>
      <c r="J1886" s="96">
        <v>2226</v>
      </c>
      <c r="K1886">
        <f>ТабПозиции[[#This Row],[discountPrice]]*ТабПозиции[[#This Row],[quantity]]</f>
        <v>2226</v>
      </c>
      <c r="L1886" s="26">
        <v>2226</v>
      </c>
      <c r="M1886">
        <f t="shared" si="44"/>
        <v>2226</v>
      </c>
      <c r="N1886" s="96"/>
      <c r="O188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Row],[orderNum]],ТабПозиции[orderSumm])&gt;1500),ABS(M1886*VLOOKUP(ТабПозиции[[#This Row],[orderNum]],ТабЗаказы[#Data],MATCH("Percent",ТабЗаказы[#Headers],0),0))/100,200/COUNTIF(ТабПозиции[orderNum],ТабПозиции[[#This Row],[orderNum]])),0),"")</f>
        <v>334</v>
      </c>
      <c r="P1886" s="95">
        <f>IF(OR(ТабПозиции[[#This Row],[item]]="По штрихкоду",ТабПозиции[[#This Row],[item]]="Посылка"),ТабПозиции[[#This Row],[deliverySumm]]+ТабПозиции[[#This Row],[deliveryPost]],SUM(M1886:O1886))</f>
        <v>334</v>
      </c>
      <c r="Q1886" s="57">
        <v>334</v>
      </c>
      <c r="R1886" s="62">
        <f>ТабПозиции[[#This Row],[totalSumm]]-ТабПозиции[[#This Row],[payment]]</f>
        <v>0</v>
      </c>
      <c r="S1886" s="34" t="s">
        <v>965</v>
      </c>
      <c r="T1886" s="56" t="s">
        <v>3061</v>
      </c>
      <c r="U1886" s="56" t="str">
        <f>IF(AND(ТабПозиции[[#This Row],[Остаток]]=0,ТабПозиции[[#This Row],[ord]]="true"),"true","false")</f>
        <v>true</v>
      </c>
      <c r="V1886" s="56" t="s">
        <v>3061</v>
      </c>
    </row>
    <row r="1887" spans="1:22" x14ac:dyDescent="0.25">
      <c r="A1887" s="26">
        <v>492</v>
      </c>
      <c r="B1887" s="1">
        <f>IFERROR(VLOOKUP(ТабПозиции[[#This Row],[orderNum]],ТабЗаказы[#Data],MATCH(B$7,ТабЗаказы[#Headers],0),0),"")</f>
        <v>45712</v>
      </c>
      <c r="C1887" s="95" t="str">
        <f>MONTH(ТабПозиции[[#This Row],[date]])&amp;"/"&amp;YEAR(ТабПозиции[[#This Row],[date]])</f>
        <v>2/2025</v>
      </c>
      <c r="D1887" s="1" t="str">
        <f>IFERROR(VLOOKUP(ТабПозиции[[#This Row],[orderNum]],ТабЗаказы[#Data],MATCH(D$7,ТабЗаказы[#Headers],0),0),"")</f>
        <v>Александр 3 Металлургов</v>
      </c>
      <c r="E1887" s="93" t="s">
        <v>2576</v>
      </c>
      <c r="F1887" s="56" t="s">
        <v>3061</v>
      </c>
      <c r="H1887" s="34">
        <v>45709</v>
      </c>
      <c r="I1887" s="96">
        <v>1</v>
      </c>
      <c r="J1887" s="96">
        <v>756</v>
      </c>
      <c r="K1887">
        <f>ТабПозиции[[#This Row],[discountPrice]]*ТабПозиции[[#This Row],[quantity]]</f>
        <v>756</v>
      </c>
      <c r="L1887" s="26">
        <v>812</v>
      </c>
      <c r="M1887">
        <f t="shared" si="44"/>
        <v>812</v>
      </c>
      <c r="N1887" s="96"/>
      <c r="O188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Row],[orderNum]],ТабПозиции[orderSumm])&gt;1500),ABS(M1887*VLOOKUP(ТабПозиции[[#This Row],[orderNum]],ТабЗаказы[#Data],MATCH("Percent",ТабЗаказы[#Headers],0),0))/100,200/COUNTIF(ТабПозиции[orderNum],ТабПозиции[[#This Row],[orderNum]])),0),"")</f>
        <v>122</v>
      </c>
      <c r="P1887" s="95">
        <f>IF(OR(ТабПозиции[[#This Row],[item]]="По штрихкоду",ТабПозиции[[#This Row],[item]]="Посылка"),ТабПозиции[[#This Row],[deliverySumm]]+ТабПозиции[[#This Row],[deliveryPost]],SUM(M1887:O1887))</f>
        <v>934</v>
      </c>
      <c r="Q1887" s="57">
        <v>934</v>
      </c>
      <c r="R1887" s="62">
        <f>ТабПозиции[[#This Row],[totalSumm]]-ТабПозиции[[#This Row],[payment]]</f>
        <v>0</v>
      </c>
      <c r="S1887" s="34" t="s">
        <v>955</v>
      </c>
      <c r="T1887" s="56" t="s">
        <v>3061</v>
      </c>
      <c r="U1887" s="56" t="str">
        <f>IF(AND(ТабПозиции[[#This Row],[Остаток]]=0,ТабПозиции[[#This Row],[ord]]="true"),"true","false")</f>
        <v>true</v>
      </c>
      <c r="V1887" s="56" t="s">
        <v>3061</v>
      </c>
    </row>
    <row r="1888" spans="1:22" x14ac:dyDescent="0.25">
      <c r="A1888" s="26">
        <v>492</v>
      </c>
      <c r="B1888" s="1">
        <f>IFERROR(VLOOKUP(ТабПозиции[[#This Row],[orderNum]],ТабЗаказы[#Data],MATCH(B$7,ТабЗаказы[#Headers],0),0),"")</f>
        <v>45712</v>
      </c>
      <c r="C1888" s="95" t="str">
        <f>MONTH(ТабПозиции[[#This Row],[date]])&amp;"/"&amp;YEAR(ТабПозиции[[#This Row],[date]])</f>
        <v>2/2025</v>
      </c>
      <c r="D1888" s="1" t="str">
        <f>IFERROR(VLOOKUP(ТабПозиции[[#This Row],[orderNum]],ТабЗаказы[#Data],MATCH(D$7,ТабЗаказы[#Headers],0),0),"")</f>
        <v>Александр 3 Металлургов</v>
      </c>
      <c r="E1888" s="93" t="s">
        <v>2577</v>
      </c>
      <c r="F1888" s="56" t="s">
        <v>3061</v>
      </c>
      <c r="H1888" s="34">
        <v>45709</v>
      </c>
      <c r="I1888" s="96">
        <v>1</v>
      </c>
      <c r="J1888" s="96">
        <v>526</v>
      </c>
      <c r="K1888">
        <f>ТабПозиции[[#This Row],[discountPrice]]*ТабПозиции[[#This Row],[quantity]]</f>
        <v>526</v>
      </c>
      <c r="L1888" s="26">
        <v>567</v>
      </c>
      <c r="M1888">
        <f t="shared" si="44"/>
        <v>567</v>
      </c>
      <c r="N1888" s="96"/>
      <c r="O188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Row],[orderNum]],ТабПозиции[orderSumm])&gt;1500),ABS(M1888*VLOOKUP(ТабПозиции[[#This Row],[orderNum]],ТабЗаказы[#Data],MATCH("Percent",ТабЗаказы[#Headers],0),0))/100,200/COUNTIF(ТабПозиции[orderNum],ТабПозиции[[#This Row],[orderNum]])),0),"")</f>
        <v>85</v>
      </c>
      <c r="P1888" s="95">
        <f>IF(OR(ТабПозиции[[#This Row],[item]]="По штрихкоду",ТабПозиции[[#This Row],[item]]="Посылка"),ТабПозиции[[#This Row],[deliverySumm]]+ТабПозиции[[#This Row],[deliveryPost]],SUM(M1888:O1888))</f>
        <v>652</v>
      </c>
      <c r="Q1888" s="57">
        <v>652</v>
      </c>
      <c r="R1888" s="62">
        <f>ТабПозиции[[#This Row],[totalSumm]]-ТабПозиции[[#This Row],[payment]]</f>
        <v>0</v>
      </c>
      <c r="S1888" s="34" t="s">
        <v>955</v>
      </c>
      <c r="T1888" s="56" t="s">
        <v>3061</v>
      </c>
      <c r="U1888" s="56" t="str">
        <f>IF(AND(ТабПозиции[[#This Row],[Остаток]]=0,ТабПозиции[[#This Row],[ord]]="true"),"true","false")</f>
        <v>true</v>
      </c>
      <c r="V1888" s="56" t="s">
        <v>3061</v>
      </c>
    </row>
    <row r="1889" spans="1:22" x14ac:dyDescent="0.25">
      <c r="A1889" s="26">
        <v>498</v>
      </c>
      <c r="B1889" s="1">
        <f>IFERROR(VLOOKUP(ТабПозиции[[#This Row],[orderNum]],ТабЗаказы[#Data],MATCH(B$7,ТабЗаказы[#Headers],0),0),"")</f>
        <v>45716</v>
      </c>
      <c r="C1889" s="95" t="str">
        <f>MONTH(ТабПозиции[[#This Row],[date]])&amp;"/"&amp;YEAR(ТабПозиции[[#This Row],[date]])</f>
        <v>2/2025</v>
      </c>
      <c r="D1889" s="1" t="str">
        <f>IFERROR(VLOOKUP(ТабПозиции[[#This Row],[orderNum]],ТабЗаказы[#Data],MATCH(D$7,ТабЗаказы[#Headers],0),0),"")</f>
        <v>Игорь Рельефная</v>
      </c>
      <c r="E1889" s="93" t="s">
        <v>2579</v>
      </c>
      <c r="F1889" s="56" t="s">
        <v>3061</v>
      </c>
      <c r="H1889" s="34">
        <v>45717</v>
      </c>
      <c r="I1889" s="96">
        <v>1</v>
      </c>
      <c r="J1889" s="96">
        <v>1068</v>
      </c>
      <c r="K1889">
        <f>ТабПозиции[[#This Row],[discountPrice]]*ТабПозиции[[#This Row],[quantity]]</f>
        <v>1068</v>
      </c>
      <c r="L1889" s="26">
        <v>1145</v>
      </c>
      <c r="M1889">
        <f t="shared" si="44"/>
        <v>1145</v>
      </c>
      <c r="N1889" s="96"/>
      <c r="O188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Row],[orderNum]],ТабПозиции[orderSumm])&gt;1500),ABS(M1889*VLOOKUP(ТабПозиции[[#This Row],[orderNum]],ТабЗаказы[#Data],MATCH("Percent",ТабЗаказы[#Headers],0),0))/100,200/COUNTIF(ТабПозиции[orderNum],ТабПозиции[[#This Row],[orderNum]])),0),"")</f>
        <v>172</v>
      </c>
      <c r="P1889" s="95">
        <f>IF(OR(ТабПозиции[[#This Row],[item]]="По штрихкоду",ТабПозиции[[#This Row],[item]]="Посылка"),ТабПозиции[[#This Row],[deliverySumm]]+ТабПозиции[[#This Row],[deliveryPost]],SUM(M1889:O1889))</f>
        <v>1317</v>
      </c>
      <c r="Q1889" s="57">
        <v>1317</v>
      </c>
      <c r="R1889" s="62">
        <f>ТабПозиции[[#This Row],[totalSumm]]-ТабПозиции[[#This Row],[payment]]</f>
        <v>0</v>
      </c>
      <c r="S1889" s="34" t="s">
        <v>955</v>
      </c>
      <c r="T1889" s="56" t="s">
        <v>3061</v>
      </c>
      <c r="U1889" s="56" t="str">
        <f>IF(AND(ТабПозиции[[#This Row],[Остаток]]=0,ТабПозиции[[#This Row],[ord]]="true"),"true","false")</f>
        <v>true</v>
      </c>
      <c r="V1889" s="56" t="s">
        <v>3061</v>
      </c>
    </row>
    <row r="1890" spans="1:22" x14ac:dyDescent="0.25">
      <c r="A1890" s="26">
        <v>498</v>
      </c>
      <c r="B1890" s="1">
        <f>IFERROR(VLOOKUP(ТабПозиции[[#This Row],[orderNum]],ТабЗаказы[#Data],MATCH(B$7,ТабЗаказы[#Headers],0),0),"")</f>
        <v>45716</v>
      </c>
      <c r="C1890" s="95" t="str">
        <f>MONTH(ТабПозиции[[#This Row],[date]])&amp;"/"&amp;YEAR(ТабПозиции[[#This Row],[date]])</f>
        <v>2/2025</v>
      </c>
      <c r="D1890" s="1" t="str">
        <f>IFERROR(VLOOKUP(ТабПозиции[[#This Row],[orderNum]],ТабЗаказы[#Data],MATCH(D$7,ТабЗаказы[#Headers],0),0),"")</f>
        <v>Игорь Рельефная</v>
      </c>
      <c r="E1890" s="93" t="s">
        <v>2580</v>
      </c>
      <c r="F1890" s="56" t="s">
        <v>3061</v>
      </c>
      <c r="H1890" s="34">
        <v>45721</v>
      </c>
      <c r="I1890" s="96">
        <v>1</v>
      </c>
      <c r="J1890" s="96">
        <v>318</v>
      </c>
      <c r="K1890">
        <f>ТабПозиции[[#This Row],[discountPrice]]*ТабПозиции[[#This Row],[quantity]]</f>
        <v>318</v>
      </c>
      <c r="L1890" s="26">
        <v>326</v>
      </c>
      <c r="M1890">
        <f t="shared" si="44"/>
        <v>326</v>
      </c>
      <c r="N1890" s="96"/>
      <c r="O189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Row],[orderNum]],ТабПозиции[orderSumm])&gt;1500),ABS(M1890*VLOOKUP(ТабПозиции[[#This Row],[orderNum]],ТабЗаказы[#Data],MATCH("Percent",ТабЗаказы[#Headers],0),0))/100,200/COUNTIF(ТабПозиции[orderNum],ТабПозиции[[#This Row],[orderNum]])),0),"")</f>
        <v>49</v>
      </c>
      <c r="P1890" s="95">
        <f>IF(OR(ТабПозиции[[#This Row],[item]]="По штрихкоду",ТабПозиции[[#This Row],[item]]="Посылка"),ТабПозиции[[#This Row],[deliverySumm]]+ТабПозиции[[#This Row],[deliveryPost]],SUM(M1890:O1890))</f>
        <v>375</v>
      </c>
      <c r="Q1890" s="57">
        <v>375</v>
      </c>
      <c r="R1890" s="62">
        <f>ТабПозиции[[#This Row],[totalSumm]]-ТабПозиции[[#This Row],[payment]]</f>
        <v>0</v>
      </c>
      <c r="S1890" s="34" t="s">
        <v>955</v>
      </c>
      <c r="T1890" s="56" t="s">
        <v>3061</v>
      </c>
      <c r="U1890" s="56" t="str">
        <f>IF(AND(ТабПозиции[[#This Row],[Остаток]]=0,ТабПозиции[[#This Row],[ord]]="true"),"true","false")</f>
        <v>true</v>
      </c>
      <c r="V1890" s="56" t="s">
        <v>3061</v>
      </c>
    </row>
    <row r="1891" spans="1:22" x14ac:dyDescent="0.25">
      <c r="A1891" s="26">
        <v>498</v>
      </c>
      <c r="B1891" s="1">
        <f>IFERROR(VLOOKUP(ТабПозиции[[#This Row],[orderNum]],ТабЗаказы[#Data],MATCH(B$7,ТабЗаказы[#Headers],0),0),"")</f>
        <v>45716</v>
      </c>
      <c r="C1891" s="95" t="str">
        <f>MONTH(ТабПозиции[[#This Row],[date]])&amp;"/"&amp;YEAR(ТабПозиции[[#This Row],[date]])</f>
        <v>2/2025</v>
      </c>
      <c r="D1891" s="1" t="str">
        <f>IFERROR(VLOOKUP(ТабПозиции[[#This Row],[orderNum]],ТабЗаказы[#Data],MATCH(D$7,ТабЗаказы[#Headers],0),0),"")</f>
        <v>Игорь Рельефная</v>
      </c>
      <c r="E1891" s="93" t="s">
        <v>2581</v>
      </c>
      <c r="F1891" s="56" t="s">
        <v>3061</v>
      </c>
      <c r="H1891" s="34">
        <v>45739</v>
      </c>
      <c r="I1891" s="96">
        <v>1</v>
      </c>
      <c r="J1891" s="96">
        <v>1335</v>
      </c>
      <c r="K1891">
        <f>ТабПозиции[[#This Row],[discountPrice]]*ТабПозиции[[#This Row],[quantity]]</f>
        <v>1335</v>
      </c>
      <c r="L1891" s="26">
        <v>1380</v>
      </c>
      <c r="M1891">
        <f t="shared" si="44"/>
        <v>1380</v>
      </c>
      <c r="N1891" s="96"/>
      <c r="O189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Row],[orderNum]],ТабПозиции[orderSumm])&gt;1500),ABS(M1891*VLOOKUP(ТабПозиции[[#This Row],[orderNum]],ТабЗаказы[#Data],MATCH("Percent",ТабЗаказы[#Headers],0),0))/100,200/COUNTIF(ТабПозиции[orderNum],ТабПозиции[[#This Row],[orderNum]])),0),"")</f>
        <v>207</v>
      </c>
      <c r="P1891" s="95">
        <f>IF(OR(ТабПозиции[[#This Row],[item]]="По штрихкоду",ТабПозиции[[#This Row],[item]]="Посылка"),ТабПозиции[[#This Row],[deliverySumm]]+ТабПозиции[[#This Row],[deliveryPost]],SUM(M1891:O1891))</f>
        <v>1587</v>
      </c>
      <c r="Q1891" s="57">
        <v>1587</v>
      </c>
      <c r="R1891" s="62">
        <f>ТабПозиции[[#This Row],[totalSumm]]-ТабПозиции[[#This Row],[payment]]</f>
        <v>0</v>
      </c>
      <c r="S1891" s="34" t="s">
        <v>955</v>
      </c>
      <c r="T1891" s="56" t="s">
        <v>3061</v>
      </c>
      <c r="U1891" s="56" t="str">
        <f>IF(AND(ТабПозиции[[#This Row],[Остаток]]=0,ТабПозиции[[#This Row],[ord]]="true"),"true","false")</f>
        <v>true</v>
      </c>
      <c r="V1891" s="56" t="s">
        <v>3061</v>
      </c>
    </row>
    <row r="1892" spans="1:22" x14ac:dyDescent="0.25">
      <c r="A1892" s="26">
        <v>498</v>
      </c>
      <c r="B1892" s="1">
        <f>IFERROR(VLOOKUP(ТабПозиции[[#This Row],[orderNum]],ТабЗаказы[#Data],MATCH(B$7,ТабЗаказы[#Headers],0),0),"")</f>
        <v>45716</v>
      </c>
      <c r="C1892" s="95" t="str">
        <f>MONTH(ТабПозиции[[#This Row],[date]])&amp;"/"&amp;YEAR(ТабПозиции[[#This Row],[date]])</f>
        <v>2/2025</v>
      </c>
      <c r="D1892" s="1" t="str">
        <f>IFERROR(VLOOKUP(ТабПозиции[[#This Row],[orderNum]],ТабЗаказы[#Data],MATCH(D$7,ТабЗаказы[#Headers],0),0),"")</f>
        <v>Игорь Рельефная</v>
      </c>
      <c r="E1892" s="93" t="s">
        <v>2582</v>
      </c>
      <c r="F1892" s="56" t="s">
        <v>3061</v>
      </c>
      <c r="H1892" s="34">
        <v>45724</v>
      </c>
      <c r="I1892" s="96">
        <v>1</v>
      </c>
      <c r="J1892" s="96">
        <v>333</v>
      </c>
      <c r="K1892">
        <f>ТабПозиции[[#This Row],[discountPrice]]*ТабПозиции[[#This Row],[quantity]]</f>
        <v>333</v>
      </c>
      <c r="L1892" s="26">
        <v>341</v>
      </c>
      <c r="M1892">
        <f t="shared" si="44"/>
        <v>341</v>
      </c>
      <c r="N1892" s="96"/>
      <c r="O189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Row],[orderNum]],ТабПозиции[orderSumm])&gt;1500),ABS(M1892*VLOOKUP(ТабПозиции[[#This Row],[orderNum]],ТабЗаказы[#Data],MATCH("Percent",ТабЗаказы[#Headers],0),0))/100,200/COUNTIF(ТабПозиции[orderNum],ТабПозиции[[#This Row],[orderNum]])),0),"")</f>
        <v>51</v>
      </c>
      <c r="P1892" s="95">
        <f>IF(OR(ТабПозиции[[#This Row],[item]]="По штрихкоду",ТабПозиции[[#This Row],[item]]="Посылка"),ТабПозиции[[#This Row],[deliverySumm]]+ТабПозиции[[#This Row],[deliveryPost]],SUM(M1892:O1892))</f>
        <v>392</v>
      </c>
      <c r="Q1892" s="57">
        <v>392</v>
      </c>
      <c r="R1892" s="62">
        <f>ТабПозиции[[#This Row],[totalSumm]]-ТабПозиции[[#This Row],[payment]]</f>
        <v>0</v>
      </c>
      <c r="S1892" s="34" t="s">
        <v>955</v>
      </c>
      <c r="T1892" s="56" t="s">
        <v>3061</v>
      </c>
      <c r="U1892" s="56" t="str">
        <f>IF(AND(ТабПозиции[[#This Row],[Остаток]]=0,ТабПозиции[[#This Row],[ord]]="true"),"true","false")</f>
        <v>true</v>
      </c>
      <c r="V1892" s="56" t="s">
        <v>3061</v>
      </c>
    </row>
    <row r="1893" spans="1:22" x14ac:dyDescent="0.25">
      <c r="A1893" s="26">
        <v>499</v>
      </c>
      <c r="B1893" s="1">
        <f>IFERROR(VLOOKUP(ТабПозиции[[#This Row],[orderNum]],ТабЗаказы[#Data],MATCH(B$7,ТабЗаказы[#Headers],0),0),"")</f>
        <v>45718</v>
      </c>
      <c r="C1893" s="95" t="str">
        <f>MONTH(ТабПозиции[[#This Row],[date]])&amp;"/"&amp;YEAR(ТабПозиции[[#This Row],[date]])</f>
        <v>3/2025</v>
      </c>
      <c r="D1893" s="1" t="str">
        <f>IFERROR(VLOOKUP(ТабПозиции[[#This Row],[orderNum]],ТабЗаказы[#Data],MATCH(D$7,ТабЗаказы[#Headers],0),0),"")</f>
        <v>Константин от Наталья</v>
      </c>
      <c r="E1893" s="93" t="s">
        <v>1987</v>
      </c>
      <c r="F1893" s="56" t="s">
        <v>3061</v>
      </c>
      <c r="H1893" s="34">
        <v>45719</v>
      </c>
      <c r="I1893" s="96">
        <v>1</v>
      </c>
      <c r="J1893" s="96">
        <v>617</v>
      </c>
      <c r="K1893">
        <f>ТабПозиции[[#This Row],[discountPrice]]*ТабПозиции[[#This Row],[quantity]]</f>
        <v>617</v>
      </c>
      <c r="L1893" s="26">
        <v>650</v>
      </c>
      <c r="M1893">
        <f t="shared" si="44"/>
        <v>650</v>
      </c>
      <c r="N1893" s="96"/>
      <c r="O189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Row],[orderNum]],ТабПозиции[orderSumm])&gt;1500),ABS(M1893*VLOOKUP(ТабПозиции[[#This Row],[orderNum]],ТабЗаказы[#Data],MATCH("Percent",ТабЗаказы[#Headers],0),0))/100,200/COUNTIF(ТабПозиции[orderNum],ТабПозиции[[#This Row],[orderNum]])),0),"")</f>
        <v>98</v>
      </c>
      <c r="P1893" s="95">
        <f>IF(OR(ТабПозиции[[#This Row],[item]]="По штрихкоду",ТабПозиции[[#This Row],[item]]="Посылка"),ТабПозиции[[#This Row],[deliverySumm]]+ТабПозиции[[#This Row],[deliveryPost]],SUM(M1893:O1893))</f>
        <v>748</v>
      </c>
      <c r="Q1893" s="57">
        <v>748</v>
      </c>
      <c r="R1893" s="62">
        <f>ТабПозиции[[#This Row],[totalSumm]]-ТабПозиции[[#This Row],[payment]]</f>
        <v>0</v>
      </c>
      <c r="S1893" s="34" t="s">
        <v>965</v>
      </c>
      <c r="T1893" s="56" t="s">
        <v>3061</v>
      </c>
      <c r="U1893" s="56" t="str">
        <f>IF(AND(ТабПозиции[[#This Row],[Остаток]]=0,ТабПозиции[[#This Row],[ord]]="true"),"true","false")</f>
        <v>true</v>
      </c>
      <c r="V1893" s="56" t="s">
        <v>3061</v>
      </c>
    </row>
    <row r="1894" spans="1:22" x14ac:dyDescent="0.25">
      <c r="A1894" s="26">
        <v>499</v>
      </c>
      <c r="B1894" s="1">
        <f>IFERROR(VLOOKUP(ТабПозиции[[#This Row],[orderNum]],ТабЗаказы[#Data],MATCH(B$7,ТабЗаказы[#Headers],0),0),"")</f>
        <v>45718</v>
      </c>
      <c r="C1894" s="95" t="str">
        <f>MONTH(ТабПозиции[[#This Row],[date]])&amp;"/"&amp;YEAR(ТабПозиции[[#This Row],[date]])</f>
        <v>3/2025</v>
      </c>
      <c r="D1894" s="1" t="str">
        <f>IFERROR(VLOOKUP(ТабПозиции[[#This Row],[orderNum]],ТабЗаказы[#Data],MATCH(D$7,ТабЗаказы[#Headers],0),0),"")</f>
        <v>Константин от Наталья</v>
      </c>
      <c r="E1894" s="93" t="s">
        <v>1230</v>
      </c>
      <c r="F1894" s="56" t="s">
        <v>3061</v>
      </c>
      <c r="H1894" s="34">
        <v>45719</v>
      </c>
      <c r="I1894" s="96">
        <v>1</v>
      </c>
      <c r="J1894" s="96">
        <v>573</v>
      </c>
      <c r="K1894">
        <f>ТабПозиции[[#This Row],[discountPrice]]*ТабПозиции[[#This Row],[quantity]]</f>
        <v>573</v>
      </c>
      <c r="L1894" s="26">
        <v>604</v>
      </c>
      <c r="M1894">
        <f t="shared" si="44"/>
        <v>604</v>
      </c>
      <c r="N1894" s="96"/>
      <c r="O189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Row],[orderNum]],ТабПозиции[orderSumm])&gt;1500),ABS(M1894*VLOOKUP(ТабПозиции[[#This Row],[orderNum]],ТабЗаказы[#Data],MATCH("Percent",ТабЗаказы[#Headers],0),0))/100,200/COUNTIF(ТабПозиции[orderNum],ТабПозиции[[#This Row],[orderNum]])),0),"")</f>
        <v>91</v>
      </c>
      <c r="P1894" s="95">
        <f>IF(OR(ТабПозиции[[#This Row],[item]]="По штрихкоду",ТабПозиции[[#This Row],[item]]="Посылка"),ТабПозиции[[#This Row],[deliverySumm]]+ТабПозиции[[#This Row],[deliveryPost]],SUM(M1894:O1894))</f>
        <v>695</v>
      </c>
      <c r="Q1894" s="57">
        <v>695</v>
      </c>
      <c r="R1894" s="62">
        <f>ТабПозиции[[#This Row],[totalSumm]]-ТабПозиции[[#This Row],[payment]]</f>
        <v>0</v>
      </c>
      <c r="S1894" s="34" t="s">
        <v>965</v>
      </c>
      <c r="T1894" s="56" t="s">
        <v>3061</v>
      </c>
      <c r="U1894" s="56" t="str">
        <f>IF(AND(ТабПозиции[[#This Row],[Остаток]]=0,ТабПозиции[[#This Row],[ord]]="true"),"true","false")</f>
        <v>true</v>
      </c>
      <c r="V1894" s="56" t="s">
        <v>3061</v>
      </c>
    </row>
    <row r="1895" spans="1:22" x14ac:dyDescent="0.25">
      <c r="A1895" s="26">
        <v>499</v>
      </c>
      <c r="B1895" s="1">
        <f>IFERROR(VLOOKUP(ТабПозиции[[#This Row],[orderNum]],ТабЗаказы[#Data],MATCH(B$7,ТабЗаказы[#Headers],0),0),"")</f>
        <v>45718</v>
      </c>
      <c r="C1895" s="95" t="str">
        <f>MONTH(ТабПозиции[[#This Row],[date]])&amp;"/"&amp;YEAR(ТабПозиции[[#This Row],[date]])</f>
        <v>3/2025</v>
      </c>
      <c r="D1895" s="1" t="str">
        <f>IFERROR(VLOOKUP(ТабПозиции[[#This Row],[orderNum]],ТабЗаказы[#Data],MATCH(D$7,ТабЗаказы[#Headers],0),0),"")</f>
        <v>Константин от Наталья</v>
      </c>
      <c r="E1895" s="93" t="s">
        <v>2583</v>
      </c>
      <c r="F1895" s="56" t="s">
        <v>3061</v>
      </c>
      <c r="H1895" s="34">
        <v>45720</v>
      </c>
      <c r="I1895" s="96">
        <v>1</v>
      </c>
      <c r="J1895" s="96">
        <v>635</v>
      </c>
      <c r="K1895">
        <f>ТабПозиции[[#This Row],[discountPrice]]*ТабПозиции[[#This Row],[quantity]]</f>
        <v>635</v>
      </c>
      <c r="L1895" s="26">
        <v>669</v>
      </c>
      <c r="M1895">
        <f t="shared" si="44"/>
        <v>669</v>
      </c>
      <c r="N1895" s="96"/>
      <c r="O189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Row],[orderNum]],ТабПозиции[orderSumm])&gt;1500),ABS(M1895*VLOOKUP(ТабПозиции[[#This Row],[orderNum]],ТабЗаказы[#Data],MATCH("Percent",ТабЗаказы[#Headers],0),0))/100,200/COUNTIF(ТабПозиции[orderNum],ТабПозиции[[#This Row],[orderNum]])),0),"")</f>
        <v>100</v>
      </c>
      <c r="P1895" s="95">
        <f>IF(OR(ТабПозиции[[#This Row],[item]]="По штрихкоду",ТабПозиции[[#This Row],[item]]="Посылка"),ТабПозиции[[#This Row],[deliverySumm]]+ТабПозиции[[#This Row],[deliveryPost]],SUM(M1895:O1895))</f>
        <v>769</v>
      </c>
      <c r="Q1895" s="57">
        <v>769</v>
      </c>
      <c r="R1895" s="62">
        <f>ТабПозиции[[#This Row],[totalSumm]]-ТабПозиции[[#This Row],[payment]]</f>
        <v>0</v>
      </c>
      <c r="S1895" s="34" t="s">
        <v>965</v>
      </c>
      <c r="T1895" s="56" t="s">
        <v>3061</v>
      </c>
      <c r="U1895" s="56" t="str">
        <f>IF(AND(ТабПозиции[[#This Row],[Остаток]]=0,ТабПозиции[[#This Row],[ord]]="true"),"true","false")</f>
        <v>true</v>
      </c>
      <c r="V1895" s="56" t="s">
        <v>3061</v>
      </c>
    </row>
    <row r="1896" spans="1:22" x14ac:dyDescent="0.25">
      <c r="A1896" s="26">
        <v>499</v>
      </c>
      <c r="B1896" s="1">
        <f>IFERROR(VLOOKUP(ТабПозиции[[#This Row],[orderNum]],ТабЗаказы[#Data],MATCH(B$7,ТабЗаказы[#Headers],0),0),"")</f>
        <v>45718</v>
      </c>
      <c r="C1896" s="95" t="str">
        <f>MONTH(ТабПозиции[[#This Row],[date]])&amp;"/"&amp;YEAR(ТабПозиции[[#This Row],[date]])</f>
        <v>3/2025</v>
      </c>
      <c r="D1896" s="1" t="str">
        <f>IFERROR(VLOOKUP(ТабПозиции[[#This Row],[orderNum]],ТабЗаказы[#Data],MATCH(D$7,ТабЗаказы[#Headers],0),0),"")</f>
        <v>Константин от Наталья</v>
      </c>
      <c r="E1896" s="93" t="s">
        <v>1452</v>
      </c>
      <c r="F1896" s="56" t="s">
        <v>3061</v>
      </c>
      <c r="H1896" s="34">
        <v>45720</v>
      </c>
      <c r="I1896" s="96">
        <v>1</v>
      </c>
      <c r="J1896" s="96">
        <v>666</v>
      </c>
      <c r="K1896">
        <f>ТабПозиции[[#This Row],[discountPrice]]*ТабПозиции[[#This Row],[quantity]]</f>
        <v>666</v>
      </c>
      <c r="L1896" s="26">
        <v>702</v>
      </c>
      <c r="M1896">
        <f t="shared" si="44"/>
        <v>702</v>
      </c>
      <c r="N1896" s="96"/>
      <c r="O189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Row],[orderNum]],ТабПозиции[orderSumm])&gt;1500),ABS(M1896*VLOOKUP(ТабПозиции[[#This Row],[orderNum]],ТабЗаказы[#Data],MATCH("Percent",ТабЗаказы[#Headers],0),0))/100,200/COUNTIF(ТабПозиции[orderNum],ТабПозиции[[#This Row],[orderNum]])),0),"")</f>
        <v>105</v>
      </c>
      <c r="P1896" s="95">
        <f>IF(OR(ТабПозиции[[#This Row],[item]]="По штрихкоду",ТабПозиции[[#This Row],[item]]="Посылка"),ТабПозиции[[#This Row],[deliverySumm]]+ТабПозиции[[#This Row],[deliveryPost]],SUM(M1896:O1896))</f>
        <v>807</v>
      </c>
      <c r="Q1896" s="57">
        <v>807</v>
      </c>
      <c r="R1896" s="62">
        <f>ТабПозиции[[#This Row],[totalSumm]]-ТабПозиции[[#This Row],[payment]]</f>
        <v>0</v>
      </c>
      <c r="S1896" s="34" t="s">
        <v>965</v>
      </c>
      <c r="T1896" s="56" t="s">
        <v>3061</v>
      </c>
      <c r="U1896" s="56" t="str">
        <f>IF(AND(ТабПозиции[[#This Row],[Остаток]]=0,ТабПозиции[[#This Row],[ord]]="true"),"true","false")</f>
        <v>true</v>
      </c>
      <c r="V1896" s="56" t="s">
        <v>3061</v>
      </c>
    </row>
    <row r="1897" spans="1:22" x14ac:dyDescent="0.25">
      <c r="A1897" s="26">
        <v>500</v>
      </c>
      <c r="B1897" s="1">
        <f>IFERROR(VLOOKUP(ТабПозиции[[#This Row],[orderNum]],ТабЗаказы[#Data],MATCH(B$7,ТабЗаказы[#Headers],0),0),"")</f>
        <v>45719</v>
      </c>
      <c r="C1897" s="95" t="str">
        <f>MONTH(ТабПозиции[[#This Row],[date]])&amp;"/"&amp;YEAR(ТабПозиции[[#This Row],[date]])</f>
        <v>3/2025</v>
      </c>
      <c r="D1897" s="1" t="str">
        <f>IFERROR(VLOOKUP(ТабПозиции[[#This Row],[orderNum]],ТабЗаказы[#Data],MATCH(D$7,ТабЗаказы[#Headers],0),0),"")</f>
        <v>Юля Ларисына</v>
      </c>
      <c r="E1897" s="93" t="s">
        <v>2586</v>
      </c>
      <c r="F1897" s="56" t="s">
        <v>3061</v>
      </c>
      <c r="H1897" s="34">
        <v>45721</v>
      </c>
      <c r="I1897" s="96">
        <v>1</v>
      </c>
      <c r="J1897" s="96">
        <v>281</v>
      </c>
      <c r="K1897">
        <f>ТабПозиции[[#This Row],[discountPrice]]*ТабПозиции[[#This Row],[quantity]]</f>
        <v>281</v>
      </c>
      <c r="L1897" s="26">
        <v>296</v>
      </c>
      <c r="M1897">
        <f t="shared" si="44"/>
        <v>296</v>
      </c>
      <c r="N1897" s="96"/>
      <c r="O189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Row],[orderNum]],ТабПозиции[orderSumm])&gt;1500),ABS(M1897*VLOOKUP(ТабПозиции[[#This Row],[orderNum]],ТабЗаказы[#Data],MATCH("Percent",ТабЗаказы[#Headers],0),0))/100,200/COUNTIF(ТабПозиции[orderNum],ТабПозиции[[#This Row],[orderNum]])),0),"")</f>
        <v>44</v>
      </c>
      <c r="P1897" s="95">
        <f>IF(OR(ТабПозиции[[#This Row],[item]]="По штрихкоду",ТабПозиции[[#This Row],[item]]="Посылка"),ТабПозиции[[#This Row],[deliverySumm]]+ТабПозиции[[#This Row],[deliveryPost]],SUM(M1897:O1897))</f>
        <v>340</v>
      </c>
      <c r="Q1897" s="57">
        <v>340</v>
      </c>
      <c r="R1897" s="62">
        <f>ТабПозиции[[#This Row],[totalSumm]]-ТабПозиции[[#This Row],[payment]]</f>
        <v>0</v>
      </c>
      <c r="S1897" s="34" t="s">
        <v>965</v>
      </c>
      <c r="T1897" s="56" t="s">
        <v>3061</v>
      </c>
      <c r="U1897" s="56" t="str">
        <f>IF(AND(ТабПозиции[[#This Row],[Остаток]]=0,ТабПозиции[[#This Row],[ord]]="true"),"true","false")</f>
        <v>true</v>
      </c>
      <c r="V1897" s="56" t="s">
        <v>3061</v>
      </c>
    </row>
    <row r="1898" spans="1:22" x14ac:dyDescent="0.25">
      <c r="A1898" s="26">
        <v>500</v>
      </c>
      <c r="B1898" s="1">
        <f>IFERROR(VLOOKUP(ТабПозиции[[#This Row],[orderNum]],ТабЗаказы[#Data],MATCH(B$7,ТабЗаказы[#Headers],0),0),"")</f>
        <v>45719</v>
      </c>
      <c r="C1898" s="95" t="str">
        <f>MONTH(ТабПозиции[[#This Row],[date]])&amp;"/"&amp;YEAR(ТабПозиции[[#This Row],[date]])</f>
        <v>3/2025</v>
      </c>
      <c r="D1898" s="1" t="str">
        <f>IFERROR(VLOOKUP(ТабПозиции[[#This Row],[orderNum]],ТабЗаказы[#Data],MATCH(D$7,ТабЗаказы[#Headers],0),0),"")</f>
        <v>Юля Ларисына</v>
      </c>
      <c r="E1898" s="93" t="s">
        <v>677</v>
      </c>
      <c r="F1898" s="56" t="s">
        <v>3061</v>
      </c>
      <c r="H1898" s="34">
        <v>45721</v>
      </c>
      <c r="I1898" s="96">
        <v>1</v>
      </c>
      <c r="J1898" s="96">
        <v>234</v>
      </c>
      <c r="K1898">
        <f>ТабПозиции[[#This Row],[discountPrice]]*ТабПозиции[[#This Row],[quantity]]</f>
        <v>234</v>
      </c>
      <c r="L1898" s="26">
        <v>247</v>
      </c>
      <c r="M1898">
        <f t="shared" si="44"/>
        <v>247</v>
      </c>
      <c r="N1898" s="96"/>
      <c r="O189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Row],[orderNum]],ТабПозиции[orderSumm])&gt;1500),ABS(M1898*VLOOKUP(ТабПозиции[[#This Row],[orderNum]],ТабЗаказы[#Data],MATCH("Percent",ТабЗаказы[#Headers],0),0))/100,200/COUNTIF(ТабПозиции[orderNum],ТабПозиции[[#This Row],[orderNum]])),0),"")</f>
        <v>37</v>
      </c>
      <c r="P1898" s="95">
        <f>IF(OR(ТабПозиции[[#This Row],[item]]="По штрихкоду",ТабПозиции[[#This Row],[item]]="Посылка"),ТабПозиции[[#This Row],[deliverySumm]]+ТабПозиции[[#This Row],[deliveryPost]],SUM(M1898:O1898))</f>
        <v>284</v>
      </c>
      <c r="Q1898" s="57">
        <v>284</v>
      </c>
      <c r="R1898" s="62">
        <f>ТабПозиции[[#This Row],[totalSumm]]-ТабПозиции[[#This Row],[payment]]</f>
        <v>0</v>
      </c>
      <c r="S1898" s="34" t="s">
        <v>965</v>
      </c>
      <c r="T1898" s="56" t="s">
        <v>3061</v>
      </c>
      <c r="U1898" s="56" t="str">
        <f>IF(AND(ТабПозиции[[#This Row],[Остаток]]=0,ТабПозиции[[#This Row],[ord]]="true"),"true","false")</f>
        <v>true</v>
      </c>
      <c r="V1898" s="56" t="s">
        <v>3061</v>
      </c>
    </row>
    <row r="1899" spans="1:22" x14ac:dyDescent="0.25">
      <c r="A1899" s="26">
        <v>500</v>
      </c>
      <c r="B1899" s="1">
        <f>IFERROR(VLOOKUP(ТабПозиции[[#This Row],[orderNum]],ТабЗаказы[#Data],MATCH(B$7,ТабЗаказы[#Headers],0),0),"")</f>
        <v>45719</v>
      </c>
      <c r="C1899" s="95" t="str">
        <f>MONTH(ТабПозиции[[#This Row],[date]])&amp;"/"&amp;YEAR(ТабПозиции[[#This Row],[date]])</f>
        <v>3/2025</v>
      </c>
      <c r="D1899" s="1" t="str">
        <f>IFERROR(VLOOKUP(ТабПозиции[[#This Row],[orderNum]],ТабЗаказы[#Data],MATCH(D$7,ТабЗаказы[#Headers],0),0),"")</f>
        <v>Юля Ларисына</v>
      </c>
      <c r="E1899" s="93" t="s">
        <v>2587</v>
      </c>
      <c r="F1899" s="56" t="s">
        <v>3061</v>
      </c>
      <c r="H1899" s="34">
        <v>45721</v>
      </c>
      <c r="I1899" s="96">
        <v>1</v>
      </c>
      <c r="J1899" s="96">
        <v>403</v>
      </c>
      <c r="K1899">
        <f>ТабПозиции[[#This Row],[discountPrice]]*ТабПозиции[[#This Row],[quantity]]</f>
        <v>403</v>
      </c>
      <c r="L1899" s="26">
        <v>425</v>
      </c>
      <c r="M1899">
        <f t="shared" si="44"/>
        <v>425</v>
      </c>
      <c r="N1899" s="96"/>
      <c r="O189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Row],[orderNum]],ТабПозиции[orderSumm])&gt;1500),ABS(M1899*VLOOKUP(ТабПозиции[[#This Row],[orderNum]],ТабЗаказы[#Data],MATCH("Percent",ТабЗаказы[#Headers],0),0))/100,200/COUNTIF(ТабПозиции[orderNum],ТабПозиции[[#This Row],[orderNum]])),0),"")</f>
        <v>64</v>
      </c>
      <c r="P1899" s="95">
        <f>IF(OR(ТабПозиции[[#This Row],[item]]="По штрихкоду",ТабПозиции[[#This Row],[item]]="Посылка"),ТабПозиции[[#This Row],[deliverySumm]]+ТабПозиции[[#This Row],[deliveryPost]],SUM(M1899:O1899))</f>
        <v>489</v>
      </c>
      <c r="Q1899" s="57">
        <v>489</v>
      </c>
      <c r="R1899" s="62">
        <f>ТабПозиции[[#This Row],[totalSumm]]-ТабПозиции[[#This Row],[payment]]</f>
        <v>0</v>
      </c>
      <c r="S1899" s="34" t="s">
        <v>965</v>
      </c>
      <c r="T1899" s="56" t="s">
        <v>3061</v>
      </c>
      <c r="U1899" s="56" t="str">
        <f>IF(AND(ТабПозиции[[#This Row],[Остаток]]=0,ТабПозиции[[#This Row],[ord]]="true"),"true","false")</f>
        <v>true</v>
      </c>
      <c r="V1899" s="56" t="s">
        <v>3061</v>
      </c>
    </row>
    <row r="1900" spans="1:22" x14ac:dyDescent="0.25">
      <c r="A1900" s="26">
        <v>500</v>
      </c>
      <c r="B1900" s="1">
        <f>IFERROR(VLOOKUP(ТабПозиции[[#This Row],[orderNum]],ТабЗаказы[#Data],MATCH(B$7,ТабЗаказы[#Headers],0),0),"")</f>
        <v>45719</v>
      </c>
      <c r="C1900" s="95" t="str">
        <f>MONTH(ТабПозиции[[#This Row],[date]])&amp;"/"&amp;YEAR(ТабПозиции[[#This Row],[date]])</f>
        <v>3/2025</v>
      </c>
      <c r="D1900" s="1" t="str">
        <f>IFERROR(VLOOKUP(ТабПозиции[[#This Row],[orderNum]],ТабЗаказы[#Data],MATCH(D$7,ТабЗаказы[#Headers],0),0),"")</f>
        <v>Юля Ларисына</v>
      </c>
      <c r="E1900" s="93" t="s">
        <v>2588</v>
      </c>
      <c r="F1900" s="56" t="s">
        <v>3061</v>
      </c>
      <c r="H1900" s="34">
        <v>45721</v>
      </c>
      <c r="I1900" s="96">
        <v>1</v>
      </c>
      <c r="J1900" s="96">
        <v>362</v>
      </c>
      <c r="K1900">
        <f>ТабПозиции[[#This Row],[discountPrice]]*ТабПозиции[[#This Row],[quantity]]</f>
        <v>362</v>
      </c>
      <c r="L1900" s="26">
        <v>382</v>
      </c>
      <c r="M1900">
        <f t="shared" si="44"/>
        <v>382</v>
      </c>
      <c r="N1900" s="96"/>
      <c r="O190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Row],[orderNum]],ТабПозиции[orderSumm])&gt;1500),ABS(M1900*VLOOKUP(ТабПозиции[[#This Row],[orderNum]],ТабЗаказы[#Data],MATCH("Percent",ТабЗаказы[#Headers],0),0))/100,200/COUNTIF(ТабПозиции[orderNum],ТабПозиции[[#This Row],[orderNum]])),0),"")</f>
        <v>57</v>
      </c>
      <c r="P1900" s="95">
        <f>IF(OR(ТабПозиции[[#This Row],[item]]="По штрихкоду",ТабПозиции[[#This Row],[item]]="Посылка"),ТабПозиции[[#This Row],[deliverySumm]]+ТабПозиции[[#This Row],[deliveryPost]],SUM(M1900:O1900))</f>
        <v>439</v>
      </c>
      <c r="Q1900" s="57">
        <v>439</v>
      </c>
      <c r="R1900" s="62">
        <f>ТабПозиции[[#This Row],[totalSumm]]-ТабПозиции[[#This Row],[payment]]</f>
        <v>0</v>
      </c>
      <c r="S1900" s="34" t="s">
        <v>965</v>
      </c>
      <c r="T1900" s="56" t="s">
        <v>3061</v>
      </c>
      <c r="U1900" s="56" t="str">
        <f>IF(AND(ТабПозиции[[#This Row],[Остаток]]=0,ТабПозиции[[#This Row],[ord]]="true"),"true","false")</f>
        <v>true</v>
      </c>
      <c r="V1900" s="56" t="s">
        <v>3061</v>
      </c>
    </row>
    <row r="1901" spans="1:22" x14ac:dyDescent="0.25">
      <c r="A1901" s="26">
        <v>500</v>
      </c>
      <c r="B1901" s="1">
        <f>IFERROR(VLOOKUP(ТабПозиции[[#This Row],[orderNum]],ТабЗаказы[#Data],MATCH(B$7,ТабЗаказы[#Headers],0),0),"")</f>
        <v>45719</v>
      </c>
      <c r="C1901" s="95" t="str">
        <f>MONTH(ТабПозиции[[#This Row],[date]])&amp;"/"&amp;YEAR(ТабПозиции[[#This Row],[date]])</f>
        <v>3/2025</v>
      </c>
      <c r="D1901" s="1" t="str">
        <f>IFERROR(VLOOKUP(ТабПозиции[[#This Row],[orderNum]],ТабЗаказы[#Data],MATCH(D$7,ТабЗаказы[#Headers],0),0),"")</f>
        <v>Юля Ларисына</v>
      </c>
      <c r="E1901" s="93" t="s">
        <v>2589</v>
      </c>
      <c r="F1901" s="56" t="s">
        <v>3061</v>
      </c>
      <c r="H1901" s="34">
        <v>45723</v>
      </c>
      <c r="I1901" s="96">
        <v>1</v>
      </c>
      <c r="J1901" s="96">
        <v>309</v>
      </c>
      <c r="K1901">
        <f>ТабПозиции[[#This Row],[discountPrice]]*ТабПозиции[[#This Row],[quantity]]</f>
        <v>309</v>
      </c>
      <c r="L1901" s="26">
        <v>326</v>
      </c>
      <c r="M1901">
        <f t="shared" si="44"/>
        <v>326</v>
      </c>
      <c r="N1901" s="96"/>
      <c r="O190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Row],[orderNum]],ТабПозиции[orderSumm])&gt;1500),ABS(M1901*VLOOKUP(ТабПозиции[[#This Row],[orderNum]],ТабЗаказы[#Data],MATCH("Percent",ТабЗаказы[#Headers],0),0))/100,200/COUNTIF(ТабПозиции[orderNum],ТабПозиции[[#This Row],[orderNum]])),0),"")</f>
        <v>49</v>
      </c>
      <c r="P1901" s="95">
        <f>IF(OR(ТабПозиции[[#This Row],[item]]="По штрихкоду",ТабПозиции[[#This Row],[item]]="Посылка"),ТабПозиции[[#This Row],[deliverySumm]]+ТабПозиции[[#This Row],[deliveryPost]],SUM(M1901:O1901))</f>
        <v>375</v>
      </c>
      <c r="Q1901" s="57">
        <v>375</v>
      </c>
      <c r="R1901" s="62">
        <f>ТабПозиции[[#This Row],[totalSumm]]-ТабПозиции[[#This Row],[payment]]</f>
        <v>0</v>
      </c>
      <c r="S1901" s="34" t="s">
        <v>965</v>
      </c>
      <c r="T1901" s="56" t="s">
        <v>3061</v>
      </c>
      <c r="U1901" s="56" t="str">
        <f>IF(AND(ТабПозиции[[#This Row],[Остаток]]=0,ТабПозиции[[#This Row],[ord]]="true"),"true","false")</f>
        <v>true</v>
      </c>
      <c r="V1901" s="56" t="s">
        <v>3061</v>
      </c>
    </row>
    <row r="1902" spans="1:22" x14ac:dyDescent="0.25">
      <c r="A1902" s="26">
        <v>500</v>
      </c>
      <c r="B1902" s="1">
        <f>IFERROR(VLOOKUP(ТабПозиции[[#This Row],[orderNum]],ТабЗаказы[#Data],MATCH(B$7,ТабЗаказы[#Headers],0),0),"")</f>
        <v>45719</v>
      </c>
      <c r="C1902" s="95" t="str">
        <f>MONTH(ТабПозиции[[#This Row],[date]])&amp;"/"&amp;YEAR(ТабПозиции[[#This Row],[date]])</f>
        <v>3/2025</v>
      </c>
      <c r="D1902" s="1" t="str">
        <f>IFERROR(VLOOKUP(ТабПозиции[[#This Row],[orderNum]],ТабЗаказы[#Data],MATCH(D$7,ТабЗаказы[#Headers],0),0),"")</f>
        <v>Юля Ларисына</v>
      </c>
      <c r="E1902" s="93" t="s">
        <v>969</v>
      </c>
      <c r="F1902" s="56" t="s">
        <v>3061</v>
      </c>
      <c r="H1902" s="34">
        <v>45721</v>
      </c>
      <c r="I1902" s="96">
        <v>1</v>
      </c>
      <c r="J1902" s="96">
        <v>288</v>
      </c>
      <c r="K1902">
        <f>ТабПозиции[[#This Row],[discountPrice]]*ТабПозиции[[#This Row],[quantity]]</f>
        <v>288</v>
      </c>
      <c r="L1902" s="26">
        <v>304</v>
      </c>
      <c r="M1902">
        <f t="shared" si="44"/>
        <v>304</v>
      </c>
      <c r="N1902" s="96"/>
      <c r="O190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Row],[orderNum]],ТабПозиции[orderSumm])&gt;1500),ABS(M1902*VLOOKUP(ТабПозиции[[#This Row],[orderNum]],ТабЗаказы[#Data],MATCH("Percent",ТабЗаказы[#Headers],0),0))/100,200/COUNTIF(ТабПозиции[orderNum],ТабПозиции[[#This Row],[orderNum]])),0),"")</f>
        <v>46</v>
      </c>
      <c r="P1902" s="95">
        <f>IF(OR(ТабПозиции[[#This Row],[item]]="По штрихкоду",ТабПозиции[[#This Row],[item]]="Посылка"),ТабПозиции[[#This Row],[deliverySumm]]+ТабПозиции[[#This Row],[deliveryPost]],SUM(M1902:O1902))</f>
        <v>350</v>
      </c>
      <c r="Q1902" s="57">
        <v>350</v>
      </c>
      <c r="R1902" s="62">
        <f>ТабПозиции[[#This Row],[totalSumm]]-ТабПозиции[[#This Row],[payment]]</f>
        <v>0</v>
      </c>
      <c r="S1902" s="34" t="s">
        <v>965</v>
      </c>
      <c r="T1902" s="56" t="s">
        <v>3061</v>
      </c>
      <c r="U1902" s="56" t="str">
        <f>IF(AND(ТабПозиции[[#This Row],[Остаток]]=0,ТабПозиции[[#This Row],[ord]]="true"),"true","false")</f>
        <v>true</v>
      </c>
      <c r="V1902" s="56" t="s">
        <v>3061</v>
      </c>
    </row>
    <row r="1903" spans="1:22" x14ac:dyDescent="0.25">
      <c r="A1903" s="26">
        <v>500</v>
      </c>
      <c r="B1903" s="1">
        <f>IFERROR(VLOOKUP(ТабПозиции[[#This Row],[orderNum]],ТабЗаказы[#Data],MATCH(B$7,ТабЗаказы[#Headers],0),0),"")</f>
        <v>45719</v>
      </c>
      <c r="C1903" s="95" t="str">
        <f>MONTH(ТабПозиции[[#This Row],[date]])&amp;"/"&amp;YEAR(ТабПозиции[[#This Row],[date]])</f>
        <v>3/2025</v>
      </c>
      <c r="D1903" s="1" t="str">
        <f>IFERROR(VLOOKUP(ТабПозиции[[#This Row],[orderNum]],ТабЗаказы[#Data],MATCH(D$7,ТабЗаказы[#Headers],0),0),"")</f>
        <v>Юля Ларисына</v>
      </c>
      <c r="E1903" s="93" t="s">
        <v>2245</v>
      </c>
      <c r="F1903" s="56" t="s">
        <v>3061</v>
      </c>
      <c r="H1903" s="34">
        <v>45722</v>
      </c>
      <c r="I1903" s="96">
        <v>1</v>
      </c>
      <c r="J1903" s="96">
        <v>384</v>
      </c>
      <c r="K1903">
        <f>ТабПозиции[[#This Row],[discountPrice]]*ТабПозиции[[#This Row],[quantity]]</f>
        <v>384</v>
      </c>
      <c r="L1903" s="26">
        <v>405</v>
      </c>
      <c r="M1903">
        <f t="shared" si="44"/>
        <v>405</v>
      </c>
      <c r="N1903" s="96"/>
      <c r="O190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Row],[orderNum]],ТабПозиции[orderSumm])&gt;1500),ABS(M1903*VLOOKUP(ТабПозиции[[#This Row],[orderNum]],ТабЗаказы[#Data],MATCH("Percent",ТабЗаказы[#Headers],0),0))/100,200/COUNTIF(ТабПозиции[orderNum],ТабПозиции[[#This Row],[orderNum]])),0),"")</f>
        <v>61</v>
      </c>
      <c r="P1903" s="95">
        <f>IF(OR(ТабПозиции[[#This Row],[item]]="По штрихкоду",ТабПозиции[[#This Row],[item]]="Посылка"),ТабПозиции[[#This Row],[deliverySumm]]+ТабПозиции[[#This Row],[deliveryPost]],SUM(M1903:O1903))</f>
        <v>466</v>
      </c>
      <c r="Q1903" s="57">
        <v>466</v>
      </c>
      <c r="R1903" s="62">
        <f>ТабПозиции[[#This Row],[totalSumm]]-ТабПозиции[[#This Row],[payment]]</f>
        <v>0</v>
      </c>
      <c r="S1903" s="34" t="s">
        <v>965</v>
      </c>
      <c r="T1903" s="56" t="s">
        <v>3061</v>
      </c>
      <c r="U1903" s="56" t="str">
        <f>IF(AND(ТабПозиции[[#This Row],[Остаток]]=0,ТабПозиции[[#This Row],[ord]]="true"),"true","false")</f>
        <v>true</v>
      </c>
      <c r="V1903" s="56" t="s">
        <v>3061</v>
      </c>
    </row>
    <row r="1904" spans="1:22" x14ac:dyDescent="0.25">
      <c r="A1904" s="26">
        <v>500</v>
      </c>
      <c r="B1904" s="1">
        <f>IFERROR(VLOOKUP(ТабПозиции[[#This Row],[orderNum]],ТабЗаказы[#Data],MATCH(B$7,ТабЗаказы[#Headers],0),0),"")</f>
        <v>45719</v>
      </c>
      <c r="C1904" s="95" t="str">
        <f>MONTH(ТабПозиции[[#This Row],[date]])&amp;"/"&amp;YEAR(ТабПозиции[[#This Row],[date]])</f>
        <v>3/2025</v>
      </c>
      <c r="D1904" s="1" t="str">
        <f>IFERROR(VLOOKUP(ТабПозиции[[#This Row],[orderNum]],ТабЗаказы[#Data],MATCH(D$7,ТабЗаказы[#Headers],0),0),"")</f>
        <v>Юля Ларисына</v>
      </c>
      <c r="E1904" s="93" t="s">
        <v>772</v>
      </c>
      <c r="F1904" s="56" t="s">
        <v>3061</v>
      </c>
      <c r="H1904" s="34">
        <v>45724</v>
      </c>
      <c r="I1904" s="96">
        <v>1</v>
      </c>
      <c r="J1904" s="96">
        <v>162</v>
      </c>
      <c r="K1904">
        <f>ТабПозиции[[#This Row],[discountPrice]]*ТабПозиции[[#This Row],[quantity]]</f>
        <v>162</v>
      </c>
      <c r="L1904" s="26">
        <v>171</v>
      </c>
      <c r="M1904">
        <f t="shared" si="44"/>
        <v>171</v>
      </c>
      <c r="N1904" s="96"/>
      <c r="O190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Row],[orderNum]],ТабПозиции[orderSumm])&gt;1500),ABS(M1904*VLOOKUP(ТабПозиции[[#This Row],[orderNum]],ТабЗаказы[#Data],MATCH("Percent",ТабЗаказы[#Headers],0),0))/100,200/COUNTIF(ТабПозиции[orderNum],ТабПозиции[[#This Row],[orderNum]])),0),"")</f>
        <v>26</v>
      </c>
      <c r="P1904" s="95">
        <f>IF(OR(ТабПозиции[[#This Row],[item]]="По штрихкоду",ТабПозиции[[#This Row],[item]]="Посылка"),ТабПозиции[[#This Row],[deliverySumm]]+ТабПозиции[[#This Row],[deliveryPost]],SUM(M1904:O1904))</f>
        <v>197</v>
      </c>
      <c r="Q1904" s="57">
        <v>197</v>
      </c>
      <c r="R1904" s="62">
        <f>ТабПозиции[[#This Row],[totalSumm]]-ТабПозиции[[#This Row],[payment]]</f>
        <v>0</v>
      </c>
      <c r="S1904" s="34" t="s">
        <v>965</v>
      </c>
      <c r="T1904" s="56" t="s">
        <v>3061</v>
      </c>
      <c r="U1904" s="56" t="str">
        <f>IF(AND(ТабПозиции[[#This Row],[Остаток]]=0,ТабПозиции[[#This Row],[ord]]="true"),"true","false")</f>
        <v>true</v>
      </c>
      <c r="V1904" s="56" t="s">
        <v>3061</v>
      </c>
    </row>
    <row r="1905" spans="1:22" x14ac:dyDescent="0.25">
      <c r="A1905" s="26">
        <v>500</v>
      </c>
      <c r="B1905" s="1">
        <f>IFERROR(VLOOKUP(ТабПозиции[[#This Row],[orderNum]],ТабЗаказы[#Data],MATCH(B$7,ТабЗаказы[#Headers],0),0),"")</f>
        <v>45719</v>
      </c>
      <c r="C1905" s="95" t="str">
        <f>MONTH(ТабПозиции[[#This Row],[date]])&amp;"/"&amp;YEAR(ТабПозиции[[#This Row],[date]])</f>
        <v>3/2025</v>
      </c>
      <c r="D1905" s="1" t="str">
        <f>IFERROR(VLOOKUP(ТабПозиции[[#This Row],[orderNum]],ТабЗаказы[#Data],MATCH(D$7,ТабЗаказы[#Headers],0),0),"")</f>
        <v>Юля Ларисына</v>
      </c>
      <c r="E1905" s="93" t="s">
        <v>2590</v>
      </c>
      <c r="F1905" s="56" t="s">
        <v>3061</v>
      </c>
      <c r="H1905" s="34">
        <v>45723</v>
      </c>
      <c r="I1905" s="96">
        <v>1</v>
      </c>
      <c r="J1905" s="96">
        <v>371</v>
      </c>
      <c r="K1905">
        <f>ТабПозиции[[#This Row],[discountPrice]]*ТабПозиции[[#This Row],[quantity]]</f>
        <v>371</v>
      </c>
      <c r="L1905" s="26">
        <v>391</v>
      </c>
      <c r="M1905">
        <f t="shared" si="44"/>
        <v>391</v>
      </c>
      <c r="N1905" s="96"/>
      <c r="O190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Row],[orderNum]],ТабПозиции[orderSumm])&gt;1500),ABS(M1905*VLOOKUP(ТабПозиции[[#This Row],[orderNum]],ТабЗаказы[#Data],MATCH("Percent",ТабЗаказы[#Headers],0),0))/100,200/COUNTIF(ТабПозиции[orderNum],ТабПозиции[[#This Row],[orderNum]])),0),"")</f>
        <v>59</v>
      </c>
      <c r="P1905" s="95">
        <f>IF(OR(ТабПозиции[[#This Row],[item]]="По штрихкоду",ТабПозиции[[#This Row],[item]]="Посылка"),ТабПозиции[[#This Row],[deliverySumm]]+ТабПозиции[[#This Row],[deliveryPost]],SUM(M1905:O1905))</f>
        <v>450</v>
      </c>
      <c r="Q1905" s="57">
        <v>450</v>
      </c>
      <c r="R1905" s="62">
        <f>ТабПозиции[[#This Row],[totalSumm]]-ТабПозиции[[#This Row],[payment]]</f>
        <v>0</v>
      </c>
      <c r="S1905" s="34" t="s">
        <v>965</v>
      </c>
      <c r="T1905" s="56" t="s">
        <v>3061</v>
      </c>
      <c r="U1905" s="56" t="str">
        <f>IF(AND(ТабПозиции[[#This Row],[Остаток]]=0,ТабПозиции[[#This Row],[ord]]="true"),"true","false")</f>
        <v>true</v>
      </c>
      <c r="V1905" s="56" t="s">
        <v>3061</v>
      </c>
    </row>
    <row r="1906" spans="1:22" x14ac:dyDescent="0.25">
      <c r="A1906" s="26">
        <v>500</v>
      </c>
      <c r="B1906" s="1">
        <f>IFERROR(VLOOKUP(ТабПозиции[[#This Row],[orderNum]],ТабЗаказы[#Data],MATCH(B$7,ТабЗаказы[#Headers],0),0),"")</f>
        <v>45719</v>
      </c>
      <c r="C1906" s="95" t="str">
        <f>MONTH(ТабПозиции[[#This Row],[date]])&amp;"/"&amp;YEAR(ТабПозиции[[#This Row],[date]])</f>
        <v>3/2025</v>
      </c>
      <c r="D1906" s="1" t="str">
        <f>IFERROR(VLOOKUP(ТабПозиции[[#This Row],[orderNum]],ТабЗаказы[#Data],MATCH(D$7,ТабЗаказы[#Headers],0),0),"")</f>
        <v>Юля Ларисына</v>
      </c>
      <c r="E1906" s="93" t="s">
        <v>981</v>
      </c>
      <c r="F1906" s="56" t="s">
        <v>3061</v>
      </c>
      <c r="H1906" s="34">
        <v>45722</v>
      </c>
      <c r="I1906" s="96">
        <v>1</v>
      </c>
      <c r="J1906" s="96">
        <v>190</v>
      </c>
      <c r="K1906">
        <f>ТабПозиции[[#This Row],[discountPrice]]*ТабПозиции[[#This Row],[quantity]]</f>
        <v>190</v>
      </c>
      <c r="L1906" s="26">
        <v>200</v>
      </c>
      <c r="M1906">
        <f t="shared" si="44"/>
        <v>200</v>
      </c>
      <c r="N1906" s="96"/>
      <c r="O190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Row],[orderNum]],ТабПозиции[orderSumm])&gt;1500),ABS(M1906*VLOOKUP(ТабПозиции[[#This Row],[orderNum]],ТабЗаказы[#Data],MATCH("Percent",ТабЗаказы[#Headers],0),0))/100,200/COUNTIF(ТабПозиции[orderNum],ТабПозиции[[#This Row],[orderNum]])),0),"")</f>
        <v>30</v>
      </c>
      <c r="P1906" s="95">
        <f>IF(OR(ТабПозиции[[#This Row],[item]]="По штрихкоду",ТабПозиции[[#This Row],[item]]="Посылка"),ТабПозиции[[#This Row],[deliverySumm]]+ТабПозиции[[#This Row],[deliveryPost]],SUM(M1906:O1906))</f>
        <v>230</v>
      </c>
      <c r="Q1906" s="57">
        <v>230</v>
      </c>
      <c r="R1906" s="62">
        <f>ТабПозиции[[#This Row],[totalSumm]]-ТабПозиции[[#This Row],[payment]]</f>
        <v>0</v>
      </c>
      <c r="S1906" s="34" t="s">
        <v>965</v>
      </c>
      <c r="T1906" s="56" t="s">
        <v>3061</v>
      </c>
      <c r="U1906" s="56" t="str">
        <f>IF(AND(ТабПозиции[[#This Row],[Остаток]]=0,ТабПозиции[[#This Row],[ord]]="true"),"true","false")</f>
        <v>true</v>
      </c>
      <c r="V1906" s="56" t="s">
        <v>3061</v>
      </c>
    </row>
    <row r="1907" spans="1:22" x14ac:dyDescent="0.25">
      <c r="A1907" s="26">
        <v>501</v>
      </c>
      <c r="B1907" s="1">
        <f>IFERROR(VLOOKUP(ТабПозиции[[#This Row],[orderNum]],ТабЗаказы[#Data],MATCH(B$7,ТабЗаказы[#Headers],0),0),"")</f>
        <v>45719</v>
      </c>
      <c r="C1907" s="95" t="str">
        <f>MONTH(ТабПозиции[[#This Row],[date]])&amp;"/"&amp;YEAR(ТабПозиции[[#This Row],[date]])</f>
        <v>3/2025</v>
      </c>
      <c r="D1907" s="1" t="str">
        <f>IFERROR(VLOOKUP(ТабПозиции[[#This Row],[orderNum]],ТабЗаказы[#Data],MATCH(D$7,ТабЗаказы[#Headers],0),0),"")</f>
        <v>Галина Агабекова(церковь)</v>
      </c>
      <c r="E1907" s="93" t="s">
        <v>1547</v>
      </c>
      <c r="F1907" s="56" t="s">
        <v>3061</v>
      </c>
      <c r="H1907" s="34">
        <v>45721</v>
      </c>
      <c r="I1907" s="96">
        <v>3</v>
      </c>
      <c r="J1907" s="96">
        <v>727</v>
      </c>
      <c r="K1907">
        <f>ТабПозиции[[#This Row],[discountPrice]]*ТабПозиции[[#This Row],[quantity]]</f>
        <v>2181</v>
      </c>
      <c r="L1907" s="26">
        <v>783</v>
      </c>
      <c r="M1907">
        <f t="shared" si="44"/>
        <v>2349</v>
      </c>
      <c r="N1907" s="96"/>
      <c r="O190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Row],[orderNum]],ТабПозиции[orderSumm])&gt;1500),ABS(M1907*VLOOKUP(ТабПозиции[[#This Row],[orderNum]],ТабЗаказы[#Data],MATCH("Percent",ТабЗаказы[#Headers],0),0))/100,200/COUNTIF(ТабПозиции[orderNum],ТабПозиции[[#This Row],[orderNum]])),0),"")</f>
        <v>352</v>
      </c>
      <c r="P1907" s="95">
        <f>IF(OR(ТабПозиции[[#This Row],[item]]="По штрихкоду",ТабПозиции[[#This Row],[item]]="Посылка"),ТабПозиции[[#This Row],[deliverySumm]]+ТабПозиции[[#This Row],[deliveryPost]],SUM(M1907:O1907))</f>
        <v>2701</v>
      </c>
      <c r="Q1907" s="57">
        <v>2701</v>
      </c>
      <c r="R1907" s="62">
        <f>ТабПозиции[[#This Row],[totalSumm]]-ТабПозиции[[#This Row],[payment]]</f>
        <v>0</v>
      </c>
      <c r="S1907" s="34" t="s">
        <v>955</v>
      </c>
      <c r="T1907" s="56" t="s">
        <v>3061</v>
      </c>
      <c r="U1907" s="56" t="str">
        <f>IF(AND(ТабПозиции[[#This Row],[Остаток]]=0,ТабПозиции[[#This Row],[ord]]="true"),"true","false")</f>
        <v>true</v>
      </c>
      <c r="V1907" s="56" t="s">
        <v>3061</v>
      </c>
    </row>
    <row r="1908" spans="1:22" x14ac:dyDescent="0.25">
      <c r="A1908" s="26">
        <v>502</v>
      </c>
      <c r="B1908" s="1">
        <f>IFERROR(VLOOKUP(ТабПозиции[[#This Row],[orderNum]],ТабЗаказы[#Data],MATCH(B$7,ТабЗаказы[#Headers],0),0),"")</f>
        <v>45720</v>
      </c>
      <c r="C1908" s="95" t="str">
        <f>MONTH(ТабПозиции[[#This Row],[date]])&amp;"/"&amp;YEAR(ТабПозиции[[#This Row],[date]])</f>
        <v>3/2025</v>
      </c>
      <c r="D1908" s="1" t="str">
        <f>IFERROR(VLOOKUP(ТабПозиции[[#This Row],[orderNum]],ТабЗаказы[#Data],MATCH(D$7,ТабЗаказы[#Headers],0),0),"")</f>
        <v>Мальвина Оглу</v>
      </c>
      <c r="E1908" s="26" t="s">
        <v>722</v>
      </c>
      <c r="F1908" s="56" t="s">
        <v>3061</v>
      </c>
      <c r="H1908" s="34">
        <v>45724</v>
      </c>
      <c r="I1908" s="96">
        <v>1</v>
      </c>
      <c r="J1908" s="96">
        <v>5009</v>
      </c>
      <c r="K1908">
        <f>ТабПозиции[[#This Row],[discountPrice]]*ТабПозиции[[#This Row],[quantity]]</f>
        <v>5009</v>
      </c>
      <c r="L1908" s="26">
        <v>5360</v>
      </c>
      <c r="M1908">
        <f t="shared" si="44"/>
        <v>5360</v>
      </c>
      <c r="N1908" s="96"/>
      <c r="O190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Row],[orderNum]],ТабПозиции[orderSumm])&gt;1500),ABS(M1908*VLOOKUP(ТабПозиции[[#This Row],[orderNum]],ТабЗаказы[#Data],MATCH("Percent",ТабЗаказы[#Headers],0),0))/100,200/COUNTIF(ТабПозиции[orderNum],ТабПозиции[[#This Row],[orderNum]])),0),"")</f>
        <v>804</v>
      </c>
      <c r="P1908" s="95">
        <f>IF(OR(ТабПозиции[[#This Row],[item]]="По штрихкоду",ТабПозиции[[#This Row],[item]]="Посылка"),ТабПозиции[[#This Row],[deliverySumm]]+ТабПозиции[[#This Row],[deliveryPost]],SUM(M1908:O1908))</f>
        <v>6164</v>
      </c>
      <c r="Q1908" s="57">
        <v>6164</v>
      </c>
      <c r="R1908" s="62">
        <f>ТабПозиции[[#This Row],[totalSumm]]-ТабПозиции[[#This Row],[payment]]</f>
        <v>0</v>
      </c>
      <c r="S1908" s="34" t="s">
        <v>955</v>
      </c>
      <c r="T1908" s="56" t="s">
        <v>3061</v>
      </c>
      <c r="U1908" s="56" t="str">
        <f>IF(AND(ТабПозиции[[#This Row],[Остаток]]=0,ТабПозиции[[#This Row],[ord]]="true"),"true","false")</f>
        <v>true</v>
      </c>
      <c r="V1908" s="56" t="s">
        <v>3061</v>
      </c>
    </row>
    <row r="1909" spans="1:22" x14ac:dyDescent="0.25">
      <c r="A1909" s="26">
        <v>503</v>
      </c>
      <c r="B1909" s="1">
        <f>IFERROR(VLOOKUP(ТабПозиции[[#This Row],[orderNum]],ТабЗаказы[#Data],MATCH(B$7,ТабЗаказы[#Headers],0),0),"")</f>
        <v>45721</v>
      </c>
      <c r="C1909" s="95" t="str">
        <f>MONTH(ТабПозиции[[#This Row],[date]])&amp;"/"&amp;YEAR(ТабПозиции[[#This Row],[date]])</f>
        <v>3/2025</v>
      </c>
      <c r="D1909" s="1" t="str">
        <f>IFERROR(VLOOKUP(ТабПозиции[[#This Row],[orderNum]],ТабЗаказы[#Data],MATCH(D$7,ТабЗаказы[#Headers],0),0),"")</f>
        <v>Вячеслав Протонов</v>
      </c>
      <c r="E1909" s="93" t="s">
        <v>628</v>
      </c>
      <c r="F1909" s="56" t="s">
        <v>3061</v>
      </c>
      <c r="H1909" s="34">
        <v>45723</v>
      </c>
      <c r="I1909" s="96">
        <v>1</v>
      </c>
      <c r="J1909" s="96">
        <v>1576</v>
      </c>
      <c r="K1909">
        <f>ТабПозиции[[#This Row],[discountPrice]]*ТабПозиции[[#This Row],[quantity]]</f>
        <v>1576</v>
      </c>
      <c r="L1909" s="26">
        <v>1659</v>
      </c>
      <c r="M1909">
        <f t="shared" si="44"/>
        <v>1659</v>
      </c>
      <c r="N1909" s="96"/>
      <c r="O190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Row],[orderNum]],ТабПозиции[orderSumm])&gt;1500),ABS(M1909*VLOOKUP(ТабПозиции[[#This Row],[orderNum]],ТабЗаказы[#Data],MATCH("Percent",ТабЗаказы[#Headers],0),0))/100,200/COUNTIF(ТабПозиции[orderNum],ТабПозиции[[#This Row],[orderNum]])),0),"")</f>
        <v>249</v>
      </c>
      <c r="P1909" s="95">
        <f>IF(OR(ТабПозиции[[#This Row],[item]]="По штрихкоду",ТабПозиции[[#This Row],[item]]="Посылка"),ТабПозиции[[#This Row],[deliverySumm]]+ТабПозиции[[#This Row],[deliveryPost]],SUM(M1909:O1909))</f>
        <v>1908</v>
      </c>
      <c r="Q1909" s="57">
        <v>1908</v>
      </c>
      <c r="R1909" s="62">
        <f>ТабПозиции[[#This Row],[totalSumm]]-ТабПозиции[[#This Row],[payment]]</f>
        <v>0</v>
      </c>
      <c r="S1909" s="34" t="s">
        <v>965</v>
      </c>
      <c r="T1909" s="56" t="s">
        <v>3061</v>
      </c>
      <c r="U1909" s="56" t="str">
        <f>IF(AND(ТабПозиции[[#This Row],[Остаток]]=0,ТабПозиции[[#This Row],[ord]]="true"),"true","false")</f>
        <v>true</v>
      </c>
      <c r="V1909" s="56" t="s">
        <v>3061</v>
      </c>
    </row>
    <row r="1910" spans="1:22" x14ac:dyDescent="0.25">
      <c r="A1910" s="26">
        <v>503</v>
      </c>
      <c r="B1910" s="1">
        <f>IFERROR(VLOOKUP(ТабПозиции[[#This Row],[orderNum]],ТабЗаказы[#Data],MATCH(B$7,ТабЗаказы[#Headers],0),0),"")</f>
        <v>45721</v>
      </c>
      <c r="C1910" s="95" t="str">
        <f>MONTH(ТабПозиции[[#This Row],[date]])&amp;"/"&amp;YEAR(ТабПозиции[[#This Row],[date]])</f>
        <v>3/2025</v>
      </c>
      <c r="D1910" s="1" t="str">
        <f>IFERROR(VLOOKUP(ТабПозиции[[#This Row],[orderNum]],ТабЗаказы[#Data],MATCH(D$7,ТабЗаказы[#Headers],0),0),"")</f>
        <v>Вячеслав Протонов</v>
      </c>
      <c r="E1910" s="93" t="s">
        <v>2593</v>
      </c>
      <c r="F1910" s="56" t="s">
        <v>3061</v>
      </c>
      <c r="H1910" s="34">
        <v>45723</v>
      </c>
      <c r="I1910" s="96">
        <v>1</v>
      </c>
      <c r="J1910" s="96">
        <v>239</v>
      </c>
      <c r="K1910">
        <f>ТабПозиции[[#This Row],[discountPrice]]*ТабПозиции[[#This Row],[quantity]]</f>
        <v>239</v>
      </c>
      <c r="L1910" s="26">
        <v>252</v>
      </c>
      <c r="M1910">
        <f t="shared" si="44"/>
        <v>252</v>
      </c>
      <c r="N1910" s="96"/>
      <c r="O191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Row],[orderNum]],ТабПозиции[orderSumm])&gt;1500),ABS(M1910*VLOOKUP(ТабПозиции[[#This Row],[orderNum]],ТабЗаказы[#Data],MATCH("Percent",ТабЗаказы[#Headers],0),0))/100,200/COUNTIF(ТабПозиции[orderNum],ТабПозиции[[#This Row],[orderNum]])),0),"")</f>
        <v>38</v>
      </c>
      <c r="P1910" s="95">
        <f>IF(OR(ТабПозиции[[#This Row],[item]]="По штрихкоду",ТабПозиции[[#This Row],[item]]="Посылка"),ТабПозиции[[#This Row],[deliverySumm]]+ТабПозиции[[#This Row],[deliveryPost]],SUM(M1910:O1910))</f>
        <v>290</v>
      </c>
      <c r="Q1910" s="57">
        <v>290</v>
      </c>
      <c r="R1910" s="62">
        <f>ТабПозиции[[#This Row],[totalSumm]]-ТабПозиции[[#This Row],[payment]]</f>
        <v>0</v>
      </c>
      <c r="S1910" s="34" t="s">
        <v>965</v>
      </c>
      <c r="T1910" s="56" t="s">
        <v>3061</v>
      </c>
      <c r="U1910" s="56" t="str">
        <f>IF(AND(ТабПозиции[[#This Row],[Остаток]]=0,ТабПозиции[[#This Row],[ord]]="true"),"true","false")</f>
        <v>true</v>
      </c>
      <c r="V1910" s="56" t="s">
        <v>3061</v>
      </c>
    </row>
    <row r="1911" spans="1:22" x14ac:dyDescent="0.25">
      <c r="A1911" s="26">
        <v>503</v>
      </c>
      <c r="B1911" s="1">
        <f>IFERROR(VLOOKUP(ТабПозиции[[#This Row],[orderNum]],ТабЗаказы[#Data],MATCH(B$7,ТабЗаказы[#Headers],0),0),"")</f>
        <v>45721</v>
      </c>
      <c r="C1911" s="95" t="str">
        <f>MONTH(ТабПозиции[[#This Row],[date]])&amp;"/"&amp;YEAR(ТабПозиции[[#This Row],[date]])</f>
        <v>3/2025</v>
      </c>
      <c r="D1911" s="1" t="str">
        <f>IFERROR(VLOOKUP(ТабПозиции[[#This Row],[orderNum]],ТабЗаказы[#Data],MATCH(D$7,ТабЗаказы[#Headers],0),0),"")</f>
        <v>Вячеслав Протонов</v>
      </c>
      <c r="E1911" s="93" t="s">
        <v>2594</v>
      </c>
      <c r="F1911" s="56" t="s">
        <v>3061</v>
      </c>
      <c r="H1911" s="34">
        <v>45722</v>
      </c>
      <c r="I1911" s="96">
        <v>1</v>
      </c>
      <c r="J1911" s="96">
        <v>1546</v>
      </c>
      <c r="K1911">
        <f>ТабПозиции[[#This Row],[discountPrice]]*ТабПозиции[[#This Row],[quantity]]</f>
        <v>1546</v>
      </c>
      <c r="L1911" s="26">
        <v>1628</v>
      </c>
      <c r="M1911">
        <f t="shared" si="44"/>
        <v>1628</v>
      </c>
      <c r="N1911" s="96"/>
      <c r="O191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Row],[orderNum]],ТабПозиции[orderSumm])&gt;1500),ABS(M1911*VLOOKUP(ТабПозиции[[#This Row],[orderNum]],ТабЗаказы[#Data],MATCH("Percent",ТабЗаказы[#Headers],0),0))/100,200/COUNTIF(ТабПозиции[orderNum],ТабПозиции[[#This Row],[orderNum]])),0),"")</f>
        <v>244</v>
      </c>
      <c r="P1911" s="95">
        <f>IF(OR(ТабПозиции[[#This Row],[item]]="По штрихкоду",ТабПозиции[[#This Row],[item]]="Посылка"),ТабПозиции[[#This Row],[deliverySumm]]+ТабПозиции[[#This Row],[deliveryPost]],SUM(M1911:O1911))</f>
        <v>1872</v>
      </c>
      <c r="Q1911" s="57">
        <v>1872</v>
      </c>
      <c r="R1911" s="62">
        <f>ТабПозиции[[#This Row],[totalSumm]]-ТабПозиции[[#This Row],[payment]]</f>
        <v>0</v>
      </c>
      <c r="S1911" s="34" t="s">
        <v>965</v>
      </c>
      <c r="T1911" s="56" t="s">
        <v>3061</v>
      </c>
      <c r="U1911" s="56" t="str">
        <f>IF(AND(ТабПозиции[[#This Row],[Остаток]]=0,ТабПозиции[[#This Row],[ord]]="true"),"true","false")</f>
        <v>true</v>
      </c>
      <c r="V1911" s="56" t="s">
        <v>3061</v>
      </c>
    </row>
    <row r="1912" spans="1:22" x14ac:dyDescent="0.25">
      <c r="A1912" s="26">
        <v>504</v>
      </c>
      <c r="B1912" s="1">
        <f>IFERROR(VLOOKUP(ТабПозиции[[#This Row],[orderNum]],ТабЗаказы[#Data],MATCH(B$7,ТабЗаказы[#Headers],0),0),"")</f>
        <v>45721</v>
      </c>
      <c r="C1912" s="95" t="str">
        <f>MONTH(ТабПозиции[[#This Row],[date]])&amp;"/"&amp;YEAR(ТабПозиции[[#This Row],[date]])</f>
        <v>3/2025</v>
      </c>
      <c r="D1912" s="1" t="str">
        <f>IFERROR(VLOOKUP(ТабПозиции[[#This Row],[orderNum]],ТабЗаказы[#Data],MATCH(D$7,ТабЗаказы[#Headers],0),0),"")</f>
        <v>Светлана от Александра</v>
      </c>
      <c r="E1912" s="93" t="s">
        <v>2207</v>
      </c>
      <c r="F1912" s="56" t="s">
        <v>3061</v>
      </c>
      <c r="H1912" s="34">
        <v>45723</v>
      </c>
      <c r="I1912" s="96">
        <v>1</v>
      </c>
      <c r="J1912" s="96">
        <v>649</v>
      </c>
      <c r="K1912">
        <f>ТабПозиции[[#This Row],[discountPrice]]*ТабПозиции[[#This Row],[quantity]]</f>
        <v>649</v>
      </c>
      <c r="L1912" s="26">
        <v>684</v>
      </c>
      <c r="M1912">
        <f t="shared" si="44"/>
        <v>684</v>
      </c>
      <c r="N1912" s="96"/>
      <c r="O191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Row],[orderNum]],ТабПозиции[orderSumm])&gt;1500),ABS(M1912*VLOOKUP(ТабПозиции[[#This Row],[orderNum]],ТабЗаказы[#Data],MATCH("Percent",ТабЗаказы[#Headers],0),0))/100,200/COUNTIF(ТабПозиции[orderNum],ТабПозиции[[#This Row],[orderNum]])),0),"")</f>
        <v>103</v>
      </c>
      <c r="P1912" s="95">
        <f>IF(OR(ТабПозиции[[#This Row],[item]]="По штрихкоду",ТабПозиции[[#This Row],[item]]="Посылка"),ТабПозиции[[#This Row],[deliverySumm]]+ТабПозиции[[#This Row],[deliveryPost]],SUM(M1912:O1912))</f>
        <v>787</v>
      </c>
      <c r="Q1912" s="57">
        <v>787</v>
      </c>
      <c r="R1912" s="62">
        <f>ТабПозиции[[#This Row],[totalSumm]]-ТабПозиции[[#This Row],[payment]]</f>
        <v>0</v>
      </c>
      <c r="S1912" s="34" t="s">
        <v>965</v>
      </c>
      <c r="T1912" s="56" t="s">
        <v>3061</v>
      </c>
      <c r="U1912" s="56" t="str">
        <f>IF(AND(ТабПозиции[[#This Row],[Остаток]]=0,ТабПозиции[[#This Row],[ord]]="true"),"true","false")</f>
        <v>true</v>
      </c>
      <c r="V1912" s="56" t="s">
        <v>3061</v>
      </c>
    </row>
    <row r="1913" spans="1:22" x14ac:dyDescent="0.25">
      <c r="A1913" s="26">
        <v>504</v>
      </c>
      <c r="B1913" s="1">
        <f>IFERROR(VLOOKUP(ТабПозиции[[#This Row],[orderNum]],ТабЗаказы[#Data],MATCH(B$7,ТабЗаказы[#Headers],0),0),"")</f>
        <v>45721</v>
      </c>
      <c r="C1913" s="95" t="str">
        <f>MONTH(ТабПозиции[[#This Row],[date]])&amp;"/"&amp;YEAR(ТабПозиции[[#This Row],[date]])</f>
        <v>3/2025</v>
      </c>
      <c r="D1913" s="1" t="str">
        <f>IFERROR(VLOOKUP(ТабПозиции[[#This Row],[orderNum]],ТабЗаказы[#Data],MATCH(D$7,ТабЗаказы[#Headers],0),0),"")</f>
        <v>Светлана от Александра</v>
      </c>
      <c r="E1913" s="93" t="s">
        <v>2207</v>
      </c>
      <c r="F1913" s="56" t="s">
        <v>3061</v>
      </c>
      <c r="H1913" s="34">
        <v>45722</v>
      </c>
      <c r="I1913" s="96">
        <v>1</v>
      </c>
      <c r="J1913" s="96">
        <v>649</v>
      </c>
      <c r="K1913">
        <f>ТабПозиции[[#This Row],[discountPrice]]*ТабПозиции[[#This Row],[quantity]]</f>
        <v>649</v>
      </c>
      <c r="L1913" s="26">
        <v>684</v>
      </c>
      <c r="M1913">
        <f t="shared" si="44"/>
        <v>684</v>
      </c>
      <c r="N1913" s="96"/>
      <c r="O191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Row],[orderNum]],ТабПозиции[orderSumm])&gt;1500),ABS(M1913*VLOOKUP(ТабПозиции[[#This Row],[orderNum]],ТабЗаказы[#Data],MATCH("Percent",ТабЗаказы[#Headers],0),0))/100,200/COUNTIF(ТабПозиции[orderNum],ТабПозиции[[#This Row],[orderNum]])),0),"")</f>
        <v>103</v>
      </c>
      <c r="P1913" s="95">
        <f>IF(OR(ТабПозиции[[#This Row],[item]]="По штрихкоду",ТабПозиции[[#This Row],[item]]="Посылка"),ТабПозиции[[#This Row],[deliverySumm]]+ТабПозиции[[#This Row],[deliveryPost]],SUM(M1913:O1913))</f>
        <v>787</v>
      </c>
      <c r="Q1913" s="57">
        <v>787</v>
      </c>
      <c r="R1913" s="62">
        <f>ТабПозиции[[#This Row],[totalSumm]]-ТабПозиции[[#This Row],[payment]]</f>
        <v>0</v>
      </c>
      <c r="S1913" s="34" t="s">
        <v>965</v>
      </c>
      <c r="T1913" s="56" t="s">
        <v>3061</v>
      </c>
      <c r="U1913" s="56" t="str">
        <f>IF(AND(ТабПозиции[[#This Row],[Остаток]]=0,ТабПозиции[[#This Row],[ord]]="true"),"true","false")</f>
        <v>true</v>
      </c>
      <c r="V1913" s="56" t="s">
        <v>3061</v>
      </c>
    </row>
    <row r="1914" spans="1:22" x14ac:dyDescent="0.25">
      <c r="A1914" s="26">
        <v>504</v>
      </c>
      <c r="B1914" s="1">
        <f>IFERROR(VLOOKUP(ТабПозиции[[#This Row],[orderNum]],ТабЗаказы[#Data],MATCH(B$7,ТабЗаказы[#Headers],0),0),"")</f>
        <v>45721</v>
      </c>
      <c r="C1914" s="95" t="str">
        <f>MONTH(ТабПозиции[[#This Row],[date]])&amp;"/"&amp;YEAR(ТабПозиции[[#This Row],[date]])</f>
        <v>3/2025</v>
      </c>
      <c r="D1914" s="1" t="str">
        <f>IFERROR(VLOOKUP(ТабПозиции[[#This Row],[orderNum]],ТабЗаказы[#Data],MATCH(D$7,ТабЗаказы[#Headers],0),0),"")</f>
        <v>Светлана от Александра</v>
      </c>
      <c r="E1914" s="93" t="s">
        <v>2027</v>
      </c>
      <c r="F1914" s="56" t="s">
        <v>3061</v>
      </c>
      <c r="H1914" s="34">
        <v>45722</v>
      </c>
      <c r="I1914" s="96">
        <v>1</v>
      </c>
      <c r="J1914" s="96">
        <v>413</v>
      </c>
      <c r="K1914">
        <f>ТабПозиции[[#This Row],[discountPrice]]*ТабПозиции[[#This Row],[quantity]]</f>
        <v>413</v>
      </c>
      <c r="L1914" s="26">
        <v>435</v>
      </c>
      <c r="M1914">
        <f t="shared" si="44"/>
        <v>435</v>
      </c>
      <c r="N1914" s="96"/>
      <c r="O191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Row],[orderNum]],ТабПозиции[orderSumm])&gt;1500),ABS(M1914*VLOOKUP(ТабПозиции[[#This Row],[orderNum]],ТабЗаказы[#Data],MATCH("Percent",ТабЗаказы[#Headers],0),0))/100,200/COUNTIF(ТабПозиции[orderNum],ТабПозиции[[#This Row],[orderNum]])),0),"")</f>
        <v>65</v>
      </c>
      <c r="P1914" s="95">
        <f>IF(OR(ТабПозиции[[#This Row],[item]]="По штрихкоду",ТабПозиции[[#This Row],[item]]="Посылка"),ТабПозиции[[#This Row],[deliverySumm]]+ТабПозиции[[#This Row],[deliveryPost]],SUM(M1914:O1914))</f>
        <v>500</v>
      </c>
      <c r="Q1914" s="57">
        <v>500</v>
      </c>
      <c r="R1914" s="62">
        <f>ТабПозиции[[#This Row],[totalSumm]]-ТабПозиции[[#This Row],[payment]]</f>
        <v>0</v>
      </c>
      <c r="S1914" s="34" t="s">
        <v>965</v>
      </c>
      <c r="T1914" s="56" t="s">
        <v>3061</v>
      </c>
      <c r="U1914" s="56" t="str">
        <f>IF(AND(ТабПозиции[[#This Row],[Остаток]]=0,ТабПозиции[[#This Row],[ord]]="true"),"true","false")</f>
        <v>true</v>
      </c>
      <c r="V1914" s="56" t="s">
        <v>3061</v>
      </c>
    </row>
    <row r="1915" spans="1:22" x14ac:dyDescent="0.25">
      <c r="A1915" s="26">
        <v>504</v>
      </c>
      <c r="B1915" s="1">
        <f>IFERROR(VLOOKUP(ТабПозиции[[#This Row],[orderNum]],ТабЗаказы[#Data],MATCH(B$7,ТабЗаказы[#Headers],0),0),"")</f>
        <v>45721</v>
      </c>
      <c r="C1915" s="95" t="str">
        <f>MONTH(ТабПозиции[[#This Row],[date]])&amp;"/"&amp;YEAR(ТабПозиции[[#This Row],[date]])</f>
        <v>3/2025</v>
      </c>
      <c r="D1915" s="1" t="str">
        <f>IFERROR(VLOOKUP(ТабПозиции[[#This Row],[orderNum]],ТабЗаказы[#Data],MATCH(D$7,ТабЗаказы[#Headers],0),0),"")</f>
        <v>Светлана от Александра</v>
      </c>
      <c r="E1915" s="93" t="s">
        <v>2595</v>
      </c>
      <c r="F1915" s="56" t="s">
        <v>3061</v>
      </c>
      <c r="H1915" s="34">
        <v>45724</v>
      </c>
      <c r="I1915" s="96">
        <v>1</v>
      </c>
      <c r="J1915" s="96">
        <v>242</v>
      </c>
      <c r="K1915">
        <f>ТабПозиции[[#This Row],[discountPrice]]*ТабПозиции[[#This Row],[quantity]]</f>
        <v>242</v>
      </c>
      <c r="L1915" s="26">
        <v>255</v>
      </c>
      <c r="M1915">
        <f t="shared" si="44"/>
        <v>255</v>
      </c>
      <c r="N1915" s="96"/>
      <c r="O191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Row],[orderNum]],ТабПозиции[orderSumm])&gt;1500),ABS(M1915*VLOOKUP(ТабПозиции[[#This Row],[orderNum]],ТабЗаказы[#Data],MATCH("Percent",ТабЗаказы[#Headers],0),0))/100,200/COUNTIF(ТабПозиции[orderNum],ТабПозиции[[#This Row],[orderNum]])),0),"")</f>
        <v>38</v>
      </c>
      <c r="P1915" s="95">
        <f>IF(OR(ТабПозиции[[#This Row],[item]]="По штрихкоду",ТабПозиции[[#This Row],[item]]="Посылка"),ТабПозиции[[#This Row],[deliverySumm]]+ТабПозиции[[#This Row],[deliveryPost]],SUM(M1915:O1915))</f>
        <v>293</v>
      </c>
      <c r="Q1915" s="57">
        <v>293</v>
      </c>
      <c r="R1915" s="62">
        <f>ТабПозиции[[#This Row],[totalSumm]]-ТабПозиции[[#This Row],[payment]]</f>
        <v>0</v>
      </c>
      <c r="S1915" s="34" t="s">
        <v>965</v>
      </c>
      <c r="T1915" s="56" t="s">
        <v>3061</v>
      </c>
      <c r="U1915" s="56" t="str">
        <f>IF(AND(ТабПозиции[[#This Row],[Остаток]]=0,ТабПозиции[[#This Row],[ord]]="true"),"true","false")</f>
        <v>true</v>
      </c>
      <c r="V1915" s="56" t="s">
        <v>3061</v>
      </c>
    </row>
    <row r="1916" spans="1:22" x14ac:dyDescent="0.25">
      <c r="A1916" s="26">
        <v>504</v>
      </c>
      <c r="B1916" s="1">
        <f>IFERROR(VLOOKUP(ТабПозиции[[#This Row],[orderNum]],ТабЗаказы[#Data],MATCH(B$7,ТабЗаказы[#Headers],0),0),"")</f>
        <v>45721</v>
      </c>
      <c r="C1916" s="95" t="str">
        <f>MONTH(ТабПозиции[[#This Row],[date]])&amp;"/"&amp;YEAR(ТабПозиции[[#This Row],[date]])</f>
        <v>3/2025</v>
      </c>
      <c r="D1916" s="1" t="str">
        <f>IFERROR(VLOOKUP(ТабПозиции[[#This Row],[orderNum]],ТабЗаказы[#Data],MATCH(D$7,ТабЗаказы[#Headers],0),0),"")</f>
        <v>Светлана от Александра</v>
      </c>
      <c r="E1916" s="93" t="s">
        <v>2596</v>
      </c>
      <c r="F1916" s="56" t="s">
        <v>3061</v>
      </c>
      <c r="H1916" s="34">
        <v>45724</v>
      </c>
      <c r="I1916" s="96">
        <v>1</v>
      </c>
      <c r="J1916" s="96">
        <v>176</v>
      </c>
      <c r="K1916">
        <f>ТабПозиции[[#This Row],[discountPrice]]*ТабПозиции[[#This Row],[quantity]]</f>
        <v>176</v>
      </c>
      <c r="L1916" s="26">
        <v>186</v>
      </c>
      <c r="M1916">
        <f t="shared" si="44"/>
        <v>186</v>
      </c>
      <c r="N1916" s="96"/>
      <c r="O191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Row],[orderNum]],ТабПозиции[orderSumm])&gt;1500),ABS(M1916*VLOOKUP(ТабПозиции[[#This Row],[orderNum]],ТабЗаказы[#Data],MATCH("Percent",ТабЗаказы[#Headers],0),0))/100,200/COUNTIF(ТабПозиции[orderNum],ТабПозиции[[#This Row],[orderNum]])),0),"")</f>
        <v>28</v>
      </c>
      <c r="P1916" s="95">
        <f>IF(OR(ТабПозиции[[#This Row],[item]]="По штрихкоду",ТабПозиции[[#This Row],[item]]="Посылка"),ТабПозиции[[#This Row],[deliverySumm]]+ТабПозиции[[#This Row],[deliveryPost]],SUM(M1916:O1916))</f>
        <v>214</v>
      </c>
      <c r="Q1916" s="57">
        <v>214</v>
      </c>
      <c r="R1916" s="62">
        <f>ТабПозиции[[#This Row],[totalSumm]]-ТабПозиции[[#This Row],[payment]]</f>
        <v>0</v>
      </c>
      <c r="S1916" s="34" t="s">
        <v>965</v>
      </c>
      <c r="T1916" s="56" t="s">
        <v>3061</v>
      </c>
      <c r="U1916" s="56" t="str">
        <f>IF(AND(ТабПозиции[[#This Row],[Остаток]]=0,ТабПозиции[[#This Row],[ord]]="true"),"true","false")</f>
        <v>true</v>
      </c>
      <c r="V1916" s="56" t="s">
        <v>3061</v>
      </c>
    </row>
    <row r="1917" spans="1:22" x14ac:dyDescent="0.25">
      <c r="A1917" s="26">
        <v>504</v>
      </c>
      <c r="B1917" s="1">
        <f>IFERROR(VLOOKUP(ТабПозиции[[#This Row],[orderNum]],ТабЗаказы[#Data],MATCH(B$7,ТабЗаказы[#Headers],0),0),"")</f>
        <v>45721</v>
      </c>
      <c r="C1917" s="95" t="str">
        <f>MONTH(ТабПозиции[[#This Row],[date]])&amp;"/"&amp;YEAR(ТабПозиции[[#This Row],[date]])</f>
        <v>3/2025</v>
      </c>
      <c r="D1917" s="1" t="str">
        <f>IFERROR(VLOOKUP(ТабПозиции[[#This Row],[orderNum]],ТабЗаказы[#Data],MATCH(D$7,ТабЗаказы[#Headers],0),0),"")</f>
        <v>Светлана от Александра</v>
      </c>
      <c r="E1917" s="93" t="s">
        <v>2596</v>
      </c>
      <c r="F1917" s="56" t="s">
        <v>3061</v>
      </c>
      <c r="H1917" s="34">
        <v>45723</v>
      </c>
      <c r="I1917" s="96">
        <v>2</v>
      </c>
      <c r="J1917" s="96">
        <v>256</v>
      </c>
      <c r="K1917">
        <f>ТабПозиции[[#This Row],[discountPrice]]*ТабПозиции[[#This Row],[quantity]]</f>
        <v>512</v>
      </c>
      <c r="L1917" s="26">
        <v>270</v>
      </c>
      <c r="M1917">
        <f t="shared" si="44"/>
        <v>540</v>
      </c>
      <c r="N1917" s="96"/>
      <c r="O191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Row],[orderNum]],ТабПозиции[orderSumm])&gt;1500),ABS(M1917*VLOOKUP(ТабПозиции[[#This Row],[orderNum]],ТабЗаказы[#Data],MATCH("Percent",ТабЗаказы[#Headers],0),0))/100,200/COUNTIF(ТабПозиции[orderNum],ТабПозиции[[#This Row],[orderNum]])),0),"")</f>
        <v>81</v>
      </c>
      <c r="P1917" s="95">
        <f>IF(OR(ТабПозиции[[#This Row],[item]]="По штрихкоду",ТабПозиции[[#This Row],[item]]="Посылка"),ТабПозиции[[#This Row],[deliverySumm]]+ТабПозиции[[#This Row],[deliveryPost]],SUM(M1917:O1917))</f>
        <v>621</v>
      </c>
      <c r="Q1917" s="57">
        <v>621</v>
      </c>
      <c r="R1917" s="62">
        <f>ТабПозиции[[#This Row],[totalSumm]]-ТабПозиции[[#This Row],[payment]]</f>
        <v>0</v>
      </c>
      <c r="S1917" s="34" t="s">
        <v>965</v>
      </c>
      <c r="T1917" s="56" t="s">
        <v>3061</v>
      </c>
      <c r="U1917" s="56" t="str">
        <f>IF(AND(ТабПозиции[[#This Row],[Остаток]]=0,ТабПозиции[[#This Row],[ord]]="true"),"true","false")</f>
        <v>true</v>
      </c>
      <c r="V1917" s="56" t="s">
        <v>3061</v>
      </c>
    </row>
    <row r="1918" spans="1:22" x14ac:dyDescent="0.25">
      <c r="A1918" s="26">
        <v>504</v>
      </c>
      <c r="B1918" s="1">
        <f>IFERROR(VLOOKUP(ТабПозиции[[#This Row],[orderNum]],ТабЗаказы[#Data],MATCH(B$7,ТабЗаказы[#Headers],0),0),"")</f>
        <v>45721</v>
      </c>
      <c r="C1918" s="95" t="str">
        <f>MONTH(ТабПозиции[[#This Row],[date]])&amp;"/"&amp;YEAR(ТабПозиции[[#This Row],[date]])</f>
        <v>3/2025</v>
      </c>
      <c r="D1918" s="1" t="str">
        <f>IFERROR(VLOOKUP(ТабПозиции[[#This Row],[orderNum]],ТабЗаказы[#Data],MATCH(D$7,ТабЗаказы[#Headers],0),0),"")</f>
        <v>Светлана от Александра</v>
      </c>
      <c r="E1918" s="93" t="s">
        <v>2597</v>
      </c>
      <c r="F1918" s="56" t="s">
        <v>3061</v>
      </c>
      <c r="H1918" s="34">
        <v>45723</v>
      </c>
      <c r="I1918" s="96">
        <v>1</v>
      </c>
      <c r="J1918" s="96">
        <v>182</v>
      </c>
      <c r="K1918">
        <f>ТабПозиции[[#This Row],[discountPrice]]*ТабПозиции[[#This Row],[quantity]]</f>
        <v>182</v>
      </c>
      <c r="L1918" s="26">
        <v>192</v>
      </c>
      <c r="M1918">
        <f t="shared" si="44"/>
        <v>192</v>
      </c>
      <c r="N1918" s="96"/>
      <c r="O191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Row],[orderNum]],ТабПозиции[orderSumm])&gt;1500),ABS(M1918*VLOOKUP(ТабПозиции[[#This Row],[orderNum]],ТабЗаказы[#Data],MATCH("Percent",ТабЗаказы[#Headers],0),0))/100,200/COUNTIF(ТабПозиции[orderNum],ТабПозиции[[#This Row],[orderNum]])),0),"")</f>
        <v>29</v>
      </c>
      <c r="P1918" s="95">
        <f>IF(OR(ТабПозиции[[#This Row],[item]]="По штрихкоду",ТабПозиции[[#This Row],[item]]="Посылка"),ТабПозиции[[#This Row],[deliverySumm]]+ТабПозиции[[#This Row],[deliveryPost]],SUM(M1918:O1918))</f>
        <v>221</v>
      </c>
      <c r="Q1918" s="57">
        <v>221</v>
      </c>
      <c r="R1918" s="62">
        <f>ТабПозиции[[#This Row],[totalSumm]]-ТабПозиции[[#This Row],[payment]]</f>
        <v>0</v>
      </c>
      <c r="S1918" s="34" t="s">
        <v>965</v>
      </c>
      <c r="T1918" s="56" t="s">
        <v>3061</v>
      </c>
      <c r="U1918" s="56" t="str">
        <f>IF(AND(ТабПозиции[[#This Row],[Остаток]]=0,ТабПозиции[[#This Row],[ord]]="true"),"true","false")</f>
        <v>true</v>
      </c>
      <c r="V1918" s="56" t="s">
        <v>3061</v>
      </c>
    </row>
    <row r="1919" spans="1:22" x14ac:dyDescent="0.25">
      <c r="A1919" s="26">
        <v>504</v>
      </c>
      <c r="B1919" s="1">
        <f>IFERROR(VLOOKUP(ТабПозиции[[#This Row],[orderNum]],ТабЗаказы[#Data],MATCH(B$7,ТабЗаказы[#Headers],0),0),"")</f>
        <v>45721</v>
      </c>
      <c r="C1919" s="95" t="str">
        <f>MONTH(ТабПозиции[[#This Row],[date]])&amp;"/"&amp;YEAR(ТабПозиции[[#This Row],[date]])</f>
        <v>3/2025</v>
      </c>
      <c r="D1919" s="1" t="str">
        <f>IFERROR(VLOOKUP(ТабПозиции[[#This Row],[orderNum]],ТабЗаказы[#Data],MATCH(D$7,ТабЗаказы[#Headers],0),0),"")</f>
        <v>Светлана от Александра</v>
      </c>
      <c r="E1919" s="93" t="s">
        <v>2598</v>
      </c>
      <c r="F1919" s="56" t="s">
        <v>3061</v>
      </c>
      <c r="H1919" s="34">
        <v>45722</v>
      </c>
      <c r="I1919" s="96">
        <v>1</v>
      </c>
      <c r="J1919" s="96">
        <v>1270</v>
      </c>
      <c r="K1919">
        <f>ТабПозиции[[#This Row],[discountPrice]]*ТабПозиции[[#This Row],[quantity]]</f>
        <v>1270</v>
      </c>
      <c r="L1919" s="26">
        <v>1337</v>
      </c>
      <c r="M1919">
        <f t="shared" si="44"/>
        <v>1337</v>
      </c>
      <c r="N1919" s="96"/>
      <c r="O191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Row],[orderNum]],ТабПозиции[orderSumm])&gt;1500),ABS(M1919*VLOOKUP(ТабПозиции[[#This Row],[orderNum]],ТабЗаказы[#Data],MATCH("Percent",ТабЗаказы[#Headers],0),0))/100,200/COUNTIF(ТабПозиции[orderNum],ТабПозиции[[#This Row],[orderNum]])),0),"")</f>
        <v>201</v>
      </c>
      <c r="P1919" s="95">
        <f>IF(OR(ТабПозиции[[#This Row],[item]]="По штрихкоду",ТабПозиции[[#This Row],[item]]="Посылка"),ТабПозиции[[#This Row],[deliverySumm]]+ТабПозиции[[#This Row],[deliveryPost]],SUM(M1919:O1919))</f>
        <v>1538</v>
      </c>
      <c r="Q1919" s="57">
        <v>1538</v>
      </c>
      <c r="R1919" s="62">
        <f>ТабПозиции[[#This Row],[totalSumm]]-ТабПозиции[[#This Row],[payment]]</f>
        <v>0</v>
      </c>
      <c r="S1919" s="34" t="s">
        <v>965</v>
      </c>
      <c r="T1919" s="56" t="s">
        <v>3061</v>
      </c>
      <c r="U1919" s="56" t="str">
        <f>IF(AND(ТабПозиции[[#This Row],[Остаток]]=0,ТабПозиции[[#This Row],[ord]]="true"),"true","false")</f>
        <v>true</v>
      </c>
      <c r="V1919" s="56" t="s">
        <v>3061</v>
      </c>
    </row>
    <row r="1920" spans="1:22" x14ac:dyDescent="0.25">
      <c r="A1920" s="26">
        <v>504</v>
      </c>
      <c r="B1920" s="1">
        <f>IFERROR(VLOOKUP(ТабПозиции[[#This Row],[orderNum]],ТабЗаказы[#Data],MATCH(B$7,ТабЗаказы[#Headers],0),0),"")</f>
        <v>45721</v>
      </c>
      <c r="C1920" s="95" t="str">
        <f>MONTH(ТабПозиции[[#This Row],[date]])&amp;"/"&amp;YEAR(ТабПозиции[[#This Row],[date]])</f>
        <v>3/2025</v>
      </c>
      <c r="D1920" s="1" t="str">
        <f>IFERROR(VLOOKUP(ТабПозиции[[#This Row],[orderNum]],ТабЗаказы[#Data],MATCH(D$7,ТабЗаказы[#Headers],0),0),"")</f>
        <v>Светлана от Александра</v>
      </c>
      <c r="E1920" s="93" t="s">
        <v>2599</v>
      </c>
      <c r="F1920" s="56" t="s">
        <v>3061</v>
      </c>
      <c r="H1920" s="34">
        <v>45740</v>
      </c>
      <c r="I1920" s="96">
        <v>1</v>
      </c>
      <c r="J1920" s="96">
        <v>668</v>
      </c>
      <c r="K1920">
        <f>ТабПозиции[[#This Row],[discountPrice]]*ТабПозиции[[#This Row],[quantity]]</f>
        <v>668</v>
      </c>
      <c r="L1920" s="26">
        <v>681</v>
      </c>
      <c r="M1920">
        <f t="shared" si="44"/>
        <v>681</v>
      </c>
      <c r="N1920" s="96"/>
      <c r="O192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Row],[orderNum]],ТабПозиции[orderSumm])&gt;1500),ABS(M1920*VLOOKUP(ТабПозиции[[#This Row],[orderNum]],ТабЗаказы[#Data],MATCH("Percent",ТабЗаказы[#Headers],0),0))/100,200/COUNTIF(ТабПозиции[orderNum],ТабПозиции[[#This Row],[orderNum]])),0),"")</f>
        <v>102</v>
      </c>
      <c r="P1920" s="95">
        <f>IF(OR(ТабПозиции[[#This Row],[item]]="По штрихкоду",ТабПозиции[[#This Row],[item]]="Посылка"),ТабПозиции[[#This Row],[deliverySumm]]+ТабПозиции[[#This Row],[deliveryPost]],SUM(M1920:O1920))</f>
        <v>783</v>
      </c>
      <c r="Q1920" s="57">
        <v>783</v>
      </c>
      <c r="R1920" s="62">
        <f>ТабПозиции[[#This Row],[totalSumm]]-ТабПозиции[[#This Row],[payment]]</f>
        <v>0</v>
      </c>
      <c r="S1920" s="34" t="s">
        <v>955</v>
      </c>
      <c r="T1920" s="56" t="s">
        <v>3061</v>
      </c>
      <c r="U1920" s="56" t="str">
        <f>IF(AND(ТабПозиции[[#This Row],[Остаток]]=0,ТабПозиции[[#This Row],[ord]]="true"),"true","false")</f>
        <v>true</v>
      </c>
      <c r="V1920" s="56" t="s">
        <v>3062</v>
      </c>
    </row>
    <row r="1921" spans="1:22" x14ac:dyDescent="0.25">
      <c r="A1921" s="26">
        <v>503</v>
      </c>
      <c r="B1921" s="1">
        <f>IFERROR(VLOOKUP(ТабПозиции[[#This Row],[orderNum]],ТабЗаказы[#Data],MATCH(B$7,ТабЗаказы[#Headers],0),0),"")</f>
        <v>45721</v>
      </c>
      <c r="C1921" s="95" t="str">
        <f>MONTH(ТабПозиции[[#This Row],[date]])&amp;"/"&amp;YEAR(ТабПозиции[[#This Row],[date]])</f>
        <v>3/2025</v>
      </c>
      <c r="D1921" s="1" t="str">
        <f>IFERROR(VLOOKUP(ТабПозиции[[#This Row],[orderNum]],ТабЗаказы[#Data],MATCH(D$7,ТабЗаказы[#Headers],0),0),"")</f>
        <v>Вячеслав Протонов</v>
      </c>
      <c r="E1921" s="93" t="s">
        <v>2594</v>
      </c>
      <c r="F1921" s="56" t="s">
        <v>3061</v>
      </c>
      <c r="H1921" s="34">
        <v>45722</v>
      </c>
      <c r="I1921" s="96">
        <v>1</v>
      </c>
      <c r="J1921" s="96">
        <v>2885</v>
      </c>
      <c r="K1921">
        <f>ТабПозиции[[#This Row],[discountPrice]]*ТабПозиции[[#This Row],[quantity]]</f>
        <v>2885</v>
      </c>
      <c r="L1921" s="26">
        <v>3037</v>
      </c>
      <c r="M1921">
        <f t="shared" si="44"/>
        <v>3037</v>
      </c>
      <c r="N1921" s="96"/>
      <c r="O192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Row],[orderNum]],ТабПозиции[orderSumm])&gt;1500),ABS(M1921*VLOOKUP(ТабПозиции[[#This Row],[orderNum]],ТабЗаказы[#Data],MATCH("Percent",ТабЗаказы[#Headers],0),0))/100,200/COUNTIF(ТабПозиции[orderNum],ТабПозиции[[#This Row],[orderNum]])),0),"")</f>
        <v>456</v>
      </c>
      <c r="P1921" s="95">
        <f>IF(OR(ТабПозиции[[#This Row],[item]]="По штрихкоду",ТабПозиции[[#This Row],[item]]="Посылка"),ТабПозиции[[#This Row],[deliverySumm]]+ТабПозиции[[#This Row],[deliveryPost]],SUM(M1921:O1921))</f>
        <v>3493</v>
      </c>
      <c r="Q1921" s="57">
        <v>3493</v>
      </c>
      <c r="R1921" s="62">
        <f>ТабПозиции[[#This Row],[totalSumm]]-ТабПозиции[[#This Row],[payment]]</f>
        <v>0</v>
      </c>
      <c r="S1921" s="34" t="s">
        <v>965</v>
      </c>
      <c r="T1921" s="56" t="s">
        <v>3061</v>
      </c>
      <c r="U1921" s="56" t="str">
        <f>IF(AND(ТабПозиции[[#This Row],[Остаток]]=0,ТабПозиции[[#This Row],[ord]]="true"),"true","false")</f>
        <v>true</v>
      </c>
      <c r="V1921" s="56" t="s">
        <v>3061</v>
      </c>
    </row>
    <row r="1922" spans="1:22" x14ac:dyDescent="0.25">
      <c r="A1922" s="26">
        <v>504</v>
      </c>
      <c r="B1922" s="1">
        <f>IFERROR(VLOOKUP(ТабПозиции[[#This Row],[orderNum]],ТабЗаказы[#Data],MATCH(B$7,ТабЗаказы[#Headers],0),0),"")</f>
        <v>45721</v>
      </c>
      <c r="C1922" s="95" t="str">
        <f>MONTH(ТабПозиции[[#This Row],[date]])&amp;"/"&amp;YEAR(ТабПозиции[[#This Row],[date]])</f>
        <v>3/2025</v>
      </c>
      <c r="D1922" s="1" t="str">
        <f>IFERROR(VLOOKUP(ТабПозиции[[#This Row],[orderNum]],ТабЗаказы[#Data],MATCH(D$7,ТабЗаказы[#Headers],0),0),"")</f>
        <v>Светлана от Александра</v>
      </c>
      <c r="E1922" s="93" t="s">
        <v>2600</v>
      </c>
      <c r="F1922" s="56" t="s">
        <v>3061</v>
      </c>
      <c r="H1922" s="34">
        <v>45726</v>
      </c>
      <c r="I1922" s="99">
        <v>0</v>
      </c>
      <c r="J1922" s="96">
        <v>2356</v>
      </c>
      <c r="K1922">
        <f>ТабПозиции[[#This Row],[discountPrice]]*ТабПозиции[[#This Row],[quantity]]</f>
        <v>0</v>
      </c>
      <c r="L1922" s="26">
        <v>2481</v>
      </c>
      <c r="M1922">
        <f t="shared" si="44"/>
        <v>0</v>
      </c>
      <c r="N1922" s="96"/>
      <c r="O192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Row],[orderNum]],ТабПозиции[orderSumm])&gt;1500),ABS(M1922*VLOOKUP(ТабПозиции[[#This Row],[orderNum]],ТабЗаказы[#Data],MATCH("Percent",ТабЗаказы[#Headers],0),0))/100,200/COUNTIF(ТабПозиции[orderNum],ТабПозиции[[#This Row],[orderNum]])),0),"")</f>
        <v>0</v>
      </c>
      <c r="P1922" s="95">
        <f>IF(OR(ТабПозиции[[#This Row],[item]]="По штрихкоду",ТабПозиции[[#This Row],[item]]="Посылка"),ТабПозиции[[#This Row],[deliverySumm]]+ТабПозиции[[#This Row],[deliveryPost]],SUM(M1922:O1922))</f>
        <v>0</v>
      </c>
      <c r="R1922" s="62">
        <f>ТабПозиции[[#This Row],[totalSumm]]-ТабПозиции[[#This Row],[payment]]</f>
        <v>0</v>
      </c>
      <c r="S1922" s="34" t="s">
        <v>965</v>
      </c>
      <c r="T1922" s="56" t="s">
        <v>3061</v>
      </c>
      <c r="U1922" s="56" t="str">
        <f>IF(AND(ТабПозиции[[#This Row],[Остаток]]=0,ТабПозиции[[#This Row],[ord]]="true"),"true","false")</f>
        <v>true</v>
      </c>
      <c r="V1922" s="56" t="s">
        <v>3061</v>
      </c>
    </row>
    <row r="1923" spans="1:22" x14ac:dyDescent="0.25">
      <c r="A1923" s="26">
        <v>505</v>
      </c>
      <c r="B1923" s="1">
        <f>IFERROR(VLOOKUP(ТабПозиции[[#This Row],[orderNum]],ТабЗаказы[#Data],MATCH(B$7,ТабЗаказы[#Headers],0),0),"")</f>
        <v>45721</v>
      </c>
      <c r="C1923" s="95" t="str">
        <f>MONTH(ТабПозиции[[#This Row],[date]])&amp;"/"&amp;YEAR(ТабПозиции[[#This Row],[date]])</f>
        <v>3/2025</v>
      </c>
      <c r="D1923" s="1" t="str">
        <f>IFERROR(VLOOKUP(ТабПозиции[[#This Row],[orderNum]],ТабЗаказы[#Data],MATCH(D$7,ТабЗаказы[#Headers],0),0),"")</f>
        <v>Максим телевизор</v>
      </c>
      <c r="E1923" s="26" t="s">
        <v>815</v>
      </c>
      <c r="F1923" s="56" t="s">
        <v>3061</v>
      </c>
      <c r="G1923" s="28" t="s">
        <v>2601</v>
      </c>
      <c r="H1923" s="34">
        <v>45726</v>
      </c>
      <c r="I1923" s="96">
        <v>1</v>
      </c>
      <c r="J1923" s="96">
        <v>3000</v>
      </c>
      <c r="K1923">
        <f>ТабПозиции[[#This Row],[discountPrice]]*ТабПозиции[[#This Row],[quantity]]</f>
        <v>3000</v>
      </c>
      <c r="L1923" s="26">
        <v>3000</v>
      </c>
      <c r="M1923">
        <f t="shared" si="44"/>
        <v>3000</v>
      </c>
      <c r="N1923" s="96"/>
      <c r="O192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Row],[orderNum]],ТабПозиции[orderSumm])&gt;1500),ABS(M1923*VLOOKUP(ТабПозиции[[#This Row],[orderNum]],ТабЗаказы[#Data],MATCH("Percent",ТабЗаказы[#Headers],0),0))/100,200/COUNTIF(ТабПозиции[orderNum],ТабПозиции[[#This Row],[orderNum]])),0),"")</f>
        <v>300</v>
      </c>
      <c r="P1923" s="95">
        <f>IF(OR(ТабПозиции[[#This Row],[item]]="По штрихкоду",ТабПозиции[[#This Row],[item]]="Посылка"),ТабПозиции[[#This Row],[deliverySumm]]+ТабПозиции[[#This Row],[deliveryPost]],SUM(M1923:O1923))</f>
        <v>300</v>
      </c>
      <c r="Q1923" s="57">
        <v>300</v>
      </c>
      <c r="R1923" s="62">
        <f>ТабПозиции[[#This Row],[totalSumm]]-ТабПозиции[[#This Row],[payment]]</f>
        <v>0</v>
      </c>
      <c r="S1923" s="34" t="s">
        <v>1016</v>
      </c>
      <c r="T1923" s="56" t="s">
        <v>3061</v>
      </c>
      <c r="U1923" s="56" t="str">
        <f>IF(AND(ТабПозиции[[#This Row],[Остаток]]=0,ТабПозиции[[#This Row],[ord]]="true"),"true","false")</f>
        <v>true</v>
      </c>
      <c r="V1923" s="56" t="s">
        <v>3061</v>
      </c>
    </row>
    <row r="1924" spans="1:22" x14ac:dyDescent="0.25">
      <c r="A1924" s="26">
        <v>506</v>
      </c>
      <c r="B1924" s="1">
        <f>IFERROR(VLOOKUP(ТабПозиции[[#This Row],[orderNum]],ТабЗаказы[#Data],MATCH(B$7,ТабЗаказы[#Headers],0),0),"")</f>
        <v>45721</v>
      </c>
      <c r="C1924" s="95" t="str">
        <f>MONTH(ТабПозиции[[#This Row],[date]])&amp;"/"&amp;YEAR(ТабПозиции[[#This Row],[date]])</f>
        <v>3/2025</v>
      </c>
      <c r="D1924" s="1" t="str">
        <f>IFERROR(VLOOKUP(ТабПозиции[[#This Row],[orderNum]],ТабЗаказы[#Data],MATCH(D$7,ТабЗаказы[#Headers],0),0),"")</f>
        <v>Максим телевизор</v>
      </c>
      <c r="E1924" s="26" t="s">
        <v>815</v>
      </c>
      <c r="F1924" s="56" t="s">
        <v>3061</v>
      </c>
      <c r="G1924" s="28" t="s">
        <v>2602</v>
      </c>
      <c r="H1924" s="34">
        <v>45724</v>
      </c>
      <c r="I1924" s="96">
        <v>1</v>
      </c>
      <c r="J1924" s="96">
        <v>6900</v>
      </c>
      <c r="K1924">
        <f>ТабПозиции[[#This Row],[discountPrice]]*ТабПозиции[[#This Row],[quantity]]</f>
        <v>6900</v>
      </c>
      <c r="L1924" s="26">
        <v>6900</v>
      </c>
      <c r="M1924">
        <f t="shared" si="44"/>
        <v>6900</v>
      </c>
      <c r="N1924" s="96"/>
      <c r="O192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Row],[orderNum]],ТабПозиции[orderSumm])&gt;1500),ABS(M1924*VLOOKUP(ТабПозиции[[#This Row],[orderNum]],ТабЗаказы[#Data],MATCH("Percent",ТабЗаказы[#Headers],0),0))/100,200/COUNTIF(ТабПозиции[orderNum],ТабПозиции[[#This Row],[orderNum]])),0),"")</f>
        <v>690</v>
      </c>
      <c r="P1924" s="95">
        <f>IF(OR(ТабПозиции[[#This Row],[item]]="По штрихкоду",ТабПозиции[[#This Row],[item]]="Посылка"),ТабПозиции[[#This Row],[deliverySumm]]+ТабПозиции[[#This Row],[deliveryPost]],SUM(M1924:O1924))</f>
        <v>690</v>
      </c>
      <c r="Q1924" s="57">
        <v>690</v>
      </c>
      <c r="R1924" s="62">
        <f>ТабПозиции[[#This Row],[totalSumm]]-ТабПозиции[[#This Row],[payment]]</f>
        <v>0</v>
      </c>
      <c r="S1924" s="34" t="s">
        <v>1016</v>
      </c>
      <c r="T1924" s="56" t="s">
        <v>3061</v>
      </c>
      <c r="U1924" s="56" t="str">
        <f>IF(AND(ТабПозиции[[#This Row],[Остаток]]=0,ТабПозиции[[#This Row],[ord]]="true"),"true","false")</f>
        <v>true</v>
      </c>
      <c r="V1924" s="56" t="s">
        <v>3061</v>
      </c>
    </row>
    <row r="1925" spans="1:22" x14ac:dyDescent="0.25">
      <c r="A1925" s="26">
        <v>503</v>
      </c>
      <c r="B1925" s="1">
        <f>IFERROR(VLOOKUP(ТабПозиции[[#This Row],[orderNum]],ТабЗаказы[#Data],MATCH(B$7,ТабЗаказы[#Headers],0),0),"")</f>
        <v>45721</v>
      </c>
      <c r="C1925" s="95" t="str">
        <f>MONTH(ТабПозиции[[#This Row],[date]])&amp;"/"&amp;YEAR(ТабПозиции[[#This Row],[date]])</f>
        <v>3/2025</v>
      </c>
      <c r="D1925" s="1" t="str">
        <f>IFERROR(VLOOKUP(ТабПозиции[[#This Row],[orderNum]],ТабЗаказы[#Data],MATCH(D$7,ТабЗаказы[#Headers],0),0),"")</f>
        <v>Вячеслав Протонов</v>
      </c>
      <c r="E1925" s="93" t="s">
        <v>2422</v>
      </c>
      <c r="F1925" s="56" t="s">
        <v>3061</v>
      </c>
      <c r="H1925" s="34">
        <v>45726</v>
      </c>
      <c r="I1925" s="96">
        <v>1</v>
      </c>
      <c r="J1925" s="96">
        <v>359</v>
      </c>
      <c r="K1925">
        <f>ТабПозиции[[#This Row],[discountPrice]]*ТабПозиции[[#This Row],[quantity]]</f>
        <v>359</v>
      </c>
      <c r="L1925" s="26">
        <v>378</v>
      </c>
      <c r="M1925">
        <f t="shared" si="44"/>
        <v>378</v>
      </c>
      <c r="N1925" s="96"/>
      <c r="O192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Row],[orderNum]],ТабПозиции[orderSumm])&gt;1500),ABS(M1925*VLOOKUP(ТабПозиции[[#This Row],[orderNum]],ТабЗаказы[#Data],MATCH("Percent",ТабЗаказы[#Headers],0),0))/100,200/COUNTIF(ТабПозиции[orderNum],ТабПозиции[[#This Row],[orderNum]])),0),"")</f>
        <v>57</v>
      </c>
      <c r="P1925" s="95">
        <f>IF(OR(ТабПозиции[[#This Row],[item]]="По штрихкоду",ТабПозиции[[#This Row],[item]]="Посылка"),ТабПозиции[[#This Row],[deliverySumm]]+ТабПозиции[[#This Row],[deliveryPost]],SUM(M1925:O1925))</f>
        <v>435</v>
      </c>
      <c r="Q1925" s="57">
        <v>435</v>
      </c>
      <c r="R1925" s="62">
        <f>ТабПозиции[[#This Row],[totalSumm]]-ТабПозиции[[#This Row],[payment]]</f>
        <v>0</v>
      </c>
      <c r="S1925" s="34" t="s">
        <v>965</v>
      </c>
      <c r="T1925" s="56" t="s">
        <v>3061</v>
      </c>
      <c r="U1925" s="56" t="str">
        <f>IF(AND(ТабПозиции[[#This Row],[Остаток]]=0,ТабПозиции[[#This Row],[ord]]="true"),"true","false")</f>
        <v>true</v>
      </c>
      <c r="V1925" s="56" t="s">
        <v>3061</v>
      </c>
    </row>
    <row r="1926" spans="1:22" x14ac:dyDescent="0.25">
      <c r="A1926" s="26">
        <v>503</v>
      </c>
      <c r="B1926" s="1">
        <f>IFERROR(VLOOKUP(ТабПозиции[[#This Row],[orderNum]],ТабЗаказы[#Data],MATCH(B$7,ТабЗаказы[#Headers],0),0),"")</f>
        <v>45721</v>
      </c>
      <c r="C1926" s="95" t="str">
        <f>MONTH(ТабПозиции[[#This Row],[date]])&amp;"/"&amp;YEAR(ТабПозиции[[#This Row],[date]])</f>
        <v>3/2025</v>
      </c>
      <c r="D1926" s="1" t="str">
        <f>IFERROR(VLOOKUP(ТабПозиции[[#This Row],[orderNum]],ТабЗаказы[#Data],MATCH(D$7,ТабЗаказы[#Headers],0),0),"")</f>
        <v>Вячеслав Протонов</v>
      </c>
      <c r="E1926" s="93" t="s">
        <v>2599</v>
      </c>
      <c r="F1926" s="56" t="s">
        <v>3061</v>
      </c>
      <c r="H1926" s="34">
        <v>45726</v>
      </c>
      <c r="I1926" s="96">
        <v>1</v>
      </c>
      <c r="J1926" s="96">
        <v>160</v>
      </c>
      <c r="K1926">
        <f>ТабПозиции[[#This Row],[discountPrice]]*ТабПозиции[[#This Row],[quantity]]</f>
        <v>160</v>
      </c>
      <c r="L1926" s="26">
        <v>169</v>
      </c>
      <c r="M1926">
        <f t="shared" si="44"/>
        <v>169</v>
      </c>
      <c r="N1926" s="96"/>
      <c r="O192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Row],[orderNum]],ТабПозиции[orderSumm])&gt;1500),ABS(M1926*VLOOKUP(ТабПозиции[[#This Row],[orderNum]],ТабЗаказы[#Data],MATCH("Percent",ТабЗаказы[#Headers],0),0))/100,200/COUNTIF(ТабПозиции[orderNum],ТабПозиции[[#This Row],[orderNum]])),0),"")</f>
        <v>25</v>
      </c>
      <c r="P1926" s="95">
        <f>IF(OR(ТабПозиции[[#This Row],[item]]="По штрихкоду",ТабПозиции[[#This Row],[item]]="Посылка"),ТабПозиции[[#This Row],[deliverySumm]]+ТабПозиции[[#This Row],[deliveryPost]],SUM(M1926:O1926))</f>
        <v>194</v>
      </c>
      <c r="Q1926" s="57">
        <v>194</v>
      </c>
      <c r="R1926" s="62">
        <f>ТабПозиции[[#This Row],[totalSumm]]-ТабПозиции[[#This Row],[payment]]</f>
        <v>0</v>
      </c>
      <c r="S1926" s="34" t="s">
        <v>965</v>
      </c>
      <c r="T1926" s="56" t="s">
        <v>3061</v>
      </c>
      <c r="U1926" s="56" t="str">
        <f>IF(AND(ТабПозиции[[#This Row],[Остаток]]=0,ТабПозиции[[#This Row],[ord]]="true"),"true","false")</f>
        <v>true</v>
      </c>
      <c r="V1926" s="56" t="s">
        <v>3061</v>
      </c>
    </row>
    <row r="1927" spans="1:22" x14ac:dyDescent="0.25">
      <c r="A1927" s="26">
        <v>507</v>
      </c>
      <c r="B1927" s="1">
        <f>IFERROR(VLOOKUP(ТабПозиции[[#This Row],[orderNum]],ТабЗаказы[#Data],MATCH(B$7,ТабЗаказы[#Headers],0),0),"")</f>
        <v>45725</v>
      </c>
      <c r="C1927" s="95" t="str">
        <f>MONTH(ТабПозиции[[#This Row],[date]])&amp;"/"&amp;YEAR(ТабПозиции[[#This Row],[date]])</f>
        <v>3/2025</v>
      </c>
      <c r="D1927" s="1" t="str">
        <f>IFERROR(VLOOKUP(ТабПозиции[[#This Row],[orderNum]],ТабЗаказы[#Data],MATCH(D$7,ТабЗаказы[#Headers],0),0),"")</f>
        <v>Юля Ларисына</v>
      </c>
      <c r="E1927" s="93" t="s">
        <v>1756</v>
      </c>
      <c r="F1927" s="56" t="s">
        <v>3061</v>
      </c>
      <c r="H1927" s="34">
        <v>45726</v>
      </c>
      <c r="I1927" s="96">
        <v>1</v>
      </c>
      <c r="J1927" s="96">
        <v>970</v>
      </c>
      <c r="K1927">
        <f>ТабПозиции[[#This Row],[discountPrice]]*ТабПозиции[[#This Row],[quantity]]</f>
        <v>970</v>
      </c>
      <c r="L1927" s="26">
        <v>970</v>
      </c>
      <c r="M1927">
        <f t="shared" si="44"/>
        <v>970</v>
      </c>
      <c r="N1927" s="96"/>
      <c r="O192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Row],[orderNum]],ТабПозиции[orderSumm])&gt;1500),ABS(M1927*VLOOKUP(ТабПозиции[[#This Row],[orderNum]],ТабЗаказы[#Data],MATCH("Percent",ТабЗаказы[#Headers],0),0))/100,200/COUNTIF(ТабПозиции[orderNum],ТабПозиции[[#This Row],[orderNum]])),0),"")</f>
        <v>146</v>
      </c>
      <c r="P1927" s="95">
        <f>IF(OR(ТабПозиции[[#This Row],[item]]="По штрихкоду",ТабПозиции[[#This Row],[item]]="Посылка"),ТабПозиции[[#This Row],[deliverySumm]]+ТабПозиции[[#This Row],[deliveryPost]],SUM(M1927:O1927))</f>
        <v>1116</v>
      </c>
      <c r="Q1927" s="57">
        <v>1116</v>
      </c>
      <c r="R1927" s="62">
        <f>ТабПозиции[[#This Row],[totalSumm]]-ТабПозиции[[#This Row],[payment]]</f>
        <v>0</v>
      </c>
      <c r="S1927" s="34" t="s">
        <v>965</v>
      </c>
      <c r="T1927" s="56" t="s">
        <v>3061</v>
      </c>
      <c r="U1927" s="56" t="str">
        <f>IF(AND(ТабПозиции[[#This Row],[Остаток]]=0,ТабПозиции[[#This Row],[ord]]="true"),"true","false")</f>
        <v>true</v>
      </c>
      <c r="V1927" s="56" t="s">
        <v>3061</v>
      </c>
    </row>
    <row r="1928" spans="1:22" x14ac:dyDescent="0.25">
      <c r="A1928" s="26">
        <v>507</v>
      </c>
      <c r="B1928" s="1">
        <f>IFERROR(VLOOKUP(ТабПозиции[[#This Row],[orderNum]],ТабЗаказы[#Data],MATCH(B$7,ТабЗаказы[#Headers],0),0),"")</f>
        <v>45725</v>
      </c>
      <c r="C1928" s="95" t="str">
        <f>MONTH(ТабПозиции[[#This Row],[date]])&amp;"/"&amp;YEAR(ТабПозиции[[#This Row],[date]])</f>
        <v>3/2025</v>
      </c>
      <c r="D1928" s="1" t="str">
        <f>IFERROR(VLOOKUP(ТабПозиции[[#This Row],[orderNum]],ТабЗаказы[#Data],MATCH(D$7,ТабЗаказы[#Headers],0),0),"")</f>
        <v>Юля Ларисына</v>
      </c>
      <c r="E1928" s="93" t="s">
        <v>2606</v>
      </c>
      <c r="F1928" s="56" t="s">
        <v>3061</v>
      </c>
      <c r="H1928" s="34">
        <v>45727</v>
      </c>
      <c r="I1928" s="96">
        <v>1</v>
      </c>
      <c r="J1928" s="96">
        <v>761</v>
      </c>
      <c r="K1928">
        <f>ТабПозиции[[#This Row],[discountPrice]]*ТабПозиции[[#This Row],[quantity]]</f>
        <v>761</v>
      </c>
      <c r="L1928" s="26">
        <v>761</v>
      </c>
      <c r="M1928">
        <f t="shared" si="44"/>
        <v>761</v>
      </c>
      <c r="N1928" s="96"/>
      <c r="O192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Row],[orderNum]],ТабПозиции[orderSumm])&gt;1500),ABS(M1928*VLOOKUP(ТабПозиции[[#This Row],[orderNum]],ТабЗаказы[#Data],MATCH("Percent",ТабЗаказы[#Headers],0),0))/100,200/COUNTIF(ТабПозиции[orderNum],ТабПозиции[[#This Row],[orderNum]])),0),"")</f>
        <v>114</v>
      </c>
      <c r="P1928" s="95">
        <f>IF(OR(ТабПозиции[[#This Row],[item]]="По штрихкоду",ТабПозиции[[#This Row],[item]]="Посылка"),ТабПозиции[[#This Row],[deliverySumm]]+ТабПозиции[[#This Row],[deliveryPost]],SUM(M1928:O1928))</f>
        <v>875</v>
      </c>
      <c r="Q1928" s="57">
        <v>875</v>
      </c>
      <c r="R1928" s="62">
        <f>ТабПозиции[[#This Row],[totalSumm]]-ТабПозиции[[#This Row],[payment]]</f>
        <v>0</v>
      </c>
      <c r="S1928" s="34" t="s">
        <v>965</v>
      </c>
      <c r="T1928" s="56" t="s">
        <v>3061</v>
      </c>
      <c r="U1928" s="56" t="str">
        <f>IF(AND(ТабПозиции[[#This Row],[Остаток]]=0,ТабПозиции[[#This Row],[ord]]="true"),"true","false")</f>
        <v>true</v>
      </c>
      <c r="V1928" s="56" t="s">
        <v>3061</v>
      </c>
    </row>
    <row r="1929" spans="1:22" x14ac:dyDescent="0.25">
      <c r="A1929" s="26">
        <v>507</v>
      </c>
      <c r="B1929" s="1">
        <f>IFERROR(VLOOKUP(ТабПозиции[[#This Row],[orderNum]],ТабЗаказы[#Data],MATCH(B$7,ТабЗаказы[#Headers],0),0),"")</f>
        <v>45725</v>
      </c>
      <c r="C1929" s="95" t="str">
        <f>MONTH(ТабПозиции[[#This Row],[date]])&amp;"/"&amp;YEAR(ТабПозиции[[#This Row],[date]])</f>
        <v>3/2025</v>
      </c>
      <c r="D1929" s="1" t="str">
        <f>IFERROR(VLOOKUP(ТабПозиции[[#This Row],[orderNum]],ТабЗаказы[#Data],MATCH(D$7,ТабЗаказы[#Headers],0),0),"")</f>
        <v>Юля Ларисына</v>
      </c>
      <c r="E1929" s="93" t="s">
        <v>2410</v>
      </c>
      <c r="F1929" s="56" t="s">
        <v>3061</v>
      </c>
      <c r="H1929" s="34">
        <v>45737</v>
      </c>
      <c r="I1929" s="96">
        <v>1</v>
      </c>
      <c r="J1929" s="96">
        <v>532</v>
      </c>
      <c r="K1929">
        <f>ТабПозиции[[#This Row],[discountPrice]]*ТабПозиции[[#This Row],[quantity]]</f>
        <v>532</v>
      </c>
      <c r="L1929" s="26">
        <v>532</v>
      </c>
      <c r="M1929">
        <f t="shared" si="44"/>
        <v>532</v>
      </c>
      <c r="N1929" s="96"/>
      <c r="O192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Row],[orderNum]],ТабПозиции[orderSumm])&gt;1500),ABS(M1929*VLOOKUP(ТабПозиции[[#This Row],[orderNum]],ТабЗаказы[#Data],MATCH("Percent",ТабЗаказы[#Headers],0),0))/100,200/COUNTIF(ТабПозиции[orderNum],ТабПозиции[[#This Row],[orderNum]])),0),"")</f>
        <v>80</v>
      </c>
      <c r="P1929" s="95">
        <f>IF(OR(ТабПозиции[[#This Row],[item]]="По штрихкоду",ТабПозиции[[#This Row],[item]]="Посылка"),ТабПозиции[[#This Row],[deliverySumm]]+ТабПозиции[[#This Row],[deliveryPost]],SUM(M1929:O1929))</f>
        <v>612</v>
      </c>
      <c r="Q1929" s="57">
        <v>612</v>
      </c>
      <c r="R1929" s="62">
        <f>ТабПозиции[[#This Row],[totalSumm]]-ТабПозиции[[#This Row],[payment]]</f>
        <v>0</v>
      </c>
      <c r="S1929" s="34" t="s">
        <v>965</v>
      </c>
      <c r="T1929" s="56" t="s">
        <v>3061</v>
      </c>
      <c r="U1929" s="56" t="str">
        <f>IF(AND(ТабПозиции[[#This Row],[Остаток]]=0,ТабПозиции[[#This Row],[ord]]="true"),"true","false")</f>
        <v>true</v>
      </c>
      <c r="V1929" s="56" t="s">
        <v>3061</v>
      </c>
    </row>
    <row r="1930" spans="1:22" x14ac:dyDescent="0.25">
      <c r="A1930" s="26">
        <v>507</v>
      </c>
      <c r="B1930" s="1">
        <f>IFERROR(VLOOKUP(ТабПозиции[[#This Row],[orderNum]],ТабЗаказы[#Data],MATCH(B$7,ТабЗаказы[#Headers],0),0),"")</f>
        <v>45725</v>
      </c>
      <c r="C1930" s="95" t="str">
        <f>MONTH(ТабПозиции[[#This Row],[date]])&amp;"/"&amp;YEAR(ТабПозиции[[#This Row],[date]])</f>
        <v>3/2025</v>
      </c>
      <c r="D1930" s="1" t="str">
        <f>IFERROR(VLOOKUP(ТабПозиции[[#This Row],[orderNum]],ТабЗаказы[#Data],MATCH(D$7,ТабЗаказы[#Headers],0),0),"")</f>
        <v>Юля Ларисына</v>
      </c>
      <c r="E1930" s="93" t="s">
        <v>1361</v>
      </c>
      <c r="F1930" s="56" t="s">
        <v>3061</v>
      </c>
      <c r="H1930" s="34">
        <v>45727</v>
      </c>
      <c r="I1930" s="96">
        <v>1</v>
      </c>
      <c r="J1930" s="96">
        <v>1039</v>
      </c>
      <c r="K1930">
        <f>ТабПозиции[[#This Row],[discountPrice]]*ТабПозиции[[#This Row],[quantity]]</f>
        <v>1039</v>
      </c>
      <c r="L1930" s="26">
        <v>1039</v>
      </c>
      <c r="M1930">
        <f t="shared" si="44"/>
        <v>1039</v>
      </c>
      <c r="N1930" s="96"/>
      <c r="O193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Row],[orderNum]],ТабПозиции[orderSumm])&gt;1500),ABS(M1930*VLOOKUP(ТабПозиции[[#This Row],[orderNum]],ТабЗаказы[#Data],MATCH("Percent",ТабЗаказы[#Headers],0),0))/100,200/COUNTIF(ТабПозиции[orderNum],ТабПозиции[[#This Row],[orderNum]])),0),"")</f>
        <v>156</v>
      </c>
      <c r="P1930" s="95">
        <f>IF(OR(ТабПозиции[[#This Row],[item]]="По штрихкоду",ТабПозиции[[#This Row],[item]]="Посылка"),ТабПозиции[[#This Row],[deliverySumm]]+ТабПозиции[[#This Row],[deliveryPost]],SUM(M1930:O1930))</f>
        <v>1195</v>
      </c>
      <c r="Q1930" s="57">
        <v>1195</v>
      </c>
      <c r="R1930" s="62">
        <f>ТабПозиции[[#This Row],[totalSumm]]-ТабПозиции[[#This Row],[payment]]</f>
        <v>0</v>
      </c>
      <c r="S1930" s="34" t="s">
        <v>965</v>
      </c>
      <c r="T1930" s="56" t="s">
        <v>3061</v>
      </c>
      <c r="U1930" s="56" t="str">
        <f>IF(AND(ТабПозиции[[#This Row],[Остаток]]=0,ТабПозиции[[#This Row],[ord]]="true"),"true","false")</f>
        <v>true</v>
      </c>
      <c r="V1930" s="56" t="s">
        <v>3061</v>
      </c>
    </row>
    <row r="1931" spans="1:22" x14ac:dyDescent="0.25">
      <c r="A1931" s="26">
        <v>507</v>
      </c>
      <c r="B1931" s="1">
        <f>IFERROR(VLOOKUP(ТабПозиции[[#This Row],[orderNum]],ТабЗаказы[#Data],MATCH(B$7,ТабЗаказы[#Headers],0),0),"")</f>
        <v>45725</v>
      </c>
      <c r="C1931" s="95" t="str">
        <f>MONTH(ТабПозиции[[#This Row],[date]])&amp;"/"&amp;YEAR(ТабПозиции[[#This Row],[date]])</f>
        <v>3/2025</v>
      </c>
      <c r="D1931" s="1" t="str">
        <f>IFERROR(VLOOKUP(ТабПозиции[[#This Row],[orderNum]],ТабЗаказы[#Data],MATCH(D$7,ТабЗаказы[#Headers],0),0),"")</f>
        <v>Юля Ларисына</v>
      </c>
      <c r="E1931" s="93" t="s">
        <v>1884</v>
      </c>
      <c r="F1931" s="56" t="s">
        <v>3061</v>
      </c>
      <c r="H1931" s="34">
        <v>45727</v>
      </c>
      <c r="I1931" s="96">
        <v>1</v>
      </c>
      <c r="J1931" s="96">
        <v>884</v>
      </c>
      <c r="K1931">
        <f>ТабПозиции[[#This Row],[discountPrice]]*ТабПозиции[[#This Row],[quantity]]</f>
        <v>884</v>
      </c>
      <c r="L1931" s="26">
        <v>884</v>
      </c>
      <c r="M1931">
        <f t="shared" si="44"/>
        <v>884</v>
      </c>
      <c r="N1931" s="96"/>
      <c r="O193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Row],[orderNum]],ТабПозиции[orderSumm])&gt;1500),ABS(M1931*VLOOKUP(ТабПозиции[[#This Row],[orderNum]],ТабЗаказы[#Data],MATCH("Percent",ТабЗаказы[#Headers],0),0))/100,200/COUNTIF(ТабПозиции[orderNum],ТабПозиции[[#This Row],[orderNum]])),0),"")</f>
        <v>133</v>
      </c>
      <c r="P1931" s="95">
        <f>IF(OR(ТабПозиции[[#This Row],[item]]="По штрихкоду",ТабПозиции[[#This Row],[item]]="Посылка"),ТабПозиции[[#This Row],[deliverySumm]]+ТабПозиции[[#This Row],[deliveryPost]],SUM(M1931:O1931))</f>
        <v>1017</v>
      </c>
      <c r="Q1931" s="57">
        <v>1017</v>
      </c>
      <c r="R1931" s="62">
        <f>ТабПозиции[[#This Row],[totalSumm]]-ТабПозиции[[#This Row],[payment]]</f>
        <v>0</v>
      </c>
      <c r="S1931" s="34" t="s">
        <v>965</v>
      </c>
      <c r="T1931" s="56" t="s">
        <v>3061</v>
      </c>
      <c r="U1931" s="56" t="str">
        <f>IF(AND(ТабПозиции[[#This Row],[Остаток]]=0,ТабПозиции[[#This Row],[ord]]="true"),"true","false")</f>
        <v>true</v>
      </c>
      <c r="V1931" s="56" t="s">
        <v>3061</v>
      </c>
    </row>
    <row r="1932" spans="1:22" x14ac:dyDescent="0.25">
      <c r="A1932" s="26">
        <v>507</v>
      </c>
      <c r="B1932" s="1">
        <f>IFERROR(VLOOKUP(ТабПозиции[[#This Row],[orderNum]],ТабЗаказы[#Data],MATCH(B$7,ТабЗаказы[#Headers],0),0),"")</f>
        <v>45725</v>
      </c>
      <c r="C1932" s="95" t="str">
        <f>MONTH(ТабПозиции[[#This Row],[date]])&amp;"/"&amp;YEAR(ТабПозиции[[#This Row],[date]])</f>
        <v>3/2025</v>
      </c>
      <c r="D1932" s="1" t="str">
        <f>IFERROR(VLOOKUP(ТабПозиции[[#This Row],[orderNum]],ТабЗаказы[#Data],MATCH(D$7,ТабЗаказы[#Headers],0),0),"")</f>
        <v>Юля Ларисына</v>
      </c>
      <c r="E1932" s="93" t="s">
        <v>2039</v>
      </c>
      <c r="F1932" s="56" t="s">
        <v>3061</v>
      </c>
      <c r="H1932" s="34">
        <v>45729</v>
      </c>
      <c r="I1932" s="96">
        <v>1</v>
      </c>
      <c r="J1932" s="96">
        <v>286</v>
      </c>
      <c r="K1932">
        <f>ТабПозиции[[#This Row],[discountPrice]]*ТабПозиции[[#This Row],[quantity]]</f>
        <v>286</v>
      </c>
      <c r="L1932" s="26">
        <v>286</v>
      </c>
      <c r="M1932">
        <f t="shared" si="44"/>
        <v>286</v>
      </c>
      <c r="N1932" s="96"/>
      <c r="O193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Row],[orderNum]],ТабПозиции[orderSumm])&gt;1500),ABS(M1932*VLOOKUP(ТабПозиции[[#This Row],[orderNum]],ТабЗаказы[#Data],MATCH("Percent",ТабЗаказы[#Headers],0),0))/100,200/COUNTIF(ТабПозиции[orderNum],ТабПозиции[[#This Row],[orderNum]])),0),"")</f>
        <v>43</v>
      </c>
      <c r="P1932" s="95">
        <f>IF(OR(ТабПозиции[[#This Row],[item]]="По штрихкоду",ТабПозиции[[#This Row],[item]]="Посылка"),ТабПозиции[[#This Row],[deliverySumm]]+ТабПозиции[[#This Row],[deliveryPost]],SUM(M1932:O1932))</f>
        <v>329</v>
      </c>
      <c r="Q1932" s="57">
        <v>329</v>
      </c>
      <c r="R1932" s="62">
        <f>ТабПозиции[[#This Row],[totalSumm]]-ТабПозиции[[#This Row],[payment]]</f>
        <v>0</v>
      </c>
      <c r="S1932" s="34" t="s">
        <v>965</v>
      </c>
      <c r="T1932" s="56" t="s">
        <v>3061</v>
      </c>
      <c r="U1932" s="56" t="str">
        <f>IF(AND(ТабПозиции[[#This Row],[Остаток]]=0,ТабПозиции[[#This Row],[ord]]="true"),"true","false")</f>
        <v>true</v>
      </c>
      <c r="V1932" s="56" t="s">
        <v>3061</v>
      </c>
    </row>
    <row r="1933" spans="1:22" x14ac:dyDescent="0.25">
      <c r="A1933" s="26">
        <v>507</v>
      </c>
      <c r="B1933" s="1">
        <f>IFERROR(VLOOKUP(ТабПозиции[[#This Row],[orderNum]],ТабЗаказы[#Data],MATCH(B$7,ТабЗаказы[#Headers],0),0),"")</f>
        <v>45725</v>
      </c>
      <c r="C1933" s="95" t="str">
        <f>MONTH(ТабПозиции[[#This Row],[date]])&amp;"/"&amp;YEAR(ТабПозиции[[#This Row],[date]])</f>
        <v>3/2025</v>
      </c>
      <c r="D1933" s="1" t="str">
        <f>IFERROR(VLOOKUP(ТабПозиции[[#This Row],[orderNum]],ТабЗаказы[#Data],MATCH(D$7,ТабЗаказы[#Headers],0),0),"")</f>
        <v>Юля Ларисына</v>
      </c>
      <c r="E1933" s="93" t="s">
        <v>1248</v>
      </c>
      <c r="F1933" s="56" t="s">
        <v>3061</v>
      </c>
      <c r="H1933" s="34">
        <v>45727</v>
      </c>
      <c r="I1933" s="96">
        <v>1</v>
      </c>
      <c r="J1933" s="96">
        <v>368</v>
      </c>
      <c r="K1933">
        <f>ТабПозиции[[#This Row],[discountPrice]]*ТабПозиции[[#This Row],[quantity]]</f>
        <v>368</v>
      </c>
      <c r="L1933" s="26">
        <v>368</v>
      </c>
      <c r="M1933">
        <f t="shared" si="44"/>
        <v>368</v>
      </c>
      <c r="N1933" s="96"/>
      <c r="O193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Row],[orderNum]],ТабПозиции[orderSumm])&gt;1500),ABS(M1933*VLOOKUP(ТабПозиции[[#This Row],[orderNum]],ТабЗаказы[#Data],MATCH("Percent",ТабЗаказы[#Headers],0),0))/100,200/COUNTIF(ТабПозиции[orderNum],ТабПозиции[[#This Row],[orderNum]])),0),"")</f>
        <v>55</v>
      </c>
      <c r="P1933" s="95">
        <f>IF(OR(ТабПозиции[[#This Row],[item]]="По штрихкоду",ТабПозиции[[#This Row],[item]]="Посылка"),ТабПозиции[[#This Row],[deliverySumm]]+ТабПозиции[[#This Row],[deliveryPost]],SUM(M1933:O1933))</f>
        <v>423</v>
      </c>
      <c r="Q1933" s="57">
        <v>423</v>
      </c>
      <c r="R1933" s="62">
        <f>ТабПозиции[[#This Row],[totalSumm]]-ТабПозиции[[#This Row],[payment]]</f>
        <v>0</v>
      </c>
      <c r="S1933" s="34" t="s">
        <v>965</v>
      </c>
      <c r="T1933" s="56" t="s">
        <v>3061</v>
      </c>
      <c r="U1933" s="56" t="str">
        <f>IF(AND(ТабПозиции[[#This Row],[Остаток]]=0,ТабПозиции[[#This Row],[ord]]="true"),"true","false")</f>
        <v>true</v>
      </c>
      <c r="V1933" s="56" t="s">
        <v>3061</v>
      </c>
    </row>
    <row r="1934" spans="1:22" x14ac:dyDescent="0.25">
      <c r="A1934" s="26">
        <v>507</v>
      </c>
      <c r="B1934" s="1">
        <f>IFERROR(VLOOKUP(ТабПозиции[[#This Row],[orderNum]],ТабЗаказы[#Data],MATCH(B$7,ТабЗаказы[#Headers],0),0),"")</f>
        <v>45725</v>
      </c>
      <c r="C1934" s="95" t="str">
        <f>MONTH(ТабПозиции[[#This Row],[date]])&amp;"/"&amp;YEAR(ТабПозиции[[#This Row],[date]])</f>
        <v>3/2025</v>
      </c>
      <c r="D1934" s="1" t="str">
        <f>IFERROR(VLOOKUP(ТабПозиции[[#This Row],[orderNum]],ТабЗаказы[#Data],MATCH(D$7,ТабЗаказы[#Headers],0),0),"")</f>
        <v>Юля Ларисына</v>
      </c>
      <c r="E1934" s="93" t="s">
        <v>1749</v>
      </c>
      <c r="F1934" s="56" t="s">
        <v>3061</v>
      </c>
      <c r="H1934" s="34">
        <v>45727</v>
      </c>
      <c r="I1934" s="96">
        <v>1</v>
      </c>
      <c r="J1934" s="96">
        <v>363</v>
      </c>
      <c r="K1934">
        <f>ТабПозиции[[#This Row],[discountPrice]]*ТабПозиции[[#This Row],[quantity]]</f>
        <v>363</v>
      </c>
      <c r="L1934" s="26">
        <v>363</v>
      </c>
      <c r="M1934">
        <f t="shared" si="44"/>
        <v>363</v>
      </c>
      <c r="N1934" s="96"/>
      <c r="O193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Row],[orderNum]],ТабПозиции[orderSumm])&gt;1500),ABS(M1934*VLOOKUP(ТабПозиции[[#This Row],[orderNum]],ТабЗаказы[#Data],MATCH("Percent",ТабЗаказы[#Headers],0),0))/100,200/COUNTIF(ТабПозиции[orderNum],ТабПозиции[[#This Row],[orderNum]])),0),"")</f>
        <v>54</v>
      </c>
      <c r="P1934" s="95">
        <f>IF(OR(ТабПозиции[[#This Row],[item]]="По штрихкоду",ТабПозиции[[#This Row],[item]]="Посылка"),ТабПозиции[[#This Row],[deliverySumm]]+ТабПозиции[[#This Row],[deliveryPost]],SUM(M1934:O1934))</f>
        <v>417</v>
      </c>
      <c r="Q1934" s="57">
        <v>417</v>
      </c>
      <c r="R1934" s="62">
        <f>ТабПозиции[[#This Row],[totalSumm]]-ТабПозиции[[#This Row],[payment]]</f>
        <v>0</v>
      </c>
      <c r="S1934" s="34" t="s">
        <v>965</v>
      </c>
      <c r="T1934" s="56" t="s">
        <v>3061</v>
      </c>
      <c r="U1934" s="56" t="str">
        <f>IF(AND(ТабПозиции[[#This Row],[Остаток]]=0,ТабПозиции[[#This Row],[ord]]="true"),"true","false")</f>
        <v>true</v>
      </c>
      <c r="V1934" s="56" t="s">
        <v>3061</v>
      </c>
    </row>
    <row r="1935" spans="1:22" x14ac:dyDescent="0.25">
      <c r="A1935" s="26">
        <v>507</v>
      </c>
      <c r="B1935" s="1">
        <f>IFERROR(VLOOKUP(ТабПозиции[[#This Row],[orderNum]],ТабЗаказы[#Data],MATCH(B$7,ТабЗаказы[#Headers],0),0),"")</f>
        <v>45725</v>
      </c>
      <c r="C1935" s="95" t="str">
        <f>MONTH(ТабПозиции[[#This Row],[date]])&amp;"/"&amp;YEAR(ТабПозиции[[#This Row],[date]])</f>
        <v>3/2025</v>
      </c>
      <c r="D1935" s="1" t="str">
        <f>IFERROR(VLOOKUP(ТабПозиции[[#This Row],[orderNum]],ТабЗаказы[#Data],MATCH(D$7,ТабЗаказы[#Headers],0),0),"")</f>
        <v>Юля Ларисына</v>
      </c>
      <c r="E1935" s="93" t="s">
        <v>2607</v>
      </c>
      <c r="F1935" s="56" t="s">
        <v>3061</v>
      </c>
      <c r="H1935" s="34">
        <v>45726</v>
      </c>
      <c r="I1935" s="96">
        <v>1</v>
      </c>
      <c r="J1935" s="96">
        <v>990</v>
      </c>
      <c r="K1935">
        <f>ТабПозиции[[#This Row],[discountPrice]]*ТабПозиции[[#This Row],[quantity]]</f>
        <v>990</v>
      </c>
      <c r="L1935" s="26">
        <v>990</v>
      </c>
      <c r="M1935">
        <f t="shared" si="44"/>
        <v>990</v>
      </c>
      <c r="N1935" s="96"/>
      <c r="O193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Row],[orderNum]],ТабПозиции[orderSumm])&gt;1500),ABS(M1935*VLOOKUP(ТабПозиции[[#This Row],[orderNum]],ТабЗаказы[#Data],MATCH("Percent",ТабЗаказы[#Headers],0),0))/100,200/COUNTIF(ТабПозиции[orderNum],ТабПозиции[[#This Row],[orderNum]])),0),"")</f>
        <v>149</v>
      </c>
      <c r="P1935" s="95">
        <f>IF(OR(ТабПозиции[[#This Row],[item]]="По штрихкоду",ТабПозиции[[#This Row],[item]]="Посылка"),ТабПозиции[[#This Row],[deliverySumm]]+ТабПозиции[[#This Row],[deliveryPost]],SUM(M1935:O1935))</f>
        <v>1139</v>
      </c>
      <c r="Q1935" s="57">
        <v>1139</v>
      </c>
      <c r="R1935" s="62">
        <f>ТабПозиции[[#This Row],[totalSumm]]-ТабПозиции[[#This Row],[payment]]</f>
        <v>0</v>
      </c>
      <c r="S1935" s="34" t="s">
        <v>965</v>
      </c>
      <c r="T1935" s="56" t="s">
        <v>3061</v>
      </c>
      <c r="U1935" s="56" t="str">
        <f>IF(AND(ТабПозиции[[#This Row],[Остаток]]=0,ТабПозиции[[#This Row],[ord]]="true"),"true","false")</f>
        <v>true</v>
      </c>
      <c r="V1935" s="56" t="s">
        <v>3061</v>
      </c>
    </row>
    <row r="1936" spans="1:22" x14ac:dyDescent="0.25">
      <c r="A1936" s="26">
        <v>507</v>
      </c>
      <c r="B1936" s="1">
        <f>IFERROR(VLOOKUP(ТабПозиции[[#This Row],[orderNum]],ТабЗаказы[#Data],MATCH(B$7,ТабЗаказы[#Headers],0),0),"")</f>
        <v>45725</v>
      </c>
      <c r="C1936" s="95" t="str">
        <f>MONTH(ТабПозиции[[#This Row],[date]])&amp;"/"&amp;YEAR(ТабПозиции[[#This Row],[date]])</f>
        <v>3/2025</v>
      </c>
      <c r="D1936" s="1" t="str">
        <f>IFERROR(VLOOKUP(ТабПозиции[[#This Row],[orderNum]],ТабЗаказы[#Data],MATCH(D$7,ТабЗаказы[#Headers],0),0),"")</f>
        <v>Юля Ларисына</v>
      </c>
      <c r="E1936" s="93" t="s">
        <v>989</v>
      </c>
      <c r="F1936" s="56" t="s">
        <v>3061</v>
      </c>
      <c r="H1936" s="34">
        <v>45728</v>
      </c>
      <c r="I1936" s="96">
        <v>1</v>
      </c>
      <c r="J1936" s="96">
        <v>301</v>
      </c>
      <c r="K1936">
        <f>ТабПозиции[[#This Row],[discountPrice]]*ТабПозиции[[#This Row],[quantity]]</f>
        <v>301</v>
      </c>
      <c r="L1936" s="26">
        <v>301</v>
      </c>
      <c r="M1936">
        <f t="shared" si="44"/>
        <v>301</v>
      </c>
      <c r="N1936" s="96"/>
      <c r="O193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Row],[orderNum]],ТабПозиции[orderSumm])&gt;1500),ABS(M1936*VLOOKUP(ТабПозиции[[#This Row],[orderNum]],ТабЗаказы[#Data],MATCH("Percent",ТабЗаказы[#Headers],0),0))/100,200/COUNTIF(ТабПозиции[orderNum],ТабПозиции[[#This Row],[orderNum]])),0),"")</f>
        <v>45</v>
      </c>
      <c r="P1936" s="95">
        <f>IF(OR(ТабПозиции[[#This Row],[item]]="По штрихкоду",ТабПозиции[[#This Row],[item]]="Посылка"),ТабПозиции[[#This Row],[deliverySumm]]+ТабПозиции[[#This Row],[deliveryPost]],SUM(M1936:O1936))</f>
        <v>346</v>
      </c>
      <c r="Q1936" s="57">
        <v>346</v>
      </c>
      <c r="R1936" s="62">
        <f>ТабПозиции[[#This Row],[totalSumm]]-ТабПозиции[[#This Row],[payment]]</f>
        <v>0</v>
      </c>
      <c r="S1936" s="34" t="s">
        <v>965</v>
      </c>
      <c r="T1936" s="56" t="s">
        <v>3061</v>
      </c>
      <c r="U1936" s="56" t="str">
        <f>IF(AND(ТабПозиции[[#This Row],[Остаток]]=0,ТабПозиции[[#This Row],[ord]]="true"),"true","false")</f>
        <v>true</v>
      </c>
      <c r="V1936" s="56" t="s">
        <v>3061</v>
      </c>
    </row>
    <row r="1937" spans="1:22" x14ac:dyDescent="0.25">
      <c r="A1937" s="26">
        <v>507</v>
      </c>
      <c r="B1937" s="1">
        <f>IFERROR(VLOOKUP(ТабПозиции[[#This Row],[orderNum]],ТабЗаказы[#Data],MATCH(B$7,ТабЗаказы[#Headers],0),0),"")</f>
        <v>45725</v>
      </c>
      <c r="C1937" s="95" t="str">
        <f>MONTH(ТабПозиции[[#This Row],[date]])&amp;"/"&amp;YEAR(ТабПозиции[[#This Row],[date]])</f>
        <v>3/2025</v>
      </c>
      <c r="D1937" s="1" t="str">
        <f>IFERROR(VLOOKUP(ТабПозиции[[#This Row],[orderNum]],ТабЗаказы[#Data],MATCH(D$7,ТабЗаказы[#Headers],0),0),"")</f>
        <v>Юля Ларисына</v>
      </c>
      <c r="E1937" s="93" t="s">
        <v>1600</v>
      </c>
      <c r="F1937" s="56" t="s">
        <v>3061</v>
      </c>
      <c r="H1937" s="34">
        <v>45728</v>
      </c>
      <c r="I1937" s="96">
        <v>1</v>
      </c>
      <c r="J1937" s="96">
        <v>247</v>
      </c>
      <c r="K1937">
        <f>ТабПозиции[[#This Row],[discountPrice]]*ТабПозиции[[#This Row],[quantity]]</f>
        <v>247</v>
      </c>
      <c r="L1937" s="26">
        <v>247</v>
      </c>
      <c r="M1937">
        <f t="shared" si="44"/>
        <v>247</v>
      </c>
      <c r="N1937" s="96"/>
      <c r="O193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Row],[orderNum]],ТабПозиции[orderSumm])&gt;1500),ABS(M1937*VLOOKUP(ТабПозиции[[#This Row],[orderNum]],ТабЗаказы[#Data],MATCH("Percent",ТабЗаказы[#Headers],0),0))/100,200/COUNTIF(ТабПозиции[orderNum],ТабПозиции[[#This Row],[orderNum]])),0),"")</f>
        <v>37</v>
      </c>
      <c r="P1937" s="95">
        <f>IF(OR(ТабПозиции[[#This Row],[item]]="По штрихкоду",ТабПозиции[[#This Row],[item]]="Посылка"),ТабПозиции[[#This Row],[deliverySumm]]+ТабПозиции[[#This Row],[deliveryPost]],SUM(M1937:O1937))</f>
        <v>284</v>
      </c>
      <c r="Q1937" s="57">
        <v>284</v>
      </c>
      <c r="R1937" s="62">
        <f>ТабПозиции[[#This Row],[totalSumm]]-ТабПозиции[[#This Row],[payment]]</f>
        <v>0</v>
      </c>
      <c r="S1937" s="34" t="s">
        <v>965</v>
      </c>
      <c r="T1937" s="56" t="s">
        <v>3061</v>
      </c>
      <c r="U1937" s="56" t="str">
        <f>IF(AND(ТабПозиции[[#This Row],[Остаток]]=0,ТабПозиции[[#This Row],[ord]]="true"),"true","false")</f>
        <v>true</v>
      </c>
      <c r="V1937" s="56" t="s">
        <v>3061</v>
      </c>
    </row>
    <row r="1938" spans="1:22" x14ac:dyDescent="0.25">
      <c r="A1938" s="26">
        <v>508</v>
      </c>
      <c r="B1938" s="1">
        <f>IFERROR(VLOOKUP(ТабПозиции[[#This Row],[orderNum]],ТабЗаказы[#Data],MATCH(B$7,ТабЗаказы[#Headers],0),0),"")</f>
        <v>45726</v>
      </c>
      <c r="C1938" s="95" t="str">
        <f>MONTH(ТабПозиции[[#This Row],[date]])&amp;"/"&amp;YEAR(ТабПозиции[[#This Row],[date]])</f>
        <v>3/2025</v>
      </c>
      <c r="D1938" s="1" t="str">
        <f>IFERROR(VLOOKUP(ТабПозиции[[#This Row],[orderNum]],ТабЗаказы[#Data],MATCH(D$7,ТабЗаказы[#Headers],0),0),"")</f>
        <v>Юля Ларисына</v>
      </c>
      <c r="E1938" s="93" t="s">
        <v>2608</v>
      </c>
      <c r="F1938" s="56" t="s">
        <v>3061</v>
      </c>
      <c r="H1938" s="34">
        <v>45728</v>
      </c>
      <c r="I1938" s="96">
        <v>1</v>
      </c>
      <c r="J1938" s="96">
        <v>5269</v>
      </c>
      <c r="K1938">
        <f>ТабПозиции[[#This Row],[discountPrice]]*ТабПозиции[[#This Row],[quantity]]</f>
        <v>5269</v>
      </c>
      <c r="L1938" s="26">
        <v>5547</v>
      </c>
      <c r="M1938">
        <f t="shared" si="44"/>
        <v>5547</v>
      </c>
      <c r="N1938" s="96"/>
      <c r="O193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Row],[orderNum]],ТабПозиции[orderSumm])&gt;1500),ABS(M1938*VLOOKUP(ТабПозиции[[#This Row],[orderNum]],ТабЗаказы[#Data],MATCH("Percent",ТабЗаказы[#Headers],0),0))/100,200/COUNTIF(ТабПозиции[orderNum],ТабПозиции[[#This Row],[orderNum]])),0),"")</f>
        <v>832</v>
      </c>
      <c r="P1938" s="95">
        <f>IF(OR(ТабПозиции[[#This Row],[item]]="По штрихкоду",ТабПозиции[[#This Row],[item]]="Посылка"),ТабПозиции[[#This Row],[deliverySumm]]+ТабПозиции[[#This Row],[deliveryPost]],SUM(M1938:O1938))</f>
        <v>6379</v>
      </c>
      <c r="Q1938" s="57">
        <v>6379</v>
      </c>
      <c r="R1938" s="62">
        <f>ТабПозиции[[#This Row],[totalSumm]]-ТабПозиции[[#This Row],[payment]]</f>
        <v>0</v>
      </c>
      <c r="S1938" s="34" t="s">
        <v>965</v>
      </c>
      <c r="T1938" s="56" t="s">
        <v>3061</v>
      </c>
      <c r="U1938" s="56" t="str">
        <f>IF(AND(ТабПозиции[[#This Row],[Остаток]]=0,ТабПозиции[[#This Row],[ord]]="true"),"true","false")</f>
        <v>true</v>
      </c>
      <c r="V1938" s="56" t="s">
        <v>3061</v>
      </c>
    </row>
    <row r="1939" spans="1:22" x14ac:dyDescent="0.25">
      <c r="A1939" s="26">
        <v>509</v>
      </c>
      <c r="B1939" s="1">
        <f>IFERROR(VLOOKUP(ТабПозиции[[#This Row],[orderNum]],ТабЗаказы[#Data],MATCH(B$7,ТабЗаказы[#Headers],0),0),"")</f>
        <v>45726</v>
      </c>
      <c r="C1939" s="95" t="str">
        <f>MONTH(ТабПозиции[[#This Row],[date]])&amp;"/"&amp;YEAR(ТабПозиции[[#This Row],[date]])</f>
        <v>3/2025</v>
      </c>
      <c r="D1939" s="1" t="str">
        <f>IFERROR(VLOOKUP(ТабПозиции[[#This Row],[orderNum]],ТабЗаказы[#Data],MATCH(D$7,ТабЗаказы[#Headers],0),0),"")</f>
        <v>Юля Ларисына</v>
      </c>
      <c r="E1939" s="93" t="s">
        <v>2609</v>
      </c>
      <c r="F1939" s="56" t="s">
        <v>3061</v>
      </c>
      <c r="H1939" s="34">
        <v>45729</v>
      </c>
      <c r="I1939" s="96">
        <v>1</v>
      </c>
      <c r="J1939" s="96">
        <v>228</v>
      </c>
      <c r="K1939">
        <f>ТабПозиции[[#This Row],[discountPrice]]*ТабПозиции[[#This Row],[quantity]]</f>
        <v>228</v>
      </c>
      <c r="L1939" s="26">
        <v>240</v>
      </c>
      <c r="M1939">
        <f t="shared" si="44"/>
        <v>240</v>
      </c>
      <c r="N1939" s="96"/>
      <c r="O193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Row],[orderNum]],ТабПозиции[orderSumm])&gt;1500),ABS(M1939*VLOOKUP(ТабПозиции[[#This Row],[orderNum]],ТабЗаказы[#Data],MATCH("Percent",ТабЗаказы[#Headers],0),0))/100,200/COUNTIF(ТабПозиции[orderNum],ТабПозиции[[#This Row],[orderNum]])),0),"")</f>
        <v>36</v>
      </c>
      <c r="P1939" s="95">
        <f>IF(OR(ТабПозиции[[#This Row],[item]]="По штрихкоду",ТабПозиции[[#This Row],[item]]="Посылка"),ТабПозиции[[#This Row],[deliverySumm]]+ТабПозиции[[#This Row],[deliveryPost]],SUM(M1939:O1939))</f>
        <v>276</v>
      </c>
      <c r="Q1939" s="57">
        <v>276</v>
      </c>
      <c r="R1939" s="62">
        <f>ТабПозиции[[#This Row],[totalSumm]]-ТабПозиции[[#This Row],[payment]]</f>
        <v>0</v>
      </c>
      <c r="S1939" s="34" t="s">
        <v>965</v>
      </c>
      <c r="T1939" s="56" t="s">
        <v>3061</v>
      </c>
      <c r="U1939" s="56" t="str">
        <f>IF(AND(ТабПозиции[[#This Row],[Остаток]]=0,ТабПозиции[[#This Row],[ord]]="true"),"true","false")</f>
        <v>true</v>
      </c>
      <c r="V1939" s="56" t="s">
        <v>3061</v>
      </c>
    </row>
    <row r="1940" spans="1:22" x14ac:dyDescent="0.25">
      <c r="A1940" s="26">
        <v>509</v>
      </c>
      <c r="B1940" s="1">
        <f>IFERROR(VLOOKUP(ТабПозиции[[#This Row],[orderNum]],ТабЗаказы[#Data],MATCH(B$7,ТабЗаказы[#Headers],0),0),"")</f>
        <v>45726</v>
      </c>
      <c r="C1940" s="95" t="str">
        <f>MONTH(ТабПозиции[[#This Row],[date]])&amp;"/"&amp;YEAR(ТабПозиции[[#This Row],[date]])</f>
        <v>3/2025</v>
      </c>
      <c r="D1940" s="1" t="str">
        <f>IFERROR(VLOOKUP(ТабПозиции[[#This Row],[orderNum]],ТабЗаказы[#Data],MATCH(D$7,ТабЗаказы[#Headers],0),0),"")</f>
        <v>Юля Ларисына</v>
      </c>
      <c r="E1940" s="93" t="s">
        <v>2418</v>
      </c>
      <c r="F1940" s="56" t="s">
        <v>3061</v>
      </c>
      <c r="H1940" s="34">
        <v>45728</v>
      </c>
      <c r="I1940" s="96">
        <v>1</v>
      </c>
      <c r="J1940" s="96">
        <v>256</v>
      </c>
      <c r="K1940">
        <f>ТабПозиции[[#This Row],[discountPrice]]*ТабПозиции[[#This Row],[quantity]]</f>
        <v>256</v>
      </c>
      <c r="L1940" s="26">
        <v>270</v>
      </c>
      <c r="M1940">
        <f t="shared" si="44"/>
        <v>270</v>
      </c>
      <c r="N1940" s="96"/>
      <c r="O194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Row],[orderNum]],ТабПозиции[orderSumm])&gt;1500),ABS(M1940*VLOOKUP(ТабПозиции[[#This Row],[orderNum]],ТабЗаказы[#Data],MATCH("Percent",ТабЗаказы[#Headers],0),0))/100,200/COUNTIF(ТабПозиции[orderNum],ТабПозиции[[#This Row],[orderNum]])),0),"")</f>
        <v>41</v>
      </c>
      <c r="P1940" s="95">
        <f>IF(OR(ТабПозиции[[#This Row],[item]]="По штрихкоду",ТабПозиции[[#This Row],[item]]="Посылка"),ТабПозиции[[#This Row],[deliverySumm]]+ТабПозиции[[#This Row],[deliveryPost]],SUM(M1940:O1940))</f>
        <v>311</v>
      </c>
      <c r="Q1940" s="57">
        <v>311</v>
      </c>
      <c r="R1940" s="62">
        <f>ТабПозиции[[#This Row],[totalSumm]]-ТабПозиции[[#This Row],[payment]]</f>
        <v>0</v>
      </c>
      <c r="S1940" s="34" t="s">
        <v>965</v>
      </c>
      <c r="T1940" s="56" t="s">
        <v>3061</v>
      </c>
      <c r="U1940" s="56" t="str">
        <f>IF(AND(ТабПозиции[[#This Row],[Остаток]]=0,ТабПозиции[[#This Row],[ord]]="true"),"true","false")</f>
        <v>true</v>
      </c>
      <c r="V1940" s="56" t="s">
        <v>3061</v>
      </c>
    </row>
    <row r="1941" spans="1:22" x14ac:dyDescent="0.25">
      <c r="A1941" s="26">
        <v>509</v>
      </c>
      <c r="B1941" s="1">
        <f>IFERROR(VLOOKUP(ТабПозиции[[#This Row],[orderNum]],ТабЗаказы[#Data],MATCH(B$7,ТабЗаказы[#Headers],0),0),"")</f>
        <v>45726</v>
      </c>
      <c r="C1941" s="95" t="str">
        <f>MONTH(ТабПозиции[[#This Row],[date]])&amp;"/"&amp;YEAR(ТабПозиции[[#This Row],[date]])</f>
        <v>3/2025</v>
      </c>
      <c r="D1941" s="1" t="str">
        <f>IFERROR(VLOOKUP(ТабПозиции[[#This Row],[orderNum]],ТабЗаказы[#Data],MATCH(D$7,ТабЗаказы[#Headers],0),0),"")</f>
        <v>Юля Ларисына</v>
      </c>
      <c r="E1941" s="93" t="s">
        <v>1074</v>
      </c>
      <c r="F1941" s="56" t="s">
        <v>3061</v>
      </c>
      <c r="H1941" s="34">
        <v>45728</v>
      </c>
      <c r="I1941" s="96">
        <v>1</v>
      </c>
      <c r="J1941" s="96">
        <v>1297</v>
      </c>
      <c r="K1941">
        <f>ТабПозиции[[#This Row],[discountPrice]]*ТабПозиции[[#This Row],[quantity]]</f>
        <v>1297</v>
      </c>
      <c r="L1941" s="26">
        <v>1366</v>
      </c>
      <c r="M1941">
        <f t="shared" si="44"/>
        <v>1366</v>
      </c>
      <c r="N1941" s="96"/>
      <c r="O194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Row],[orderNum]],ТабПозиции[orderSumm])&gt;1500),ABS(M1941*VLOOKUP(ТабПозиции[[#This Row],[orderNum]],ТабЗаказы[#Data],MATCH("Percent",ТабЗаказы[#Headers],0),0))/100,200/COUNTIF(ТабПозиции[orderNum],ТабПозиции[[#This Row],[orderNum]])),0),"")</f>
        <v>205</v>
      </c>
      <c r="P1941" s="95">
        <f>IF(OR(ТабПозиции[[#This Row],[item]]="По штрихкоду",ТабПозиции[[#This Row],[item]]="Посылка"),ТабПозиции[[#This Row],[deliverySumm]]+ТабПозиции[[#This Row],[deliveryPost]],SUM(M1941:O1941))</f>
        <v>1571</v>
      </c>
      <c r="Q1941" s="57">
        <v>1571</v>
      </c>
      <c r="R1941" s="62">
        <f>ТабПозиции[[#This Row],[totalSumm]]-ТабПозиции[[#This Row],[payment]]</f>
        <v>0</v>
      </c>
      <c r="S1941" s="34" t="s">
        <v>965</v>
      </c>
      <c r="T1941" s="56" t="s">
        <v>3061</v>
      </c>
      <c r="U1941" s="56" t="str">
        <f>IF(AND(ТабПозиции[[#This Row],[Остаток]]=0,ТабПозиции[[#This Row],[ord]]="true"),"true","false")</f>
        <v>true</v>
      </c>
      <c r="V1941" s="56" t="s">
        <v>3061</v>
      </c>
    </row>
    <row r="1942" spans="1:22" x14ac:dyDescent="0.25">
      <c r="A1942" s="26">
        <v>510</v>
      </c>
      <c r="B1942" s="1">
        <f>IFERROR(VLOOKUP(ТабПозиции[[#This Row],[orderNum]],ТабЗаказы[#Data],MATCH(B$7,ТабЗаказы[#Headers],0),0),"")</f>
        <v>45726</v>
      </c>
      <c r="C1942" s="95" t="str">
        <f>MONTH(ТабПозиции[[#This Row],[date]])&amp;"/"&amp;YEAR(ТабПозиции[[#This Row],[date]])</f>
        <v>3/2025</v>
      </c>
      <c r="D1942" s="1" t="str">
        <f>IFERROR(VLOOKUP(ТабПозиции[[#This Row],[orderNum]],ТабЗаказы[#Data],MATCH(D$7,ТабЗаказы[#Headers],0),0),"")</f>
        <v>Галина Агабекова(церковь)</v>
      </c>
      <c r="E1942" s="93" t="s">
        <v>2610</v>
      </c>
      <c r="F1942" s="56" t="s">
        <v>3061</v>
      </c>
      <c r="H1942" s="34">
        <v>45728</v>
      </c>
      <c r="I1942" s="96">
        <v>1</v>
      </c>
      <c r="J1942" s="96">
        <v>931</v>
      </c>
      <c r="K1942">
        <f>ТабПозиции[[#This Row],[discountPrice]]*ТабПозиции[[#This Row],[quantity]]</f>
        <v>931</v>
      </c>
      <c r="L1942" s="26">
        <v>981</v>
      </c>
      <c r="M1942">
        <f t="shared" si="44"/>
        <v>981</v>
      </c>
      <c r="N1942" s="96"/>
      <c r="O194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Row],[orderNum]],ТабПозиции[orderSumm])&gt;1500),ABS(M1942*VLOOKUP(ТабПозиции[[#This Row],[orderNum]],ТабЗаказы[#Data],MATCH("Percent",ТабЗаказы[#Headers],0),0))/100,200/COUNTIF(ТабПозиции[orderNum],ТабПозиции[[#This Row],[orderNum]])),0),"")</f>
        <v>147</v>
      </c>
      <c r="P1942" s="95">
        <f>IF(OR(ТабПозиции[[#This Row],[item]]="По штрихкоду",ТабПозиции[[#This Row],[item]]="Посылка"),ТабПозиции[[#This Row],[deliverySumm]]+ТабПозиции[[#This Row],[deliveryPost]],SUM(M1942:O1942))</f>
        <v>1128</v>
      </c>
      <c r="Q1942" s="57">
        <v>1128</v>
      </c>
      <c r="R1942" s="62">
        <f>ТабПозиции[[#This Row],[totalSumm]]-ТабПозиции[[#This Row],[payment]]</f>
        <v>0</v>
      </c>
      <c r="S1942" s="34" t="s">
        <v>965</v>
      </c>
      <c r="T1942" s="56" t="s">
        <v>3061</v>
      </c>
      <c r="U1942" s="56" t="str">
        <f>IF(AND(ТабПозиции[[#This Row],[Остаток]]=0,ТабПозиции[[#This Row],[ord]]="true"),"true","false")</f>
        <v>true</v>
      </c>
      <c r="V1942" s="56" t="s">
        <v>3061</v>
      </c>
    </row>
    <row r="1943" spans="1:22" x14ac:dyDescent="0.25">
      <c r="A1943" s="26">
        <v>510</v>
      </c>
      <c r="B1943" s="1">
        <f>IFERROR(VLOOKUP(ТабПозиции[[#This Row],[orderNum]],ТабЗаказы[#Data],MATCH(B$7,ТабЗаказы[#Headers],0),0),"")</f>
        <v>45726</v>
      </c>
      <c r="C1943" s="95" t="str">
        <f>MONTH(ТабПозиции[[#This Row],[date]])&amp;"/"&amp;YEAR(ТабПозиции[[#This Row],[date]])</f>
        <v>3/2025</v>
      </c>
      <c r="D1943" s="1" t="str">
        <f>IFERROR(VLOOKUP(ТабПозиции[[#This Row],[orderNum]],ТабЗаказы[#Data],MATCH(D$7,ТабЗаказы[#Headers],0),0),"")</f>
        <v>Галина Агабекова(церковь)</v>
      </c>
      <c r="E1943" s="93" t="s">
        <v>2611</v>
      </c>
      <c r="F1943" s="56" t="s">
        <v>3061</v>
      </c>
      <c r="G1943" s="28" t="s">
        <v>2690</v>
      </c>
      <c r="H1943" s="34">
        <v>45734</v>
      </c>
      <c r="I1943" s="96">
        <v>1</v>
      </c>
      <c r="J1943" s="96">
        <v>900</v>
      </c>
      <c r="K1943">
        <f>ТабПозиции[[#This Row],[discountPrice]]*ТабПозиции[[#This Row],[quantity]]</f>
        <v>900</v>
      </c>
      <c r="L1943" s="26">
        <v>900</v>
      </c>
      <c r="M1943">
        <f t="shared" si="44"/>
        <v>900</v>
      </c>
      <c r="N1943" s="96">
        <f>279-137</f>
        <v>142</v>
      </c>
      <c r="O194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Row],[orderNum]],ТабПозиции[orderSumm])&gt;1500),ABS(M1943*VLOOKUP(ТабПозиции[[#This Row],[orderNum]],ТабЗаказы[#Data],MATCH("Percent",ТабЗаказы[#Headers],0),0))/100,200/COUNTIF(ТабПозиции[orderNum],ТабПозиции[[#This Row],[orderNum]])),0),"")</f>
        <v>135</v>
      </c>
      <c r="P1943" s="95">
        <f>IF(OR(ТабПозиции[[#This Row],[item]]="По штрихкоду",ТабПозиции[[#This Row],[item]]="Посылка"),ТабПозиции[[#This Row],[deliverySumm]]+ТабПозиции[[#This Row],[deliveryPost]],SUM(M1943:O1943))</f>
        <v>1177</v>
      </c>
      <c r="Q1943" s="57">
        <v>1177</v>
      </c>
      <c r="R1943" s="62">
        <f>ТабПозиции[[#This Row],[totalSumm]]-ТабПозиции[[#This Row],[payment]]</f>
        <v>0</v>
      </c>
      <c r="S1943" s="34" t="s">
        <v>1011</v>
      </c>
      <c r="T1943" s="56" t="s">
        <v>3061</v>
      </c>
      <c r="U1943" s="56" t="str">
        <f>IF(AND(ТабПозиции[[#This Row],[Остаток]]=0,ТабПозиции[[#This Row],[ord]]="true"),"true","false")</f>
        <v>true</v>
      </c>
      <c r="V1943" s="56" t="s">
        <v>3061</v>
      </c>
    </row>
    <row r="1944" spans="1:22" x14ac:dyDescent="0.25">
      <c r="A1944" s="26">
        <v>511</v>
      </c>
      <c r="B1944" s="1">
        <f>IFERROR(VLOOKUP(ТабПозиции[[#This Row],[orderNum]],ТабЗаказы[#Data],MATCH(B$7,ТабЗаказы[#Headers],0),0),"")</f>
        <v>45726</v>
      </c>
      <c r="C1944" s="95" t="str">
        <f>MONTH(ТабПозиции[[#This Row],[date]])&amp;"/"&amp;YEAR(ТабПозиции[[#This Row],[date]])</f>
        <v>3/2025</v>
      </c>
      <c r="D1944" s="1" t="str">
        <f>IFERROR(VLOOKUP(ТабПозиции[[#This Row],[orderNum]],ТабЗаказы[#Data],MATCH(D$7,ТабЗаказы[#Headers],0),0),"")</f>
        <v>Константин от Наталья</v>
      </c>
      <c r="E1944" s="93" t="s">
        <v>2612</v>
      </c>
      <c r="F1944" s="56" t="s">
        <v>3061</v>
      </c>
      <c r="H1944" s="34">
        <v>45729</v>
      </c>
      <c r="I1944" s="96">
        <v>1</v>
      </c>
      <c r="J1944" s="96">
        <v>3364</v>
      </c>
      <c r="K1944">
        <f>ТабПозиции[[#This Row],[discountPrice]]*ТабПозиции[[#This Row],[quantity]]</f>
        <v>3364</v>
      </c>
      <c r="L1944" s="26">
        <v>3542</v>
      </c>
      <c r="M1944">
        <f t="shared" si="44"/>
        <v>3542</v>
      </c>
      <c r="N1944" s="96"/>
      <c r="O194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Row],[orderNum]],ТабПозиции[orderSumm])&gt;1500),ABS(M1944*VLOOKUP(ТабПозиции[[#This Row],[orderNum]],ТабЗаказы[#Data],MATCH("Percent",ТабЗаказы[#Headers],0),0))/100,200/COUNTIF(ТабПозиции[orderNum],ТабПозиции[[#This Row],[orderNum]])),0),"")</f>
        <v>531</v>
      </c>
      <c r="P1944" s="95">
        <f>IF(OR(ТабПозиции[[#This Row],[item]]="По штрихкоду",ТабПозиции[[#This Row],[item]]="Посылка"),ТабПозиции[[#This Row],[deliverySumm]]+ТабПозиции[[#This Row],[deliveryPost]],SUM(M1944:O1944))</f>
        <v>4073</v>
      </c>
      <c r="Q1944" s="57">
        <v>4073</v>
      </c>
      <c r="R1944" s="62">
        <f>ТабПозиции[[#This Row],[totalSumm]]-ТабПозиции[[#This Row],[payment]]</f>
        <v>0</v>
      </c>
      <c r="S1944" s="34" t="s">
        <v>965</v>
      </c>
      <c r="T1944" s="56" t="s">
        <v>3061</v>
      </c>
      <c r="U1944" s="56" t="s">
        <v>3061</v>
      </c>
      <c r="V1944" s="56" t="s">
        <v>3061</v>
      </c>
    </row>
    <row r="1945" spans="1:22" x14ac:dyDescent="0.25">
      <c r="A1945" s="26">
        <v>511</v>
      </c>
      <c r="B1945" s="1">
        <f>IFERROR(VLOOKUP(ТабПозиции[[#This Row],[orderNum]],ТабЗаказы[#Data],MATCH(B$7,ТабЗаказы[#Headers],0),0),"")</f>
        <v>45726</v>
      </c>
      <c r="C1945" s="95" t="str">
        <f>MONTH(ТабПозиции[[#This Row],[date]])&amp;"/"&amp;YEAR(ТабПозиции[[#This Row],[date]])</f>
        <v>3/2025</v>
      </c>
      <c r="D1945" s="1" t="str">
        <f>IFERROR(VLOOKUP(ТабПозиции[[#This Row],[orderNum]],ТабЗаказы[#Data],MATCH(D$7,ТабЗаказы[#Headers],0),0),"")</f>
        <v>Константин от Наталья</v>
      </c>
      <c r="E1945" s="93" t="s">
        <v>1751</v>
      </c>
      <c r="F1945" s="56" t="s">
        <v>3061</v>
      </c>
      <c r="H1945" s="34">
        <v>45728</v>
      </c>
      <c r="I1945" s="96">
        <v>1</v>
      </c>
      <c r="J1945" s="96">
        <v>569</v>
      </c>
      <c r="K1945">
        <f>ТабПозиции[[#This Row],[discountPrice]]*ТабПозиции[[#This Row],[quantity]]</f>
        <v>569</v>
      </c>
      <c r="L1945" s="26">
        <v>599</v>
      </c>
      <c r="M1945">
        <f t="shared" si="44"/>
        <v>599</v>
      </c>
      <c r="N1945" s="96"/>
      <c r="O194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Row],[orderNum]],ТабПозиции[orderSumm])&gt;1500),ABS(M1945*VLOOKUP(ТабПозиции[[#This Row],[orderNum]],ТабЗаказы[#Data],MATCH("Percent",ТабЗаказы[#Headers],0),0))/100,200/COUNTIF(ТабПозиции[orderNum],ТабПозиции[[#This Row],[orderNum]])),0),"")</f>
        <v>90</v>
      </c>
      <c r="P1945" s="95">
        <f>IF(OR(ТабПозиции[[#This Row],[item]]="По штрихкоду",ТабПозиции[[#This Row],[item]]="Посылка"),ТабПозиции[[#This Row],[deliverySumm]]+ТабПозиции[[#This Row],[deliveryPost]],SUM(M1945:O1945))</f>
        <v>689</v>
      </c>
      <c r="Q1945" s="57">
        <v>689</v>
      </c>
      <c r="R1945" s="62">
        <f>ТабПозиции[[#This Row],[totalSumm]]-ТабПозиции[[#This Row],[payment]]</f>
        <v>0</v>
      </c>
      <c r="S1945" s="34" t="s">
        <v>965</v>
      </c>
      <c r="T1945" s="56" t="s">
        <v>3061</v>
      </c>
      <c r="U1945" s="56" t="s">
        <v>3061</v>
      </c>
      <c r="V1945" s="56" t="s">
        <v>3061</v>
      </c>
    </row>
    <row r="1946" spans="1:22" x14ac:dyDescent="0.25">
      <c r="A1946" s="26">
        <v>512</v>
      </c>
      <c r="B1946" s="1">
        <f>IFERROR(VLOOKUP(ТабПозиции[[#This Row],[orderNum]],ТабЗаказы[#Data],MATCH(B$7,ТабЗаказы[#Headers],0),0),"")</f>
        <v>45727</v>
      </c>
      <c r="C1946" s="95" t="str">
        <f>MONTH(ТабПозиции[[#This Row],[date]])&amp;"/"&amp;YEAR(ТабПозиции[[#This Row],[date]])</f>
        <v>3/2025</v>
      </c>
      <c r="D1946" s="1" t="str">
        <f>IFERROR(VLOOKUP(ТабПозиции[[#This Row],[orderNum]],ТабЗаказы[#Data],MATCH(D$7,ТабЗаказы[#Headers],0),0),"")</f>
        <v>Светлана от Александра</v>
      </c>
      <c r="E1946" s="93" t="s">
        <v>2613</v>
      </c>
      <c r="F1946" s="56" t="s">
        <v>3061</v>
      </c>
      <c r="H1946" s="34">
        <v>45729</v>
      </c>
      <c r="I1946" s="96">
        <v>1</v>
      </c>
      <c r="J1946" s="96">
        <v>427</v>
      </c>
      <c r="K1946">
        <f>ТабПозиции[[#This Row],[discountPrice]]*ТабПозиции[[#This Row],[quantity]]</f>
        <v>427</v>
      </c>
      <c r="L1946" s="26">
        <v>450</v>
      </c>
      <c r="M1946">
        <f t="shared" si="44"/>
        <v>450</v>
      </c>
      <c r="N1946" s="96"/>
      <c r="O194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Row],[orderNum]],ТабПозиции[orderSumm])&gt;1500),ABS(M1946*VLOOKUP(ТабПозиции[[#This Row],[orderNum]],ТабЗаказы[#Data],MATCH("Percent",ТабЗаказы[#Headers],0),0))/100,200/COUNTIF(ТабПозиции[orderNum],ТабПозиции[[#This Row],[orderNum]])),0),"")</f>
        <v>45</v>
      </c>
      <c r="P1946" s="95">
        <f>IF(OR(ТабПозиции[[#This Row],[item]]="По штрихкоду",ТабПозиции[[#This Row],[item]]="Посылка"),ТабПозиции[[#This Row],[deliverySumm]]+ТабПозиции[[#This Row],[deliveryPost]],SUM(M1946:O1946))</f>
        <v>495</v>
      </c>
      <c r="Q1946" s="57">
        <v>495</v>
      </c>
      <c r="R1946" s="62">
        <f>ТабПозиции[[#This Row],[totalSumm]]-ТабПозиции[[#This Row],[payment]]</f>
        <v>0</v>
      </c>
      <c r="S1946" s="34" t="s">
        <v>965</v>
      </c>
      <c r="T1946" s="56" t="s">
        <v>3061</v>
      </c>
      <c r="U1946" s="56" t="str">
        <f>IF(AND(ТабПозиции[[#This Row],[Остаток]]=0,ТабПозиции[[#This Row],[ord]]="true"),"true","false")</f>
        <v>true</v>
      </c>
      <c r="V1946" s="56" t="s">
        <v>3061</v>
      </c>
    </row>
    <row r="1947" spans="1:22" x14ac:dyDescent="0.25">
      <c r="A1947" s="26">
        <v>512</v>
      </c>
      <c r="B1947" s="1">
        <f>IFERROR(VLOOKUP(ТабПозиции[[#This Row],[orderNum]],ТабЗаказы[#Data],MATCH(B$7,ТабЗаказы[#Headers],0),0),"")</f>
        <v>45727</v>
      </c>
      <c r="C1947" s="95" t="str">
        <f>MONTH(ТабПозиции[[#This Row],[date]])&amp;"/"&amp;YEAR(ТабПозиции[[#This Row],[date]])</f>
        <v>3/2025</v>
      </c>
      <c r="D1947" s="1" t="str">
        <f>IFERROR(VLOOKUP(ТабПозиции[[#This Row],[orderNum]],ТабЗаказы[#Data],MATCH(D$7,ТабЗаказы[#Headers],0),0),"")</f>
        <v>Светлана от Александра</v>
      </c>
      <c r="E1947" s="93" t="s">
        <v>2614</v>
      </c>
      <c r="F1947" s="56" t="s">
        <v>3061</v>
      </c>
      <c r="H1947" s="34">
        <v>45729</v>
      </c>
      <c r="I1947" s="96">
        <v>1</v>
      </c>
      <c r="J1947" s="96">
        <v>446</v>
      </c>
      <c r="K1947">
        <f>ТабПозиции[[#This Row],[discountPrice]]*ТабПозиции[[#This Row],[quantity]]</f>
        <v>446</v>
      </c>
      <c r="L1947" s="26">
        <v>470</v>
      </c>
      <c r="M1947">
        <f t="shared" si="44"/>
        <v>470</v>
      </c>
      <c r="N1947" s="96"/>
      <c r="O194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Row],[orderNum]],ТабПозиции[orderSumm])&gt;1500),ABS(M1947*VLOOKUP(ТабПозиции[[#This Row],[orderNum]],ТабЗаказы[#Data],MATCH("Percent",ТабЗаказы[#Headers],0),0))/100,200/COUNTIF(ТабПозиции[orderNum],ТабПозиции[[#This Row],[orderNum]])),0),"")</f>
        <v>47</v>
      </c>
      <c r="P1947" s="95">
        <f>IF(OR(ТабПозиции[[#This Row],[item]]="По штрихкоду",ТабПозиции[[#This Row],[item]]="Посылка"),ТабПозиции[[#This Row],[deliverySumm]]+ТабПозиции[[#This Row],[deliveryPost]],SUM(M1947:O1947))</f>
        <v>517</v>
      </c>
      <c r="Q1947" s="57">
        <v>517</v>
      </c>
      <c r="R1947" s="62">
        <f>ТабПозиции[[#This Row],[totalSumm]]-ТабПозиции[[#This Row],[payment]]</f>
        <v>0</v>
      </c>
      <c r="S1947" s="34" t="s">
        <v>965</v>
      </c>
      <c r="T1947" s="56" t="s">
        <v>3061</v>
      </c>
      <c r="U1947" s="56" t="str">
        <f>IF(AND(ТабПозиции[[#This Row],[Остаток]]=0,ТабПозиции[[#This Row],[ord]]="true"),"true","false")</f>
        <v>true</v>
      </c>
      <c r="V1947" s="56" t="s">
        <v>3061</v>
      </c>
    </row>
    <row r="1948" spans="1:22" x14ac:dyDescent="0.25">
      <c r="A1948" s="26">
        <v>512</v>
      </c>
      <c r="B1948" s="1">
        <f>IFERROR(VLOOKUP(ТабПозиции[[#This Row],[orderNum]],ТабЗаказы[#Data],MATCH(B$7,ТабЗаказы[#Headers],0),0),"")</f>
        <v>45727</v>
      </c>
      <c r="C1948" s="95" t="str">
        <f>MONTH(ТабПозиции[[#This Row],[date]])&amp;"/"&amp;YEAR(ТабПозиции[[#This Row],[date]])</f>
        <v>3/2025</v>
      </c>
      <c r="D1948" s="1" t="str">
        <f>IFERROR(VLOOKUP(ТабПозиции[[#This Row],[orderNum]],ТабЗаказы[#Data],MATCH(D$7,ТабЗаказы[#Headers],0),0),"")</f>
        <v>Светлана от Александра</v>
      </c>
      <c r="E1948" s="93" t="s">
        <v>2615</v>
      </c>
      <c r="F1948" s="56" t="s">
        <v>3061</v>
      </c>
      <c r="H1948" s="34">
        <v>45729</v>
      </c>
      <c r="I1948" s="96">
        <v>1</v>
      </c>
      <c r="J1948" s="96">
        <v>420</v>
      </c>
      <c r="K1948">
        <f>ТабПозиции[[#This Row],[discountPrice]]*ТабПозиции[[#This Row],[quantity]]</f>
        <v>420</v>
      </c>
      <c r="L1948" s="26">
        <v>443</v>
      </c>
      <c r="M1948">
        <f t="shared" si="44"/>
        <v>443</v>
      </c>
      <c r="N1948" s="96"/>
      <c r="O194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Row],[orderNum]],ТабПозиции[orderSumm])&gt;1500),ABS(M1948*VLOOKUP(ТабПозиции[[#This Row],[orderNum]],ТабЗаказы[#Data],MATCH("Percent",ТабЗаказы[#Headers],0),0))/100,200/COUNTIF(ТабПозиции[orderNum],ТабПозиции[[#This Row],[orderNum]])),0),"")</f>
        <v>44</v>
      </c>
      <c r="P1948" s="95">
        <f>IF(OR(ТабПозиции[[#This Row],[item]]="По штрихкоду",ТабПозиции[[#This Row],[item]]="Посылка"),ТабПозиции[[#This Row],[deliverySumm]]+ТабПозиции[[#This Row],[deliveryPost]],SUM(M1948:O1948))</f>
        <v>487</v>
      </c>
      <c r="Q1948" s="57">
        <v>487</v>
      </c>
      <c r="R1948" s="62">
        <f>ТабПозиции[[#This Row],[totalSumm]]-ТабПозиции[[#This Row],[payment]]</f>
        <v>0</v>
      </c>
      <c r="S1948" s="34" t="s">
        <v>965</v>
      </c>
      <c r="T1948" s="56" t="s">
        <v>3061</v>
      </c>
      <c r="U1948" s="56" t="str">
        <f>IF(AND(ТабПозиции[[#This Row],[Остаток]]=0,ТабПозиции[[#This Row],[ord]]="true"),"true","false")</f>
        <v>true</v>
      </c>
      <c r="V1948" s="56" t="s">
        <v>3061</v>
      </c>
    </row>
    <row r="1949" spans="1:22" x14ac:dyDescent="0.25">
      <c r="A1949" s="26">
        <v>512</v>
      </c>
      <c r="B1949" s="1">
        <f>IFERROR(VLOOKUP(ТабПозиции[[#This Row],[orderNum]],ТабЗаказы[#Data],MATCH(B$7,ТабЗаказы[#Headers],0),0),"")</f>
        <v>45727</v>
      </c>
      <c r="C1949" s="95" t="str">
        <f>MONTH(ТабПозиции[[#This Row],[date]])&amp;"/"&amp;YEAR(ТабПозиции[[#This Row],[date]])</f>
        <v>3/2025</v>
      </c>
      <c r="D1949" s="1" t="str">
        <f>IFERROR(VLOOKUP(ТабПозиции[[#This Row],[orderNum]],ТабЗаказы[#Data],MATCH(D$7,ТабЗаказы[#Headers],0),0),"")</f>
        <v>Светлана от Александра</v>
      </c>
      <c r="E1949" s="93" t="s">
        <v>2616</v>
      </c>
      <c r="F1949" s="56" t="s">
        <v>3061</v>
      </c>
      <c r="H1949" s="34">
        <v>45729</v>
      </c>
      <c r="I1949" s="96">
        <v>1</v>
      </c>
      <c r="J1949" s="96">
        <v>177</v>
      </c>
      <c r="K1949">
        <f>ТабПозиции[[#This Row],[discountPrice]]*ТабПозиции[[#This Row],[quantity]]</f>
        <v>177</v>
      </c>
      <c r="L1949" s="26">
        <v>187</v>
      </c>
      <c r="M1949">
        <f t="shared" si="44"/>
        <v>187</v>
      </c>
      <c r="N1949" s="96"/>
      <c r="O194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Row],[orderNum]],ТабПозиции[orderSumm])&gt;1500),ABS(M1949*VLOOKUP(ТабПозиции[[#This Row],[orderNum]],ТабЗаказы[#Data],MATCH("Percent",ТабЗаказы[#Headers],0),0))/100,200/COUNTIF(ТабПозиции[orderNum],ТабПозиции[[#This Row],[orderNum]])),0),"")</f>
        <v>19</v>
      </c>
      <c r="P1949" s="95">
        <f>IF(OR(ТабПозиции[[#This Row],[item]]="По штрихкоду",ТабПозиции[[#This Row],[item]]="Посылка"),ТабПозиции[[#This Row],[deliverySumm]]+ТабПозиции[[#This Row],[deliveryPost]],SUM(M1949:O1949))</f>
        <v>206</v>
      </c>
      <c r="Q1949" s="57">
        <v>206</v>
      </c>
      <c r="R1949" s="62">
        <f>ТабПозиции[[#This Row],[totalSumm]]-ТабПозиции[[#This Row],[payment]]</f>
        <v>0</v>
      </c>
      <c r="S1949" s="34" t="s">
        <v>965</v>
      </c>
      <c r="T1949" s="56" t="s">
        <v>3061</v>
      </c>
      <c r="U1949" s="56" t="str">
        <f>IF(AND(ТабПозиции[[#This Row],[Остаток]]=0,ТабПозиции[[#This Row],[ord]]="true"),"true","false")</f>
        <v>true</v>
      </c>
      <c r="V1949" s="56" t="s">
        <v>3061</v>
      </c>
    </row>
    <row r="1950" spans="1:22" x14ac:dyDescent="0.25">
      <c r="A1950" s="26">
        <v>512</v>
      </c>
      <c r="B1950" s="1">
        <f>IFERROR(VLOOKUP(ТабПозиции[[#This Row],[orderNum]],ТабЗаказы[#Data],MATCH(B$7,ТабЗаказы[#Headers],0),0),"")</f>
        <v>45727</v>
      </c>
      <c r="C1950" s="95" t="str">
        <f>MONTH(ТабПозиции[[#This Row],[date]])&amp;"/"&amp;YEAR(ТабПозиции[[#This Row],[date]])</f>
        <v>3/2025</v>
      </c>
      <c r="D1950" s="1" t="str">
        <f>IFERROR(VLOOKUP(ТабПозиции[[#This Row],[orderNum]],ТабЗаказы[#Data],MATCH(D$7,ТабЗаказы[#Headers],0),0),"")</f>
        <v>Светлана от Александра</v>
      </c>
      <c r="E1950" s="93" t="s">
        <v>2617</v>
      </c>
      <c r="F1950" s="56" t="s">
        <v>3061</v>
      </c>
      <c r="H1950" s="34">
        <v>45730</v>
      </c>
      <c r="I1950" s="96">
        <v>2</v>
      </c>
      <c r="J1950" s="96">
        <v>563</v>
      </c>
      <c r="K1950">
        <f>ТабПозиции[[#This Row],[discountPrice]]*ТабПозиции[[#This Row],[quantity]]</f>
        <v>1126</v>
      </c>
      <c r="L1950" s="26">
        <v>593</v>
      </c>
      <c r="M1950">
        <f t="shared" si="44"/>
        <v>1186</v>
      </c>
      <c r="N1950" s="96"/>
      <c r="O195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Row],[orderNum]],ТабПозиции[orderSumm])&gt;1500),ABS(M1950*VLOOKUP(ТабПозиции[[#This Row],[orderNum]],ТабЗаказы[#Data],MATCH("Percent",ТабЗаказы[#Headers],0),0))/100,200/COUNTIF(ТабПозиции[orderNum],ТабПозиции[[#This Row],[orderNum]])),0),"")</f>
        <v>119</v>
      </c>
      <c r="P1950" s="95">
        <f>IF(OR(ТабПозиции[[#This Row],[item]]="По штрихкоду",ТабПозиции[[#This Row],[item]]="Посылка"),ТабПозиции[[#This Row],[deliverySumm]]+ТабПозиции[[#This Row],[deliveryPost]],SUM(M1950:O1950))</f>
        <v>1305</v>
      </c>
      <c r="Q1950" s="57">
        <v>1305</v>
      </c>
      <c r="R1950" s="62">
        <f>ТабПозиции[[#This Row],[totalSumm]]-ТабПозиции[[#This Row],[payment]]</f>
        <v>0</v>
      </c>
      <c r="S1950" s="34" t="s">
        <v>965</v>
      </c>
      <c r="T1950" s="56" t="s">
        <v>3061</v>
      </c>
      <c r="U1950" s="56" t="str">
        <f>IF(AND(ТабПозиции[[#This Row],[Остаток]]=0,ТабПозиции[[#This Row],[ord]]="true"),"true","false")</f>
        <v>true</v>
      </c>
      <c r="V1950" s="56" t="s">
        <v>3061</v>
      </c>
    </row>
    <row r="1951" spans="1:22" x14ac:dyDescent="0.25">
      <c r="A1951" s="26">
        <v>512</v>
      </c>
      <c r="B1951" s="1">
        <f>IFERROR(VLOOKUP(ТабПозиции[[#This Row],[orderNum]],ТабЗаказы[#Data],MATCH(B$7,ТабЗаказы[#Headers],0),0),"")</f>
        <v>45727</v>
      </c>
      <c r="C1951" s="95" t="str">
        <f>MONTH(ТабПозиции[[#This Row],[date]])&amp;"/"&amp;YEAR(ТабПозиции[[#This Row],[date]])</f>
        <v>3/2025</v>
      </c>
      <c r="D1951" s="1" t="str">
        <f>IFERROR(VLOOKUP(ТабПозиции[[#This Row],[orderNum]],ТабЗаказы[#Data],MATCH(D$7,ТабЗаказы[#Headers],0),0),"")</f>
        <v>Светлана от Александра</v>
      </c>
      <c r="E1951" s="93" t="s">
        <v>2618</v>
      </c>
      <c r="F1951" s="56" t="s">
        <v>3061</v>
      </c>
      <c r="H1951" s="34">
        <v>45729</v>
      </c>
      <c r="I1951" s="96">
        <v>1</v>
      </c>
      <c r="J1951" s="96">
        <v>265</v>
      </c>
      <c r="K1951">
        <f>ТабПозиции[[#This Row],[discountPrice]]*ТабПозиции[[#This Row],[quantity]]</f>
        <v>265</v>
      </c>
      <c r="L1951" s="26">
        <v>279</v>
      </c>
      <c r="M1951">
        <f t="shared" si="44"/>
        <v>279</v>
      </c>
      <c r="N1951" s="96"/>
      <c r="O195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Row],[orderNum]],ТабПозиции[orderSumm])&gt;1500),ABS(M1951*VLOOKUP(ТабПозиции[[#This Row],[orderNum]],ТабЗаказы[#Data],MATCH("Percent",ТабЗаказы[#Headers],0),0))/100,200/COUNTIF(ТабПозиции[orderNum],ТабПозиции[[#This Row],[orderNum]])),0),"")</f>
        <v>28</v>
      </c>
      <c r="P1951" s="95">
        <f>IF(OR(ТабПозиции[[#This Row],[item]]="По штрихкоду",ТабПозиции[[#This Row],[item]]="Посылка"),ТабПозиции[[#This Row],[deliverySumm]]+ТабПозиции[[#This Row],[deliveryPost]],SUM(M1951:O1951))</f>
        <v>307</v>
      </c>
      <c r="Q1951" s="57">
        <v>307</v>
      </c>
      <c r="R1951" s="62">
        <f>ТабПозиции[[#This Row],[totalSumm]]-ТабПозиции[[#This Row],[payment]]</f>
        <v>0</v>
      </c>
      <c r="S1951" s="34" t="s">
        <v>965</v>
      </c>
      <c r="T1951" s="56" t="s">
        <v>3061</v>
      </c>
      <c r="U1951" s="56" t="str">
        <f>IF(AND(ТабПозиции[[#This Row],[Остаток]]=0,ТабПозиции[[#This Row],[ord]]="true"),"true","false")</f>
        <v>true</v>
      </c>
      <c r="V1951" s="56" t="s">
        <v>3061</v>
      </c>
    </row>
    <row r="1952" spans="1:22" x14ac:dyDescent="0.25">
      <c r="A1952" s="26">
        <v>512</v>
      </c>
      <c r="B1952" s="1">
        <f>IFERROR(VLOOKUP(ТабПозиции[[#This Row],[orderNum]],ТабЗаказы[#Data],MATCH(B$7,ТабЗаказы[#Headers],0),0),"")</f>
        <v>45727</v>
      </c>
      <c r="C1952" s="95" t="str">
        <f>MONTH(ТабПозиции[[#This Row],[date]])&amp;"/"&amp;YEAR(ТабПозиции[[#This Row],[date]])</f>
        <v>3/2025</v>
      </c>
      <c r="D1952" s="1" t="str">
        <f>IFERROR(VLOOKUP(ТабПозиции[[#This Row],[orderNum]],ТабЗаказы[#Data],MATCH(D$7,ТабЗаказы[#Headers],0),0),"")</f>
        <v>Светлана от Александра</v>
      </c>
      <c r="E1952" s="93" t="s">
        <v>2619</v>
      </c>
      <c r="F1952" s="56" t="s">
        <v>3061</v>
      </c>
      <c r="H1952" s="34">
        <v>45729</v>
      </c>
      <c r="I1952" s="96">
        <v>1</v>
      </c>
      <c r="J1952" s="96">
        <v>608</v>
      </c>
      <c r="K1952">
        <f>ТабПозиции[[#This Row],[discountPrice]]*ТабПозиции[[#This Row],[quantity]]</f>
        <v>608</v>
      </c>
      <c r="L1952" s="26">
        <v>641</v>
      </c>
      <c r="M1952">
        <f t="shared" ref="M1952:M2012" si="45">L1952*I1952</f>
        <v>641</v>
      </c>
      <c r="N1952" s="96"/>
      <c r="O195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Row],[orderNum]],ТабПозиции[orderSumm])&gt;1500),ABS(M1952*VLOOKUP(ТабПозиции[[#This Row],[orderNum]],ТабЗаказы[#Data],MATCH("Percent",ТабЗаказы[#Headers],0),0))/100,200/COUNTIF(ТабПозиции[orderNum],ТабПозиции[[#This Row],[orderNum]])),0),"")</f>
        <v>64</v>
      </c>
      <c r="P1952" s="95">
        <f>IF(OR(ТабПозиции[[#This Row],[item]]="По штрихкоду",ТабПозиции[[#This Row],[item]]="Посылка"),ТабПозиции[[#This Row],[deliverySumm]]+ТабПозиции[[#This Row],[deliveryPost]],SUM(M1952:O1952))</f>
        <v>705</v>
      </c>
      <c r="Q1952" s="57">
        <v>705</v>
      </c>
      <c r="R1952" s="62">
        <f>ТабПозиции[[#This Row],[totalSumm]]-ТабПозиции[[#This Row],[payment]]</f>
        <v>0</v>
      </c>
      <c r="S1952" s="34" t="s">
        <v>965</v>
      </c>
      <c r="T1952" s="56" t="s">
        <v>3061</v>
      </c>
      <c r="U1952" s="56" t="str">
        <f>IF(AND(ТабПозиции[[#This Row],[Остаток]]=0,ТабПозиции[[#This Row],[ord]]="true"),"true","false")</f>
        <v>true</v>
      </c>
      <c r="V1952" s="56" t="s">
        <v>3061</v>
      </c>
    </row>
    <row r="1953" spans="1:22" x14ac:dyDescent="0.25">
      <c r="A1953" s="26">
        <v>512</v>
      </c>
      <c r="B1953" s="1">
        <f>IFERROR(VLOOKUP(ТабПозиции[[#This Row],[orderNum]],ТабЗаказы[#Data],MATCH(B$7,ТабЗаказы[#Headers],0),0),"")</f>
        <v>45727</v>
      </c>
      <c r="C1953" s="95" t="str">
        <f>MONTH(ТабПозиции[[#This Row],[date]])&amp;"/"&amp;YEAR(ТабПозиции[[#This Row],[date]])</f>
        <v>3/2025</v>
      </c>
      <c r="D1953" s="1" t="str">
        <f>IFERROR(VLOOKUP(ТабПозиции[[#This Row],[orderNum]],ТабЗаказы[#Data],MATCH(D$7,ТабЗаказы[#Headers],0),0),"")</f>
        <v>Светлана от Александра</v>
      </c>
      <c r="E1953" s="93" t="s">
        <v>2620</v>
      </c>
      <c r="F1953" s="56" t="s">
        <v>3061</v>
      </c>
      <c r="H1953" s="34">
        <v>45729</v>
      </c>
      <c r="I1953" s="96">
        <v>3</v>
      </c>
      <c r="J1953" s="96">
        <v>546</v>
      </c>
      <c r="K1953">
        <f>ТабПозиции[[#This Row],[discountPrice]]*ТабПозиции[[#This Row],[quantity]]</f>
        <v>1638</v>
      </c>
      <c r="L1953" s="26">
        <v>575</v>
      </c>
      <c r="M1953">
        <f t="shared" si="45"/>
        <v>1725</v>
      </c>
      <c r="N1953" s="96"/>
      <c r="O195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Row],[orderNum]],ТабПозиции[orderSumm])&gt;1500),ABS(M1953*VLOOKUP(ТабПозиции[[#This Row],[orderNum]],ТабЗаказы[#Data],MATCH("Percent",ТабЗаказы[#Headers],0),0))/100,200/COUNTIF(ТабПозиции[orderNum],ТабПозиции[[#This Row],[orderNum]])),0),"")</f>
        <v>173</v>
      </c>
      <c r="P1953" s="95">
        <f>IF(OR(ТабПозиции[[#This Row],[item]]="По штрихкоду",ТабПозиции[[#This Row],[item]]="Посылка"),ТабПозиции[[#This Row],[deliverySumm]]+ТабПозиции[[#This Row],[deliveryPost]],SUM(M1953:O1953))</f>
        <v>1898</v>
      </c>
      <c r="Q1953" s="57">
        <v>1898</v>
      </c>
      <c r="R1953" s="62">
        <f>ТабПозиции[[#This Row],[totalSumm]]-ТабПозиции[[#This Row],[payment]]</f>
        <v>0</v>
      </c>
      <c r="S1953" s="34" t="s">
        <v>965</v>
      </c>
      <c r="T1953" s="56" t="s">
        <v>3061</v>
      </c>
      <c r="U1953" s="56" t="str">
        <f>IF(AND(ТабПозиции[[#This Row],[Остаток]]=0,ТабПозиции[[#This Row],[ord]]="true"),"true","false")</f>
        <v>true</v>
      </c>
      <c r="V1953" s="56" t="s">
        <v>3061</v>
      </c>
    </row>
    <row r="1954" spans="1:22" x14ac:dyDescent="0.25">
      <c r="A1954" s="26">
        <v>512</v>
      </c>
      <c r="B1954" s="1">
        <f>IFERROR(VLOOKUP(ТабПозиции[[#This Row],[orderNum]],ТабЗаказы[#Data],MATCH(B$7,ТабЗаказы[#Headers],0),0),"")</f>
        <v>45727</v>
      </c>
      <c r="C1954" s="95" t="str">
        <f>MONTH(ТабПозиции[[#This Row],[date]])&amp;"/"&amp;YEAR(ТабПозиции[[#This Row],[date]])</f>
        <v>3/2025</v>
      </c>
      <c r="D1954" s="1" t="str">
        <f>IFERROR(VLOOKUP(ТабПозиции[[#This Row],[orderNum]],ТабЗаказы[#Data],MATCH(D$7,ТабЗаказы[#Headers],0),0),"")</f>
        <v>Светлана от Александра</v>
      </c>
      <c r="E1954" s="93" t="s">
        <v>2617</v>
      </c>
      <c r="F1954" s="56" t="s">
        <v>3061</v>
      </c>
      <c r="H1954" s="34">
        <v>45733</v>
      </c>
      <c r="I1954" s="96">
        <v>3</v>
      </c>
      <c r="J1954" s="96">
        <v>282</v>
      </c>
      <c r="K1954">
        <f>ТабПозиции[[#This Row],[discountPrice]]*ТабПозиции[[#This Row],[quantity]]</f>
        <v>846</v>
      </c>
      <c r="L1954" s="26">
        <v>297</v>
      </c>
      <c r="M1954">
        <f t="shared" si="45"/>
        <v>891</v>
      </c>
      <c r="N1954" s="96"/>
      <c r="O195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Row],[orderNum]],ТабПозиции[orderSumm])&gt;1500),ABS(M1954*VLOOKUP(ТабПозиции[[#This Row],[orderNum]],ТабЗаказы[#Data],MATCH("Percent",ТабЗаказы[#Headers],0),0))/100,200/COUNTIF(ТабПозиции[orderNum],ТабПозиции[[#This Row],[orderNum]])),0),"")</f>
        <v>89</v>
      </c>
      <c r="P1954" s="95">
        <f>IF(OR(ТабПозиции[[#This Row],[item]]="По штрихкоду",ТабПозиции[[#This Row],[item]]="Посылка"),ТабПозиции[[#This Row],[deliverySumm]]+ТабПозиции[[#This Row],[deliveryPost]],SUM(M1954:O1954))</f>
        <v>980</v>
      </c>
      <c r="Q1954" s="57">
        <v>980</v>
      </c>
      <c r="R1954" s="62">
        <f>ТабПозиции[[#This Row],[totalSumm]]-ТабПозиции[[#This Row],[payment]]</f>
        <v>0</v>
      </c>
      <c r="S1954" s="34" t="s">
        <v>965</v>
      </c>
      <c r="T1954" s="56" t="s">
        <v>3061</v>
      </c>
      <c r="U1954" s="56" t="str">
        <f>IF(AND(ТабПозиции[[#This Row],[Остаток]]=0,ТабПозиции[[#This Row],[ord]]="true"),"true","false")</f>
        <v>true</v>
      </c>
      <c r="V1954" s="56" t="s">
        <v>3061</v>
      </c>
    </row>
    <row r="1955" spans="1:22" x14ac:dyDescent="0.25">
      <c r="A1955" s="26">
        <v>512</v>
      </c>
      <c r="B1955" s="1">
        <f>IFERROR(VLOOKUP(ТабПозиции[[#This Row],[orderNum]],ТабЗаказы[#Data],MATCH(B$7,ТабЗаказы[#Headers],0),0),"")</f>
        <v>45727</v>
      </c>
      <c r="C1955" s="95" t="str">
        <f>MONTH(ТабПозиции[[#This Row],[date]])&amp;"/"&amp;YEAR(ТабПозиции[[#This Row],[date]])</f>
        <v>3/2025</v>
      </c>
      <c r="D1955" s="1" t="str">
        <f>IFERROR(VLOOKUP(ТабПозиции[[#This Row],[orderNum]],ТабЗаказы[#Data],MATCH(D$7,ТабЗаказы[#Headers],0),0),"")</f>
        <v>Светлана от Александра</v>
      </c>
      <c r="E1955" s="93" t="s">
        <v>2617</v>
      </c>
      <c r="F1955" s="56" t="s">
        <v>3061</v>
      </c>
      <c r="H1955" s="34">
        <v>45733</v>
      </c>
      <c r="I1955" s="96">
        <v>4</v>
      </c>
      <c r="J1955" s="96">
        <v>376</v>
      </c>
      <c r="K1955">
        <f>ТабПозиции[[#This Row],[discountPrice]]*ТабПозиции[[#This Row],[quantity]]</f>
        <v>1504</v>
      </c>
      <c r="L1955" s="26">
        <v>396</v>
      </c>
      <c r="M1955">
        <f t="shared" si="45"/>
        <v>1584</v>
      </c>
      <c r="N1955" s="96"/>
      <c r="O195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Row],[orderNum]],ТабПозиции[orderSumm])&gt;1500),ABS(M1955*VLOOKUP(ТабПозиции[[#This Row],[orderNum]],ТабЗаказы[#Data],MATCH("Percent",ТабЗаказы[#Headers],0),0))/100,200/COUNTIF(ТабПозиции[orderNum],ТабПозиции[[#This Row],[orderNum]])),0),"")</f>
        <v>158</v>
      </c>
      <c r="P1955" s="95">
        <f>IF(OR(ТабПозиции[[#This Row],[item]]="По штрихкоду",ТабПозиции[[#This Row],[item]]="Посылка"),ТабПозиции[[#This Row],[deliverySumm]]+ТабПозиции[[#This Row],[deliveryPost]],SUM(M1955:O1955))</f>
        <v>1742</v>
      </c>
      <c r="Q1955" s="57">
        <v>1742</v>
      </c>
      <c r="R1955" s="62">
        <f>ТабПозиции[[#This Row],[totalSumm]]-ТабПозиции[[#This Row],[payment]]</f>
        <v>0</v>
      </c>
      <c r="S1955" s="34" t="s">
        <v>965</v>
      </c>
      <c r="T1955" s="56" t="s">
        <v>3061</v>
      </c>
      <c r="U1955" s="56" t="str">
        <f>IF(AND(ТабПозиции[[#This Row],[Остаток]]=0,ТабПозиции[[#This Row],[ord]]="true"),"true","false")</f>
        <v>true</v>
      </c>
      <c r="V1955" s="56" t="s">
        <v>3061</v>
      </c>
    </row>
    <row r="1956" spans="1:22" x14ac:dyDescent="0.25">
      <c r="A1956" s="26">
        <v>512</v>
      </c>
      <c r="B1956" s="1">
        <f>IFERROR(VLOOKUP(ТабПозиции[[#This Row],[orderNum]],ТабЗаказы[#Data],MATCH(B$7,ТабЗаказы[#Headers],0),0),"")</f>
        <v>45727</v>
      </c>
      <c r="C1956" s="95" t="str">
        <f>MONTH(ТабПозиции[[#This Row],[date]])&amp;"/"&amp;YEAR(ТабПозиции[[#This Row],[date]])</f>
        <v>3/2025</v>
      </c>
      <c r="D1956" s="1" t="str">
        <f>IFERROR(VLOOKUP(ТабПозиции[[#This Row],[orderNum]],ТабЗаказы[#Data],MATCH(D$7,ТабЗаказы[#Headers],0),0),"")</f>
        <v>Светлана от Александра</v>
      </c>
      <c r="E1956" s="93" t="s">
        <v>2621</v>
      </c>
      <c r="F1956" s="56" t="s">
        <v>3061</v>
      </c>
      <c r="H1956" s="34">
        <v>45729</v>
      </c>
      <c r="I1956" s="96">
        <v>1</v>
      </c>
      <c r="J1956" s="96">
        <v>346</v>
      </c>
      <c r="K1956">
        <f>ТабПозиции[[#This Row],[discountPrice]]*ТабПозиции[[#This Row],[quantity]]</f>
        <v>346</v>
      </c>
      <c r="L1956" s="26">
        <v>365</v>
      </c>
      <c r="M1956">
        <f t="shared" si="45"/>
        <v>365</v>
      </c>
      <c r="N1956" s="96"/>
      <c r="O195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Row],[orderNum]],ТабПозиции[orderSumm])&gt;1500),ABS(M1956*VLOOKUP(ТабПозиции[[#This Row],[orderNum]],ТабЗаказы[#Data],MATCH("Percent",ТабЗаказы[#Headers],0),0))/100,200/COUNTIF(ТабПозиции[orderNum],ТабПозиции[[#This Row],[orderNum]])),0),"")</f>
        <v>37</v>
      </c>
      <c r="P1956" s="95">
        <f>IF(OR(ТабПозиции[[#This Row],[item]]="По штрихкоду",ТабПозиции[[#This Row],[item]]="Посылка"),ТабПозиции[[#This Row],[deliverySumm]]+ТабПозиции[[#This Row],[deliveryPost]],SUM(M1956:O1956))</f>
        <v>402</v>
      </c>
      <c r="Q1956" s="57">
        <v>402</v>
      </c>
      <c r="R1956" s="62">
        <f>ТабПозиции[[#This Row],[totalSumm]]-ТабПозиции[[#This Row],[payment]]</f>
        <v>0</v>
      </c>
      <c r="S1956" s="34" t="s">
        <v>965</v>
      </c>
      <c r="T1956" s="56" t="s">
        <v>3061</v>
      </c>
      <c r="U1956" s="56" t="str">
        <f>IF(AND(ТабПозиции[[#This Row],[Остаток]]=0,ТабПозиции[[#This Row],[ord]]="true"),"true","false")</f>
        <v>true</v>
      </c>
      <c r="V1956" s="56" t="s">
        <v>3061</v>
      </c>
    </row>
    <row r="1957" spans="1:22" x14ac:dyDescent="0.25">
      <c r="A1957" s="26">
        <v>512</v>
      </c>
      <c r="B1957" s="1">
        <f>IFERROR(VLOOKUP(ТабПозиции[[#This Row],[orderNum]],ТабЗаказы[#Data],MATCH(B$7,ТабЗаказы[#Headers],0),0),"")</f>
        <v>45727</v>
      </c>
      <c r="C1957" s="95" t="str">
        <f>MONTH(ТабПозиции[[#This Row],[date]])&amp;"/"&amp;YEAR(ТабПозиции[[#This Row],[date]])</f>
        <v>3/2025</v>
      </c>
      <c r="D1957" s="1" t="str">
        <f>IFERROR(VLOOKUP(ТабПозиции[[#This Row],[orderNum]],ТабЗаказы[#Data],MATCH(D$7,ТабЗаказы[#Headers],0),0),"")</f>
        <v>Светлана от Александра</v>
      </c>
      <c r="E1957" s="93" t="s">
        <v>2621</v>
      </c>
      <c r="F1957" s="56" t="s">
        <v>3061</v>
      </c>
      <c r="H1957" s="34">
        <v>45729</v>
      </c>
      <c r="I1957" s="96">
        <v>1</v>
      </c>
      <c r="J1957" s="96">
        <v>591</v>
      </c>
      <c r="K1957">
        <f>ТабПозиции[[#This Row],[discountPrice]]*ТабПозиции[[#This Row],[quantity]]</f>
        <v>591</v>
      </c>
      <c r="L1957" s="26">
        <v>623</v>
      </c>
      <c r="M1957">
        <f t="shared" si="45"/>
        <v>623</v>
      </c>
      <c r="N1957" s="96"/>
      <c r="O195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Row],[orderNum]],ТабПозиции[orderSumm])&gt;1500),ABS(M1957*VLOOKUP(ТабПозиции[[#This Row],[orderNum]],ТабЗаказы[#Data],MATCH("Percent",ТабЗаказы[#Headers],0),0))/100,200/COUNTIF(ТабПозиции[orderNum],ТабПозиции[[#This Row],[orderNum]])),0),"")</f>
        <v>62</v>
      </c>
      <c r="P1957" s="95">
        <f>IF(OR(ТабПозиции[[#This Row],[item]]="По штрихкоду",ТабПозиции[[#This Row],[item]]="Посылка"),ТабПозиции[[#This Row],[deliverySumm]]+ТабПозиции[[#This Row],[deliveryPost]],SUM(M1957:O1957))</f>
        <v>685</v>
      </c>
      <c r="Q1957" s="57">
        <v>685</v>
      </c>
      <c r="R1957" s="62">
        <f>ТабПозиции[[#This Row],[totalSumm]]-ТабПозиции[[#This Row],[payment]]</f>
        <v>0</v>
      </c>
      <c r="S1957" s="34" t="s">
        <v>965</v>
      </c>
      <c r="T1957" s="56" t="s">
        <v>3061</v>
      </c>
      <c r="U1957" s="56" t="str">
        <f>IF(AND(ТабПозиции[[#This Row],[Остаток]]=0,ТабПозиции[[#This Row],[ord]]="true"),"true","false")</f>
        <v>true</v>
      </c>
      <c r="V1957" s="56" t="s">
        <v>3061</v>
      </c>
    </row>
    <row r="1958" spans="1:22" x14ac:dyDescent="0.25">
      <c r="A1958" s="26">
        <v>512</v>
      </c>
      <c r="B1958" s="1">
        <f>IFERROR(VLOOKUP(ТабПозиции[[#This Row],[orderNum]],ТабЗаказы[#Data],MATCH(B$7,ТабЗаказы[#Headers],0),0),"")</f>
        <v>45727</v>
      </c>
      <c r="C1958" s="95" t="str">
        <f>MONTH(ТабПозиции[[#This Row],[date]])&amp;"/"&amp;YEAR(ТабПозиции[[#This Row],[date]])</f>
        <v>3/2025</v>
      </c>
      <c r="D1958" s="1" t="str">
        <f>IFERROR(VLOOKUP(ТабПозиции[[#This Row],[orderNum]],ТабЗаказы[#Data],MATCH(D$7,ТабЗаказы[#Headers],0),0),"")</f>
        <v>Светлана от Александра</v>
      </c>
      <c r="E1958" s="93" t="s">
        <v>2622</v>
      </c>
      <c r="F1958" s="56" t="s">
        <v>3061</v>
      </c>
      <c r="H1958" s="34">
        <v>45731</v>
      </c>
      <c r="I1958" s="96">
        <v>1</v>
      </c>
      <c r="J1958" s="96">
        <v>499</v>
      </c>
      <c r="K1958">
        <f>ТабПозиции[[#This Row],[discountPrice]]*ТабПозиции[[#This Row],[quantity]]</f>
        <v>499</v>
      </c>
      <c r="L1958" s="26">
        <v>526</v>
      </c>
      <c r="M1958">
        <f t="shared" si="45"/>
        <v>526</v>
      </c>
      <c r="N1958" s="96"/>
      <c r="O195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Row],[orderNum]],ТабПозиции[orderSumm])&gt;1500),ABS(M1958*VLOOKUP(ТабПозиции[[#This Row],[orderNum]],ТабЗаказы[#Data],MATCH("Percent",ТабЗаказы[#Headers],0),0))/100,200/COUNTIF(ТабПозиции[orderNum],ТабПозиции[[#This Row],[orderNum]])),0),"")</f>
        <v>53</v>
      </c>
      <c r="P1958" s="95">
        <f>IF(OR(ТабПозиции[[#This Row],[item]]="По штрихкоду",ТабПозиции[[#This Row],[item]]="Посылка"),ТабПозиции[[#This Row],[deliverySumm]]+ТабПозиции[[#This Row],[deliveryPost]],SUM(M1958:O1958))</f>
        <v>579</v>
      </c>
      <c r="Q1958" s="57">
        <v>579</v>
      </c>
      <c r="R1958" s="62">
        <f>ТабПозиции[[#This Row],[totalSumm]]-ТабПозиции[[#This Row],[payment]]</f>
        <v>0</v>
      </c>
      <c r="S1958" s="34" t="s">
        <v>965</v>
      </c>
      <c r="T1958" s="56" t="s">
        <v>3061</v>
      </c>
      <c r="U1958" s="56" t="str">
        <f>IF(AND(ТабПозиции[[#This Row],[Остаток]]=0,ТабПозиции[[#This Row],[ord]]="true"),"true","false")</f>
        <v>true</v>
      </c>
      <c r="V1958" s="56" t="s">
        <v>3061</v>
      </c>
    </row>
    <row r="1959" spans="1:22" x14ac:dyDescent="0.25">
      <c r="A1959" s="26">
        <v>512</v>
      </c>
      <c r="B1959" s="1">
        <f>IFERROR(VLOOKUP(ТабПозиции[[#This Row],[orderNum]],ТабЗаказы[#Data],MATCH(B$7,ТабЗаказы[#Headers],0),0),"")</f>
        <v>45727</v>
      </c>
      <c r="C1959" s="95" t="str">
        <f>MONTH(ТабПозиции[[#This Row],[date]])&amp;"/"&amp;YEAR(ТабПозиции[[#This Row],[date]])</f>
        <v>3/2025</v>
      </c>
      <c r="D1959" s="1" t="str">
        <f>IFERROR(VLOOKUP(ТабПозиции[[#This Row],[orderNum]],ТабЗаказы[#Data],MATCH(D$7,ТабЗаказы[#Headers],0),0),"")</f>
        <v>Светлана от Александра</v>
      </c>
      <c r="E1959" s="93" t="s">
        <v>1372</v>
      </c>
      <c r="F1959" s="56" t="s">
        <v>3061</v>
      </c>
      <c r="H1959" s="34">
        <v>45733</v>
      </c>
      <c r="I1959" s="96">
        <v>1</v>
      </c>
      <c r="J1959" s="96">
        <v>174</v>
      </c>
      <c r="K1959">
        <f>ТабПозиции[[#This Row],[discountPrice]]*ТабПозиции[[#This Row],[quantity]]</f>
        <v>174</v>
      </c>
      <c r="L1959" s="26">
        <v>184</v>
      </c>
      <c r="M1959">
        <f t="shared" si="45"/>
        <v>184</v>
      </c>
      <c r="N1959" s="96"/>
      <c r="O195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Row],[orderNum]],ТабПозиции[orderSumm])&gt;1500),ABS(M1959*VLOOKUP(ТабПозиции[[#This Row],[orderNum]],ТабЗаказы[#Data],MATCH("Percent",ТабЗаказы[#Headers],0),0))/100,200/COUNTIF(ТабПозиции[orderNum],ТабПозиции[[#This Row],[orderNum]])),0),"")</f>
        <v>18</v>
      </c>
      <c r="P1959" s="95">
        <f>IF(OR(ТабПозиции[[#This Row],[item]]="По штрихкоду",ТабПозиции[[#This Row],[item]]="Посылка"),ТабПозиции[[#This Row],[deliverySumm]]+ТабПозиции[[#This Row],[deliveryPost]],SUM(M1959:O1959))</f>
        <v>202</v>
      </c>
      <c r="Q1959" s="57">
        <v>202</v>
      </c>
      <c r="R1959" s="62">
        <f>ТабПозиции[[#This Row],[totalSumm]]-ТабПозиции[[#This Row],[payment]]</f>
        <v>0</v>
      </c>
      <c r="S1959" s="34" t="s">
        <v>965</v>
      </c>
      <c r="T1959" s="56" t="s">
        <v>3061</v>
      </c>
      <c r="U1959" s="56" t="str">
        <f>IF(AND(ТабПозиции[[#This Row],[Остаток]]=0,ТабПозиции[[#This Row],[ord]]="true"),"true","false")</f>
        <v>true</v>
      </c>
      <c r="V1959" s="56" t="s">
        <v>3061</v>
      </c>
    </row>
    <row r="1960" spans="1:22" x14ac:dyDescent="0.25">
      <c r="A1960" s="26">
        <v>512</v>
      </c>
      <c r="B1960" s="1">
        <f>IFERROR(VLOOKUP(ТабПозиции[[#This Row],[orderNum]],ТабЗаказы[#Data],MATCH(B$7,ТабЗаказы[#Headers],0),0),"")</f>
        <v>45727</v>
      </c>
      <c r="C1960" s="95" t="str">
        <f>MONTH(ТабПозиции[[#This Row],[date]])&amp;"/"&amp;YEAR(ТабПозиции[[#This Row],[date]])</f>
        <v>3/2025</v>
      </c>
      <c r="D1960" s="1" t="str">
        <f>IFERROR(VLOOKUP(ТабПозиции[[#This Row],[orderNum]],ТабЗаказы[#Data],MATCH(D$7,ТабЗаказы[#Headers],0),0),"")</f>
        <v>Светлана от Александра</v>
      </c>
      <c r="E1960" s="93" t="s">
        <v>2588</v>
      </c>
      <c r="F1960" s="56" t="s">
        <v>3061</v>
      </c>
      <c r="H1960" s="34">
        <v>45729</v>
      </c>
      <c r="I1960" s="96">
        <v>1</v>
      </c>
      <c r="J1960" s="96">
        <v>743</v>
      </c>
      <c r="K1960">
        <f>ТабПозиции[[#This Row],[discountPrice]]*ТабПозиции[[#This Row],[quantity]]</f>
        <v>743</v>
      </c>
      <c r="L1960" s="26">
        <v>783</v>
      </c>
      <c r="M1960">
        <f t="shared" si="45"/>
        <v>783</v>
      </c>
      <c r="N1960" s="96"/>
      <c r="O196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Row],[orderNum]],ТабПозиции[orderSumm])&gt;1500),ABS(M1960*VLOOKUP(ТабПозиции[[#This Row],[orderNum]],ТабЗаказы[#Data],MATCH("Percent",ТабЗаказы[#Headers],0),0))/100,200/COUNTIF(ТабПозиции[orderNum],ТабПозиции[[#This Row],[orderNum]])),0),"")</f>
        <v>78</v>
      </c>
      <c r="P1960" s="95">
        <f>IF(OR(ТабПозиции[[#This Row],[item]]="По штрихкоду",ТабПозиции[[#This Row],[item]]="Посылка"),ТабПозиции[[#This Row],[deliverySumm]]+ТабПозиции[[#This Row],[deliveryPost]],SUM(M1960:O1960))</f>
        <v>861</v>
      </c>
      <c r="Q1960" s="57">
        <v>861</v>
      </c>
      <c r="R1960" s="62">
        <f>ТабПозиции[[#This Row],[totalSumm]]-ТабПозиции[[#This Row],[payment]]</f>
        <v>0</v>
      </c>
      <c r="S1960" s="34" t="s">
        <v>965</v>
      </c>
      <c r="T1960" s="56" t="s">
        <v>3061</v>
      </c>
      <c r="U1960" s="56" t="str">
        <f>IF(AND(ТабПозиции[[#This Row],[Остаток]]=0,ТабПозиции[[#This Row],[ord]]="true"),"true","false")</f>
        <v>true</v>
      </c>
      <c r="V1960" s="56" t="s">
        <v>3061</v>
      </c>
    </row>
    <row r="1961" spans="1:22" x14ac:dyDescent="0.25">
      <c r="A1961" s="26">
        <v>513</v>
      </c>
      <c r="B1961" s="1">
        <f>IFERROR(VLOOKUP(ТабПозиции[[#This Row],[orderNum]],ТабЗаказы[#Data],MATCH(B$7,ТабЗаказы[#Headers],0),0),"")</f>
        <v>45728</v>
      </c>
      <c r="C1961" s="95" t="str">
        <f>MONTH(ТабПозиции[[#This Row],[date]])&amp;"/"&amp;YEAR(ТабПозиции[[#This Row],[date]])</f>
        <v>3/2025</v>
      </c>
      <c r="D1961" s="1" t="str">
        <f>IFERROR(VLOOKUP(ТабПозиции[[#This Row],[orderNum]],ТабЗаказы[#Data],MATCH(D$7,ТабЗаказы[#Headers],0),0),"")</f>
        <v>Кирилл Куприна</v>
      </c>
      <c r="E1961" s="93" t="s">
        <v>2624</v>
      </c>
      <c r="F1961" s="56" t="s">
        <v>3061</v>
      </c>
      <c r="H1961" s="34">
        <v>45730</v>
      </c>
      <c r="I1961" s="96">
        <v>1</v>
      </c>
      <c r="J1961" s="96">
        <v>1319</v>
      </c>
      <c r="K1961">
        <f>ТабПозиции[[#This Row],[discountPrice]]*ТабПозиции[[#This Row],[quantity]]</f>
        <v>1319</v>
      </c>
      <c r="L1961" s="26">
        <v>1389</v>
      </c>
      <c r="M1961">
        <f t="shared" si="45"/>
        <v>1389</v>
      </c>
      <c r="N1961" s="96"/>
      <c r="O196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Row],[orderNum]],ТабПозиции[orderSumm])&gt;1500),ABS(M1961*VLOOKUP(ТабПозиции[[#This Row],[orderNum]],ТабЗаказы[#Data],MATCH("Percent",ТабЗаказы[#Headers],0),0))/100,200/COUNTIF(ТабПозиции[orderNum],ТабПозиции[[#This Row],[orderNum]])),0),"")</f>
        <v>139</v>
      </c>
      <c r="P1961" s="95">
        <f>IF(OR(ТабПозиции[[#This Row],[item]]="По штрихкоду",ТабПозиции[[#This Row],[item]]="Посылка"),ТабПозиции[[#This Row],[deliverySumm]]+ТабПозиции[[#This Row],[deliveryPost]],SUM(M1961:O1961))</f>
        <v>1528</v>
      </c>
      <c r="Q1961" s="57">
        <v>1528</v>
      </c>
      <c r="R1961" s="62">
        <f>ТабПозиции[[#This Row],[totalSumm]]-ТабПозиции[[#This Row],[payment]]</f>
        <v>0</v>
      </c>
      <c r="S1961" s="34" t="s">
        <v>965</v>
      </c>
      <c r="T1961" s="56" t="s">
        <v>3061</v>
      </c>
      <c r="U1961" s="56" t="str">
        <f>IF(AND(ТабПозиции[[#This Row],[Остаток]]=0,ТабПозиции[[#This Row],[ord]]="true"),"true","false")</f>
        <v>true</v>
      </c>
      <c r="V1961" s="56" t="s">
        <v>3061</v>
      </c>
    </row>
    <row r="1962" spans="1:22" x14ac:dyDescent="0.25">
      <c r="A1962" s="26">
        <v>513</v>
      </c>
      <c r="B1962" s="1">
        <f>IFERROR(VLOOKUP(ТабПозиции[[#This Row],[orderNum]],ТабЗаказы[#Data],MATCH(B$7,ТабЗаказы[#Headers],0),0),"")</f>
        <v>45728</v>
      </c>
      <c r="C1962" s="95" t="str">
        <f>MONTH(ТабПозиции[[#This Row],[date]])&amp;"/"&amp;YEAR(ТабПозиции[[#This Row],[date]])</f>
        <v>3/2025</v>
      </c>
      <c r="D1962" s="1" t="str">
        <f>IFERROR(VLOOKUP(ТабПозиции[[#This Row],[orderNum]],ТабЗаказы[#Data],MATCH(D$7,ТабЗаказы[#Headers],0),0),"")</f>
        <v>Кирилл Куприна</v>
      </c>
      <c r="E1962" s="93" t="s">
        <v>2623</v>
      </c>
      <c r="F1962" s="56" t="s">
        <v>3061</v>
      </c>
      <c r="H1962" s="34">
        <v>45730</v>
      </c>
      <c r="I1962" s="96">
        <v>1</v>
      </c>
      <c r="J1962" s="96">
        <v>1480</v>
      </c>
      <c r="K1962">
        <f>ТабПозиции[[#This Row],[discountPrice]]*ТабПозиции[[#This Row],[quantity]]</f>
        <v>1480</v>
      </c>
      <c r="L1962" s="26">
        <v>1558</v>
      </c>
      <c r="M1962">
        <f t="shared" si="45"/>
        <v>1558</v>
      </c>
      <c r="N1962" s="96"/>
      <c r="O196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Row],[orderNum]],ТабПозиции[orderSumm])&gt;1500),ABS(M1962*VLOOKUP(ТабПозиции[[#This Row],[orderNum]],ТабЗаказы[#Data],MATCH("Percent",ТабЗаказы[#Headers],0),0))/100,200/COUNTIF(ТабПозиции[orderNum],ТабПозиции[[#This Row],[orderNum]])),0),"")</f>
        <v>156</v>
      </c>
      <c r="P1962" s="95">
        <f>IF(OR(ТабПозиции[[#This Row],[item]]="По штрихкоду",ТабПозиции[[#This Row],[item]]="Посылка"),ТабПозиции[[#This Row],[deliverySumm]]+ТабПозиции[[#This Row],[deliveryPost]],SUM(M1962:O1962))</f>
        <v>1714</v>
      </c>
      <c r="Q1962" s="57">
        <v>1714</v>
      </c>
      <c r="R1962" s="62">
        <f>ТабПозиции[[#This Row],[totalSumm]]-ТабПозиции[[#This Row],[payment]]</f>
        <v>0</v>
      </c>
      <c r="S1962" s="34" t="s">
        <v>965</v>
      </c>
      <c r="T1962" s="56" t="s">
        <v>3061</v>
      </c>
      <c r="U1962" s="56" t="str">
        <f>IF(AND(ТабПозиции[[#This Row],[Остаток]]=0,ТабПозиции[[#This Row],[ord]]="true"),"true","false")</f>
        <v>true</v>
      </c>
      <c r="V1962" s="56" t="s">
        <v>3061</v>
      </c>
    </row>
    <row r="1963" spans="1:22" x14ac:dyDescent="0.25">
      <c r="A1963" s="26">
        <v>513</v>
      </c>
      <c r="B1963" s="1">
        <f>IFERROR(VLOOKUP(ТабПозиции[[#This Row],[orderNum]],ТабЗаказы[#Data],MATCH(B$7,ТабЗаказы[#Headers],0),0),"")</f>
        <v>45728</v>
      </c>
      <c r="C1963" s="95" t="str">
        <f>MONTH(ТабПозиции[[#This Row],[date]])&amp;"/"&amp;YEAR(ТабПозиции[[#This Row],[date]])</f>
        <v>3/2025</v>
      </c>
      <c r="D1963" s="1" t="str">
        <f>IFERROR(VLOOKUP(ТабПозиции[[#This Row],[orderNum]],ТабЗаказы[#Data],MATCH(D$7,ТабЗаказы[#Headers],0),0),"")</f>
        <v>Кирилл Куприна</v>
      </c>
      <c r="E1963" s="93" t="s">
        <v>1519</v>
      </c>
      <c r="F1963" s="56" t="s">
        <v>3061</v>
      </c>
      <c r="H1963" s="34">
        <v>45732</v>
      </c>
      <c r="I1963" s="96">
        <v>1</v>
      </c>
      <c r="J1963" s="96">
        <v>2049</v>
      </c>
      <c r="K1963">
        <f>ТабПозиции[[#This Row],[discountPrice]]*ТабПозиции[[#This Row],[quantity]]</f>
        <v>2049</v>
      </c>
      <c r="L1963" s="26">
        <v>2157</v>
      </c>
      <c r="M1963">
        <f t="shared" si="45"/>
        <v>2157</v>
      </c>
      <c r="N1963" s="96"/>
      <c r="O196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Row],[orderNum]],ТабПозиции[orderSumm])&gt;1500),ABS(M1963*VLOOKUP(ТабПозиции[[#This Row],[orderNum]],ТабЗаказы[#Data],MATCH("Percent",ТабЗаказы[#Headers],0),0))/100,200/COUNTIF(ТабПозиции[orderNum],ТабПозиции[[#This Row],[orderNum]])),0),"")</f>
        <v>216</v>
      </c>
      <c r="P1963" s="95">
        <f>IF(OR(ТабПозиции[[#This Row],[item]]="По штрихкоду",ТабПозиции[[#This Row],[item]]="Посылка"),ТабПозиции[[#This Row],[deliverySumm]]+ТабПозиции[[#This Row],[deliveryPost]],SUM(M1963:O1963))</f>
        <v>2373</v>
      </c>
      <c r="Q1963" s="57">
        <v>2373</v>
      </c>
      <c r="R1963" s="62">
        <f>ТабПозиции[[#This Row],[totalSumm]]-ТабПозиции[[#This Row],[payment]]</f>
        <v>0</v>
      </c>
      <c r="S1963" s="34" t="s">
        <v>965</v>
      </c>
      <c r="T1963" s="56" t="s">
        <v>3061</v>
      </c>
      <c r="U1963" s="56" t="str">
        <f>IF(AND(ТабПозиции[[#This Row],[Остаток]]=0,ТабПозиции[[#This Row],[ord]]="true"),"true","false")</f>
        <v>true</v>
      </c>
      <c r="V1963" s="56" t="s">
        <v>3061</v>
      </c>
    </row>
    <row r="1964" spans="1:22" x14ac:dyDescent="0.25">
      <c r="A1964" s="26">
        <v>513</v>
      </c>
      <c r="B1964" s="1">
        <f>IFERROR(VLOOKUP(ТабПозиции[[#This Row],[orderNum]],ТабЗаказы[#Data],MATCH(B$7,ТабЗаказы[#Headers],0),0),"")</f>
        <v>45728</v>
      </c>
      <c r="C1964" s="95" t="str">
        <f>MONTH(ТабПозиции[[#This Row],[date]])&amp;"/"&amp;YEAR(ТабПозиции[[#This Row],[date]])</f>
        <v>3/2025</v>
      </c>
      <c r="D1964" s="1" t="str">
        <f>IFERROR(VLOOKUP(ТабПозиции[[#This Row],[orderNum]],ТабЗаказы[#Data],MATCH(D$7,ТабЗаказы[#Headers],0),0),"")</f>
        <v>Кирилл Куприна</v>
      </c>
      <c r="E1964" s="93" t="s">
        <v>1920</v>
      </c>
      <c r="F1964" s="56" t="s">
        <v>3061</v>
      </c>
      <c r="H1964" s="34">
        <v>45730</v>
      </c>
      <c r="I1964" s="96">
        <v>1</v>
      </c>
      <c r="J1964" s="96">
        <v>762</v>
      </c>
      <c r="K1964">
        <f>ТабПозиции[[#This Row],[discountPrice]]*ТабПозиции[[#This Row],[quantity]]</f>
        <v>762</v>
      </c>
      <c r="L1964" s="26">
        <v>803</v>
      </c>
      <c r="M1964">
        <f t="shared" si="45"/>
        <v>803</v>
      </c>
      <c r="N1964" s="96"/>
      <c r="O196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Row],[orderNum]],ТабПозиции[orderSumm])&gt;1500),ABS(M1964*VLOOKUP(ТабПозиции[[#This Row],[orderNum]],ТабЗаказы[#Data],MATCH("Percent",ТабЗаказы[#Headers],0),0))/100,200/COUNTIF(ТабПозиции[orderNum],ТабПозиции[[#This Row],[orderNum]])),0),"")</f>
        <v>80</v>
      </c>
      <c r="P1964" s="95">
        <f>IF(OR(ТабПозиции[[#This Row],[item]]="По штрихкоду",ТабПозиции[[#This Row],[item]]="Посылка"),ТабПозиции[[#This Row],[deliverySumm]]+ТабПозиции[[#This Row],[deliveryPost]],SUM(M1964:O1964))</f>
        <v>883</v>
      </c>
      <c r="Q1964" s="57">
        <v>883</v>
      </c>
      <c r="R1964" s="62">
        <f>ТабПозиции[[#This Row],[totalSumm]]-ТабПозиции[[#This Row],[payment]]</f>
        <v>0</v>
      </c>
      <c r="S1964" s="34" t="s">
        <v>965</v>
      </c>
      <c r="T1964" s="56" t="s">
        <v>3061</v>
      </c>
      <c r="U1964" s="56" t="str">
        <f>IF(AND(ТабПозиции[[#This Row],[Остаток]]=0,ТабПозиции[[#This Row],[ord]]="true"),"true","false")</f>
        <v>true</v>
      </c>
      <c r="V1964" s="56" t="s">
        <v>3061</v>
      </c>
    </row>
    <row r="1965" spans="1:22" x14ac:dyDescent="0.25">
      <c r="A1965" s="26">
        <v>512</v>
      </c>
      <c r="B1965" s="1">
        <f>IFERROR(VLOOKUP(ТабПозиции[[#This Row],[orderNum]],ТабЗаказы[#Data],MATCH(B$7,ТабЗаказы[#Headers],0),0),"")</f>
        <v>45727</v>
      </c>
      <c r="C1965" s="95" t="str">
        <f>MONTH(ТабПозиции[[#This Row],[date]])&amp;"/"&amp;YEAR(ТабПозиции[[#This Row],[date]])</f>
        <v>3/2025</v>
      </c>
      <c r="D1965" s="1" t="str">
        <f>IFERROR(VLOOKUP(ТабПозиции[[#This Row],[orderNum]],ТабЗаказы[#Data],MATCH(D$7,ТабЗаказы[#Headers],0),0),"")</f>
        <v>Светлана от Александра</v>
      </c>
      <c r="E1965" s="93" t="s">
        <v>2174</v>
      </c>
      <c r="F1965" s="56" t="s">
        <v>3061</v>
      </c>
      <c r="H1965" s="34">
        <v>45730</v>
      </c>
      <c r="I1965" s="96">
        <v>1</v>
      </c>
      <c r="J1965" s="96">
        <v>995</v>
      </c>
      <c r="K1965">
        <f>ТабПозиции[[#This Row],[discountPrice]]*ТабПозиции[[#This Row],[quantity]]</f>
        <v>995</v>
      </c>
      <c r="L1965" s="26">
        <v>1048</v>
      </c>
      <c r="M1965">
        <f t="shared" si="45"/>
        <v>1048</v>
      </c>
      <c r="N1965" s="96"/>
      <c r="O196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Row],[orderNum]],ТабПозиции[orderSumm])&gt;1500),ABS(M1965*VLOOKUP(ТабПозиции[[#This Row],[orderNum]],ТабЗаказы[#Data],MATCH("Percent",ТабЗаказы[#Headers],0),0))/100,200/COUNTIF(ТабПозиции[orderNum],ТабПозиции[[#This Row],[orderNum]])),0),"")</f>
        <v>105</v>
      </c>
      <c r="P1965" s="95">
        <f>IF(OR(ТабПозиции[[#This Row],[item]]="По штрихкоду",ТабПозиции[[#This Row],[item]]="Посылка"),ТабПозиции[[#This Row],[deliverySumm]]+ТабПозиции[[#This Row],[deliveryPost]],SUM(M1965:O1965))</f>
        <v>1153</v>
      </c>
      <c r="Q1965" s="57">
        <v>1153</v>
      </c>
      <c r="R1965" s="62">
        <f>ТабПозиции[[#This Row],[totalSumm]]-ТабПозиции[[#This Row],[payment]]</f>
        <v>0</v>
      </c>
      <c r="S1965" s="34" t="s">
        <v>965</v>
      </c>
      <c r="T1965" s="56" t="s">
        <v>3061</v>
      </c>
      <c r="U1965" s="56" t="str">
        <f>IF(AND(ТабПозиции[[#This Row],[Остаток]]=0,ТабПозиции[[#This Row],[ord]]="true"),"true","false")</f>
        <v>true</v>
      </c>
      <c r="V1965" s="56" t="s">
        <v>3061</v>
      </c>
    </row>
    <row r="1966" spans="1:22" x14ac:dyDescent="0.25">
      <c r="A1966" s="26">
        <v>514</v>
      </c>
      <c r="B1966" s="1">
        <f>IFERROR(VLOOKUP(ТабПозиции[[#This Row],[orderNum]],ТабЗаказы[#Data],MATCH(B$7,ТабЗаказы[#Headers],0),0),"")</f>
        <v>45728</v>
      </c>
      <c r="C1966" s="95" t="str">
        <f>MONTH(ТабПозиции[[#This Row],[date]])&amp;"/"&amp;YEAR(ТабПозиции[[#This Row],[date]])</f>
        <v>3/2025</v>
      </c>
      <c r="D1966" s="1" t="str">
        <f>IFERROR(VLOOKUP(ТабПозиции[[#This Row],[orderNum]],ТабЗаказы[#Data],MATCH(D$7,ТабЗаказы[#Headers],0),0),"")</f>
        <v>Константин от Наталья</v>
      </c>
      <c r="E1966" s="93" t="s">
        <v>761</v>
      </c>
      <c r="F1966" s="56" t="s">
        <v>3061</v>
      </c>
      <c r="H1966" s="34">
        <v>45730</v>
      </c>
      <c r="I1966" s="96">
        <v>1</v>
      </c>
      <c r="J1966" s="96">
        <v>814</v>
      </c>
      <c r="K1966">
        <f>ТабПозиции[[#This Row],[discountPrice]]*ТабПозиции[[#This Row],[quantity]]</f>
        <v>814</v>
      </c>
      <c r="L1966" s="26">
        <v>857</v>
      </c>
      <c r="M1966">
        <f t="shared" si="45"/>
        <v>857</v>
      </c>
      <c r="N1966" s="96"/>
      <c r="O196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Row],[orderNum]],ТабПозиции[orderSumm])&gt;1500),ABS(M1966*VLOOKUP(ТабПозиции[[#This Row],[orderNum]],ТабЗаказы[#Data],MATCH("Percent",ТабЗаказы[#Headers],0),0))/100,200/COUNTIF(ТабПозиции[orderNum],ТабПозиции[[#This Row],[orderNum]])),0),"")</f>
        <v>129</v>
      </c>
      <c r="P1966" s="95">
        <f>IF(OR(ТабПозиции[[#This Row],[item]]="По штрихкоду",ТабПозиции[[#This Row],[item]]="Посылка"),ТабПозиции[[#This Row],[deliverySumm]]+ТабПозиции[[#This Row],[deliveryPost]],SUM(M1966:O1966))</f>
        <v>986</v>
      </c>
      <c r="Q1966" s="57">
        <v>986</v>
      </c>
      <c r="R1966" s="62">
        <f>ТабПозиции[[#This Row],[totalSumm]]-ТабПозиции[[#This Row],[payment]]</f>
        <v>0</v>
      </c>
      <c r="S1966" s="34" t="s">
        <v>965</v>
      </c>
      <c r="T1966" s="56" t="s">
        <v>3061</v>
      </c>
      <c r="U1966" s="56" t="str">
        <f>IF(AND(ТабПозиции[[#This Row],[Остаток]]=0,ТабПозиции[[#This Row],[ord]]="true"),"true","false")</f>
        <v>true</v>
      </c>
      <c r="V1966" s="56" t="s">
        <v>3061</v>
      </c>
    </row>
    <row r="1967" spans="1:22" x14ac:dyDescent="0.25">
      <c r="A1967" s="26">
        <v>514</v>
      </c>
      <c r="B1967" s="1">
        <f>IFERROR(VLOOKUP(ТабПозиции[[#This Row],[orderNum]],ТабЗаказы[#Data],MATCH(B$7,ТабЗаказы[#Headers],0),0),"")</f>
        <v>45728</v>
      </c>
      <c r="C1967" s="95" t="str">
        <f>MONTH(ТабПозиции[[#This Row],[date]])&amp;"/"&amp;YEAR(ТабПозиции[[#This Row],[date]])</f>
        <v>3/2025</v>
      </c>
      <c r="D1967" s="1" t="str">
        <f>IFERROR(VLOOKUP(ТабПозиции[[#This Row],[orderNum]],ТабЗаказы[#Data],MATCH(D$7,ТабЗаказы[#Headers],0),0),"")</f>
        <v>Константин от Наталья</v>
      </c>
      <c r="E1967" s="93" t="s">
        <v>2625</v>
      </c>
      <c r="F1967" s="56" t="s">
        <v>3061</v>
      </c>
      <c r="H1967" s="34">
        <v>45730</v>
      </c>
      <c r="I1967" s="96">
        <v>1</v>
      </c>
      <c r="J1967" s="96">
        <v>1316</v>
      </c>
      <c r="K1967">
        <f>ТабПозиции[[#This Row],[discountPrice]]*ТабПозиции[[#This Row],[quantity]]</f>
        <v>1316</v>
      </c>
      <c r="L1967" s="26">
        <v>1386</v>
      </c>
      <c r="M1967">
        <f t="shared" si="45"/>
        <v>1386</v>
      </c>
      <c r="N1967" s="96"/>
      <c r="O196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Row],[orderNum]],ТабПозиции[orderSumm])&gt;1500),ABS(M1967*VLOOKUP(ТабПозиции[[#This Row],[orderNum]],ТабЗаказы[#Data],MATCH("Percent",ТабЗаказы[#Headers],0),0))/100,200/COUNTIF(ТабПозиции[orderNum],ТабПозиции[[#This Row],[orderNum]])),0),"")</f>
        <v>208</v>
      </c>
      <c r="P1967" s="95">
        <f>IF(OR(ТабПозиции[[#This Row],[item]]="По штрихкоду",ТабПозиции[[#This Row],[item]]="Посылка"),ТабПозиции[[#This Row],[deliverySumm]]+ТабПозиции[[#This Row],[deliveryPost]],SUM(M1967:O1967))</f>
        <v>1594</v>
      </c>
      <c r="Q1967" s="57">
        <v>1594</v>
      </c>
      <c r="R1967" s="62">
        <f>ТабПозиции[[#This Row],[totalSumm]]-ТабПозиции[[#This Row],[payment]]</f>
        <v>0</v>
      </c>
      <c r="S1967" s="34" t="s">
        <v>965</v>
      </c>
      <c r="T1967" s="56" t="s">
        <v>3061</v>
      </c>
      <c r="U1967" s="56" t="str">
        <f>IF(AND(ТабПозиции[[#This Row],[Остаток]]=0,ТабПозиции[[#This Row],[ord]]="true"),"true","false")</f>
        <v>true</v>
      </c>
      <c r="V1967" s="56" t="s">
        <v>3061</v>
      </c>
    </row>
    <row r="1968" spans="1:22" x14ac:dyDescent="0.25">
      <c r="A1968" s="26">
        <v>514</v>
      </c>
      <c r="B1968" s="1">
        <f>IFERROR(VLOOKUP(ТабПозиции[[#This Row],[orderNum]],ТабЗаказы[#Data],MATCH(B$7,ТабЗаказы[#Headers],0),0),"")</f>
        <v>45728</v>
      </c>
      <c r="C1968" s="95" t="str">
        <f>MONTH(ТабПозиции[[#This Row],[date]])&amp;"/"&amp;YEAR(ТабПозиции[[#This Row],[date]])</f>
        <v>3/2025</v>
      </c>
      <c r="D1968" s="1" t="str">
        <f>IFERROR(VLOOKUP(ТабПозиции[[#This Row],[orderNum]],ТабЗаказы[#Data],MATCH(D$7,ТабЗаказы[#Headers],0),0),"")</f>
        <v>Константин от Наталья</v>
      </c>
      <c r="E1968" s="93" t="s">
        <v>1208</v>
      </c>
      <c r="F1968" s="56" t="s">
        <v>3061</v>
      </c>
      <c r="H1968" s="34">
        <v>45730</v>
      </c>
      <c r="I1968" s="96">
        <v>1</v>
      </c>
      <c r="J1968" s="96">
        <v>293</v>
      </c>
      <c r="K1968">
        <f>ТабПозиции[[#This Row],[discountPrice]]*ТабПозиции[[#This Row],[quantity]]</f>
        <v>293</v>
      </c>
      <c r="L1968" s="26">
        <v>309</v>
      </c>
      <c r="M1968">
        <f t="shared" si="45"/>
        <v>309</v>
      </c>
      <c r="N1968" s="96"/>
      <c r="O196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Row],[orderNum]],ТабПозиции[orderSumm])&gt;1500),ABS(M1968*VLOOKUP(ТабПозиции[[#This Row],[orderNum]],ТабЗаказы[#Data],MATCH("Percent",ТабЗаказы[#Headers],0),0))/100,200/COUNTIF(ТабПозиции[orderNum],ТабПозиции[[#This Row],[orderNum]])),0),"")</f>
        <v>46</v>
      </c>
      <c r="P1968" s="95">
        <f>IF(OR(ТабПозиции[[#This Row],[item]]="По штрихкоду",ТабПозиции[[#This Row],[item]]="Посылка"),ТабПозиции[[#This Row],[deliverySumm]]+ТабПозиции[[#This Row],[deliveryPost]],SUM(M1968:O1968))</f>
        <v>355</v>
      </c>
      <c r="Q1968" s="57">
        <v>355</v>
      </c>
      <c r="R1968" s="62">
        <f>ТабПозиции[[#This Row],[totalSumm]]-ТабПозиции[[#This Row],[payment]]</f>
        <v>0</v>
      </c>
      <c r="S1968" s="34" t="s">
        <v>965</v>
      </c>
      <c r="T1968" s="56" t="s">
        <v>3061</v>
      </c>
      <c r="U1968" s="56" t="str">
        <f>IF(AND(ТабПозиции[[#This Row],[Остаток]]=0,ТабПозиции[[#This Row],[ord]]="true"),"true","false")</f>
        <v>true</v>
      </c>
      <c r="V1968" s="56" t="s">
        <v>3061</v>
      </c>
    </row>
    <row r="1969" spans="1:22" x14ac:dyDescent="0.25">
      <c r="A1969" s="26">
        <v>512</v>
      </c>
      <c r="B1969" s="1">
        <f>IFERROR(VLOOKUP(ТабПозиции[[#This Row],[orderNum]],ТабЗаказы[#Data],MATCH(B$7,ТабЗаказы[#Headers],0),0),"")</f>
        <v>45727</v>
      </c>
      <c r="C1969" s="95" t="str">
        <f>MONTH(ТабПозиции[[#This Row],[date]])&amp;"/"&amp;YEAR(ТабПозиции[[#This Row],[date]])</f>
        <v>3/2025</v>
      </c>
      <c r="D1969" s="1" t="str">
        <f>IFERROR(VLOOKUP(ТабПозиции[[#This Row],[orderNum]],ТабЗаказы[#Data],MATCH(D$7,ТабЗаказы[#Headers],0),0),"")</f>
        <v>Светлана от Александра</v>
      </c>
      <c r="E1969" s="93" t="s">
        <v>2614</v>
      </c>
      <c r="F1969" s="56" t="s">
        <v>3061</v>
      </c>
      <c r="H1969" s="34">
        <v>45731</v>
      </c>
      <c r="I1969" s="96">
        <v>1</v>
      </c>
      <c r="J1969" s="96">
        <v>378</v>
      </c>
      <c r="K1969">
        <f>ТабПозиции[[#This Row],[discountPrice]]*ТабПозиции[[#This Row],[quantity]]</f>
        <v>378</v>
      </c>
      <c r="L1969" s="26">
        <v>398</v>
      </c>
      <c r="M1969">
        <f t="shared" si="45"/>
        <v>398</v>
      </c>
      <c r="N1969" s="96"/>
      <c r="O196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Row],[orderNum]],ТабПозиции[orderSumm])&gt;1500),ABS(M1969*VLOOKUP(ТабПозиции[[#This Row],[orderNum]],ТабЗаказы[#Data],MATCH("Percent",ТабЗаказы[#Headers],0),0))/100,200/COUNTIF(ТабПозиции[orderNum],ТабПозиции[[#This Row],[orderNum]])),0),"")</f>
        <v>40</v>
      </c>
      <c r="P1969" s="95">
        <f>IF(OR(ТабПозиции[[#This Row],[item]]="По штрихкоду",ТабПозиции[[#This Row],[item]]="Посылка"),ТабПозиции[[#This Row],[deliverySumm]]+ТабПозиции[[#This Row],[deliveryPost]],SUM(M1969:O1969))</f>
        <v>438</v>
      </c>
      <c r="Q1969" s="57">
        <v>438</v>
      </c>
      <c r="R1969" s="62">
        <f>ТабПозиции[[#This Row],[totalSumm]]-ТабПозиции[[#This Row],[payment]]</f>
        <v>0</v>
      </c>
      <c r="S1969" s="34" t="s">
        <v>965</v>
      </c>
      <c r="T1969" s="56" t="s">
        <v>3061</v>
      </c>
      <c r="U1969" s="56" t="str">
        <f>IF(AND(ТабПозиции[[#This Row],[Остаток]]=0,ТабПозиции[[#This Row],[ord]]="true"),"true","false")</f>
        <v>true</v>
      </c>
      <c r="V1969" s="56" t="s">
        <v>3061</v>
      </c>
    </row>
    <row r="1970" spans="1:22" x14ac:dyDescent="0.25">
      <c r="A1970" s="26">
        <v>512</v>
      </c>
      <c r="B1970" s="1">
        <f>IFERROR(VLOOKUP(ТабПозиции[[#This Row],[orderNum]],ТабЗаказы[#Data],MATCH(B$7,ТабЗаказы[#Headers],0),0),"")</f>
        <v>45727</v>
      </c>
      <c r="C1970" s="95" t="str">
        <f>MONTH(ТабПозиции[[#This Row],[date]])&amp;"/"&amp;YEAR(ТабПозиции[[#This Row],[date]])</f>
        <v>3/2025</v>
      </c>
      <c r="D1970" s="1" t="str">
        <f>IFERROR(VLOOKUP(ТабПозиции[[#This Row],[orderNum]],ТабЗаказы[#Data],MATCH(D$7,ТабЗаказы[#Headers],0),0),"")</f>
        <v>Светлана от Александра</v>
      </c>
      <c r="E1970" s="93" t="s">
        <v>2626</v>
      </c>
      <c r="F1970" s="56" t="s">
        <v>3061</v>
      </c>
      <c r="H1970" s="34">
        <v>45732</v>
      </c>
      <c r="I1970" s="96">
        <v>1</v>
      </c>
      <c r="J1970" s="96">
        <v>997</v>
      </c>
      <c r="K1970">
        <f>ТабПозиции[[#This Row],[discountPrice]]*ТабПозиции[[#This Row],[quantity]]</f>
        <v>997</v>
      </c>
      <c r="L1970" s="26">
        <v>1050</v>
      </c>
      <c r="M1970">
        <f t="shared" si="45"/>
        <v>1050</v>
      </c>
      <c r="N1970" s="96"/>
      <c r="O197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Row],[orderNum]],ТабПозиции[orderSumm])&gt;1500),ABS(M1970*VLOOKUP(ТабПозиции[[#This Row],[orderNum]],ТабЗаказы[#Data],MATCH("Percent",ТабЗаказы[#Headers],0),0))/100,200/COUNTIF(ТабПозиции[orderNum],ТабПозиции[[#This Row],[orderNum]])),0),"")</f>
        <v>105</v>
      </c>
      <c r="P1970" s="95">
        <f>IF(OR(ТабПозиции[[#This Row],[item]]="По штрихкоду",ТабПозиции[[#This Row],[item]]="Посылка"),ТабПозиции[[#This Row],[deliverySumm]]+ТабПозиции[[#This Row],[deliveryPost]],SUM(M1970:O1970))</f>
        <v>1155</v>
      </c>
      <c r="Q1970" s="57">
        <v>1155</v>
      </c>
      <c r="R1970" s="62">
        <f>ТабПозиции[[#This Row],[totalSumm]]-ТабПозиции[[#This Row],[payment]]</f>
        <v>0</v>
      </c>
      <c r="S1970" s="34" t="s">
        <v>965</v>
      </c>
      <c r="T1970" s="56" t="s">
        <v>3061</v>
      </c>
      <c r="U1970" s="56" t="str">
        <f>IF(AND(ТабПозиции[[#This Row],[Остаток]]=0,ТабПозиции[[#This Row],[ord]]="true"),"true","false")</f>
        <v>true</v>
      </c>
      <c r="V1970" s="56" t="s">
        <v>3061</v>
      </c>
    </row>
    <row r="1971" spans="1:22" x14ac:dyDescent="0.25">
      <c r="A1971" s="26">
        <v>515</v>
      </c>
      <c r="B1971" s="1">
        <f>IFERROR(VLOOKUP(ТабПозиции[[#This Row],[orderNum]],ТабЗаказы[#Data],MATCH(B$7,ТабЗаказы[#Headers],0),0),"")</f>
        <v>45729</v>
      </c>
      <c r="C1971" s="95" t="str">
        <f>MONTH(ТабПозиции[[#This Row],[date]])&amp;"/"&amp;YEAR(ТабПозиции[[#This Row],[date]])</f>
        <v>3/2025</v>
      </c>
      <c r="D1971" s="1" t="str">
        <f>IFERROR(VLOOKUP(ТабПозиции[[#This Row],[orderNum]],ТабЗаказы[#Data],MATCH(D$7,ТабЗаказы[#Headers],0),0),"")</f>
        <v>Александр Радин</v>
      </c>
      <c r="E1971" s="26" t="s">
        <v>815</v>
      </c>
      <c r="F1971" s="56" t="s">
        <v>3061</v>
      </c>
      <c r="G1971" s="28" t="s">
        <v>2627</v>
      </c>
      <c r="H1971" s="34">
        <v>45729</v>
      </c>
      <c r="I1971" s="96">
        <v>1</v>
      </c>
      <c r="J1971" s="96">
        <f>(6.14+6.725)*2000</f>
        <v>25729.999999999996</v>
      </c>
      <c r="K1971">
        <f>ТабПозиции[[#This Row],[discountPrice]]*ТабПозиции[[#This Row],[quantity]]</f>
        <v>25729.999999999996</v>
      </c>
      <c r="L1971" s="26">
        <v>25730</v>
      </c>
      <c r="M1971">
        <f t="shared" si="45"/>
        <v>25730</v>
      </c>
      <c r="N1971" s="96"/>
      <c r="O197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Row],[orderNum]],ТабПозиции[orderSumm])&gt;1500),ABS(M1971*VLOOKUP(ТабПозиции[[#This Row],[orderNum]],ТабЗаказы[#Data],MATCH("Percent",ТабЗаказы[#Headers],0),0))/100,200/COUNTIF(ТабПозиции[orderNum],ТабПозиции[[#This Row],[orderNum]])),0),"")</f>
        <v>2573</v>
      </c>
      <c r="P1971" s="95">
        <f>IF(OR(ТабПозиции[[#This Row],[item]]="По штрихкоду",ТабПозиции[[#This Row],[item]]="Посылка"),ТабПозиции[[#This Row],[deliverySumm]]+ТабПозиции[[#This Row],[deliveryPost]],SUM(M1971:O1971))</f>
        <v>2573</v>
      </c>
      <c r="Q1971" s="57">
        <v>2573</v>
      </c>
      <c r="R1971" s="62">
        <f>ТабПозиции[[#This Row],[totalSumm]]-ТабПозиции[[#This Row],[payment]]</f>
        <v>0</v>
      </c>
      <c r="S1971" s="34" t="s">
        <v>1016</v>
      </c>
      <c r="T1971" s="56" t="s">
        <v>3061</v>
      </c>
      <c r="U1971" s="56" t="str">
        <f>IF(AND(ТабПозиции[[#This Row],[Остаток]]=0,ТабПозиции[[#This Row],[ord]]="true"),"true","false")</f>
        <v>true</v>
      </c>
      <c r="V1971" s="56" t="s">
        <v>3061</v>
      </c>
    </row>
    <row r="1972" spans="1:22" x14ac:dyDescent="0.25">
      <c r="A1972" s="26">
        <v>516</v>
      </c>
      <c r="B1972" s="1">
        <f>IFERROR(VLOOKUP(ТабПозиции[[#This Row],[orderNum]],ТабЗаказы[#Data],MATCH(B$7,ТабЗаказы[#Headers],0),0),"")</f>
        <v>45729</v>
      </c>
      <c r="C1972" s="95" t="str">
        <f>MONTH(ТабПозиции[[#This Row],[date]])&amp;"/"&amp;YEAR(ТабПозиции[[#This Row],[date]])</f>
        <v>3/2025</v>
      </c>
      <c r="D1972" s="1" t="str">
        <f>IFERROR(VLOOKUP(ТабПозиции[[#This Row],[orderNum]],ТабЗаказы[#Data],MATCH(D$7,ТабЗаказы[#Headers],0),0),"")</f>
        <v>Максим телевизор</v>
      </c>
      <c r="E1972" s="26" t="s">
        <v>815</v>
      </c>
      <c r="F1972" s="56" t="s">
        <v>3061</v>
      </c>
      <c r="G1972" s="28" t="s">
        <v>2628</v>
      </c>
      <c r="H1972" s="34">
        <v>45729</v>
      </c>
      <c r="I1972" s="96">
        <v>1</v>
      </c>
      <c r="J1972" s="96">
        <v>3590</v>
      </c>
      <c r="K1972">
        <f>ТабПозиции[[#This Row],[discountPrice]]*ТабПозиции[[#This Row],[quantity]]</f>
        <v>3590</v>
      </c>
      <c r="L1972" s="26">
        <v>3590</v>
      </c>
      <c r="M1972">
        <f t="shared" si="45"/>
        <v>3590</v>
      </c>
      <c r="N1972" s="96"/>
      <c r="O197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Row],[orderNum]],ТабПозиции[orderSumm])&gt;1500),ABS(M1972*VLOOKUP(ТабПозиции[[#This Row],[orderNum]],ТабЗаказы[#Data],MATCH("Percent",ТабЗаказы[#Headers],0),0))/100,200/COUNTIF(ТабПозиции[orderNum],ТабПозиции[[#This Row],[orderNum]])),0),"")</f>
        <v>359</v>
      </c>
      <c r="P1972" s="95">
        <f>IF(OR(ТабПозиции[[#This Row],[item]]="По штрихкоду",ТабПозиции[[#This Row],[item]]="Посылка"),ТабПозиции[[#This Row],[deliverySumm]]+ТабПозиции[[#This Row],[deliveryPost]],SUM(M1972:O1972))</f>
        <v>359</v>
      </c>
      <c r="Q1972" s="57">
        <v>359</v>
      </c>
      <c r="R1972" s="62">
        <f>ТабПозиции[[#This Row],[totalSumm]]-ТабПозиции[[#This Row],[payment]]</f>
        <v>0</v>
      </c>
      <c r="S1972" s="34" t="s">
        <v>1016</v>
      </c>
      <c r="T1972" s="56" t="s">
        <v>3061</v>
      </c>
      <c r="U1972" s="56" t="str">
        <f>IF(AND(ТабПозиции[[#This Row],[Остаток]]=0,ТабПозиции[[#This Row],[ord]]="true"),"true","false")</f>
        <v>true</v>
      </c>
      <c r="V1972" s="56" t="s">
        <v>3061</v>
      </c>
    </row>
    <row r="1973" spans="1:22" x14ac:dyDescent="0.25">
      <c r="A1973" s="26">
        <v>517</v>
      </c>
      <c r="B1973" s="1">
        <f>IFERROR(VLOOKUP(ТабПозиции[[#This Row],[orderNum]],ТабЗаказы[#Data],MATCH(B$7,ТабЗаказы[#Headers],0),0),"")</f>
        <v>45729</v>
      </c>
      <c r="C1973" s="95" t="str">
        <f>MONTH(ТабПозиции[[#This Row],[date]])&amp;"/"&amp;YEAR(ТабПозиции[[#This Row],[date]])</f>
        <v>3/2025</v>
      </c>
      <c r="D1973" s="1" t="str">
        <f>IFERROR(VLOOKUP(ТабПозиции[[#This Row],[orderNum]],ТабЗаказы[#Data],MATCH(D$7,ТабЗаказы[#Headers],0),0),"")</f>
        <v>Максим телевизор</v>
      </c>
      <c r="E1973" s="26" t="s">
        <v>815</v>
      </c>
      <c r="F1973" s="56" t="s">
        <v>3061</v>
      </c>
      <c r="G1973" s="28" t="s">
        <v>2629</v>
      </c>
      <c r="H1973" s="34">
        <v>45729</v>
      </c>
      <c r="I1973" s="96">
        <v>1</v>
      </c>
      <c r="J1973" s="96">
        <v>300</v>
      </c>
      <c r="K1973">
        <f>ТабПозиции[[#This Row],[discountPrice]]*ТабПозиции[[#This Row],[quantity]]</f>
        <v>300</v>
      </c>
      <c r="L1973" s="26">
        <v>300</v>
      </c>
      <c r="M1973">
        <f t="shared" si="45"/>
        <v>300</v>
      </c>
      <c r="N1973" s="96"/>
      <c r="O197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Row],[orderNum]],ТабПозиции[orderSumm])&gt;1500),ABS(M1973*VLOOKUP(ТабПозиции[[#This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1973" s="95">
        <f>IF(OR(ТабПозиции[[#This Row],[item]]="По штрихкоду",ТабПозиции[[#This Row],[item]]="Посылка"),ТабПозиции[[#This Row],[deliverySumm]]+ТабПозиции[[#This Row],[deliveryPost]],SUM(M1973:O1973))</f>
        <v>200</v>
      </c>
      <c r="Q1973" s="57">
        <v>200</v>
      </c>
      <c r="R1973" s="62">
        <f>ТабПозиции[[#This Row],[totalSumm]]-ТабПозиции[[#This Row],[payment]]</f>
        <v>0</v>
      </c>
      <c r="S1973" s="34" t="s">
        <v>1000</v>
      </c>
      <c r="T1973" s="56" t="s">
        <v>3061</v>
      </c>
      <c r="U1973" s="56" t="str">
        <f>IF(AND(ТабПозиции[[#This Row],[Остаток]]=0,ТабПозиции[[#This Row],[ord]]="true"),"true","false")</f>
        <v>true</v>
      </c>
      <c r="V1973" s="56" t="s">
        <v>3061</v>
      </c>
    </row>
    <row r="1974" spans="1:22" x14ac:dyDescent="0.25">
      <c r="A1974" s="26">
        <v>518</v>
      </c>
      <c r="B1974" s="1">
        <f>IFERROR(VLOOKUP(ТабПозиции[[#This Row],[orderNum]],ТабЗаказы[#Data],MATCH(B$7,ТабЗаказы[#Headers],0),0),"")</f>
        <v>45729</v>
      </c>
      <c r="C1974" s="95" t="str">
        <f>MONTH(ТабПозиции[[#This Row],[date]])&amp;"/"&amp;YEAR(ТабПозиции[[#This Row],[date]])</f>
        <v>3/2025</v>
      </c>
      <c r="D1974" s="1" t="str">
        <f>IFERROR(VLOOKUP(ТабПозиции[[#This Row],[orderNum]],ТабЗаказы[#Data],MATCH(D$7,ТабЗаказы[#Headers],0),0),"")</f>
        <v>Максим телевизор</v>
      </c>
      <c r="E1974" s="26" t="s">
        <v>815</v>
      </c>
      <c r="F1974" s="56" t="s">
        <v>3061</v>
      </c>
      <c r="G1974" s="28" t="s">
        <v>2630</v>
      </c>
      <c r="H1974" s="34">
        <v>45729</v>
      </c>
      <c r="I1974" s="96">
        <v>1</v>
      </c>
      <c r="J1974" s="96">
        <v>3990</v>
      </c>
      <c r="K1974">
        <f>ТабПозиции[[#This Row],[discountPrice]]*ТабПозиции[[#This Row],[quantity]]</f>
        <v>3990</v>
      </c>
      <c r="L1974" s="96">
        <v>3990</v>
      </c>
      <c r="M1974">
        <f t="shared" si="45"/>
        <v>3990</v>
      </c>
      <c r="N1974" s="96"/>
      <c r="O197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Row],[orderNum]],ТабПозиции[orderSumm])&gt;1500),ABS(M1974*VLOOKUP(ТабПозиции[[#This Row],[orderNum]],ТабЗаказы[#Data],MATCH("Percent",ТабЗаказы[#Headers],0),0))/100,200/COUNTIF(ТабПозиции[orderNum],ТабПозиции[[#This Row],[orderNum]])),0),"")</f>
        <v>399</v>
      </c>
      <c r="P1974" s="95">
        <f>IF(OR(ТабПозиции[[#This Row],[item]]="По штрихкоду",ТабПозиции[[#This Row],[item]]="Посылка"),ТабПозиции[[#This Row],[deliverySumm]]+ТабПозиции[[#This Row],[deliveryPost]],SUM(M1974:O1974))</f>
        <v>399</v>
      </c>
      <c r="Q1974" s="57">
        <v>399</v>
      </c>
      <c r="R1974" s="62">
        <f>ТабПозиции[[#This Row],[totalSumm]]-ТабПозиции[[#This Row],[payment]]</f>
        <v>0</v>
      </c>
      <c r="S1974" s="34" t="s">
        <v>1000</v>
      </c>
      <c r="T1974" s="56" t="s">
        <v>3061</v>
      </c>
      <c r="U1974" s="56" t="str">
        <f>IF(AND(ТабПозиции[[#This Row],[Остаток]]=0,ТабПозиции[[#This Row],[ord]]="true"),"true","false")</f>
        <v>true</v>
      </c>
      <c r="V1974" s="56" t="s">
        <v>3061</v>
      </c>
    </row>
    <row r="1975" spans="1:22" x14ac:dyDescent="0.25">
      <c r="A1975" s="26">
        <v>519</v>
      </c>
      <c r="B1975" s="1">
        <f>IFERROR(VLOOKUP(ТабПозиции[[#This Row],[orderNum]],ТабЗаказы[#Data],MATCH(B$7,ТабЗаказы[#Headers],0),0),"")</f>
        <v>45729</v>
      </c>
      <c r="C1975" s="95" t="str">
        <f>MONTH(ТабПозиции[[#This Row],[date]])&amp;"/"&amp;YEAR(ТабПозиции[[#This Row],[date]])</f>
        <v>3/2025</v>
      </c>
      <c r="D1975" s="1" t="str">
        <f>IFERROR(VLOOKUP(ТабПозиции[[#This Row],[orderNum]],ТабЗаказы[#Data],MATCH(D$7,ТабЗаказы[#Headers],0),0),"")</f>
        <v>Алина Азовстальская</v>
      </c>
      <c r="E1975" s="26" t="s">
        <v>815</v>
      </c>
      <c r="F1975" s="56" t="s">
        <v>3061</v>
      </c>
      <c r="G1975" s="28" t="s">
        <v>2631</v>
      </c>
      <c r="H1975" s="34">
        <v>45729</v>
      </c>
      <c r="I1975" s="96">
        <v>1</v>
      </c>
      <c r="J1975" s="96">
        <v>500</v>
      </c>
      <c r="K1975">
        <f>ТабПозиции[[#This Row],[discountPrice]]*ТабПозиции[[#This Row],[quantity]]</f>
        <v>500</v>
      </c>
      <c r="L1975" s="26">
        <v>500</v>
      </c>
      <c r="M1975">
        <f t="shared" si="45"/>
        <v>500</v>
      </c>
      <c r="N1975" s="96"/>
      <c r="O197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Row],[orderNum]],ТабПозиции[orderSumm])&gt;1500),ABS(M1975*VLOOKUP(ТабПозиции[[#This Row],[orderNum]],ТабЗаказы[#Data],MATCH("Percent",ТабЗаказы[#Headers],0),0))/100,200/COUNTIF(ТабПозиции[orderNum],ТабПозиции[[#This Row],[orderNum]])),0),"")</f>
        <v>67</v>
      </c>
      <c r="P1975" s="95">
        <f>IF(OR(ТабПозиции[[#This Row],[item]]="По штрихкоду",ТабПозиции[[#This Row],[item]]="Посылка"),ТабПозиции[[#This Row],[deliverySumm]]+ТабПозиции[[#This Row],[deliveryPost]],SUM(M1975:O1975))</f>
        <v>67</v>
      </c>
      <c r="Q1975" s="57">
        <v>67</v>
      </c>
      <c r="R1975" s="62">
        <f>ТабПозиции[[#This Row],[totalSumm]]-ТабПозиции[[#This Row],[payment]]</f>
        <v>0</v>
      </c>
      <c r="S1975" s="34" t="s">
        <v>1011</v>
      </c>
      <c r="T1975" s="56" t="s">
        <v>3061</v>
      </c>
      <c r="U1975" s="56" t="str">
        <f>IF(AND(ТабПозиции[[#This Row],[Остаток]]=0,ТабПозиции[[#This Row],[ord]]="true"),"true","false")</f>
        <v>true</v>
      </c>
      <c r="V1975" s="56" t="s">
        <v>3061</v>
      </c>
    </row>
    <row r="1976" spans="1:22" x14ac:dyDescent="0.25">
      <c r="A1976" s="26">
        <v>519</v>
      </c>
      <c r="B1976" s="1">
        <f>IFERROR(VLOOKUP(ТабПозиции[[#This Row],[orderNum]],ТабЗаказы[#Data],MATCH(B$7,ТабЗаказы[#Headers],0),0),"")</f>
        <v>45729</v>
      </c>
      <c r="C1976" s="95" t="str">
        <f>MONTH(ТабПозиции[[#This Row],[date]])&amp;"/"&amp;YEAR(ТабПозиции[[#This Row],[date]])</f>
        <v>3/2025</v>
      </c>
      <c r="D1976" s="1" t="str">
        <f>IFERROR(VLOOKUP(ТабПозиции[[#This Row],[orderNum]],ТабЗаказы[#Data],MATCH(D$7,ТабЗаказы[#Headers],0),0),"")</f>
        <v>Алина Азовстальская</v>
      </c>
      <c r="E1976" s="26" t="s">
        <v>815</v>
      </c>
      <c r="F1976" s="56" t="s">
        <v>3061</v>
      </c>
      <c r="G1976" s="28" t="s">
        <v>2632</v>
      </c>
      <c r="H1976" s="34">
        <v>45729</v>
      </c>
      <c r="I1976" s="96">
        <v>1</v>
      </c>
      <c r="J1976" s="96">
        <v>500</v>
      </c>
      <c r="K1976">
        <f>ТабПозиции[[#This Row],[discountPrice]]*ТабПозиции[[#This Row],[quantity]]</f>
        <v>500</v>
      </c>
      <c r="L1976" s="26">
        <v>500</v>
      </c>
      <c r="M1976">
        <f t="shared" si="45"/>
        <v>500</v>
      </c>
      <c r="N1976" s="96"/>
      <c r="O197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Row],[orderNum]],ТабПозиции[orderSumm])&gt;1500),ABS(M1976*VLOOKUP(ТабПозиции[[#This Row],[orderNum]],ТабЗаказы[#Data],MATCH("Percent",ТабЗаказы[#Headers],0),0))/100,200/COUNTIF(ТабПозиции[orderNum],ТабПозиции[[#This Row],[orderNum]])),0),"")</f>
        <v>67</v>
      </c>
      <c r="P1976" s="95">
        <f>IF(OR(ТабПозиции[[#This Row],[item]]="По штрихкоду",ТабПозиции[[#This Row],[item]]="Посылка"),ТабПозиции[[#This Row],[deliverySumm]]+ТабПозиции[[#This Row],[deliveryPost]],SUM(M1976:O1976))</f>
        <v>67</v>
      </c>
      <c r="Q1976" s="57">
        <v>67</v>
      </c>
      <c r="R1976" s="62">
        <f>ТабПозиции[[#This Row],[totalSumm]]-ТабПозиции[[#This Row],[payment]]</f>
        <v>0</v>
      </c>
      <c r="S1976" s="34" t="s">
        <v>1011</v>
      </c>
      <c r="T1976" s="56" t="s">
        <v>3061</v>
      </c>
      <c r="U1976" s="56" t="str">
        <f>IF(AND(ТабПозиции[[#This Row],[Остаток]]=0,ТабПозиции[[#This Row],[ord]]="true"),"true","false")</f>
        <v>true</v>
      </c>
      <c r="V1976" s="56" t="s">
        <v>3061</v>
      </c>
    </row>
    <row r="1977" spans="1:22" x14ac:dyDescent="0.25">
      <c r="A1977" s="26">
        <v>519</v>
      </c>
      <c r="B1977" s="1">
        <f>IFERROR(VLOOKUP(ТабПозиции[[#This Row],[orderNum]],ТабЗаказы[#Data],MATCH(B$7,ТабЗаказы[#Headers],0),0),"")</f>
        <v>45729</v>
      </c>
      <c r="C1977" s="95" t="str">
        <f>MONTH(ТабПозиции[[#This Row],[date]])&amp;"/"&amp;YEAR(ТабПозиции[[#This Row],[date]])</f>
        <v>3/2025</v>
      </c>
      <c r="D1977" s="1" t="str">
        <f>IFERROR(VLOOKUP(ТабПозиции[[#This Row],[orderNum]],ТабЗаказы[#Data],MATCH(D$7,ТабЗаказы[#Headers],0),0),"")</f>
        <v>Алина Азовстальская</v>
      </c>
      <c r="E1977" s="26" t="s">
        <v>815</v>
      </c>
      <c r="F1977" s="56" t="s">
        <v>3061</v>
      </c>
      <c r="G1977" s="28" t="s">
        <v>2633</v>
      </c>
      <c r="H1977" s="34">
        <v>45729</v>
      </c>
      <c r="I1977" s="96">
        <v>1</v>
      </c>
      <c r="J1977" s="96">
        <v>462</v>
      </c>
      <c r="K1977">
        <f>ТабПозиции[[#This Row],[discountPrice]]*ТабПозиции[[#This Row],[quantity]]</f>
        <v>462</v>
      </c>
      <c r="L1977" s="26">
        <v>462</v>
      </c>
      <c r="M1977">
        <f t="shared" si="45"/>
        <v>462</v>
      </c>
      <c r="N1977" s="96"/>
      <c r="O197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Row],[orderNum]],ТабПозиции[orderSumm])&gt;1500),ABS(M1977*VLOOKUP(ТабПозиции[[#This Row],[orderNum]],ТабЗаказы[#Data],MATCH("Percent",ТабЗаказы[#Headers],0),0))/100,200/COUNTIF(ТабПозиции[orderNum],ТабПозиции[[#This Row],[orderNum]])),0),"")</f>
        <v>67</v>
      </c>
      <c r="P1977" s="95">
        <f>IF(OR(ТабПозиции[[#This Row],[item]]="По штрихкоду",ТабПозиции[[#This Row],[item]]="Посылка"),ТабПозиции[[#This Row],[deliverySumm]]+ТабПозиции[[#This Row],[deliveryPost]],SUM(M1977:O1977))</f>
        <v>67</v>
      </c>
      <c r="Q1977" s="57">
        <v>67</v>
      </c>
      <c r="R1977" s="62">
        <f>ТабПозиции[[#This Row],[totalSumm]]-ТабПозиции[[#This Row],[payment]]</f>
        <v>0</v>
      </c>
      <c r="S1977" s="34" t="s">
        <v>1011</v>
      </c>
      <c r="T1977" s="56" t="s">
        <v>3061</v>
      </c>
      <c r="U1977" s="56" t="str">
        <f>IF(AND(ТабПозиции[[#This Row],[Остаток]]=0,ТабПозиции[[#This Row],[ord]]="true"),"true","false")</f>
        <v>true</v>
      </c>
      <c r="V1977" s="56" t="s">
        <v>3061</v>
      </c>
    </row>
    <row r="1978" spans="1:22" x14ac:dyDescent="0.25">
      <c r="A1978" s="26">
        <v>520</v>
      </c>
      <c r="B1978" s="1">
        <f>IFERROR(VLOOKUP(ТабПозиции[[#This Row],[orderNum]],ТабЗаказы[#Data],MATCH(B$7,ТабЗаказы[#Headers],0),0),"")</f>
        <v>45729</v>
      </c>
      <c r="C1978" s="95" t="str">
        <f>MONTH(ТабПозиции[[#This Row],[date]])&amp;"/"&amp;YEAR(ТабПозиции[[#This Row],[date]])</f>
        <v>3/2025</v>
      </c>
      <c r="D1978" s="1" t="str">
        <f>IFERROR(VLOOKUP(ТабПозиции[[#This Row],[orderNum]],ТабЗаказы[#Data],MATCH(D$7,ТабЗаказы[#Headers],0),0),"")</f>
        <v>Максим телевизор</v>
      </c>
      <c r="E1978" s="26" t="s">
        <v>815</v>
      </c>
      <c r="F1978" s="56" t="s">
        <v>3061</v>
      </c>
      <c r="G1978" s="28" t="s">
        <v>2634</v>
      </c>
      <c r="H1978" s="34">
        <v>45737</v>
      </c>
      <c r="I1978" s="96">
        <v>1</v>
      </c>
      <c r="J1978" s="96">
        <v>2100</v>
      </c>
      <c r="K1978">
        <f>ТабПозиции[[#This Row],[discountPrice]]*ТабПозиции[[#This Row],[quantity]]</f>
        <v>2100</v>
      </c>
      <c r="L1978" s="26">
        <v>2100</v>
      </c>
      <c r="M1978">
        <f t="shared" si="45"/>
        <v>2100</v>
      </c>
      <c r="N1978" s="96"/>
      <c r="O197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Row],[orderNum]],ТабПозиции[orderSumm])&gt;1500),ABS(M1978*VLOOKUP(ТабПозиции[[#This Row],[orderNum]],ТабЗаказы[#Data],MATCH("Percent",ТабЗаказы[#Headers],0),0))/100,200/COUNTIF(ТабПозиции[orderNum],ТабПозиции[[#This Row],[orderNum]])),0),"")</f>
        <v>210</v>
      </c>
      <c r="P1978" s="95">
        <f>IF(OR(ТабПозиции[[#This Row],[item]]="По штрихкоду",ТабПозиции[[#This Row],[item]]="Посылка"),ТабПозиции[[#This Row],[deliverySumm]]+ТабПозиции[[#This Row],[deliveryPost]],SUM(M1978:O1978))</f>
        <v>210</v>
      </c>
      <c r="Q1978" s="57">
        <v>210</v>
      </c>
      <c r="R1978" s="62">
        <f>ТабПозиции[[#This Row],[totalSumm]]-ТабПозиции[[#This Row],[payment]]</f>
        <v>0</v>
      </c>
      <c r="S1978" s="34" t="s">
        <v>1000</v>
      </c>
      <c r="T1978" s="56" t="s">
        <v>3061</v>
      </c>
      <c r="U1978" s="56" t="str">
        <f>IF(AND(ТабПозиции[[#This Row],[Остаток]]=0,ТабПозиции[[#This Row],[ord]]="true"),"true","false")</f>
        <v>true</v>
      </c>
      <c r="V1978" s="56" t="s">
        <v>3061</v>
      </c>
    </row>
    <row r="1979" spans="1:22" x14ac:dyDescent="0.25">
      <c r="A1979" s="26">
        <v>514</v>
      </c>
      <c r="B1979" s="1">
        <f>IFERROR(VLOOKUP(ТабПозиции[[#This Row],[orderNum]],ТабЗаказы[#Data],MATCH(B$7,ТабЗаказы[#Headers],0),0),"")</f>
        <v>45728</v>
      </c>
      <c r="C1979" s="95" t="str">
        <f>MONTH(ТабПозиции[[#This Row],[date]])&amp;"/"&amp;YEAR(ТабПозиции[[#This Row],[date]])</f>
        <v>3/2025</v>
      </c>
      <c r="D1979" s="1" t="str">
        <f>IFERROR(VLOOKUP(ТабПозиции[[#This Row],[orderNum]],ТабЗаказы[#Data],MATCH(D$7,ТабЗаказы[#Headers],0),0),"")</f>
        <v>Константин от Наталья</v>
      </c>
      <c r="E1979" s="93" t="s">
        <v>1069</v>
      </c>
      <c r="F1979" s="56" t="s">
        <v>3061</v>
      </c>
      <c r="H1979" s="34">
        <v>45730</v>
      </c>
      <c r="I1979" s="96">
        <v>1</v>
      </c>
      <c r="J1979" s="96">
        <v>2490</v>
      </c>
      <c r="K1979">
        <f>ТабПозиции[[#This Row],[discountPrice]]*ТабПозиции[[#This Row],[quantity]]</f>
        <v>2490</v>
      </c>
      <c r="L1979" s="26">
        <v>2656</v>
      </c>
      <c r="M1979">
        <f t="shared" si="45"/>
        <v>2656</v>
      </c>
      <c r="N1979" s="96"/>
      <c r="O197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Row],[orderNum]],ТабПозиции[orderSumm])&gt;1500),ABS(M1979*VLOOKUP(ТабПозиции[[#This Row],[orderNum]],ТабЗаказы[#Data],MATCH("Percent",ТабЗаказы[#Headers],0),0))/100,200/COUNTIF(ТабПозиции[orderNum],ТабПозиции[[#This Row],[orderNum]])),0),"")</f>
        <v>398</v>
      </c>
      <c r="P1979" s="95">
        <f>IF(OR(ТабПозиции[[#This Row],[item]]="По штрихкоду",ТабПозиции[[#This Row],[item]]="Посылка"),ТабПозиции[[#This Row],[deliverySumm]]+ТабПозиции[[#This Row],[deliveryPost]],SUM(M1979:O1979))</f>
        <v>3054</v>
      </c>
      <c r="Q1979" s="57">
        <v>3054</v>
      </c>
      <c r="R1979" s="62">
        <f>ТабПозиции[[#This Row],[totalSumm]]-ТабПозиции[[#This Row],[payment]]</f>
        <v>0</v>
      </c>
      <c r="S1979" s="34" t="s">
        <v>965</v>
      </c>
      <c r="T1979" s="56" t="s">
        <v>3061</v>
      </c>
      <c r="U1979" s="56" t="str">
        <f>IF(AND(ТабПозиции[[#This Row],[Остаток]]=0,ТабПозиции[[#This Row],[ord]]="true"),"true","false")</f>
        <v>true</v>
      </c>
      <c r="V1979" s="56" t="s">
        <v>3061</v>
      </c>
    </row>
    <row r="1980" spans="1:22" x14ac:dyDescent="0.25">
      <c r="A1980" s="26">
        <v>521</v>
      </c>
      <c r="B1980" s="1">
        <f>IFERROR(VLOOKUP(ТабПозиции[[#This Row],[orderNum]],ТабЗаказы[#Data],MATCH(B$7,ТабЗаказы[#Headers],0),0),"")</f>
        <v>45730</v>
      </c>
      <c r="C1980" s="95" t="str">
        <f>MONTH(ТабПозиции[[#This Row],[date]])&amp;"/"&amp;YEAR(ТабПозиции[[#This Row],[date]])</f>
        <v>3/2025</v>
      </c>
      <c r="D1980" s="1" t="str">
        <f>IFERROR(VLOOKUP(ТабПозиции[[#This Row],[orderNum]],ТабЗаказы[#Data],MATCH(D$7,ТабЗаказы[#Headers],0),0),"")</f>
        <v>Анна Лавицкого</v>
      </c>
      <c r="E1980" s="26" t="s">
        <v>32</v>
      </c>
      <c r="F1980" s="56" t="s">
        <v>3061</v>
      </c>
      <c r="H1980" s="34">
        <v>45730</v>
      </c>
      <c r="I1980" s="96">
        <v>1</v>
      </c>
      <c r="J1980" s="96">
        <v>11582</v>
      </c>
      <c r="K1980">
        <f>ТабПозиции[[#This Row],[discountPrice]]*ТабПозиции[[#This Row],[quantity]]</f>
        <v>11582</v>
      </c>
      <c r="L1980" s="26">
        <v>11582</v>
      </c>
      <c r="M1980">
        <f t="shared" si="45"/>
        <v>11582</v>
      </c>
      <c r="N1980" s="96"/>
      <c r="O198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Row],[orderNum]],ТабПозиции[orderSumm])&gt;1500),ABS(M1980*VLOOKUP(ТабПозиции[[#This Row],[orderNum]],ТабЗаказы[#Data],MATCH("Percent",ТабЗаказы[#Headers],0),0))/100,200/COUNTIF(ТабПозиции[orderNum],ТабПозиции[[#This Row],[orderNum]])),0),"")</f>
        <v>1158</v>
      </c>
      <c r="P1980" s="95">
        <f>IF(OR(ТабПозиции[[#This Row],[item]]="По штрихкоду",ТабПозиции[[#This Row],[item]]="Посылка"),ТабПозиции[[#This Row],[deliverySumm]]+ТабПозиции[[#This Row],[deliveryPost]],SUM(M1980:O1980))</f>
        <v>1158</v>
      </c>
      <c r="Q1980" s="57">
        <v>1158</v>
      </c>
      <c r="R1980" s="62">
        <f>ТабПозиции[[#This Row],[totalSumm]]-ТабПозиции[[#This Row],[payment]]</f>
        <v>0</v>
      </c>
      <c r="S1980" s="34" t="s">
        <v>965</v>
      </c>
      <c r="T1980" s="56" t="s">
        <v>3061</v>
      </c>
      <c r="U1980" s="56" t="str">
        <f>IF(AND(ТабПозиции[[#This Row],[Остаток]]=0,ТабПозиции[[#This Row],[ord]]="true"),"true","false")</f>
        <v>true</v>
      </c>
      <c r="V1980" s="56" t="s">
        <v>3061</v>
      </c>
    </row>
    <row r="1981" spans="1:22" x14ac:dyDescent="0.25">
      <c r="A1981" s="26">
        <v>522</v>
      </c>
      <c r="B1981" s="1">
        <f>IFERROR(VLOOKUP(ТабПозиции[[#This Row],[orderNum]],ТабЗаказы[#Data],MATCH(B$7,ТабЗаказы[#Headers],0),0),"")</f>
        <v>45730</v>
      </c>
      <c r="C1981" s="95" t="str">
        <f>MONTH(ТабПозиции[[#This Row],[date]])&amp;"/"&amp;YEAR(ТабПозиции[[#This Row],[date]])</f>
        <v>3/2025</v>
      </c>
      <c r="D1981" s="1" t="str">
        <f>IFERROR(VLOOKUP(ТабПозиции[[#This Row],[orderNum]],ТабЗаказы[#Data],MATCH(D$7,ТабЗаказы[#Headers],0),0),"")</f>
        <v>Наталья Лунина 13</v>
      </c>
      <c r="E1981" s="26" t="s">
        <v>32</v>
      </c>
      <c r="F1981" s="56" t="s">
        <v>3061</v>
      </c>
      <c r="H1981" s="34">
        <v>45730</v>
      </c>
      <c r="I1981" s="96">
        <v>1</v>
      </c>
      <c r="J1981" s="96">
        <v>2612</v>
      </c>
      <c r="K1981">
        <f>ТабПозиции[[#This Row],[discountPrice]]*ТабПозиции[[#This Row],[quantity]]</f>
        <v>2612</v>
      </c>
      <c r="L1981" s="26">
        <v>2612</v>
      </c>
      <c r="M1981">
        <f t="shared" si="45"/>
        <v>2612</v>
      </c>
      <c r="N1981" s="96"/>
      <c r="O198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Row],[orderNum]],ТабПозиции[orderSumm])&gt;1500),ABS(M1981*VLOOKUP(ТабПозиции[[#This Row],[orderNum]],ТабЗаказы[#Data],MATCH("Percent",ТабЗаказы[#Headers],0),0))/100,200/COUNTIF(ТабПозиции[orderNum],ТабПозиции[[#This Row],[orderNum]])),0),"")</f>
        <v>392</v>
      </c>
      <c r="P1981" s="95">
        <f>IF(OR(ТабПозиции[[#This Row],[item]]="По штрихкоду",ТабПозиции[[#This Row],[item]]="Посылка"),ТабПозиции[[#This Row],[deliverySumm]]+ТабПозиции[[#This Row],[deliveryPost]],SUM(M1981:O1981))</f>
        <v>392</v>
      </c>
      <c r="Q1981" s="57">
        <v>392</v>
      </c>
      <c r="R1981" s="62">
        <f>ТабПозиции[[#This Row],[totalSumm]]-ТабПозиции[[#This Row],[payment]]</f>
        <v>0</v>
      </c>
      <c r="S1981" s="34" t="s">
        <v>965</v>
      </c>
      <c r="T1981" s="56" t="s">
        <v>3061</v>
      </c>
      <c r="U1981" s="56" t="str">
        <f>IF(AND(ТабПозиции[[#This Row],[Остаток]]=0,ТабПозиции[[#This Row],[ord]]="true"),"true","false")</f>
        <v>true</v>
      </c>
      <c r="V1981" s="56" t="s">
        <v>3061</v>
      </c>
    </row>
    <row r="1982" spans="1:22" x14ac:dyDescent="0.25">
      <c r="A1982" s="26">
        <v>523</v>
      </c>
      <c r="B1982" s="1">
        <f>IFERROR(VLOOKUP(ТабПозиции[[#This Row],[orderNum]],ТабЗаказы[#Data],MATCH(B$7,ТабЗаказы[#Headers],0),0),"")</f>
        <v>45730</v>
      </c>
      <c r="C1982" s="95" t="str">
        <f>MONTH(ТабПозиции[[#This Row],[date]])&amp;"/"&amp;YEAR(ТабПозиции[[#This Row],[date]])</f>
        <v>3/2025</v>
      </c>
      <c r="D1982" s="1" t="str">
        <f>IFERROR(VLOOKUP(ТабПозиции[[#This Row],[orderNum]],ТабЗаказы[#Data],MATCH(D$7,ТабЗаказы[#Headers],0),0),"")</f>
        <v>Алена Бондаренко</v>
      </c>
      <c r="E1982" s="26" t="s">
        <v>32</v>
      </c>
      <c r="F1982" s="56" t="s">
        <v>3061</v>
      </c>
      <c r="H1982" s="34">
        <v>45730</v>
      </c>
      <c r="I1982" s="96">
        <v>1</v>
      </c>
      <c r="J1982" s="96">
        <f>12141+641</f>
        <v>12782</v>
      </c>
      <c r="K1982">
        <f>ТабПозиции[[#This Row],[discountPrice]]*ТабПозиции[[#This Row],[quantity]]</f>
        <v>12782</v>
      </c>
      <c r="L1982" s="26">
        <v>12782</v>
      </c>
      <c r="M1982">
        <f t="shared" si="45"/>
        <v>12782</v>
      </c>
      <c r="N1982" s="96"/>
      <c r="O198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Row],[orderNum]],ТабПозиции[orderSumm])&gt;1500),ABS(M1982*VLOOKUP(ТабПозиции[[#This Row],[orderNum]],ТабЗаказы[#Data],MATCH("Percent",ТабЗаказы[#Headers],0),0))/100,200/COUNTIF(ТабПозиции[orderNum],ТабПозиции[[#This Row],[orderNum]])),0),"")</f>
        <v>1278</v>
      </c>
      <c r="P1982" s="95">
        <f>IF(OR(ТабПозиции[[#This Row],[item]]="По штрихкоду",ТабПозиции[[#This Row],[item]]="Посылка"),ТабПозиции[[#This Row],[deliverySumm]]+ТабПозиции[[#This Row],[deliveryPost]],SUM(M1982:O1982))</f>
        <v>1278</v>
      </c>
      <c r="Q1982" s="57">
        <v>1278</v>
      </c>
      <c r="R1982" s="62">
        <f>ТабПозиции[[#This Row],[totalSumm]]-ТабПозиции[[#This Row],[payment]]</f>
        <v>0</v>
      </c>
      <c r="S1982" s="34" t="s">
        <v>965</v>
      </c>
      <c r="T1982" s="56" t="s">
        <v>3061</v>
      </c>
      <c r="U1982" s="56" t="str">
        <f>IF(AND(ТабПозиции[[#This Row],[Остаток]]=0,ТабПозиции[[#This Row],[ord]]="true"),"true","false")</f>
        <v>true</v>
      </c>
      <c r="V1982" s="56" t="s">
        <v>3061</v>
      </c>
    </row>
    <row r="1983" spans="1:22" x14ac:dyDescent="0.25">
      <c r="A1983" s="26">
        <v>524</v>
      </c>
      <c r="B1983" s="1">
        <f>IFERROR(VLOOKUP(ТабПозиции[[#This Row],[orderNum]],ТабЗаказы[#Data],MATCH(B$7,ТабЗаказы[#Headers],0),0),"")</f>
        <v>45731</v>
      </c>
      <c r="C1983" s="95" t="str">
        <f>MONTH(ТабПозиции[[#This Row],[date]])&amp;"/"&amp;YEAR(ТабПозиции[[#This Row],[date]])</f>
        <v>3/2025</v>
      </c>
      <c r="D1983" s="1" t="str">
        <f>IFERROR(VLOOKUP(ТабПозиции[[#This Row],[orderNum]],ТабЗаказы[#Data],MATCH(D$7,ТабЗаказы[#Headers],0),0),"")</f>
        <v>Светлана от Александра</v>
      </c>
      <c r="E1983" s="93" t="s">
        <v>2600</v>
      </c>
      <c r="F1983" s="56" t="s">
        <v>3061</v>
      </c>
      <c r="H1983" s="34">
        <v>45737</v>
      </c>
      <c r="I1983" s="96">
        <v>1</v>
      </c>
      <c r="J1983" s="96">
        <v>2390</v>
      </c>
      <c r="K1983">
        <f>ТабПозиции[[#This Row],[discountPrice]]*ТабПозиции[[#This Row],[quantity]]</f>
        <v>2390</v>
      </c>
      <c r="L1983" s="26">
        <v>2481</v>
      </c>
      <c r="M1983">
        <f t="shared" si="45"/>
        <v>2481</v>
      </c>
      <c r="N1983" s="96"/>
      <c r="O198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Row],[orderNum]],ТабПозиции[orderSumm])&gt;1500),ABS(M1983*VLOOKUP(ТабПозиции[[#This Row],[orderNum]],ТабЗаказы[#Data],MATCH("Percent",ТабЗаказы[#Headers],0),0))/100,200/COUNTIF(ТабПозиции[orderNum],ТабПозиции[[#This Row],[orderNum]])),0),"")</f>
        <v>372</v>
      </c>
      <c r="P1983" s="95">
        <f>IF(OR(ТабПозиции[[#This Row],[item]]="По штрихкоду",ТабПозиции[[#This Row],[item]]="Посылка"),ТабПозиции[[#This Row],[deliverySumm]]+ТабПозиции[[#This Row],[deliveryPost]],SUM(M1983:O1983))</f>
        <v>2853</v>
      </c>
      <c r="Q1983" s="57">
        <v>2853</v>
      </c>
      <c r="R1983" s="62">
        <f>ТабПозиции[[#This Row],[totalSumm]]-ТабПозиции[[#This Row],[payment]]</f>
        <v>0</v>
      </c>
      <c r="S1983" s="34" t="s">
        <v>965</v>
      </c>
      <c r="T1983" s="56" t="s">
        <v>3061</v>
      </c>
      <c r="U1983" s="56" t="str">
        <f>IF(AND(ТабПозиции[[#This Row],[Остаток]]=0,ТабПозиции[[#This Row],[ord]]="true"),"true","false")</f>
        <v>true</v>
      </c>
      <c r="V1983" s="56" t="s">
        <v>3061</v>
      </c>
    </row>
    <row r="1984" spans="1:22" x14ac:dyDescent="0.25">
      <c r="A1984" s="26">
        <v>525</v>
      </c>
      <c r="B1984" s="1">
        <f>IFERROR(VLOOKUP(ТабПозиции[[#This Row],[orderNum]],ТабЗаказы[#Data],MATCH(B$7,ТабЗаказы[#Headers],0),0),"")</f>
        <v>45731</v>
      </c>
      <c r="C1984" s="95" t="str">
        <f>MONTH(ТабПозиции[[#This Row],[date]])&amp;"/"&amp;YEAR(ТабПозиции[[#This Row],[date]])</f>
        <v>3/2025</v>
      </c>
      <c r="D1984" s="1" t="str">
        <f>IFERROR(VLOOKUP(ТабПозиции[[#This Row],[orderNum]],ТабЗаказы[#Data],MATCH(D$7,ТабЗаказы[#Headers],0),0),"")</f>
        <v>Игорь Рельефная</v>
      </c>
      <c r="E1984" s="93" t="s">
        <v>2639</v>
      </c>
      <c r="F1984" s="56" t="s">
        <v>3061</v>
      </c>
      <c r="H1984" s="34">
        <v>45734</v>
      </c>
      <c r="I1984" s="96">
        <v>1</v>
      </c>
      <c r="J1984" s="96">
        <v>284</v>
      </c>
      <c r="K1984">
        <f>ТабПозиции[[#This Row],[discountPrice]]*ТабПозиции[[#This Row],[quantity]]</f>
        <v>284</v>
      </c>
      <c r="L1984" s="26">
        <v>291</v>
      </c>
      <c r="M1984">
        <f t="shared" si="45"/>
        <v>291</v>
      </c>
      <c r="N1984" s="96"/>
      <c r="O198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Row],[orderNum]],ТабПозиции[orderSumm])&gt;1500),ABS(M1984*VLOOKUP(ТабПозиции[[#This Row],[orderNum]],ТабЗаказы[#Data],MATCH("Percent",ТабЗаказы[#Headers],0),0))/100,200/COUNTIF(ТабПозиции[orderNum],ТабПозиции[[#This Row],[orderNum]])),0),"")</f>
        <v>33</v>
      </c>
      <c r="P1984" s="95">
        <f>IF(OR(ТабПозиции[[#This Row],[item]]="По штрихкоду",ТабПозиции[[#This Row],[item]]="Посылка"),ТабПозиции[[#This Row],[deliverySumm]]+ТабПозиции[[#This Row],[deliveryPost]],SUM(M1984:O1984))</f>
        <v>324</v>
      </c>
      <c r="Q1984" s="57">
        <v>341</v>
      </c>
      <c r="R1984" s="62">
        <f>ТабПозиции[[#This Row],[totalSumm]]-ТабПозиции[[#This Row],[payment]]</f>
        <v>-17</v>
      </c>
      <c r="S1984" s="34" t="s">
        <v>955</v>
      </c>
      <c r="T1984" s="56" t="s">
        <v>3061</v>
      </c>
      <c r="U1984" s="56" t="str">
        <f>IF(AND(ТабПозиции[[#This Row],[Остаток]]=0,ТабПозиции[[#This Row],[ord]]="true"),"true","false")</f>
        <v>false</v>
      </c>
      <c r="V1984" s="56" t="s">
        <v>3061</v>
      </c>
    </row>
    <row r="1985" spans="1:22" x14ac:dyDescent="0.25">
      <c r="A1985" s="26">
        <v>525</v>
      </c>
      <c r="B1985" s="1">
        <f>IFERROR(VLOOKUP(ТабПозиции[[#This Row],[orderNum]],ТабЗаказы[#Data],MATCH(B$7,ТабЗаказы[#Headers],0),0),"")</f>
        <v>45731</v>
      </c>
      <c r="C1985" s="95" t="str">
        <f>MONTH(ТабПозиции[[#This Row],[date]])&amp;"/"&amp;YEAR(ТабПозиции[[#This Row],[date]])</f>
        <v>3/2025</v>
      </c>
      <c r="D1985" s="1" t="str">
        <f>IFERROR(VLOOKUP(ТабПозиции[[#This Row],[orderNum]],ТабЗаказы[#Data],MATCH(D$7,ТабЗаказы[#Headers],0),0),"")</f>
        <v>Игорь Рельефная</v>
      </c>
      <c r="E1985" s="93" t="s">
        <v>2640</v>
      </c>
      <c r="F1985" s="56" t="s">
        <v>3061</v>
      </c>
      <c r="H1985" s="34">
        <v>45733</v>
      </c>
      <c r="I1985" s="96">
        <v>1</v>
      </c>
      <c r="J1985" s="96">
        <v>298</v>
      </c>
      <c r="K1985">
        <f>ТабПозиции[[#This Row],[discountPrice]]*ТабПозиции[[#This Row],[quantity]]</f>
        <v>298</v>
      </c>
      <c r="L1985" s="26">
        <v>305</v>
      </c>
      <c r="M1985">
        <f t="shared" si="45"/>
        <v>305</v>
      </c>
      <c r="N1985" s="96"/>
      <c r="O198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Row],[orderNum]],ТабПозиции[orderSumm])&gt;1500),ABS(M1985*VLOOKUP(ТабПозиции[[#This Row],[orderNum]],ТабЗаказы[#Data],MATCH("Percent",ТабЗаказы[#Headers],0),0))/100,200/COUNTIF(ТабПозиции[orderNum],ТабПозиции[[#This Row],[orderNum]])),0),"")</f>
        <v>33</v>
      </c>
      <c r="P1985" s="95">
        <f>IF(OR(ТабПозиции[[#This Row],[item]]="По штрихкоду",ТабПозиции[[#This Row],[item]]="Посылка"),ТабПозиции[[#This Row],[deliverySumm]]+ТабПозиции[[#This Row],[deliveryPost]],SUM(M1985:O1985))</f>
        <v>338</v>
      </c>
      <c r="Q1985" s="57">
        <v>355</v>
      </c>
      <c r="R1985" s="62">
        <f>ТабПозиции[[#This Row],[totalSumm]]-ТабПозиции[[#This Row],[payment]]</f>
        <v>-17</v>
      </c>
      <c r="S1985" s="34" t="s">
        <v>955</v>
      </c>
      <c r="T1985" s="56" t="s">
        <v>3061</v>
      </c>
      <c r="U1985" s="56" t="str">
        <f>IF(AND(ТабПозиции[[#This Row],[Остаток]]=0,ТабПозиции[[#This Row],[ord]]="true"),"true","false")</f>
        <v>false</v>
      </c>
      <c r="V1985" s="56" t="s">
        <v>3061</v>
      </c>
    </row>
    <row r="1986" spans="1:22" x14ac:dyDescent="0.25">
      <c r="A1986" s="26">
        <v>525</v>
      </c>
      <c r="B1986" s="1">
        <f>IFERROR(VLOOKUP(ТабПозиции[[#This Row],[orderNum]],ТабЗаказы[#Data],MATCH(B$7,ТабЗаказы[#Headers],0),0),"")</f>
        <v>45731</v>
      </c>
      <c r="C1986" s="95" t="str">
        <f>MONTH(ТабПозиции[[#This Row],[date]])&amp;"/"&amp;YEAR(ТабПозиции[[#This Row],[date]])</f>
        <v>3/2025</v>
      </c>
      <c r="D1986" s="1" t="str">
        <f>IFERROR(VLOOKUP(ТабПозиции[[#This Row],[orderNum]],ТабЗаказы[#Data],MATCH(D$7,ТабЗаказы[#Headers],0),0),"")</f>
        <v>Игорь Рельефная</v>
      </c>
      <c r="E1986" s="93" t="s">
        <v>2641</v>
      </c>
      <c r="F1986" s="56" t="s">
        <v>3061</v>
      </c>
      <c r="H1986" s="34">
        <v>45732</v>
      </c>
      <c r="I1986" s="96">
        <v>1</v>
      </c>
      <c r="J1986" s="96">
        <v>150</v>
      </c>
      <c r="K1986">
        <f>ТабПозиции[[#This Row],[discountPrice]]*ТабПозиции[[#This Row],[quantity]]</f>
        <v>150</v>
      </c>
      <c r="L1986" s="26">
        <v>154</v>
      </c>
      <c r="M1986">
        <f t="shared" si="45"/>
        <v>154</v>
      </c>
      <c r="N1986" s="96"/>
      <c r="O198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Row],[orderNum]],ТабПозиции[orderSumm])&gt;1500),ABS(M1986*VLOOKUP(ТабПозиции[[#This Row],[orderNum]],ТабЗаказы[#Data],MATCH("Percent",ТабЗаказы[#Headers],0),0))/100,200/COUNTIF(ТабПозиции[orderNum],ТабПозиции[[#This Row],[orderNum]])),0),"")</f>
        <v>33</v>
      </c>
      <c r="P1986" s="95">
        <f>IF(OR(ТабПозиции[[#This Row],[item]]="По штрихкоду",ТабПозиции[[#This Row],[item]]="Посылка"),ТабПозиции[[#This Row],[deliverySumm]]+ТабПозиции[[#This Row],[deliveryPost]],SUM(M1986:O1986))</f>
        <v>187</v>
      </c>
      <c r="Q1986" s="57">
        <v>204</v>
      </c>
      <c r="R1986" s="62">
        <f>ТабПозиции[[#This Row],[totalSumm]]-ТабПозиции[[#This Row],[payment]]</f>
        <v>-17</v>
      </c>
      <c r="S1986" s="34" t="s">
        <v>955</v>
      </c>
      <c r="T1986" s="56" t="s">
        <v>3061</v>
      </c>
      <c r="U1986" s="56" t="str">
        <f>IF(AND(ТабПозиции[[#This Row],[Остаток]]=0,ТабПозиции[[#This Row],[ord]]="true"),"true","false")</f>
        <v>false</v>
      </c>
      <c r="V1986" s="56" t="s">
        <v>3061</v>
      </c>
    </row>
    <row r="1987" spans="1:22" x14ac:dyDescent="0.25">
      <c r="A1987" s="26">
        <v>525</v>
      </c>
      <c r="B1987" s="1">
        <f>IFERROR(VLOOKUP(ТабПозиции[[#This Row],[orderNum]],ТабЗаказы[#Data],MATCH(B$7,ТабЗаказы[#Headers],0),0),"")</f>
        <v>45731</v>
      </c>
      <c r="C1987" s="95" t="str">
        <f>MONTH(ТабПозиции[[#This Row],[date]])&amp;"/"&amp;YEAR(ТабПозиции[[#This Row],[date]])</f>
        <v>3/2025</v>
      </c>
      <c r="D1987" s="1" t="str">
        <f>IFERROR(VLOOKUP(ТабПозиции[[#This Row],[orderNum]],ТабЗаказы[#Data],MATCH(D$7,ТабЗаказы[#Headers],0),0),"")</f>
        <v>Игорь Рельефная</v>
      </c>
      <c r="E1987" s="93" t="s">
        <v>2642</v>
      </c>
      <c r="F1987" s="56" t="s">
        <v>3061</v>
      </c>
      <c r="H1987" s="34">
        <v>45753</v>
      </c>
      <c r="I1987" s="96">
        <v>0</v>
      </c>
      <c r="J1987" s="96">
        <v>225</v>
      </c>
      <c r="K1987">
        <f>ТабПозиции[[#This Row],[discountPrice]]*ТабПозиции[[#This Row],[quantity]]</f>
        <v>0</v>
      </c>
      <c r="L1987" s="26">
        <v>230</v>
      </c>
      <c r="M1987">
        <f t="shared" si="45"/>
        <v>0</v>
      </c>
      <c r="N1987" s="96"/>
      <c r="P1987" s="95"/>
      <c r="R1987" s="62">
        <f>ТабПозиции[[#This Row],[totalSumm]]-ТабПозиции[[#This Row],[payment]]</f>
        <v>0</v>
      </c>
      <c r="S1987" s="34" t="s">
        <v>955</v>
      </c>
      <c r="T1987" s="56" t="s">
        <v>3061</v>
      </c>
      <c r="U1987" s="56" t="str">
        <f>IF(AND(ТабПозиции[[#This Row],[Остаток]]=0,ТабПозиции[[#This Row],[ord]]="true"),"true","false")</f>
        <v>true</v>
      </c>
      <c r="V1987" s="56" t="s">
        <v>3061</v>
      </c>
    </row>
    <row r="1988" spans="1:22" x14ac:dyDescent="0.25">
      <c r="A1988" s="26">
        <v>526</v>
      </c>
      <c r="B1988" s="1">
        <f>IFERROR(VLOOKUP(ТабПозиции[[#This Row],[orderNum]],ТабЗаказы[#Data],MATCH(B$7,ТабЗаказы[#Headers],0),0),"")</f>
        <v>45731</v>
      </c>
      <c r="C1988" s="95" t="str">
        <f>MONTH(ТабПозиции[[#This Row],[date]])&amp;"/"&amp;YEAR(ТабПозиции[[#This Row],[date]])</f>
        <v>3/2025</v>
      </c>
      <c r="D1988" s="1" t="str">
        <f>IFERROR(VLOOKUP(ТабПозиции[[#This Row],[orderNum]],ТабЗаказы[#Data],MATCH(D$7,ТабЗаказы[#Headers],0),0),"")</f>
        <v>Александр 3 Металлургов</v>
      </c>
      <c r="E1988" s="93" t="s">
        <v>2643</v>
      </c>
      <c r="F1988" s="56" t="s">
        <v>3061</v>
      </c>
      <c r="G1988" s="28" t="s">
        <v>2691</v>
      </c>
      <c r="H1988" s="34">
        <v>45737</v>
      </c>
      <c r="I1988" s="96">
        <v>0</v>
      </c>
      <c r="J1988" s="96">
        <v>1665</v>
      </c>
      <c r="K1988">
        <f>ТабПозиции[[#This Row],[discountPrice]]*ТабПозиции[[#This Row],[quantity]]</f>
        <v>0</v>
      </c>
      <c r="L1988" s="26">
        <v>1665</v>
      </c>
      <c r="M1988">
        <f t="shared" si="45"/>
        <v>0</v>
      </c>
      <c r="N1988" s="96"/>
      <c r="P1988" s="95"/>
      <c r="R1988" s="62">
        <f>ТабПозиции[[#This Row],[totalSumm]]-ТабПозиции[[#This Row],[payment]]</f>
        <v>0</v>
      </c>
      <c r="S1988" s="34" t="s">
        <v>1000</v>
      </c>
      <c r="T1988" s="56" t="s">
        <v>3061</v>
      </c>
      <c r="U1988" s="56" t="str">
        <f>IF(AND(ТабПозиции[[#This Row],[Остаток]]=0,ТабПозиции[[#This Row],[ord]]="true"),"true","false")</f>
        <v>true</v>
      </c>
      <c r="V1988" s="56" t="s">
        <v>3061</v>
      </c>
    </row>
    <row r="1989" spans="1:22" x14ac:dyDescent="0.25">
      <c r="A1989" s="26">
        <v>527</v>
      </c>
      <c r="B1989" s="1">
        <f>IFERROR(VLOOKUP(ТабПозиции[[#This Row],[orderNum]],ТабЗаказы[#Data],MATCH(B$7,ТабЗаказы[#Headers],0),0),"")</f>
        <v>45733</v>
      </c>
      <c r="C1989" s="95" t="str">
        <f>MONTH(ТабПозиции[[#This Row],[date]])&amp;"/"&amp;YEAR(ТабПозиции[[#This Row],[date]])</f>
        <v>3/2025</v>
      </c>
      <c r="D1989" s="1" t="str">
        <f>IFERROR(VLOOKUP(ТабПозиции[[#This Row],[orderNum]],ТабЗаказы[#Data],MATCH(D$7,ТабЗаказы[#Headers],0),0),"")</f>
        <v>Светлана от Александра</v>
      </c>
      <c r="E1989" s="93" t="s">
        <v>2644</v>
      </c>
      <c r="F1989" s="56" t="s">
        <v>3061</v>
      </c>
      <c r="H1989" s="34">
        <v>45744</v>
      </c>
      <c r="I1989" s="96">
        <v>1</v>
      </c>
      <c r="J1989" s="96">
        <v>91</v>
      </c>
      <c r="K1989">
        <f>ТабПозиции[[#This Row],[discountPrice]]*ТабПозиции[[#This Row],[quantity]]</f>
        <v>91</v>
      </c>
      <c r="L1989" s="26">
        <v>96</v>
      </c>
      <c r="M1989">
        <f t="shared" si="45"/>
        <v>96</v>
      </c>
      <c r="N1989" s="96"/>
      <c r="O198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Row],[orderNum]],ТабПозиции[orderSumm])&gt;1500),ABS(M1989*VLOOKUP(ТабПозиции[[#This Row],[orderNum]],ТабЗаказы[#Data],MATCH("Percent",ТабЗаказы[#Headers],0),0))/100,200/COUNTIF(ТабПозиции[orderNum],ТабПозиции[[#This Row],[orderNum]])),0),"")</f>
        <v>14</v>
      </c>
      <c r="P1989" s="95">
        <f>IF(OR(ТабПозиции[[#This Row],[item]]="По штрихкоду",ТабПозиции[[#This Row],[item]]="Посылка"),ТабПозиции[[#This Row],[deliverySumm]]+ТабПозиции[[#This Row],[deliveryPost]],SUM(M1989:O1989))</f>
        <v>110</v>
      </c>
      <c r="Q1989" s="57">
        <v>110</v>
      </c>
      <c r="R1989" s="62">
        <f>ТабПозиции[[#This Row],[totalSumm]]-ТабПозиции[[#This Row],[payment]]</f>
        <v>0</v>
      </c>
      <c r="S1989" s="34" t="s">
        <v>965</v>
      </c>
      <c r="T1989" s="56" t="s">
        <v>3061</v>
      </c>
      <c r="U1989" s="56" t="str">
        <f>IF(AND(ТабПозиции[[#This Row],[Остаток]]=0,ТабПозиции[[#This Row],[ord]]="true"),"true","false")</f>
        <v>true</v>
      </c>
      <c r="V1989" s="56" t="s">
        <v>3061</v>
      </c>
    </row>
    <row r="1990" spans="1:22" x14ac:dyDescent="0.25">
      <c r="A1990" s="26">
        <v>527</v>
      </c>
      <c r="B1990" s="1">
        <f>IFERROR(VLOOKUP(ТабПозиции[[#This Row],[orderNum]],ТабЗаказы[#Data],MATCH(B$7,ТабЗаказы[#Headers],0),0),"")</f>
        <v>45733</v>
      </c>
      <c r="C1990" s="95" t="str">
        <f>MONTH(ТабПозиции[[#This Row],[date]])&amp;"/"&amp;YEAR(ТабПозиции[[#This Row],[date]])</f>
        <v>3/2025</v>
      </c>
      <c r="D1990" s="1" t="str">
        <f>IFERROR(VLOOKUP(ТабПозиции[[#This Row],[orderNum]],ТабЗаказы[#Data],MATCH(D$7,ТабЗаказы[#Headers],0),0),"")</f>
        <v>Светлана от Александра</v>
      </c>
      <c r="E1990" s="93" t="s">
        <v>2645</v>
      </c>
      <c r="F1990" s="56" t="s">
        <v>3061</v>
      </c>
      <c r="H1990" s="34">
        <v>45734</v>
      </c>
      <c r="I1990" s="96">
        <v>1</v>
      </c>
      <c r="J1990" s="96">
        <v>950</v>
      </c>
      <c r="K1990">
        <f>ТабПозиции[[#This Row],[discountPrice]]*ТабПозиции[[#This Row],[quantity]]</f>
        <v>950</v>
      </c>
      <c r="L1990" s="26">
        <v>1001</v>
      </c>
      <c r="M1990">
        <f t="shared" si="45"/>
        <v>1001</v>
      </c>
      <c r="N1990" s="96"/>
      <c r="O199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Row],[orderNum]],ТабПозиции[orderSumm])&gt;1500),ABS(M1990*VLOOKUP(ТабПозиции[[#This Row],[orderNum]],ТабЗаказы[#Data],MATCH("Percent",ТабЗаказы[#Headers],0),0))/100,200/COUNTIF(ТабПозиции[orderNum],ТабПозиции[[#This Row],[orderNum]])),0),"")</f>
        <v>150</v>
      </c>
      <c r="P1990" s="95">
        <f>IF(OR(ТабПозиции[[#This Row],[item]]="По штрихкоду",ТабПозиции[[#This Row],[item]]="Посылка"),ТабПозиции[[#This Row],[deliverySumm]]+ТабПозиции[[#This Row],[deliveryPost]],SUM(M1990:O1990))</f>
        <v>1151</v>
      </c>
      <c r="Q1990" s="57">
        <v>1151</v>
      </c>
      <c r="R1990" s="62">
        <f>ТабПозиции[[#This Row],[totalSumm]]-ТабПозиции[[#This Row],[payment]]</f>
        <v>0</v>
      </c>
      <c r="S1990" s="34" t="s">
        <v>965</v>
      </c>
      <c r="T1990" s="56" t="s">
        <v>3061</v>
      </c>
      <c r="U1990" s="56" t="str">
        <f>IF(AND(ТабПозиции[[#This Row],[Остаток]]=0,ТабПозиции[[#This Row],[ord]]="true"),"true","false")</f>
        <v>true</v>
      </c>
      <c r="V1990" s="56" t="s">
        <v>3061</v>
      </c>
    </row>
    <row r="1991" spans="1:22" x14ac:dyDescent="0.25">
      <c r="A1991" s="26">
        <v>527</v>
      </c>
      <c r="B1991" s="1">
        <f>IFERROR(VLOOKUP(ТабПозиции[[#This Row],[orderNum]],ТабЗаказы[#Data],MATCH(B$7,ТабЗаказы[#Headers],0),0),"")</f>
        <v>45733</v>
      </c>
      <c r="C1991" s="95" t="str">
        <f>MONTH(ТабПозиции[[#This Row],[date]])&amp;"/"&amp;YEAR(ТабПозиции[[#This Row],[date]])</f>
        <v>3/2025</v>
      </c>
      <c r="D1991" s="1" t="str">
        <f>IFERROR(VLOOKUP(ТабПозиции[[#This Row],[orderNum]],ТабЗаказы[#Data],MATCH(D$7,ТабЗаказы[#Headers],0),0),"")</f>
        <v>Светлана от Александра</v>
      </c>
      <c r="E1991" s="93" t="s">
        <v>2383</v>
      </c>
      <c r="F1991" s="56" t="s">
        <v>3061</v>
      </c>
      <c r="H1991" s="34">
        <v>45735</v>
      </c>
      <c r="I1991" s="96">
        <v>1</v>
      </c>
      <c r="J1991" s="96">
        <v>256</v>
      </c>
      <c r="K1991">
        <f>ТабПозиции[[#This Row],[discountPrice]]*ТабПозиции[[#This Row],[quantity]]</f>
        <v>256</v>
      </c>
      <c r="L1991" s="26">
        <v>270</v>
      </c>
      <c r="M1991">
        <f t="shared" si="45"/>
        <v>270</v>
      </c>
      <c r="N1991" s="96"/>
      <c r="O199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Row],[orderNum]],ТабПозиции[orderSumm])&gt;1500),ABS(M1991*VLOOKUP(ТабПозиции[[#This Row],[orderNum]],ТабЗаказы[#Data],MATCH("Percent",ТабЗаказы[#Headers],0),0))/100,200/COUNTIF(ТабПозиции[orderNum],ТабПозиции[[#This Row],[orderNum]])),0),"")</f>
        <v>41</v>
      </c>
      <c r="P1991" s="95">
        <f>IF(OR(ТабПозиции[[#This Row],[item]]="По штрихкоду",ТабПозиции[[#This Row],[item]]="Посылка"),ТабПозиции[[#This Row],[deliverySumm]]+ТабПозиции[[#This Row],[deliveryPost]],SUM(M1991:O1991))</f>
        <v>311</v>
      </c>
      <c r="Q1991" s="57">
        <v>311</v>
      </c>
      <c r="R1991" s="62">
        <f>ТабПозиции[[#This Row],[totalSumm]]-ТабПозиции[[#This Row],[payment]]</f>
        <v>0</v>
      </c>
      <c r="S1991" s="34" t="s">
        <v>965</v>
      </c>
      <c r="T1991" s="56" t="s">
        <v>3061</v>
      </c>
      <c r="U1991" s="56" t="str">
        <f>IF(AND(ТабПозиции[[#This Row],[Остаток]]=0,ТабПозиции[[#This Row],[ord]]="true"),"true","false")</f>
        <v>true</v>
      </c>
      <c r="V1991" s="56" t="s">
        <v>3061</v>
      </c>
    </row>
    <row r="1992" spans="1:22" x14ac:dyDescent="0.25">
      <c r="A1992" s="26">
        <v>527</v>
      </c>
      <c r="B1992" s="1">
        <f>IFERROR(VLOOKUP(ТабПозиции[[#This Row],[orderNum]],ТабЗаказы[#Data],MATCH(B$7,ТабЗаказы[#Headers],0),0),"")</f>
        <v>45733</v>
      </c>
      <c r="C1992" s="95" t="str">
        <f>MONTH(ТабПозиции[[#This Row],[date]])&amp;"/"&amp;YEAR(ТабПозиции[[#This Row],[date]])</f>
        <v>3/2025</v>
      </c>
      <c r="D1992" s="1" t="str">
        <f>IFERROR(VLOOKUP(ТабПозиции[[#This Row],[orderNum]],ТабЗаказы[#Data],MATCH(D$7,ТабЗаказы[#Headers],0),0),"")</f>
        <v>Светлана от Александра</v>
      </c>
      <c r="E1992" s="93" t="s">
        <v>2646</v>
      </c>
      <c r="F1992" s="56" t="s">
        <v>3061</v>
      </c>
      <c r="H1992" s="34">
        <v>45736</v>
      </c>
      <c r="I1992" s="96">
        <v>1</v>
      </c>
      <c r="J1992" s="96">
        <v>822</v>
      </c>
      <c r="K1992">
        <f>ТабПозиции[[#This Row],[discountPrice]]*ТабПозиции[[#This Row],[quantity]]</f>
        <v>822</v>
      </c>
      <c r="L1992" s="26">
        <v>856</v>
      </c>
      <c r="M1992">
        <f t="shared" si="45"/>
        <v>856</v>
      </c>
      <c r="N1992" s="96"/>
      <c r="O199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Row],[orderNum]],ТабПозиции[orderSumm])&gt;1500),ABS(M1992*VLOOKUP(ТабПозиции[[#This Row],[orderNum]],ТабЗаказы[#Data],MATCH("Percent",ТабЗаказы[#Headers],0),0))/100,200/COUNTIF(ТабПозиции[orderNum],ТабПозиции[[#This Row],[orderNum]])),0),"")</f>
        <v>128</v>
      </c>
      <c r="P1992" s="95">
        <f>IF(OR(ТабПозиции[[#This Row],[item]]="По штрихкоду",ТабПозиции[[#This Row],[item]]="Посылка"),ТабПозиции[[#This Row],[deliverySumm]]+ТабПозиции[[#This Row],[deliveryPost]],SUM(M1992:O1992))</f>
        <v>984</v>
      </c>
      <c r="Q1992" s="57">
        <v>984</v>
      </c>
      <c r="R1992" s="62">
        <f>ТабПозиции[[#This Row],[totalSumm]]-ТабПозиции[[#This Row],[payment]]</f>
        <v>0</v>
      </c>
      <c r="S1992" s="34" t="s">
        <v>955</v>
      </c>
      <c r="T1992" s="56" t="s">
        <v>3061</v>
      </c>
      <c r="U1992" s="56" t="str">
        <f>IF(AND(ТабПозиции[[#This Row],[Остаток]]=0,ТабПозиции[[#This Row],[ord]]="true"),"true","false")</f>
        <v>true</v>
      </c>
      <c r="V1992" s="56" t="s">
        <v>3061</v>
      </c>
    </row>
    <row r="1993" spans="1:22" x14ac:dyDescent="0.25">
      <c r="A1993" s="26">
        <v>527</v>
      </c>
      <c r="B1993" s="1">
        <f>IFERROR(VLOOKUP(ТабПозиции[[#This Row],[orderNum]],ТабЗаказы[#Data],MATCH(B$7,ТабЗаказы[#Headers],0),0),"")</f>
        <v>45733</v>
      </c>
      <c r="C1993" s="95" t="str">
        <f>MONTH(ТабПозиции[[#This Row],[date]])&amp;"/"&amp;YEAR(ТабПозиции[[#This Row],[date]])</f>
        <v>3/2025</v>
      </c>
      <c r="D1993" s="1" t="str">
        <f>IFERROR(VLOOKUP(ТабПозиции[[#This Row],[orderNum]],ТабЗаказы[#Data],MATCH(D$7,ТабЗаказы[#Headers],0),0),"")</f>
        <v>Светлана от Александра</v>
      </c>
      <c r="E1993" s="93" t="s">
        <v>2647</v>
      </c>
      <c r="F1993" s="56" t="s">
        <v>3061</v>
      </c>
      <c r="H1993" s="34">
        <v>45734</v>
      </c>
      <c r="I1993" s="96">
        <v>1</v>
      </c>
      <c r="J1993" s="96">
        <v>437</v>
      </c>
      <c r="K1993">
        <f>ТабПозиции[[#This Row],[discountPrice]]*ТабПозиции[[#This Row],[quantity]]</f>
        <v>437</v>
      </c>
      <c r="L1993" s="26">
        <v>460</v>
      </c>
      <c r="M1993">
        <f t="shared" si="45"/>
        <v>460</v>
      </c>
      <c r="N1993" s="96"/>
      <c r="O199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Row],[orderNum]],ТабПозиции[orderSumm])&gt;1500),ABS(M1993*VLOOKUP(ТабПозиции[[#This Row],[orderNum]],ТабЗаказы[#Data],MATCH("Percent",ТабЗаказы[#Headers],0),0))/100,200/COUNTIF(ТабПозиции[orderNum],ТабПозиции[[#This Row],[orderNum]])),0),"")</f>
        <v>69</v>
      </c>
      <c r="P1993" s="95">
        <f>IF(OR(ТабПозиции[[#This Row],[item]]="По штрихкоду",ТабПозиции[[#This Row],[item]]="Посылка"),ТабПозиции[[#This Row],[deliverySumm]]+ТабПозиции[[#This Row],[deliveryPost]],SUM(M1993:O1993))</f>
        <v>529</v>
      </c>
      <c r="Q1993" s="57">
        <v>529</v>
      </c>
      <c r="R1993" s="62">
        <f>ТабПозиции[[#This Row],[totalSumm]]-ТабПозиции[[#This Row],[payment]]</f>
        <v>0</v>
      </c>
      <c r="S1993" s="34" t="s">
        <v>965</v>
      </c>
      <c r="T1993" s="56" t="s">
        <v>3061</v>
      </c>
      <c r="U1993" s="56" t="str">
        <f>IF(AND(ТабПозиции[[#This Row],[Остаток]]=0,ТабПозиции[[#This Row],[ord]]="true"),"true","false")</f>
        <v>true</v>
      </c>
      <c r="V1993" s="56" t="s">
        <v>3061</v>
      </c>
    </row>
    <row r="1994" spans="1:22" x14ac:dyDescent="0.25">
      <c r="A1994" s="26">
        <v>527</v>
      </c>
      <c r="B1994" s="1">
        <f>IFERROR(VLOOKUP(ТабПозиции[[#This Row],[orderNum]],ТабЗаказы[#Data],MATCH(B$7,ТабЗаказы[#Headers],0),0),"")</f>
        <v>45733</v>
      </c>
      <c r="C1994" s="95" t="str">
        <f>MONTH(ТабПозиции[[#This Row],[date]])&amp;"/"&amp;YEAR(ТабПозиции[[#This Row],[date]])</f>
        <v>3/2025</v>
      </c>
      <c r="D1994" s="1" t="str">
        <f>IFERROR(VLOOKUP(ТабПозиции[[#This Row],[orderNum]],ТабЗаказы[#Data],MATCH(D$7,ТабЗаказы[#Headers],0),0),"")</f>
        <v>Светлана от Александра</v>
      </c>
      <c r="E1994" s="93" t="s">
        <v>2648</v>
      </c>
      <c r="F1994" s="56" t="s">
        <v>3061</v>
      </c>
      <c r="H1994" s="34">
        <v>45744</v>
      </c>
      <c r="I1994" s="96">
        <v>1</v>
      </c>
      <c r="J1994" s="96">
        <v>456</v>
      </c>
      <c r="K1994">
        <f>ТабПозиции[[#This Row],[discountPrice]]*ТабПозиции[[#This Row],[quantity]]</f>
        <v>456</v>
      </c>
      <c r="L1994" s="26">
        <v>480</v>
      </c>
      <c r="M1994">
        <f t="shared" si="45"/>
        <v>480</v>
      </c>
      <c r="N1994" s="96"/>
      <c r="O199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Row],[orderNum]],ТабПозиции[orderSumm])&gt;1500),ABS(M1994*VLOOKUP(ТабПозиции[[#This Row],[orderNum]],ТабЗаказы[#Data],MATCH("Percent",ТабЗаказы[#Headers],0),0))/100,200/COUNTIF(ТабПозиции[orderNum],ТабПозиции[[#This Row],[orderNum]])),0),"")</f>
        <v>72</v>
      </c>
      <c r="P1994" s="95">
        <f>IF(OR(ТабПозиции[[#This Row],[item]]="По штрихкоду",ТабПозиции[[#This Row],[item]]="Посылка"),ТабПозиции[[#This Row],[deliverySumm]]+ТабПозиции[[#This Row],[deliveryPost]],SUM(M1994:O1994))</f>
        <v>552</v>
      </c>
      <c r="Q1994" s="57">
        <v>552</v>
      </c>
      <c r="R1994" s="62">
        <f>ТабПозиции[[#This Row],[totalSumm]]-ТабПозиции[[#This Row],[payment]]</f>
        <v>0</v>
      </c>
      <c r="S1994" s="34" t="s">
        <v>965</v>
      </c>
      <c r="T1994" s="56" t="s">
        <v>3061</v>
      </c>
      <c r="U1994" s="56" t="str">
        <f>IF(AND(ТабПозиции[[#This Row],[Остаток]]=0,ТабПозиции[[#This Row],[ord]]="true"),"true","false")</f>
        <v>true</v>
      </c>
      <c r="V1994" s="56" t="s">
        <v>3061</v>
      </c>
    </row>
    <row r="1995" spans="1:22" x14ac:dyDescent="0.25">
      <c r="A1995" s="26">
        <v>527</v>
      </c>
      <c r="B1995" s="1">
        <f>IFERROR(VLOOKUP(ТабПозиции[[#This Row],[orderNum]],ТабЗаказы[#Data],MATCH(B$7,ТабЗаказы[#Headers],0),0),"")</f>
        <v>45733</v>
      </c>
      <c r="C1995" s="95" t="str">
        <f>MONTH(ТабПозиции[[#This Row],[date]])&amp;"/"&amp;YEAR(ТабПозиции[[#This Row],[date]])</f>
        <v>3/2025</v>
      </c>
      <c r="D1995" s="1" t="str">
        <f>IFERROR(VLOOKUP(ТабПозиции[[#This Row],[orderNum]],ТабЗаказы[#Data],MATCH(D$7,ТабЗаказы[#Headers],0),0),"")</f>
        <v>Светлана от Александра</v>
      </c>
      <c r="E1995" s="93" t="s">
        <v>2649</v>
      </c>
      <c r="F1995" s="56" t="s">
        <v>3061</v>
      </c>
      <c r="H1995" s="34">
        <v>45744</v>
      </c>
      <c r="I1995" s="96">
        <v>1</v>
      </c>
      <c r="J1995" s="96">
        <v>456</v>
      </c>
      <c r="K1995">
        <f>ТабПозиции[[#This Row],[discountPrice]]*ТабПозиции[[#This Row],[quantity]]</f>
        <v>456</v>
      </c>
      <c r="L1995" s="26">
        <v>480</v>
      </c>
      <c r="M1995">
        <f t="shared" si="45"/>
        <v>480</v>
      </c>
      <c r="N1995" s="96"/>
      <c r="O199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Row],[orderNum]],ТабПозиции[orderSumm])&gt;1500),ABS(M1995*VLOOKUP(ТабПозиции[[#This Row],[orderNum]],ТабЗаказы[#Data],MATCH("Percent",ТабЗаказы[#Headers],0),0))/100,200/COUNTIF(ТабПозиции[orderNum],ТабПозиции[[#This Row],[orderNum]])),0),"")</f>
        <v>72</v>
      </c>
      <c r="P1995" s="95">
        <f>IF(OR(ТабПозиции[[#This Row],[item]]="По штрихкоду",ТабПозиции[[#This Row],[item]]="Посылка"),ТабПозиции[[#This Row],[deliverySumm]]+ТабПозиции[[#This Row],[deliveryPost]],SUM(M1995:O1995))</f>
        <v>552</v>
      </c>
      <c r="Q1995" s="57">
        <v>552</v>
      </c>
      <c r="R1995" s="62">
        <f>ТабПозиции[[#This Row],[totalSumm]]-ТабПозиции[[#This Row],[payment]]</f>
        <v>0</v>
      </c>
      <c r="S1995" s="34" t="s">
        <v>965</v>
      </c>
      <c r="T1995" s="56" t="s">
        <v>3061</v>
      </c>
      <c r="U1995" s="56" t="str">
        <f>IF(AND(ТабПозиции[[#This Row],[Остаток]]=0,ТабПозиции[[#This Row],[ord]]="true"),"true","false")</f>
        <v>true</v>
      </c>
      <c r="V1995" s="56" t="s">
        <v>3061</v>
      </c>
    </row>
    <row r="1996" spans="1:22" x14ac:dyDescent="0.25">
      <c r="A1996" s="26">
        <v>527</v>
      </c>
      <c r="B1996" s="1">
        <f>IFERROR(VLOOKUP(ТабПозиции[[#This Row],[orderNum]],ТабЗаказы[#Data],MATCH(B$7,ТабЗаказы[#Headers],0),0),"")</f>
        <v>45733</v>
      </c>
      <c r="C1996" s="95" t="str">
        <f>MONTH(ТабПозиции[[#This Row],[date]])&amp;"/"&amp;YEAR(ТабПозиции[[#This Row],[date]])</f>
        <v>3/2025</v>
      </c>
      <c r="D1996" s="1" t="str">
        <f>IFERROR(VLOOKUP(ТабПозиции[[#This Row],[orderNum]],ТабЗаказы[#Data],MATCH(D$7,ТабЗаказы[#Headers],0),0),"")</f>
        <v>Светлана от Александра</v>
      </c>
      <c r="E1996" s="93" t="s">
        <v>2650</v>
      </c>
      <c r="F1996" s="56" t="s">
        <v>3061</v>
      </c>
      <c r="H1996" s="34">
        <v>45734</v>
      </c>
      <c r="I1996" s="96">
        <v>1</v>
      </c>
      <c r="J1996" s="96">
        <v>1342</v>
      </c>
      <c r="K1996">
        <f>ТабПозиции[[#This Row],[discountPrice]]*ТабПозиции[[#This Row],[quantity]]</f>
        <v>1342</v>
      </c>
      <c r="L1996" s="26">
        <v>1413</v>
      </c>
      <c r="M1996">
        <f t="shared" si="45"/>
        <v>1413</v>
      </c>
      <c r="N1996" s="96"/>
      <c r="O199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Row],[orderNum]],ТабПозиции[orderSumm])&gt;1500),ABS(M1996*VLOOKUP(ТабПозиции[[#This Row],[orderNum]],ТабЗаказы[#Data],MATCH("Percent",ТабЗаказы[#Headers],0),0))/100,200/COUNTIF(ТабПозиции[orderNum],ТабПозиции[[#This Row],[orderNum]])),0),"")</f>
        <v>212</v>
      </c>
      <c r="P1996" s="95">
        <f>IF(OR(ТабПозиции[[#This Row],[item]]="По штрихкоду",ТабПозиции[[#This Row],[item]]="Посылка"),ТабПозиции[[#This Row],[deliverySumm]]+ТабПозиции[[#This Row],[deliveryPost]],SUM(M1996:O1996))</f>
        <v>1625</v>
      </c>
      <c r="Q1996" s="57">
        <v>1625</v>
      </c>
      <c r="R1996" s="62">
        <f>ТабПозиции[[#This Row],[totalSumm]]-ТабПозиции[[#This Row],[payment]]</f>
        <v>0</v>
      </c>
      <c r="S1996" s="34" t="s">
        <v>965</v>
      </c>
      <c r="T1996" s="56" t="s">
        <v>3061</v>
      </c>
      <c r="U1996" s="56" t="str">
        <f>IF(AND(ТабПозиции[[#This Row],[Остаток]]=0,ТабПозиции[[#This Row],[ord]]="true"),"true","false")</f>
        <v>true</v>
      </c>
      <c r="V1996" s="56" t="s">
        <v>3061</v>
      </c>
    </row>
    <row r="1997" spans="1:22" x14ac:dyDescent="0.25">
      <c r="A1997" s="26">
        <v>528</v>
      </c>
      <c r="B1997" s="1">
        <f>IFERROR(VLOOKUP(ТабПозиции[[#This Row],[orderNum]],ТабЗаказы[#Data],MATCH(B$7,ТабЗаказы[#Headers],0),0),"")</f>
        <v>45733</v>
      </c>
      <c r="C1997" s="95" t="str">
        <f>MONTH(ТабПозиции[[#This Row],[date]])&amp;"/"&amp;YEAR(ТабПозиции[[#This Row],[date]])</f>
        <v>3/2025</v>
      </c>
      <c r="D1997" s="1" t="str">
        <f>IFERROR(VLOOKUP(ТабПозиции[[#This Row],[orderNum]],ТабЗаказы[#Data],MATCH(D$7,ТабЗаказы[#Headers],0),0),"")</f>
        <v>Юлина Мама</v>
      </c>
      <c r="E1997" s="93" t="s">
        <v>2653</v>
      </c>
      <c r="F1997" s="56" t="s">
        <v>3061</v>
      </c>
      <c r="H1997" s="34">
        <v>45734</v>
      </c>
      <c r="I1997" s="96">
        <v>1</v>
      </c>
      <c r="J1997" s="96">
        <v>1779</v>
      </c>
      <c r="K1997">
        <f>ТабПозиции[[#This Row],[discountPrice]]*ТабПозиции[[#This Row],[quantity]]</f>
        <v>1779</v>
      </c>
      <c r="L1997" s="26">
        <v>1873</v>
      </c>
      <c r="M1997">
        <f t="shared" si="45"/>
        <v>1873</v>
      </c>
      <c r="N1997" s="96"/>
      <c r="O199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Row],[orderNum]],ТабПозиции[orderSumm])&gt;1500),ABS(M1997*VLOOKUP(ТабПозиции[[#This Row],[orderNum]],ТабЗаказы[#Data],MATCH("Percent",ТабЗаказы[#Headers],0),0))/100,200/COUNTIF(ТабПозиции[orderNum],ТабПозиции[[#This Row],[orderNum]])),0),"")</f>
        <v>281</v>
      </c>
      <c r="P1997" s="95">
        <f>IF(OR(ТабПозиции[[#This Row],[item]]="По штрихкоду",ТабПозиции[[#This Row],[item]]="Посылка"),ТабПозиции[[#This Row],[deliverySumm]]+ТабПозиции[[#This Row],[deliveryPost]],SUM(M1997:O1997))</f>
        <v>2154</v>
      </c>
      <c r="Q1997" s="57">
        <v>2154</v>
      </c>
      <c r="R1997" s="62">
        <f>ТабПозиции[[#This Row],[totalSumm]]-ТабПозиции[[#This Row],[payment]]</f>
        <v>0</v>
      </c>
      <c r="S1997" s="34" t="s">
        <v>965</v>
      </c>
      <c r="T1997" s="56" t="s">
        <v>3061</v>
      </c>
      <c r="U1997" s="56" t="str">
        <f>IF(AND(ТабПозиции[[#This Row],[Остаток]]=0,ТабПозиции[[#This Row],[ord]]="true"),"true","false")</f>
        <v>true</v>
      </c>
      <c r="V1997" s="56" t="s">
        <v>3061</v>
      </c>
    </row>
    <row r="1998" spans="1:22" x14ac:dyDescent="0.25">
      <c r="A1998" s="26">
        <v>528</v>
      </c>
      <c r="B1998" s="1">
        <f>IFERROR(VLOOKUP(ТабПозиции[[#This Row],[orderNum]],ТабЗаказы[#Data],MATCH(B$7,ТабЗаказы[#Headers],0),0),"")</f>
        <v>45733</v>
      </c>
      <c r="C1998" s="95" t="str">
        <f>MONTH(ТабПозиции[[#This Row],[date]])&amp;"/"&amp;YEAR(ТабПозиции[[#This Row],[date]])</f>
        <v>3/2025</v>
      </c>
      <c r="D1998" s="1" t="str">
        <f>IFERROR(VLOOKUP(ТабПозиции[[#This Row],[orderNum]],ТабЗаказы[#Data],MATCH(D$7,ТабЗаказы[#Headers],0),0),"")</f>
        <v>Юлина Мама</v>
      </c>
      <c r="E1998" s="93" t="s">
        <v>1372</v>
      </c>
      <c r="F1998" s="56" t="s">
        <v>3061</v>
      </c>
      <c r="H1998" s="34">
        <v>45738</v>
      </c>
      <c r="I1998" s="96">
        <v>1</v>
      </c>
      <c r="J1998" s="96">
        <v>167</v>
      </c>
      <c r="K1998">
        <f>ТабПозиции[[#This Row],[discountPrice]]*ТабПозиции[[#This Row],[quantity]]</f>
        <v>167</v>
      </c>
      <c r="L1998" s="26">
        <v>176</v>
      </c>
      <c r="M1998">
        <f t="shared" si="45"/>
        <v>176</v>
      </c>
      <c r="N1998" s="96"/>
      <c r="O199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Row],[orderNum]],ТабПозиции[orderSumm])&gt;1500),ABS(M1998*VLOOKUP(ТабПозиции[[#This Row],[orderNum]],ТабЗаказы[#Data],MATCH("Percent",ТабЗаказы[#Headers],0),0))/100,200/COUNTIF(ТабПозиции[orderNum],ТабПозиции[[#This Row],[orderNum]])),0),"")</f>
        <v>26</v>
      </c>
      <c r="P1998" s="95">
        <f>IF(OR(ТабПозиции[[#This Row],[item]]="По штрихкоду",ТабПозиции[[#This Row],[item]]="Посылка"),ТабПозиции[[#This Row],[deliverySumm]]+ТабПозиции[[#This Row],[deliveryPost]],SUM(M1998:O1998))</f>
        <v>202</v>
      </c>
      <c r="Q1998" s="57">
        <v>202</v>
      </c>
      <c r="R1998" s="62">
        <f>ТабПозиции[[#This Row],[totalSumm]]-ТабПозиции[[#This Row],[payment]]</f>
        <v>0</v>
      </c>
      <c r="S1998" s="34" t="s">
        <v>965</v>
      </c>
      <c r="T1998" s="56" t="s">
        <v>3061</v>
      </c>
      <c r="U1998" s="56" t="str">
        <f>IF(AND(ТабПозиции[[#This Row],[Остаток]]=0,ТабПозиции[[#This Row],[ord]]="true"),"true","false")</f>
        <v>true</v>
      </c>
      <c r="V1998" s="56" t="s">
        <v>3061</v>
      </c>
    </row>
    <row r="1999" spans="1:22" x14ac:dyDescent="0.25">
      <c r="A1999" s="26">
        <v>528</v>
      </c>
      <c r="B1999" s="1">
        <f>IFERROR(VLOOKUP(ТабПозиции[[#This Row],[orderNum]],ТабЗаказы[#Data],MATCH(B$7,ТабЗаказы[#Headers],0),0),"")</f>
        <v>45733</v>
      </c>
      <c r="C1999" s="95" t="str">
        <f>MONTH(ТабПозиции[[#This Row],[date]])&amp;"/"&amp;YEAR(ТабПозиции[[#This Row],[date]])</f>
        <v>3/2025</v>
      </c>
      <c r="D1999" s="1" t="str">
        <f>IFERROR(VLOOKUP(ТабПозиции[[#This Row],[orderNum]],ТабЗаказы[#Data],MATCH(D$7,ТабЗаказы[#Headers],0),0),"")</f>
        <v>Юлина Мама</v>
      </c>
      <c r="E1999" s="93" t="s">
        <v>2654</v>
      </c>
      <c r="F1999" s="56" t="s">
        <v>3061</v>
      </c>
      <c r="H1999" s="34">
        <v>45735</v>
      </c>
      <c r="I1999" s="96">
        <v>1</v>
      </c>
      <c r="J1999" s="96">
        <v>103</v>
      </c>
      <c r="K1999">
        <f>ТабПозиции[[#This Row],[discountPrice]]*ТабПозиции[[#This Row],[quantity]]</f>
        <v>103</v>
      </c>
      <c r="L1999" s="26">
        <v>109</v>
      </c>
      <c r="M1999">
        <f t="shared" si="45"/>
        <v>109</v>
      </c>
      <c r="N1999" s="96"/>
      <c r="O199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Row],[orderNum]],ТабПозиции[orderSumm])&gt;1500),ABS(M1999*VLOOKUP(ТабПозиции[[#This Row],[orderNum]],ТабЗаказы[#Data],MATCH("Percent",ТабЗаказы[#Headers],0),0))/100,200/COUNTIF(ТабПозиции[orderNum],ТабПозиции[[#This Row],[orderNum]])),0),"")</f>
        <v>16</v>
      </c>
      <c r="P1999" s="95">
        <f>IF(OR(ТабПозиции[[#This Row],[item]]="По штрихкоду",ТабПозиции[[#This Row],[item]]="Посылка"),ТабПозиции[[#This Row],[deliverySumm]]+ТабПозиции[[#This Row],[deliveryPost]],SUM(M1999:O1999))</f>
        <v>125</v>
      </c>
      <c r="Q1999" s="57">
        <v>125</v>
      </c>
      <c r="R1999" s="62">
        <f>ТабПозиции[[#This Row],[totalSumm]]-ТабПозиции[[#This Row],[payment]]</f>
        <v>0</v>
      </c>
      <c r="S1999" s="34" t="s">
        <v>965</v>
      </c>
      <c r="T1999" s="56" t="s">
        <v>3061</v>
      </c>
      <c r="U1999" s="56" t="str">
        <f>IF(AND(ТабПозиции[[#This Row],[Остаток]]=0,ТабПозиции[[#This Row],[ord]]="true"),"true","false")</f>
        <v>true</v>
      </c>
      <c r="V1999" s="56" t="s">
        <v>3061</v>
      </c>
    </row>
    <row r="2000" spans="1:22" x14ac:dyDescent="0.25">
      <c r="A2000" s="26">
        <v>528</v>
      </c>
      <c r="B2000" s="1">
        <f>IFERROR(VLOOKUP(ТабПозиции[[#This Row],[orderNum]],ТабЗаказы[#Data],MATCH(B$7,ТабЗаказы[#Headers],0),0),"")</f>
        <v>45733</v>
      </c>
      <c r="C2000" s="95" t="str">
        <f>MONTH(ТабПозиции[[#This Row],[date]])&amp;"/"&amp;YEAR(ТабПозиции[[#This Row],[date]])</f>
        <v>3/2025</v>
      </c>
      <c r="D2000" s="1" t="str">
        <f>IFERROR(VLOOKUP(ТабПозиции[[#This Row],[orderNum]],ТабЗаказы[#Data],MATCH(D$7,ТабЗаказы[#Headers],0),0),"")</f>
        <v>Юлина Мама</v>
      </c>
      <c r="E2000" s="93" t="s">
        <v>2655</v>
      </c>
      <c r="F2000" s="56" t="s">
        <v>3061</v>
      </c>
      <c r="H2000" s="34">
        <v>45736</v>
      </c>
      <c r="I2000" s="96">
        <v>1</v>
      </c>
      <c r="J2000" s="96">
        <v>209</v>
      </c>
      <c r="K2000">
        <f>ТабПозиции[[#This Row],[discountPrice]]*ТабПозиции[[#This Row],[quantity]]</f>
        <v>209</v>
      </c>
      <c r="L2000" s="26">
        <v>221</v>
      </c>
      <c r="M2000">
        <f t="shared" si="45"/>
        <v>221</v>
      </c>
      <c r="N2000" s="96"/>
      <c r="O200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Row],[orderNum]],ТабПозиции[orderSumm])&gt;1500),ABS(M2000*VLOOKUP(ТабПозиции[[#This Row],[orderNum]],ТабЗаказы[#Data],MATCH("Percent",ТабЗаказы[#Headers],0),0))/100,200/COUNTIF(ТабПозиции[orderNum],ТабПозиции[[#This Row],[orderNum]])),0),"")</f>
        <v>33</v>
      </c>
      <c r="P2000" s="95">
        <f>IF(OR(ТабПозиции[[#This Row],[item]]="По штрихкоду",ТабПозиции[[#This Row],[item]]="Посылка"),ТабПозиции[[#This Row],[deliverySumm]]+ТабПозиции[[#This Row],[deliveryPost]],SUM(M2000:O2000))</f>
        <v>254</v>
      </c>
      <c r="Q2000" s="57">
        <v>254</v>
      </c>
      <c r="R2000" s="62">
        <f>ТабПозиции[[#This Row],[totalSumm]]-ТабПозиции[[#This Row],[payment]]</f>
        <v>0</v>
      </c>
      <c r="S2000" s="34" t="s">
        <v>965</v>
      </c>
      <c r="T2000" s="56" t="s">
        <v>3061</v>
      </c>
      <c r="U2000" s="56" t="str">
        <f>IF(AND(ТабПозиции[[#This Row],[Остаток]]=0,ТабПозиции[[#This Row],[ord]]="true"),"true","false")</f>
        <v>true</v>
      </c>
      <c r="V2000" s="56" t="s">
        <v>3061</v>
      </c>
    </row>
    <row r="2001" spans="1:22" x14ac:dyDescent="0.25">
      <c r="A2001" s="26">
        <v>528</v>
      </c>
      <c r="B2001" s="1">
        <f>IFERROR(VLOOKUP(ТабПозиции[[#This Row],[orderNum]],ТабЗаказы[#Data],MATCH(B$7,ТабЗаказы[#Headers],0),0),"")</f>
        <v>45733</v>
      </c>
      <c r="C2001" s="95" t="str">
        <f>MONTH(ТабПозиции[[#This Row],[date]])&amp;"/"&amp;YEAR(ТабПозиции[[#This Row],[date]])</f>
        <v>3/2025</v>
      </c>
      <c r="D2001" s="1" t="str">
        <f>IFERROR(VLOOKUP(ТабПозиции[[#This Row],[orderNum]],ТабЗаказы[#Data],MATCH(D$7,ТабЗаказы[#Headers],0),0),"")</f>
        <v>Юлина Мама</v>
      </c>
      <c r="E2001" s="93" t="s">
        <v>2027</v>
      </c>
      <c r="F2001" s="56" t="s">
        <v>3061</v>
      </c>
      <c r="H2001" s="34">
        <v>45734</v>
      </c>
      <c r="I2001" s="96">
        <v>1</v>
      </c>
      <c r="J2001" s="96">
        <v>320</v>
      </c>
      <c r="K2001">
        <f>ТабПозиции[[#This Row],[discountPrice]]*ТабПозиции[[#This Row],[quantity]]</f>
        <v>320</v>
      </c>
      <c r="L2001" s="26">
        <v>337</v>
      </c>
      <c r="M2001">
        <f t="shared" si="45"/>
        <v>337</v>
      </c>
      <c r="N2001" s="96"/>
      <c r="O200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Row],[orderNum]],ТабПозиции[orderSumm])&gt;1500),ABS(M2001*VLOOKUP(ТабПозиции[[#This Row],[orderNum]],ТабЗаказы[#Data],MATCH("Percent",ТабЗаказы[#Headers],0),0))/100,200/COUNTIF(ТабПозиции[orderNum],ТабПозиции[[#This Row],[orderNum]])),0),"")</f>
        <v>51</v>
      </c>
      <c r="P2001" s="95">
        <f>IF(OR(ТабПозиции[[#This Row],[item]]="По штрихкоду",ТабПозиции[[#This Row],[item]]="Посылка"),ТабПозиции[[#This Row],[deliverySumm]]+ТабПозиции[[#This Row],[deliveryPost]],SUM(M2001:O2001))</f>
        <v>388</v>
      </c>
      <c r="Q2001" s="57">
        <v>388</v>
      </c>
      <c r="R2001" s="62">
        <f>ТабПозиции[[#This Row],[totalSumm]]-ТабПозиции[[#This Row],[payment]]</f>
        <v>0</v>
      </c>
      <c r="S2001" s="34" t="s">
        <v>965</v>
      </c>
      <c r="T2001" s="56" t="s">
        <v>3061</v>
      </c>
      <c r="U2001" s="56" t="str">
        <f>IF(AND(ТабПозиции[[#This Row],[Остаток]]=0,ТабПозиции[[#This Row],[ord]]="true"),"true","false")</f>
        <v>true</v>
      </c>
      <c r="V2001" s="56" t="s">
        <v>3061</v>
      </c>
    </row>
    <row r="2002" spans="1:22" x14ac:dyDescent="0.25">
      <c r="A2002" s="26">
        <v>528</v>
      </c>
      <c r="B2002" s="1">
        <f>IFERROR(VLOOKUP(ТабПозиции[[#This Row],[orderNum]],ТабЗаказы[#Data],MATCH(B$7,ТабЗаказы[#Headers],0),0),"")</f>
        <v>45733</v>
      </c>
      <c r="C2002" s="95" t="str">
        <f>MONTH(ТабПозиции[[#This Row],[date]])&amp;"/"&amp;YEAR(ТабПозиции[[#This Row],[date]])</f>
        <v>3/2025</v>
      </c>
      <c r="D2002" s="1" t="str">
        <f>IFERROR(VLOOKUP(ТабПозиции[[#This Row],[orderNum]],ТабЗаказы[#Data],MATCH(D$7,ТабЗаказы[#Headers],0),0),"")</f>
        <v>Юлина Мама</v>
      </c>
      <c r="E2002" s="93" t="s">
        <v>1361</v>
      </c>
      <c r="F2002" s="56" t="s">
        <v>3061</v>
      </c>
      <c r="H2002" s="34">
        <v>45735</v>
      </c>
      <c r="I2002" s="96">
        <v>1</v>
      </c>
      <c r="J2002" s="96">
        <v>1019</v>
      </c>
      <c r="K2002">
        <f>ТабПозиции[[#This Row],[discountPrice]]*ТабПозиции[[#This Row],[quantity]]</f>
        <v>1019</v>
      </c>
      <c r="L2002" s="26">
        <v>1073</v>
      </c>
      <c r="M2002">
        <f t="shared" si="45"/>
        <v>1073</v>
      </c>
      <c r="N2002" s="96"/>
      <c r="O200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Row],[orderNum]],ТабПозиции[orderSumm])&gt;1500),ABS(M2002*VLOOKUP(ТабПозиции[[#This Row],[orderNum]],ТабЗаказы[#Data],MATCH("Percent",ТабЗаказы[#Headers],0),0))/100,200/COUNTIF(ТабПозиции[orderNum],ТабПозиции[[#This Row],[orderNum]])),0),"")</f>
        <v>161</v>
      </c>
      <c r="P2002" s="95">
        <f>IF(OR(ТабПозиции[[#This Row],[item]]="По штрихкоду",ТабПозиции[[#This Row],[item]]="Посылка"),ТабПозиции[[#This Row],[deliverySumm]]+ТабПозиции[[#This Row],[deliveryPost]],SUM(M2002:O2002))</f>
        <v>1234</v>
      </c>
      <c r="Q2002" s="57">
        <v>1234</v>
      </c>
      <c r="R2002" s="62">
        <f>ТабПозиции[[#This Row],[totalSumm]]-ТабПозиции[[#This Row],[payment]]</f>
        <v>0</v>
      </c>
      <c r="S2002" s="34" t="s">
        <v>965</v>
      </c>
      <c r="T2002" s="56" t="s">
        <v>3061</v>
      </c>
      <c r="U2002" s="56" t="str">
        <f>IF(AND(ТабПозиции[[#This Row],[Остаток]]=0,ТабПозиции[[#This Row],[ord]]="true"),"true","false")</f>
        <v>true</v>
      </c>
      <c r="V2002" s="56" t="s">
        <v>3061</v>
      </c>
    </row>
    <row r="2003" spans="1:22" x14ac:dyDescent="0.25">
      <c r="A2003" s="26">
        <v>528</v>
      </c>
      <c r="B2003" s="1">
        <f>IFERROR(VLOOKUP(ТабПозиции[[#This Row],[orderNum]],ТабЗаказы[#Data],MATCH(B$7,ТабЗаказы[#Headers],0),0),"")</f>
        <v>45733</v>
      </c>
      <c r="C2003" s="95" t="str">
        <f>MONTH(ТабПозиции[[#This Row],[date]])&amp;"/"&amp;YEAR(ТабПозиции[[#This Row],[date]])</f>
        <v>3/2025</v>
      </c>
      <c r="D2003" s="1" t="str">
        <f>IFERROR(VLOOKUP(ТабПозиции[[#This Row],[orderNum]],ТабЗаказы[#Data],MATCH(D$7,ТабЗаказы[#Headers],0),0),"")</f>
        <v>Юлина Мама</v>
      </c>
      <c r="E2003" s="93" t="s">
        <v>804</v>
      </c>
      <c r="F2003" s="56" t="s">
        <v>3061</v>
      </c>
      <c r="H2003" s="34">
        <v>45744</v>
      </c>
      <c r="I2003" s="96">
        <v>1</v>
      </c>
      <c r="J2003" s="96">
        <v>1024</v>
      </c>
      <c r="K2003">
        <f>ТабПозиции[[#This Row],[discountPrice]]*ТабПозиции[[#This Row],[quantity]]</f>
        <v>1024</v>
      </c>
      <c r="L2003" s="26">
        <v>1078</v>
      </c>
      <c r="M2003">
        <f t="shared" si="45"/>
        <v>1078</v>
      </c>
      <c r="N2003" s="96"/>
      <c r="O200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Row],[orderNum]],ТабПозиции[orderSumm])&gt;1500),ABS(M2003*VLOOKUP(ТабПозиции[[#This Row],[orderNum]],ТабЗаказы[#Data],MATCH("Percent",ТабЗаказы[#Headers],0),0))/100,200/COUNTIF(ТабПозиции[orderNum],ТабПозиции[[#This Row],[orderNum]])),0),"")</f>
        <v>162</v>
      </c>
      <c r="P2003" s="95">
        <f>IF(OR(ТабПозиции[[#This Row],[item]]="По штрихкоду",ТабПозиции[[#This Row],[item]]="Посылка"),ТабПозиции[[#This Row],[deliverySumm]]+ТабПозиции[[#This Row],[deliveryPost]],SUM(M2003:O2003))</f>
        <v>1240</v>
      </c>
      <c r="Q2003" s="57">
        <v>1240</v>
      </c>
      <c r="R2003" s="62">
        <f>ТабПозиции[[#This Row],[totalSumm]]-ТабПозиции[[#This Row],[payment]]</f>
        <v>0</v>
      </c>
      <c r="S2003" s="34" t="s">
        <v>965</v>
      </c>
      <c r="T2003" s="56" t="s">
        <v>3061</v>
      </c>
      <c r="U2003" s="56" t="str">
        <f>IF(AND(ТабПозиции[[#This Row],[Остаток]]=0,ТабПозиции[[#This Row],[ord]]="true"),"true","false")</f>
        <v>true</v>
      </c>
      <c r="V2003" s="56" t="s">
        <v>3061</v>
      </c>
    </row>
    <row r="2004" spans="1:22" x14ac:dyDescent="0.25">
      <c r="A2004" s="26">
        <v>529</v>
      </c>
      <c r="B2004" s="1">
        <f>IFERROR(VLOOKUP(ТабПозиции[[#This Row],[orderNum]],ТабЗаказы[#Data],MATCH(B$7,ТабЗаказы[#Headers],0),0),"")</f>
        <v>45733</v>
      </c>
      <c r="C2004" s="95" t="str">
        <f>MONTH(ТабПозиции[[#This Row],[date]])&amp;"/"&amp;YEAR(ТабПозиции[[#This Row],[date]])</f>
        <v>3/2025</v>
      </c>
      <c r="D2004" s="1" t="str">
        <f>IFERROR(VLOOKUP(ТабПозиции[[#This Row],[orderNum]],ТабЗаказы[#Data],MATCH(D$7,ТабЗаказы[#Headers],0),0),"")</f>
        <v>Юля Ларисына</v>
      </c>
      <c r="E2004" s="93" t="s">
        <v>2418</v>
      </c>
      <c r="F2004" s="56" t="s">
        <v>3061</v>
      </c>
      <c r="H2004" s="34">
        <v>45734</v>
      </c>
      <c r="I2004" s="96">
        <v>1</v>
      </c>
      <c r="J2004" s="96">
        <v>256</v>
      </c>
      <c r="K2004">
        <f>ТабПозиции[[#This Row],[discountPrice]]*ТабПозиции[[#This Row],[quantity]]</f>
        <v>256</v>
      </c>
      <c r="L2004" s="26">
        <v>270</v>
      </c>
      <c r="M2004">
        <f t="shared" si="45"/>
        <v>270</v>
      </c>
      <c r="N2004" s="96"/>
      <c r="O200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Row],[orderNum]],ТабПозиции[orderSumm])&gt;1500),ABS(M2004*VLOOKUP(ТабПозиции[[#This Row],[orderNum]],ТабЗаказы[#Data],MATCH("Percent",ТабЗаказы[#Headers],0),0))/100,200/COUNTIF(ТабПозиции[orderNum],ТабПозиции[[#This Row],[orderNum]])),0),"")</f>
        <v>41</v>
      </c>
      <c r="P2004" s="95">
        <f>IF(OR(ТабПозиции[[#This Row],[item]]="По штрихкоду",ТабПозиции[[#This Row],[item]]="Посылка"),ТабПозиции[[#This Row],[deliverySumm]]+ТабПозиции[[#This Row],[deliveryPost]],SUM(M2004:O2004))</f>
        <v>311</v>
      </c>
      <c r="Q2004" s="57">
        <v>311</v>
      </c>
      <c r="R2004" s="62">
        <f>ТабПозиции[[#This Row],[totalSumm]]-ТабПозиции[[#This Row],[payment]]</f>
        <v>0</v>
      </c>
      <c r="S2004" s="34" t="s">
        <v>965</v>
      </c>
      <c r="T2004" s="56" t="s">
        <v>3061</v>
      </c>
      <c r="U2004" s="56" t="str">
        <f>IF(AND(ТабПозиции[[#This Row],[Остаток]]=0,ТабПозиции[[#This Row],[ord]]="true"),"true","false")</f>
        <v>true</v>
      </c>
      <c r="V2004" s="56" t="s">
        <v>3061</v>
      </c>
    </row>
    <row r="2005" spans="1:22" x14ac:dyDescent="0.25">
      <c r="A2005" s="26">
        <v>529</v>
      </c>
      <c r="B2005" s="1">
        <f>IFERROR(VLOOKUP(ТабПозиции[[#This Row],[orderNum]],ТабЗаказы[#Data],MATCH(B$7,ТабЗаказы[#Headers],0),0),"")</f>
        <v>45733</v>
      </c>
      <c r="C2005" s="95" t="str">
        <f>MONTH(ТабПозиции[[#This Row],[date]])&amp;"/"&amp;YEAR(ТабПозиции[[#This Row],[date]])</f>
        <v>3/2025</v>
      </c>
      <c r="D2005" s="1" t="str">
        <f>IFERROR(VLOOKUP(ТабПозиции[[#This Row],[orderNum]],ТабЗаказы[#Data],MATCH(D$7,ТабЗаказы[#Headers],0),0),"")</f>
        <v>Юля Ларисына</v>
      </c>
      <c r="E2005" s="93" t="s">
        <v>2656</v>
      </c>
      <c r="F2005" s="56" t="s">
        <v>3061</v>
      </c>
      <c r="H2005" s="34">
        <v>45735</v>
      </c>
      <c r="I2005" s="96">
        <v>1</v>
      </c>
      <c r="J2005" s="96">
        <v>281</v>
      </c>
      <c r="K2005">
        <f>ТабПозиции[[#This Row],[discountPrice]]*ТабПозиции[[#This Row],[quantity]]</f>
        <v>281</v>
      </c>
      <c r="L2005" s="26">
        <v>296</v>
      </c>
      <c r="M2005">
        <f t="shared" si="45"/>
        <v>296</v>
      </c>
      <c r="N2005" s="96"/>
      <c r="O200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Row],[orderNum]],ТабПозиции[orderSumm])&gt;1500),ABS(M2005*VLOOKUP(ТабПозиции[[#This Row],[orderNum]],ТабЗаказы[#Data],MATCH("Percent",ТабЗаказы[#Headers],0),0))/100,200/COUNTIF(ТабПозиции[orderNum],ТабПозиции[[#This Row],[orderNum]])),0),"")</f>
        <v>44</v>
      </c>
      <c r="P2005" s="95">
        <f>IF(OR(ТабПозиции[[#This Row],[item]]="По штрихкоду",ТабПозиции[[#This Row],[item]]="Посылка"),ТабПозиции[[#This Row],[deliverySumm]]+ТабПозиции[[#This Row],[deliveryPost]],SUM(M2005:O2005))</f>
        <v>340</v>
      </c>
      <c r="Q2005" s="57">
        <v>340</v>
      </c>
      <c r="R2005" s="62">
        <f>ТабПозиции[[#This Row],[totalSumm]]-ТабПозиции[[#This Row],[payment]]</f>
        <v>0</v>
      </c>
      <c r="S2005" s="34" t="s">
        <v>965</v>
      </c>
      <c r="T2005" s="56" t="s">
        <v>3061</v>
      </c>
      <c r="U2005" s="56" t="str">
        <f>IF(AND(ТабПозиции[[#This Row],[Остаток]]=0,ТабПозиции[[#This Row],[ord]]="true"),"true","false")</f>
        <v>true</v>
      </c>
      <c r="V2005" s="56" t="s">
        <v>3061</v>
      </c>
    </row>
    <row r="2006" spans="1:22" x14ac:dyDescent="0.25">
      <c r="A2006" s="26">
        <v>529</v>
      </c>
      <c r="B2006" s="1">
        <f>IFERROR(VLOOKUP(ТабПозиции[[#This Row],[orderNum]],ТабЗаказы[#Data],MATCH(B$7,ТабЗаказы[#Headers],0),0),"")</f>
        <v>45733</v>
      </c>
      <c r="C2006" s="95" t="str">
        <f>MONTH(ТабПозиции[[#This Row],[date]])&amp;"/"&amp;YEAR(ТабПозиции[[#This Row],[date]])</f>
        <v>3/2025</v>
      </c>
      <c r="D2006" s="1" t="str">
        <f>IFERROR(VLOOKUP(ТабПозиции[[#This Row],[orderNum]],ТабЗаказы[#Data],MATCH(D$7,ТабЗаказы[#Headers],0),0),"")</f>
        <v>Юля Ларисына</v>
      </c>
      <c r="E2006" s="93" t="s">
        <v>2657</v>
      </c>
      <c r="F2006" s="56" t="s">
        <v>3061</v>
      </c>
      <c r="H2006" s="34">
        <v>45735</v>
      </c>
      <c r="I2006" s="96">
        <v>1</v>
      </c>
      <c r="J2006" s="96">
        <v>325</v>
      </c>
      <c r="K2006">
        <f>ТабПозиции[[#This Row],[discountPrice]]*ТабПозиции[[#This Row],[quantity]]</f>
        <v>325</v>
      </c>
      <c r="L2006" s="26">
        <v>343</v>
      </c>
      <c r="M2006">
        <f t="shared" si="45"/>
        <v>343</v>
      </c>
      <c r="N2006" s="96"/>
      <c r="O200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Row],[orderNum]],ТабПозиции[orderSumm])&gt;1500),ABS(M2006*VLOOKUP(ТабПозиции[[#This Row],[orderNum]],ТабЗаказы[#Data],MATCH("Percent",ТабЗаказы[#Headers],0),0))/100,200/COUNTIF(ТабПозиции[orderNum],ТабПозиции[[#This Row],[orderNum]])),0),"")</f>
        <v>51</v>
      </c>
      <c r="P2006" s="95">
        <f>IF(OR(ТабПозиции[[#This Row],[item]]="По штрихкоду",ТабПозиции[[#This Row],[item]]="Посылка"),ТабПозиции[[#This Row],[deliverySumm]]+ТабПозиции[[#This Row],[deliveryPost]],SUM(M2006:O2006))</f>
        <v>394</v>
      </c>
      <c r="Q2006" s="57">
        <v>394</v>
      </c>
      <c r="R2006" s="62">
        <f>ТабПозиции[[#This Row],[totalSumm]]-ТабПозиции[[#This Row],[payment]]</f>
        <v>0</v>
      </c>
      <c r="S2006" s="34" t="s">
        <v>965</v>
      </c>
      <c r="T2006" s="56" t="s">
        <v>3061</v>
      </c>
      <c r="U2006" s="56" t="str">
        <f>IF(AND(ТабПозиции[[#This Row],[Остаток]]=0,ТабПозиции[[#This Row],[ord]]="true"),"true","false")</f>
        <v>true</v>
      </c>
      <c r="V2006" s="56" t="s">
        <v>3061</v>
      </c>
    </row>
    <row r="2007" spans="1:22" x14ac:dyDescent="0.25">
      <c r="A2007" s="26">
        <v>529</v>
      </c>
      <c r="B2007" s="1">
        <f>IFERROR(VLOOKUP(ТабПозиции[[#This Row],[orderNum]],ТабЗаказы[#Data],MATCH(B$7,ТабЗаказы[#Headers],0),0),"")</f>
        <v>45733</v>
      </c>
      <c r="C2007" s="95" t="str">
        <f>MONTH(ТабПозиции[[#This Row],[date]])&amp;"/"&amp;YEAR(ТабПозиции[[#This Row],[date]])</f>
        <v>3/2025</v>
      </c>
      <c r="D2007" s="1" t="str">
        <f>IFERROR(VLOOKUP(ТабПозиции[[#This Row],[orderNum]],ТабЗаказы[#Data],MATCH(D$7,ТабЗаказы[#Headers],0),0),"")</f>
        <v>Юля Ларисына</v>
      </c>
      <c r="E2007" s="93" t="s">
        <v>2039</v>
      </c>
      <c r="F2007" s="56" t="s">
        <v>3061</v>
      </c>
      <c r="H2007" s="34">
        <v>45735</v>
      </c>
      <c r="I2007" s="96">
        <v>1</v>
      </c>
      <c r="J2007" s="96">
        <v>342</v>
      </c>
      <c r="K2007">
        <f>ТабПозиции[[#This Row],[discountPrice]]*ТабПозиции[[#This Row],[quantity]]</f>
        <v>342</v>
      </c>
      <c r="L2007" s="26">
        <v>361</v>
      </c>
      <c r="M2007">
        <f t="shared" si="45"/>
        <v>361</v>
      </c>
      <c r="N2007" s="96"/>
      <c r="O200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Row],[orderNum]],ТабПозиции[orderSumm])&gt;1500),ABS(M2007*VLOOKUP(ТабПозиции[[#This Row],[orderNum]],ТабЗаказы[#Data],MATCH("Percent",ТабЗаказы[#Headers],0),0))/100,200/COUNTIF(ТабПозиции[orderNum],ТабПозиции[[#This Row],[orderNum]])),0),"")</f>
        <v>54</v>
      </c>
      <c r="P2007" s="95">
        <f>IF(OR(ТабПозиции[[#This Row],[item]]="По штрихкоду",ТабПозиции[[#This Row],[item]]="Посылка"),ТабПозиции[[#This Row],[deliverySumm]]+ТабПозиции[[#This Row],[deliveryPost]],SUM(M2007:O2007))</f>
        <v>415</v>
      </c>
      <c r="Q2007" s="57">
        <v>415</v>
      </c>
      <c r="R2007" s="62">
        <f>ТабПозиции[[#This Row],[totalSumm]]-ТабПозиции[[#This Row],[payment]]</f>
        <v>0</v>
      </c>
      <c r="S2007" s="34" t="s">
        <v>965</v>
      </c>
      <c r="T2007" s="56" t="s">
        <v>3061</v>
      </c>
      <c r="U2007" s="56" t="str">
        <f>IF(AND(ТабПозиции[[#This Row],[Остаток]]=0,ТабПозиции[[#This Row],[ord]]="true"),"true","false")</f>
        <v>true</v>
      </c>
      <c r="V2007" s="56" t="s">
        <v>3061</v>
      </c>
    </row>
    <row r="2008" spans="1:22" x14ac:dyDescent="0.25">
      <c r="A2008" s="26">
        <v>529</v>
      </c>
      <c r="B2008" s="1">
        <f>IFERROR(VLOOKUP(ТабПозиции[[#This Row],[orderNum]],ТабЗаказы[#Data],MATCH(B$7,ТабЗаказы[#Headers],0),0),"")</f>
        <v>45733</v>
      </c>
      <c r="C2008" s="95" t="str">
        <f>MONTH(ТабПозиции[[#This Row],[date]])&amp;"/"&amp;YEAR(ТабПозиции[[#This Row],[date]])</f>
        <v>3/2025</v>
      </c>
      <c r="D2008" s="1" t="str">
        <f>IFERROR(VLOOKUP(ТабПозиции[[#This Row],[orderNum]],ТабЗаказы[#Data],MATCH(D$7,ТабЗаказы[#Headers],0),0),"")</f>
        <v>Юля Ларисына</v>
      </c>
      <c r="E2008" s="93" t="s">
        <v>2658</v>
      </c>
      <c r="F2008" s="56" t="s">
        <v>3061</v>
      </c>
      <c r="H2008" s="34">
        <v>45734</v>
      </c>
      <c r="I2008" s="96">
        <v>1</v>
      </c>
      <c r="J2008" s="96">
        <v>349</v>
      </c>
      <c r="K2008">
        <f>ТабПозиции[[#This Row],[discountPrice]]*ТабПозиции[[#This Row],[quantity]]</f>
        <v>349</v>
      </c>
      <c r="L2008" s="26">
        <v>368</v>
      </c>
      <c r="M2008">
        <f t="shared" si="45"/>
        <v>368</v>
      </c>
      <c r="N2008" s="96"/>
      <c r="O200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Row],[orderNum]],ТабПозиции[orderSumm])&gt;1500),ABS(M2008*VLOOKUP(ТабПозиции[[#This Row],[orderNum]],ТабЗаказы[#Data],MATCH("Percent",ТабЗаказы[#Headers],0),0))/100,200/COUNTIF(ТабПозиции[orderNum],ТабПозиции[[#This Row],[orderNum]])),0),"")</f>
        <v>55</v>
      </c>
      <c r="P2008" s="95">
        <f>IF(OR(ТабПозиции[[#This Row],[item]]="По штрихкоду",ТабПозиции[[#This Row],[item]]="Посылка"),ТабПозиции[[#This Row],[deliverySumm]]+ТабПозиции[[#This Row],[deliveryPost]],SUM(M2008:O2008))</f>
        <v>423</v>
      </c>
      <c r="Q2008" s="57">
        <v>423</v>
      </c>
      <c r="R2008" s="62">
        <f>ТабПозиции[[#This Row],[totalSumm]]-ТабПозиции[[#This Row],[payment]]</f>
        <v>0</v>
      </c>
      <c r="S2008" s="34" t="s">
        <v>965</v>
      </c>
      <c r="T2008" s="56" t="s">
        <v>3061</v>
      </c>
      <c r="U2008" s="56" t="str">
        <f>IF(AND(ТабПозиции[[#This Row],[Остаток]]=0,ТабПозиции[[#This Row],[ord]]="true"),"true","false")</f>
        <v>true</v>
      </c>
      <c r="V2008" s="56" t="s">
        <v>3061</v>
      </c>
    </row>
    <row r="2009" spans="1:22" x14ac:dyDescent="0.25">
      <c r="A2009" s="26">
        <v>529</v>
      </c>
      <c r="B2009" s="1">
        <f>IFERROR(VLOOKUP(ТабПозиции[[#This Row],[orderNum]],ТабЗаказы[#Data],MATCH(B$7,ТабЗаказы[#Headers],0),0),"")</f>
        <v>45733</v>
      </c>
      <c r="C2009" s="95" t="str">
        <f>MONTH(ТабПозиции[[#This Row],[date]])&amp;"/"&amp;YEAR(ТабПозиции[[#This Row],[date]])</f>
        <v>3/2025</v>
      </c>
      <c r="D2009" s="1" t="str">
        <f>IFERROR(VLOOKUP(ТабПозиции[[#This Row],[orderNum]],ТабЗаказы[#Data],MATCH(D$7,ТабЗаказы[#Headers],0),0),"")</f>
        <v>Юля Ларисына</v>
      </c>
      <c r="E2009" s="93" t="s">
        <v>2659</v>
      </c>
      <c r="F2009" s="56" t="s">
        <v>3061</v>
      </c>
      <c r="H2009" s="34">
        <v>45737</v>
      </c>
      <c r="I2009" s="96">
        <v>1</v>
      </c>
      <c r="J2009" s="96">
        <v>387</v>
      </c>
      <c r="K2009">
        <f>ТабПозиции[[#This Row],[discountPrice]]*ТабПозиции[[#This Row],[quantity]]</f>
        <v>387</v>
      </c>
      <c r="L2009" s="26">
        <v>408</v>
      </c>
      <c r="M2009">
        <f t="shared" si="45"/>
        <v>408</v>
      </c>
      <c r="N2009" s="96"/>
      <c r="O200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Row],[orderNum]],ТабПозиции[orderSumm])&gt;1500),ABS(M2009*VLOOKUP(ТабПозиции[[#This Row],[orderNum]],ТабЗаказы[#Data],MATCH("Percent",ТабЗаказы[#Headers],0),0))/100,200/COUNTIF(ТабПозиции[orderNum],ТабПозиции[[#This Row],[orderNum]])),0),"")</f>
        <v>61</v>
      </c>
      <c r="P2009" s="95">
        <f>IF(OR(ТабПозиции[[#This Row],[item]]="По штрихкоду",ТабПозиции[[#This Row],[item]]="Посылка"),ТабПозиции[[#This Row],[deliverySumm]]+ТабПозиции[[#This Row],[deliveryPost]],SUM(M2009:O2009))</f>
        <v>469</v>
      </c>
      <c r="Q2009" s="57">
        <v>469</v>
      </c>
      <c r="R2009" s="62">
        <f>ТабПозиции[[#This Row],[totalSumm]]-ТабПозиции[[#This Row],[payment]]</f>
        <v>0</v>
      </c>
      <c r="S2009" s="34" t="s">
        <v>965</v>
      </c>
      <c r="T2009" s="56" t="s">
        <v>3061</v>
      </c>
      <c r="U2009" s="56" t="str">
        <f>IF(AND(ТабПозиции[[#This Row],[Остаток]]=0,ТабПозиции[[#This Row],[ord]]="true"),"true","false")</f>
        <v>true</v>
      </c>
      <c r="V2009" s="56" t="s">
        <v>3061</v>
      </c>
    </row>
    <row r="2010" spans="1:22" x14ac:dyDescent="0.25">
      <c r="A2010" s="26">
        <v>529</v>
      </c>
      <c r="B2010" s="1">
        <f>IFERROR(VLOOKUP(ТабПозиции[[#This Row],[orderNum]],ТабЗаказы[#Data],MATCH(B$7,ТабЗаказы[#Headers],0),0),"")</f>
        <v>45733</v>
      </c>
      <c r="C2010" s="95" t="str">
        <f>MONTH(ТабПозиции[[#This Row],[date]])&amp;"/"&amp;YEAR(ТабПозиции[[#This Row],[date]])</f>
        <v>3/2025</v>
      </c>
      <c r="D2010" s="1" t="str">
        <f>IFERROR(VLOOKUP(ТабПозиции[[#This Row],[orderNum]],ТабЗаказы[#Data],MATCH(D$7,ТабЗаказы[#Headers],0),0),"")</f>
        <v>Юля Ларисына</v>
      </c>
      <c r="E2010" s="93" t="s">
        <v>2660</v>
      </c>
      <c r="F2010" s="56" t="s">
        <v>3061</v>
      </c>
      <c r="H2010" s="34">
        <v>45736</v>
      </c>
      <c r="I2010" s="96">
        <v>1</v>
      </c>
      <c r="J2010" s="96">
        <v>187</v>
      </c>
      <c r="K2010">
        <f>ТабПозиции[[#This Row],[discountPrice]]*ТабПозиции[[#This Row],[quantity]]</f>
        <v>187</v>
      </c>
      <c r="L2010" s="26">
        <v>197</v>
      </c>
      <c r="M2010">
        <f t="shared" si="45"/>
        <v>197</v>
      </c>
      <c r="N2010" s="96"/>
      <c r="O201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Row],[orderNum]],ТабПозиции[orderSumm])&gt;1500),ABS(M2010*VLOOKUP(ТабПозиции[[#This Row],[orderNum]],ТабЗаказы[#Data],MATCH("Percent",ТабЗаказы[#Headers],0),0))/100,200/COUNTIF(ТабПозиции[orderNum],ТабПозиции[[#This Row],[orderNum]])),0),"")</f>
        <v>30</v>
      </c>
      <c r="P2010" s="95">
        <f>IF(OR(ТабПозиции[[#This Row],[item]]="По штрихкоду",ТабПозиции[[#This Row],[item]]="Посылка"),ТабПозиции[[#This Row],[deliverySumm]]+ТабПозиции[[#This Row],[deliveryPost]],SUM(M2010:O2010))</f>
        <v>227</v>
      </c>
      <c r="Q2010" s="57">
        <v>227</v>
      </c>
      <c r="R2010" s="62">
        <f>ТабПозиции[[#This Row],[totalSumm]]-ТабПозиции[[#This Row],[payment]]</f>
        <v>0</v>
      </c>
      <c r="S2010" s="34" t="s">
        <v>965</v>
      </c>
      <c r="T2010" s="56" t="s">
        <v>3061</v>
      </c>
      <c r="U2010" s="56" t="str">
        <f>IF(AND(ТабПозиции[[#This Row],[Остаток]]=0,ТабПозиции[[#This Row],[ord]]="true"),"true","false")</f>
        <v>true</v>
      </c>
      <c r="V2010" s="56" t="s">
        <v>3061</v>
      </c>
    </row>
    <row r="2011" spans="1:22" x14ac:dyDescent="0.25">
      <c r="A2011" s="26">
        <v>529</v>
      </c>
      <c r="B2011" s="1">
        <f>IFERROR(VLOOKUP(ТабПозиции[[#This Row],[orderNum]],ТабЗаказы[#Data],MATCH(B$7,ТабЗаказы[#Headers],0),0),"")</f>
        <v>45733</v>
      </c>
      <c r="C2011" s="95" t="str">
        <f>MONTH(ТабПозиции[[#This Row],[date]])&amp;"/"&amp;YEAR(ТабПозиции[[#This Row],[date]])</f>
        <v>3/2025</v>
      </c>
      <c r="D2011" s="1" t="str">
        <f>IFERROR(VLOOKUP(ТабПозиции[[#This Row],[orderNum]],ТабЗаказы[#Data],MATCH(D$7,ТабЗаказы[#Headers],0),0),"")</f>
        <v>Юля Ларисына</v>
      </c>
      <c r="E2011" s="93" t="s">
        <v>2661</v>
      </c>
      <c r="F2011" s="56" t="s">
        <v>3061</v>
      </c>
      <c r="H2011" s="34">
        <v>45736</v>
      </c>
      <c r="I2011" s="96">
        <v>1</v>
      </c>
      <c r="J2011" s="96">
        <v>161</v>
      </c>
      <c r="K2011">
        <f>ТабПозиции[[#This Row],[discountPrice]]*ТабПозиции[[#This Row],[quantity]]</f>
        <v>161</v>
      </c>
      <c r="L2011" s="26">
        <v>170</v>
      </c>
      <c r="M2011">
        <f t="shared" si="45"/>
        <v>170</v>
      </c>
      <c r="N2011" s="96"/>
      <c r="O201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Row],[orderNum]],ТабПозиции[orderSumm])&gt;1500),ABS(M2011*VLOOKUP(ТабПозиции[[#This Row],[orderNum]],ТабЗаказы[#Data],MATCH("Percent",ТабЗаказы[#Headers],0),0))/100,200/COUNTIF(ТабПозиции[orderNum],ТабПозиции[[#This Row],[orderNum]])),0),"")</f>
        <v>26</v>
      </c>
      <c r="P2011" s="95">
        <f>IF(OR(ТабПозиции[[#This Row],[item]]="По штрихкоду",ТабПозиции[[#This Row],[item]]="Посылка"),ТабПозиции[[#This Row],[deliverySumm]]+ТабПозиции[[#This Row],[deliveryPost]],SUM(M2011:O2011))</f>
        <v>196</v>
      </c>
      <c r="Q2011" s="57">
        <v>196</v>
      </c>
      <c r="R2011" s="62">
        <f>ТабПозиции[[#This Row],[totalSumm]]-ТабПозиции[[#This Row],[payment]]</f>
        <v>0</v>
      </c>
      <c r="S2011" s="34" t="s">
        <v>965</v>
      </c>
      <c r="T2011" s="56" t="s">
        <v>3061</v>
      </c>
      <c r="U2011" s="56" t="str">
        <f>IF(AND(ТабПозиции[[#This Row],[Остаток]]=0,ТабПозиции[[#This Row],[ord]]="true"),"true","false")</f>
        <v>true</v>
      </c>
      <c r="V2011" s="56" t="s">
        <v>3061</v>
      </c>
    </row>
    <row r="2012" spans="1:22" x14ac:dyDescent="0.25">
      <c r="A2012" s="26">
        <v>530</v>
      </c>
      <c r="B2012" s="1">
        <f>IFERROR(VLOOKUP(ТабПозиции[[#This Row],[orderNum]],ТабЗаказы[#Data],MATCH(B$7,ТабЗаказы[#Headers],0),0),"")</f>
        <v>45733</v>
      </c>
      <c r="C2012" s="95" t="str">
        <f>MONTH(ТабПозиции[[#This Row],[date]])&amp;"/"&amp;YEAR(ТабПозиции[[#This Row],[date]])</f>
        <v>3/2025</v>
      </c>
      <c r="D2012" s="1" t="str">
        <f>IFERROR(VLOOKUP(ТабПозиции[[#This Row],[orderNum]],ТабЗаказы[#Data],MATCH(D$7,ТабЗаказы[#Headers],0),0),"")</f>
        <v>Митрофанов Евгений</v>
      </c>
      <c r="E2012" s="93" t="s">
        <v>2662</v>
      </c>
      <c r="F2012" s="56" t="s">
        <v>3061</v>
      </c>
      <c r="G2012" s="28" t="s">
        <v>2683</v>
      </c>
      <c r="H2012" s="34">
        <v>45742</v>
      </c>
      <c r="I2012" s="96">
        <v>1</v>
      </c>
      <c r="J2012" s="96">
        <v>6000</v>
      </c>
      <c r="K2012">
        <f>ТабПозиции[[#This Row],[discountPrice]]*ТабПозиции[[#This Row],[quantity]]</f>
        <v>6000</v>
      </c>
      <c r="L2012" s="26">
        <v>6000</v>
      </c>
      <c r="M2012">
        <f t="shared" si="45"/>
        <v>6000</v>
      </c>
      <c r="N2012" s="96">
        <v>659</v>
      </c>
      <c r="O201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Row],[orderNum]],ТабПозиции[orderSumm])&gt;1500),ABS(M2012*VLOOKUP(ТабПозиции[[#This Row],[orderNum]],ТабЗаказы[#Data],MATCH("Percent",ТабЗаказы[#Headers],0),0))/100,200/COUNTIF(ТабПозиции[orderNum],ТабПозиции[[#This Row],[orderNum]])),0),"")</f>
        <v>900</v>
      </c>
      <c r="P2012" s="95">
        <f>IF(OR(ТабПозиции[[#This Row],[item]]="По штрихкоду",ТабПозиции[[#This Row],[item]]="Посылка"),ТабПозиции[[#This Row],[deliverySumm]]+ТабПозиции[[#This Row],[deliveryPost]],SUM(M2012:O2012))</f>
        <v>7559</v>
      </c>
      <c r="Q2012" s="57">
        <v>7559</v>
      </c>
      <c r="R2012" s="62">
        <f>ТабПозиции[[#This Row],[totalSumm]]-ТабПозиции[[#This Row],[payment]]</f>
        <v>0</v>
      </c>
      <c r="S2012" s="34" t="s">
        <v>1113</v>
      </c>
      <c r="T2012" s="56" t="s">
        <v>3061</v>
      </c>
      <c r="U2012" s="56" t="str">
        <f>IF(AND(ТабПозиции[[#This Row],[Остаток]]=0,ТабПозиции[[#This Row],[ord]]="true"),"true","false")</f>
        <v>true</v>
      </c>
      <c r="V2012" s="56" t="s">
        <v>3061</v>
      </c>
    </row>
    <row r="2013" spans="1:22" x14ac:dyDescent="0.25">
      <c r="A2013" s="26">
        <v>531</v>
      </c>
      <c r="B2013" s="1">
        <f>IFERROR(VLOOKUP(ТабПозиции[[#This Row],[orderNum]],ТабЗаказы[#Data],MATCH(B$7,ТабЗаказы[#Headers],0),0),"")</f>
        <v>45734</v>
      </c>
      <c r="C2013" s="95" t="str">
        <f>MONTH(ТабПозиции[[#This Row],[date]])&amp;"/"&amp;YEAR(ТабПозиции[[#This Row],[date]])</f>
        <v>3/2025</v>
      </c>
      <c r="D2013" s="1" t="str">
        <f>IFERROR(VLOOKUP(ТабПозиции[[#This Row],[orderNum]],ТабЗаказы[#Data],MATCH(D$7,ТабЗаказы[#Headers],0),0),"")</f>
        <v>Галина Агабекова(церковь)</v>
      </c>
      <c r="E2013" s="93" t="s">
        <v>2663</v>
      </c>
      <c r="F2013" s="56" t="s">
        <v>3061</v>
      </c>
      <c r="G2013" s="28" t="s">
        <v>2682</v>
      </c>
      <c r="H2013" s="34">
        <v>45743</v>
      </c>
      <c r="I2013" s="96">
        <v>1</v>
      </c>
      <c r="J2013" s="96">
        <v>600</v>
      </c>
      <c r="K2013">
        <f>ТабПозиции[[#This Row],[discountPrice]]*ТабПозиции[[#This Row],[quantity]]</f>
        <v>600</v>
      </c>
      <c r="L2013" s="26">
        <v>600</v>
      </c>
      <c r="M2013">
        <f t="shared" ref="M2013:M2075" si="46">L2013*I2013</f>
        <v>600</v>
      </c>
      <c r="N2013" s="96">
        <v>72</v>
      </c>
      <c r="O201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Row],[orderNum]],ТабПозиции[orderSumm])&gt;1500),ABS(M2013*VLOOKUP(ТабПозиции[[#This Row],[orderNum]],ТабЗаказы[#Data],MATCH("Percent",ТабЗаказы[#Headers],0),0))/100,200/COUNTIF(ТабПозиции[orderNum],ТабПозиции[[#This Row],[orderNum]])),0),"")</f>
        <v>90</v>
      </c>
      <c r="P2013" s="95">
        <f>IF(OR(ТабПозиции[[#This Row],[item]]="По штрихкоду",ТабПозиции[[#This Row],[item]]="Посылка"),ТабПозиции[[#This Row],[deliverySumm]]+ТабПозиции[[#This Row],[deliveryPost]],SUM(M2013:O2013))</f>
        <v>762</v>
      </c>
      <c r="Q2013" s="57">
        <v>762</v>
      </c>
      <c r="R2013" s="62">
        <f>ТабПозиции[[#This Row],[totalSumm]]-ТабПозиции[[#This Row],[payment]]</f>
        <v>0</v>
      </c>
      <c r="S2013" s="34" t="s">
        <v>1113</v>
      </c>
      <c r="T2013" s="56" t="s">
        <v>3061</v>
      </c>
      <c r="U2013" s="56" t="str">
        <f>IF(AND(ТабПозиции[[#This Row],[Остаток]]=0,ТабПозиции[[#This Row],[ord]]="true"),"true","false")</f>
        <v>true</v>
      </c>
      <c r="V2013" s="56" t="s">
        <v>3061</v>
      </c>
    </row>
    <row r="2014" spans="1:22" x14ac:dyDescent="0.25">
      <c r="A2014" s="26">
        <v>531</v>
      </c>
      <c r="B2014" s="1">
        <f>IFERROR(VLOOKUP(ТабПозиции[[#This Row],[orderNum]],ТабЗаказы[#Data],MATCH(B$7,ТабЗаказы[#Headers],0),0),"")</f>
        <v>45734</v>
      </c>
      <c r="C2014" s="95" t="str">
        <f>MONTH(ТабПозиции[[#This Row],[date]])&amp;"/"&amp;YEAR(ТабПозиции[[#This Row],[date]])</f>
        <v>3/2025</v>
      </c>
      <c r="D2014" s="1" t="str">
        <f>IFERROR(VLOOKUP(ТабПозиции[[#This Row],[orderNum]],ТабЗаказы[#Data],MATCH(D$7,ТабЗаказы[#Headers],0),0),"")</f>
        <v>Галина Агабекова(церковь)</v>
      </c>
      <c r="E2014" s="93" t="s">
        <v>2664</v>
      </c>
      <c r="F2014" s="56" t="s">
        <v>3061</v>
      </c>
      <c r="G2014" s="28" t="s">
        <v>2696</v>
      </c>
      <c r="H2014" s="34">
        <v>45743</v>
      </c>
      <c r="I2014" s="96">
        <v>1</v>
      </c>
      <c r="J2014" s="96">
        <v>1397</v>
      </c>
      <c r="K2014">
        <f>ТабПозиции[[#This Row],[discountPrice]]*ТабПозиции[[#This Row],[quantity]]</f>
        <v>1397</v>
      </c>
      <c r="L2014" s="26">
        <v>1397</v>
      </c>
      <c r="M2014">
        <f t="shared" si="46"/>
        <v>1397</v>
      </c>
      <c r="N2014" s="96">
        <v>249</v>
      </c>
      <c r="O201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Row],[orderNum]],ТабПозиции[orderSumm])&gt;1500),ABS(M2014*VLOOKUP(ТабПозиции[[#This Row],[orderNum]],ТабЗаказы[#Data],MATCH("Percent",ТабЗаказы[#Headers],0),0))/100,200/COUNTIF(ТабПозиции[orderNum],ТабПозиции[[#This Row],[orderNum]])),0),"")</f>
        <v>210</v>
      </c>
      <c r="P2014" s="95">
        <f>IF(OR(ТабПозиции[[#This Row],[item]]="По штрихкоду",ТабПозиции[[#This Row],[item]]="Посылка"),ТабПозиции[[#This Row],[deliverySumm]]+ТабПозиции[[#This Row],[deliveryPost]],SUM(M2014:O2014))</f>
        <v>1856</v>
      </c>
      <c r="Q2014" s="57">
        <v>1856</v>
      </c>
      <c r="R2014" s="62">
        <f>ТабПозиции[[#This Row],[totalSumm]]-ТабПозиции[[#This Row],[payment]]</f>
        <v>0</v>
      </c>
      <c r="S2014" s="34" t="s">
        <v>1011</v>
      </c>
      <c r="T2014" s="56" t="s">
        <v>3061</v>
      </c>
      <c r="U2014" s="56" t="str">
        <f>IF(AND(ТабПозиции[[#This Row],[Остаток]]=0,ТабПозиции[[#This Row],[ord]]="true"),"true","false")</f>
        <v>true</v>
      </c>
      <c r="V2014" s="56" t="s">
        <v>3061</v>
      </c>
    </row>
    <row r="2015" spans="1:22" x14ac:dyDescent="0.25">
      <c r="A2015" s="26">
        <v>531</v>
      </c>
      <c r="B2015" s="1">
        <f>IFERROR(VLOOKUP(ТабПозиции[[#This Row],[orderNum]],ТабЗаказы[#Data],MATCH(B$7,ТабЗаказы[#Headers],0),0),"")</f>
        <v>45734</v>
      </c>
      <c r="C2015" s="95" t="str">
        <f>MONTH(ТабПозиции[[#This Row],[date]])&amp;"/"&amp;YEAR(ТабПозиции[[#This Row],[date]])</f>
        <v>3/2025</v>
      </c>
      <c r="D2015" s="1" t="str">
        <f>IFERROR(VLOOKUP(ТабПозиции[[#This Row],[orderNum]],ТабЗаказы[#Data],MATCH(D$7,ТабЗаказы[#Headers],0),0),"")</f>
        <v>Галина Агабекова(церковь)</v>
      </c>
      <c r="E2015" s="93" t="s">
        <v>2665</v>
      </c>
      <c r="F2015" s="56" t="s">
        <v>3061</v>
      </c>
      <c r="H2015" s="34">
        <v>45736</v>
      </c>
      <c r="I2015" s="96">
        <v>1</v>
      </c>
      <c r="J2015" s="96">
        <v>684</v>
      </c>
      <c r="K2015">
        <f>ТабПозиции[[#This Row],[discountPrice]]*ТабПозиции[[#This Row],[quantity]]</f>
        <v>684</v>
      </c>
      <c r="L2015" s="26">
        <v>721</v>
      </c>
      <c r="M2015">
        <f t="shared" si="46"/>
        <v>721</v>
      </c>
      <c r="N2015" s="96"/>
      <c r="O201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Row],[orderNum]],ТабПозиции[orderSumm])&gt;1500),ABS(M2015*VLOOKUP(ТабПозиции[[#This Row],[orderNum]],ТабЗаказы[#Data],MATCH("Percent",ТабЗаказы[#Headers],0),0))/100,200/COUNTIF(ТабПозиции[orderNum],ТабПозиции[[#This Row],[orderNum]])),0),"")</f>
        <v>108</v>
      </c>
      <c r="P2015" s="95">
        <f>IF(OR(ТабПозиции[[#This Row],[item]]="По штрихкоду",ТабПозиции[[#This Row],[item]]="Посылка"),ТабПозиции[[#This Row],[deliverySumm]]+ТабПозиции[[#This Row],[deliveryPost]],SUM(M2015:O2015))</f>
        <v>829</v>
      </c>
      <c r="Q2015" s="57">
        <v>829</v>
      </c>
      <c r="R2015" s="62">
        <f>ТабПозиции[[#This Row],[totalSumm]]-ТабПозиции[[#This Row],[payment]]</f>
        <v>0</v>
      </c>
      <c r="S2015" s="34" t="s">
        <v>965</v>
      </c>
      <c r="T2015" s="56" t="s">
        <v>3061</v>
      </c>
      <c r="U2015" s="56" t="str">
        <f>IF(AND(ТабПозиции[[#This Row],[Остаток]]=0,ТабПозиции[[#This Row],[ord]]="true"),"true","false")</f>
        <v>true</v>
      </c>
      <c r="V2015" s="56" t="s">
        <v>3061</v>
      </c>
    </row>
    <row r="2016" spans="1:22" x14ac:dyDescent="0.25">
      <c r="A2016" s="26">
        <v>531</v>
      </c>
      <c r="B2016" s="1">
        <f>IFERROR(VLOOKUP(ТабПозиции[[#This Row],[orderNum]],ТабЗаказы[#Data],MATCH(B$7,ТабЗаказы[#Headers],0),0),"")</f>
        <v>45734</v>
      </c>
      <c r="C2016" s="95" t="str">
        <f>MONTH(ТабПозиции[[#This Row],[date]])&amp;"/"&amp;YEAR(ТабПозиции[[#This Row],[date]])</f>
        <v>3/2025</v>
      </c>
      <c r="D2016" s="1" t="str">
        <f>IFERROR(VLOOKUP(ТабПозиции[[#This Row],[orderNum]],ТабЗаказы[#Data],MATCH(D$7,ТабЗаказы[#Headers],0),0),"")</f>
        <v>Галина Агабекова(церковь)</v>
      </c>
      <c r="E2016" s="93" t="s">
        <v>2666</v>
      </c>
      <c r="F2016" s="56" t="s">
        <v>3061</v>
      </c>
      <c r="H2016" s="34">
        <v>45735</v>
      </c>
      <c r="I2016" s="96">
        <v>1</v>
      </c>
      <c r="J2016" s="96">
        <v>173</v>
      </c>
      <c r="K2016">
        <f>ТабПозиции[[#This Row],[discountPrice]]*ТабПозиции[[#This Row],[quantity]]</f>
        <v>173</v>
      </c>
      <c r="L2016" s="26">
        <v>180</v>
      </c>
      <c r="M2016">
        <f t="shared" si="46"/>
        <v>180</v>
      </c>
      <c r="N2016" s="96"/>
      <c r="O201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Row],[orderNum]],ТабПозиции[orderSumm])&gt;1500),ABS(M2016*VLOOKUP(ТабПозиции[[#This Row],[orderNum]],ТабЗаказы[#Data],MATCH("Percent",ТабЗаказы[#Headers],0),0))/100,200/COUNTIF(ТабПозиции[orderNum],ТабПозиции[[#This Row],[orderNum]])),0),"")</f>
        <v>27</v>
      </c>
      <c r="P2016" s="95">
        <f>IF(OR(ТабПозиции[[#This Row],[item]]="По штрихкоду",ТабПозиции[[#This Row],[item]]="Посылка"),ТабПозиции[[#This Row],[deliverySumm]]+ТабПозиции[[#This Row],[deliveryPost]],SUM(M2016:O2016))</f>
        <v>207</v>
      </c>
      <c r="Q2016" s="57">
        <v>207</v>
      </c>
      <c r="R2016" s="62">
        <f>ТабПозиции[[#This Row],[totalSumm]]-ТабПозиции[[#This Row],[payment]]</f>
        <v>0</v>
      </c>
      <c r="S2016" s="34" t="s">
        <v>955</v>
      </c>
      <c r="T2016" s="56" t="s">
        <v>3061</v>
      </c>
      <c r="U2016" s="56" t="str">
        <f>IF(AND(ТабПозиции[[#This Row],[Остаток]]=0,ТабПозиции[[#This Row],[ord]]="true"),"true","false")</f>
        <v>true</v>
      </c>
      <c r="V2016" s="56" t="s">
        <v>3061</v>
      </c>
    </row>
    <row r="2017" spans="1:22" x14ac:dyDescent="0.25">
      <c r="A2017" s="26">
        <v>531</v>
      </c>
      <c r="B2017" s="1">
        <f>IFERROR(VLOOKUP(ТабПозиции[[#This Row],[orderNum]],ТабЗаказы[#Data],MATCH(B$7,ТабЗаказы[#Headers],0),0),"")</f>
        <v>45734</v>
      </c>
      <c r="C2017" s="95" t="str">
        <f>MONTH(ТабПозиции[[#This Row],[date]])&amp;"/"&amp;YEAR(ТабПозиции[[#This Row],[date]])</f>
        <v>3/2025</v>
      </c>
      <c r="D2017" s="1" t="str">
        <f>IFERROR(VLOOKUP(ТабПозиции[[#This Row],[orderNum]],ТабЗаказы[#Data],MATCH(D$7,ТабЗаказы[#Headers],0),0),"")</f>
        <v>Галина Агабекова(церковь)</v>
      </c>
      <c r="E2017" s="93" t="s">
        <v>2667</v>
      </c>
      <c r="F2017" s="56" t="s">
        <v>3061</v>
      </c>
      <c r="H2017" s="34">
        <v>45738</v>
      </c>
      <c r="I2017" s="96">
        <v>1</v>
      </c>
      <c r="J2017" s="96">
        <v>272</v>
      </c>
      <c r="K2017">
        <f>ТабПозиции[[#This Row],[discountPrice]]*ТабПозиции[[#This Row],[quantity]]</f>
        <v>272</v>
      </c>
      <c r="L2017" s="26">
        <v>287</v>
      </c>
      <c r="M2017">
        <f t="shared" si="46"/>
        <v>287</v>
      </c>
      <c r="N2017" s="96"/>
      <c r="O201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Row],[orderNum]],ТабПозиции[orderSumm])&gt;1500),ABS(M2017*VLOOKUP(ТабПозиции[[#This Row],[orderNum]],ТабЗаказы[#Data],MATCH("Percent",ТабЗаказы[#Headers],0),0))/100,200/COUNTIF(ТабПозиции[orderNum],ТабПозиции[[#This Row],[orderNum]])),0),"")</f>
        <v>43</v>
      </c>
      <c r="P2017" s="95">
        <f>IF(OR(ТабПозиции[[#This Row],[item]]="По штрихкоду",ТабПозиции[[#This Row],[item]]="Посылка"),ТабПозиции[[#This Row],[deliverySumm]]+ТабПозиции[[#This Row],[deliveryPost]],SUM(M2017:O2017))</f>
        <v>330</v>
      </c>
      <c r="Q2017" s="57">
        <v>330</v>
      </c>
      <c r="R2017" s="62">
        <f>ТабПозиции[[#This Row],[totalSumm]]-ТабПозиции[[#This Row],[payment]]</f>
        <v>0</v>
      </c>
      <c r="S2017" s="34" t="s">
        <v>965</v>
      </c>
      <c r="T2017" s="56" t="s">
        <v>3061</v>
      </c>
      <c r="U2017" s="56" t="str">
        <f>IF(AND(ТабПозиции[[#This Row],[Остаток]]=0,ТабПозиции[[#This Row],[ord]]="true"),"true","false")</f>
        <v>true</v>
      </c>
      <c r="V2017" s="56" t="s">
        <v>3061</v>
      </c>
    </row>
    <row r="2018" spans="1:22" x14ac:dyDescent="0.25">
      <c r="A2018" s="26">
        <v>531</v>
      </c>
      <c r="B2018" s="1">
        <f>IFERROR(VLOOKUP(ТабПозиции[[#This Row],[orderNum]],ТабЗаказы[#Data],MATCH(B$7,ТабЗаказы[#Headers],0),0),"")</f>
        <v>45734</v>
      </c>
      <c r="C2018" s="95" t="str">
        <f>MONTH(ТабПозиции[[#This Row],[date]])&amp;"/"&amp;YEAR(ТабПозиции[[#This Row],[date]])</f>
        <v>3/2025</v>
      </c>
      <c r="D2018" s="1" t="str">
        <f>IFERROR(VLOOKUP(ТабПозиции[[#This Row],[orderNum]],ТабЗаказы[#Data],MATCH(D$7,ТабЗаказы[#Headers],0),0),"")</f>
        <v>Галина Агабекова(церковь)</v>
      </c>
      <c r="E2018" s="93" t="s">
        <v>2667</v>
      </c>
      <c r="F2018" s="56" t="s">
        <v>3061</v>
      </c>
      <c r="H2018" s="34">
        <v>45738</v>
      </c>
      <c r="I2018" s="96">
        <v>1</v>
      </c>
      <c r="J2018" s="96">
        <v>291</v>
      </c>
      <c r="K2018">
        <f>ТабПозиции[[#This Row],[discountPrice]]*ТабПозиции[[#This Row],[quantity]]</f>
        <v>291</v>
      </c>
      <c r="L2018" s="26">
        <v>307</v>
      </c>
      <c r="M2018">
        <f t="shared" si="46"/>
        <v>307</v>
      </c>
      <c r="N2018" s="96"/>
      <c r="O201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Row],[orderNum]],ТабПозиции[orderSumm])&gt;1500),ABS(M2018*VLOOKUP(ТабПозиции[[#This Row],[orderNum]],ТабЗаказы[#Data],MATCH("Percent",ТабЗаказы[#Headers],0),0))/100,200/COUNTIF(ТабПозиции[orderNum],ТабПозиции[[#This Row],[orderNum]])),0),"")</f>
        <v>46</v>
      </c>
      <c r="P2018" s="95">
        <f>IF(OR(ТабПозиции[[#This Row],[item]]="По штрихкоду",ТабПозиции[[#This Row],[item]]="Посылка"),ТабПозиции[[#This Row],[deliverySumm]]+ТабПозиции[[#This Row],[deliveryPost]],SUM(M2018:O2018))</f>
        <v>353</v>
      </c>
      <c r="Q2018" s="57">
        <v>353</v>
      </c>
      <c r="R2018" s="62">
        <f>ТабПозиции[[#This Row],[totalSumm]]-ТабПозиции[[#This Row],[payment]]</f>
        <v>0</v>
      </c>
      <c r="S2018" s="34" t="s">
        <v>965</v>
      </c>
      <c r="T2018" s="56" t="s">
        <v>3061</v>
      </c>
      <c r="U2018" s="56" t="str">
        <f>IF(AND(ТабПозиции[[#This Row],[Остаток]]=0,ТабПозиции[[#This Row],[ord]]="true"),"true","false")</f>
        <v>true</v>
      </c>
      <c r="V2018" s="56" t="s">
        <v>3061</v>
      </c>
    </row>
    <row r="2019" spans="1:22" x14ac:dyDescent="0.25">
      <c r="A2019" s="26">
        <v>531</v>
      </c>
      <c r="B2019" s="1">
        <f>IFERROR(VLOOKUP(ТабПозиции[[#This Row],[orderNum]],ТабЗаказы[#Data],MATCH(B$7,ТабЗаказы[#Headers],0),0),"")</f>
        <v>45734</v>
      </c>
      <c r="C2019" s="95" t="str">
        <f>MONTH(ТабПозиции[[#This Row],[date]])&amp;"/"&amp;YEAR(ТабПозиции[[#This Row],[date]])</f>
        <v>3/2025</v>
      </c>
      <c r="D2019" s="1" t="str">
        <f>IFERROR(VLOOKUP(ТабПозиции[[#This Row],[orderNum]],ТабЗаказы[#Data],MATCH(D$7,ТабЗаказы[#Headers],0),0),"")</f>
        <v>Галина Агабекова(церковь)</v>
      </c>
      <c r="E2019" s="93" t="s">
        <v>2668</v>
      </c>
      <c r="F2019" s="56" t="s">
        <v>3061</v>
      </c>
      <c r="H2019" s="34">
        <v>45744</v>
      </c>
      <c r="I2019" s="96">
        <v>1</v>
      </c>
      <c r="J2019" s="96">
        <v>263</v>
      </c>
      <c r="K2019">
        <f>ТабПозиции[[#This Row],[discountPrice]]*ТабПозиции[[#This Row],[quantity]]</f>
        <v>263</v>
      </c>
      <c r="L2019" s="26">
        <v>271</v>
      </c>
      <c r="M2019">
        <f t="shared" si="46"/>
        <v>271</v>
      </c>
      <c r="N2019" s="96"/>
      <c r="O201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Row],[orderNum]],ТабПозиции[orderSumm])&gt;1500),ABS(M2019*VLOOKUP(ТабПозиции[[#This Row],[orderNum]],ТабЗаказы[#Data],MATCH("Percent",ТабЗаказы[#Headers],0),0))/100,200/COUNTIF(ТабПозиции[orderNum],ТабПозиции[[#This Row],[orderNum]])),0),"")</f>
        <v>41</v>
      </c>
      <c r="P2019" s="95">
        <f>IF(OR(ТабПозиции[[#This Row],[item]]="По штрихкоду",ТабПозиции[[#This Row],[item]]="Посылка"),ТабПозиции[[#This Row],[deliverySumm]]+ТабПозиции[[#This Row],[deliveryPost]],SUM(M2019:O2019))</f>
        <v>312</v>
      </c>
      <c r="Q2019" s="57">
        <v>312</v>
      </c>
      <c r="R2019" s="62">
        <f>ТабПозиции[[#This Row],[totalSumm]]-ТабПозиции[[#This Row],[payment]]</f>
        <v>0</v>
      </c>
      <c r="S2019" s="34" t="s">
        <v>955</v>
      </c>
      <c r="T2019" s="56" t="s">
        <v>3061</v>
      </c>
      <c r="U2019" s="56" t="str">
        <f>IF(AND(ТабПозиции[[#This Row],[Остаток]]=0,ТабПозиции[[#This Row],[ord]]="true"),"true","false")</f>
        <v>true</v>
      </c>
      <c r="V2019" s="56" t="s">
        <v>3061</v>
      </c>
    </row>
    <row r="2020" spans="1:22" x14ac:dyDescent="0.25">
      <c r="A2020" s="26">
        <v>531</v>
      </c>
      <c r="B2020" s="1">
        <f>IFERROR(VLOOKUP(ТабПозиции[[#This Row],[orderNum]],ТабЗаказы[#Data],MATCH(B$7,ТабЗаказы[#Headers],0),0),"")</f>
        <v>45734</v>
      </c>
      <c r="C2020" s="95" t="str">
        <f>MONTH(ТабПозиции[[#This Row],[date]])&amp;"/"&amp;YEAR(ТабПозиции[[#This Row],[date]])</f>
        <v>3/2025</v>
      </c>
      <c r="D2020" s="1" t="str">
        <f>IFERROR(VLOOKUP(ТабПозиции[[#This Row],[orderNum]],ТабЗаказы[#Data],MATCH(D$7,ТабЗаказы[#Headers],0),0),"")</f>
        <v>Галина Агабекова(церковь)</v>
      </c>
      <c r="E2020" s="93" t="s">
        <v>2669</v>
      </c>
      <c r="F2020" s="56" t="s">
        <v>3061</v>
      </c>
      <c r="H2020" s="34">
        <v>45735</v>
      </c>
      <c r="I2020" s="96">
        <v>1</v>
      </c>
      <c r="J2020" s="96">
        <v>179</v>
      </c>
      <c r="K2020">
        <f>ТабПозиции[[#This Row],[discountPrice]]*ТабПозиции[[#This Row],[quantity]]</f>
        <v>179</v>
      </c>
      <c r="L2020" s="26">
        <v>185</v>
      </c>
      <c r="M2020">
        <f t="shared" si="46"/>
        <v>185</v>
      </c>
      <c r="N2020" s="96"/>
      <c r="O202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Row],[orderNum]],ТабПозиции[orderSumm])&gt;1500),ABS(M2020*VLOOKUP(ТабПозиции[[#This Row],[orderNum]],ТабЗаказы[#Data],MATCH("Percent",ТабЗаказы[#Headers],0),0))/100,200/COUNTIF(ТабПозиции[orderNum],ТабПозиции[[#This Row],[orderNum]])),0),"")</f>
        <v>28</v>
      </c>
      <c r="P2020" s="95">
        <f>IF(OR(ТабПозиции[[#This Row],[item]]="По штрихкоду",ТабПозиции[[#This Row],[item]]="Посылка"),ТабПозиции[[#This Row],[deliverySumm]]+ТабПозиции[[#This Row],[deliveryPost]],SUM(M2020:O2020))</f>
        <v>213</v>
      </c>
      <c r="Q2020" s="57">
        <v>213</v>
      </c>
      <c r="R2020" s="62">
        <f>ТабПозиции[[#This Row],[totalSumm]]-ТабПозиции[[#This Row],[payment]]</f>
        <v>0</v>
      </c>
      <c r="S2020" s="34" t="s">
        <v>955</v>
      </c>
      <c r="T2020" s="56" t="s">
        <v>3061</v>
      </c>
      <c r="U2020" s="56" t="str">
        <f>IF(AND(ТабПозиции[[#This Row],[Остаток]]=0,ТабПозиции[[#This Row],[ord]]="true"),"true","false")</f>
        <v>true</v>
      </c>
      <c r="V2020" s="56" t="s">
        <v>3061</v>
      </c>
    </row>
    <row r="2021" spans="1:22" x14ac:dyDescent="0.25">
      <c r="A2021" s="26">
        <v>531</v>
      </c>
      <c r="B2021" s="1">
        <f>IFERROR(VLOOKUP(ТабПозиции[[#This Row],[orderNum]],ТабЗаказы[#Data],MATCH(B$7,ТабЗаказы[#Headers],0),0),"")</f>
        <v>45734</v>
      </c>
      <c r="C2021" s="95" t="str">
        <f>MONTH(ТабПозиции[[#This Row],[date]])&amp;"/"&amp;YEAR(ТабПозиции[[#This Row],[date]])</f>
        <v>3/2025</v>
      </c>
      <c r="D2021" s="1" t="str">
        <f>IFERROR(VLOOKUP(ТабПозиции[[#This Row],[orderNum]],ТабЗаказы[#Data],MATCH(D$7,ТабЗаказы[#Headers],0),0),"")</f>
        <v>Галина Агабекова(церковь)</v>
      </c>
      <c r="E2021" s="93" t="s">
        <v>2670</v>
      </c>
      <c r="F2021" s="56" t="s">
        <v>3061</v>
      </c>
      <c r="H2021" s="34">
        <v>45746</v>
      </c>
      <c r="I2021" s="96">
        <v>1</v>
      </c>
      <c r="J2021" s="96">
        <v>252</v>
      </c>
      <c r="K2021">
        <f>ТабПозиции[[#This Row],[discountPrice]]*ТабПозиции[[#This Row],[quantity]]</f>
        <v>252</v>
      </c>
      <c r="L2021" s="26">
        <v>260</v>
      </c>
      <c r="M2021">
        <f t="shared" si="46"/>
        <v>260</v>
      </c>
      <c r="N2021" s="96"/>
      <c r="O202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Row],[orderNum]],ТабПозиции[orderSumm])&gt;1500),ABS(M2021*VLOOKUP(ТабПозиции[[#This Row],[orderNum]],ТабЗаказы[#Data],MATCH("Percent",ТабЗаказы[#Headers],0),0))/100,200/COUNTIF(ТабПозиции[orderNum],ТабПозиции[[#This Row],[orderNum]])),0),"")</f>
        <v>39</v>
      </c>
      <c r="P2021" s="95">
        <f>IF(OR(ТабПозиции[[#This Row],[item]]="По штрихкоду",ТабПозиции[[#This Row],[item]]="Посылка"),ТабПозиции[[#This Row],[deliverySumm]]+ТабПозиции[[#This Row],[deliveryPost]],SUM(M2021:O2021))</f>
        <v>299</v>
      </c>
      <c r="Q2021" s="57">
        <v>299</v>
      </c>
      <c r="R2021" s="62">
        <f>ТабПозиции[[#This Row],[totalSumm]]-ТабПозиции[[#This Row],[payment]]</f>
        <v>0</v>
      </c>
      <c r="S2021" s="34" t="s">
        <v>955</v>
      </c>
      <c r="T2021" s="56" t="s">
        <v>3061</v>
      </c>
      <c r="U2021" s="56" t="str">
        <f>IF(AND(ТабПозиции[[#This Row],[Остаток]]=0,ТабПозиции[[#This Row],[ord]]="true"),"true","false")</f>
        <v>true</v>
      </c>
      <c r="V2021" s="56" t="s">
        <v>3061</v>
      </c>
    </row>
    <row r="2022" spans="1:22" x14ac:dyDescent="0.25">
      <c r="A2022" s="26">
        <v>531</v>
      </c>
      <c r="B2022" s="1">
        <f>IFERROR(VLOOKUP(ТабПозиции[[#This Row],[orderNum]],ТабЗаказы[#Data],MATCH(B$7,ТабЗаказы[#Headers],0),0),"")</f>
        <v>45734</v>
      </c>
      <c r="C2022" s="95" t="str">
        <f>MONTH(ТабПозиции[[#This Row],[date]])&amp;"/"&amp;YEAR(ТабПозиции[[#This Row],[date]])</f>
        <v>3/2025</v>
      </c>
      <c r="D2022" s="1" t="str">
        <f>IFERROR(VLOOKUP(ТабПозиции[[#This Row],[orderNum]],ТабЗаказы[#Data],MATCH(D$7,ТабЗаказы[#Headers],0),0),"")</f>
        <v>Галина Агабекова(церковь)</v>
      </c>
      <c r="E2022" s="93" t="s">
        <v>2671</v>
      </c>
      <c r="F2022" s="56" t="s">
        <v>3061</v>
      </c>
      <c r="G2022" s="28" t="s">
        <v>2694</v>
      </c>
      <c r="H2022" s="34">
        <v>45740</v>
      </c>
      <c r="I2022" s="96">
        <v>1</v>
      </c>
      <c r="J2022" s="96">
        <v>55</v>
      </c>
      <c r="K2022">
        <f>ТабПозиции[[#This Row],[discountPrice]]*ТабПозиции[[#This Row],[quantity]]</f>
        <v>55</v>
      </c>
      <c r="L2022" s="26">
        <v>55</v>
      </c>
      <c r="M2022">
        <f t="shared" si="46"/>
        <v>55</v>
      </c>
      <c r="N2022" s="96"/>
      <c r="O202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Row],[orderNum]],ТабПозиции[orderSumm])&gt;1500),ABS(M2022*VLOOKUP(ТабПозиции[[#This Row],[orderNum]],ТабЗаказы[#Data],MATCH("Percent",ТабЗаказы[#Headers],0),0))/100,200/COUNTIF(ТабПозиции[orderNum],ТабПозиции[[#This Row],[orderNum]])),0),"")</f>
        <v>8</v>
      </c>
      <c r="P2022" s="95">
        <f>IF(OR(ТабПозиции[[#This Row],[item]]="По штрихкоду",ТабПозиции[[#This Row],[item]]="Посылка"),ТабПозиции[[#This Row],[deliverySumm]]+ТабПозиции[[#This Row],[deliveryPost]],SUM(M2022:O2022))</f>
        <v>63</v>
      </c>
      <c r="Q2022" s="57">
        <v>63</v>
      </c>
      <c r="R2022" s="62">
        <f>ТабПозиции[[#This Row],[totalSumm]]-ТабПозиции[[#This Row],[payment]]</f>
        <v>0</v>
      </c>
      <c r="S2022" s="34" t="s">
        <v>1000</v>
      </c>
      <c r="T2022" s="56" t="s">
        <v>3061</v>
      </c>
      <c r="U2022" s="56" t="str">
        <f>IF(AND(ТабПозиции[[#This Row],[Остаток]]=0,ТабПозиции[[#This Row],[ord]]="true"),"true","false")</f>
        <v>true</v>
      </c>
      <c r="V2022" s="56" t="s">
        <v>3061</v>
      </c>
    </row>
    <row r="2023" spans="1:22" x14ac:dyDescent="0.25">
      <c r="A2023" s="26">
        <v>531</v>
      </c>
      <c r="B2023" s="1">
        <f>IFERROR(VLOOKUP(ТабПозиции[[#This Row],[orderNum]],ТабЗаказы[#Data],MATCH(B$7,ТабЗаказы[#Headers],0),0),"")</f>
        <v>45734</v>
      </c>
      <c r="C2023" s="95" t="str">
        <f>MONTH(ТабПозиции[[#This Row],[date]])&amp;"/"&amp;YEAR(ТабПозиции[[#This Row],[date]])</f>
        <v>3/2025</v>
      </c>
      <c r="D2023" s="1" t="str">
        <f>IFERROR(VLOOKUP(ТабПозиции[[#This Row],[orderNum]],ТабЗаказы[#Data],MATCH(D$7,ТабЗаказы[#Headers],0),0),"")</f>
        <v>Галина Агабекова(церковь)</v>
      </c>
      <c r="E2023" s="93" t="s">
        <v>2672</v>
      </c>
      <c r="F2023" s="56" t="s">
        <v>3061</v>
      </c>
      <c r="G2023" s="28" t="s">
        <v>2694</v>
      </c>
      <c r="H2023" s="34">
        <v>45740</v>
      </c>
      <c r="I2023" s="96">
        <v>1</v>
      </c>
      <c r="J2023" s="96">
        <v>150</v>
      </c>
      <c r="K2023">
        <f>ТабПозиции[[#This Row],[discountPrice]]*ТабПозиции[[#This Row],[quantity]]</f>
        <v>150</v>
      </c>
      <c r="L2023" s="26">
        <v>150</v>
      </c>
      <c r="M2023">
        <f t="shared" si="46"/>
        <v>150</v>
      </c>
      <c r="N2023" s="96"/>
      <c r="O202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Row],[orderNum]],ТабПозиции[orderSumm])&gt;1500),ABS(M2023*VLOOKUP(ТабПозиции[[#This Row],[orderNum]],ТабЗаказы[#Data],MATCH("Percent",ТабЗаказы[#Headers],0),0))/100,200/COUNTIF(ТабПозиции[orderNum],ТабПозиции[[#This Row],[orderNum]])),0),"")</f>
        <v>23</v>
      </c>
      <c r="P2023" s="95">
        <f>IF(OR(ТабПозиции[[#This Row],[item]]="По штрихкоду",ТабПозиции[[#This Row],[item]]="Посылка"),ТабПозиции[[#This Row],[deliverySumm]]+ТабПозиции[[#This Row],[deliveryPost]],SUM(M2023:O2023))</f>
        <v>173</v>
      </c>
      <c r="Q2023" s="57">
        <v>173</v>
      </c>
      <c r="R2023" s="62">
        <f>ТабПозиции[[#This Row],[totalSumm]]-ТабПозиции[[#This Row],[payment]]</f>
        <v>0</v>
      </c>
      <c r="S2023" s="34" t="s">
        <v>1000</v>
      </c>
      <c r="T2023" s="56" t="s">
        <v>3061</v>
      </c>
      <c r="U2023" s="56" t="str">
        <f>IF(AND(ТабПозиции[[#This Row],[Остаток]]=0,ТабПозиции[[#This Row],[ord]]="true"),"true","false")</f>
        <v>true</v>
      </c>
      <c r="V2023" s="56" t="s">
        <v>3061</v>
      </c>
    </row>
    <row r="2024" spans="1:22" x14ac:dyDescent="0.25">
      <c r="A2024" s="26">
        <v>531</v>
      </c>
      <c r="B2024" s="1">
        <f>IFERROR(VLOOKUP(ТабПозиции[[#This Row],[orderNum]],ТабЗаказы[#Data],MATCH(B$7,ТабЗаказы[#Headers],0),0),"")</f>
        <v>45734</v>
      </c>
      <c r="C2024" s="95" t="str">
        <f>MONTH(ТабПозиции[[#This Row],[date]])&amp;"/"&amp;YEAR(ТабПозиции[[#This Row],[date]])</f>
        <v>3/2025</v>
      </c>
      <c r="D2024" s="1" t="str">
        <f>IFERROR(VLOOKUP(ТабПозиции[[#This Row],[orderNum]],ТабЗаказы[#Data],MATCH(D$7,ТабЗаказы[#Headers],0),0),"")</f>
        <v>Галина Агабекова(церковь)</v>
      </c>
      <c r="E2024" s="93" t="s">
        <v>2673</v>
      </c>
      <c r="F2024" s="56" t="s">
        <v>3061</v>
      </c>
      <c r="H2024" s="34">
        <v>45738</v>
      </c>
      <c r="I2024" s="96">
        <v>1</v>
      </c>
      <c r="J2024" s="96">
        <v>327</v>
      </c>
      <c r="K2024">
        <f>ТабПозиции[[#This Row],[discountPrice]]*ТабПозиции[[#This Row],[quantity]]</f>
        <v>327</v>
      </c>
      <c r="L2024" s="26">
        <v>336</v>
      </c>
      <c r="M2024">
        <f t="shared" si="46"/>
        <v>336</v>
      </c>
      <c r="N2024" s="96"/>
      <c r="O202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Row],[orderNum]],ТабПозиции[orderSumm])&gt;1500),ABS(M2024*VLOOKUP(ТабПозиции[[#This Row],[orderNum]],ТабЗаказы[#Data],MATCH("Percent",ТабЗаказы[#Headers],0),0))/100,200/COUNTIF(ТабПозиции[orderNum],ТабПозиции[[#This Row],[orderNum]])),0),"")</f>
        <v>50</v>
      </c>
      <c r="P2024" s="95">
        <f>IF(OR(ТабПозиции[[#This Row],[item]]="По штрихкоду",ТабПозиции[[#This Row],[item]]="Посылка"),ТабПозиции[[#This Row],[deliverySumm]]+ТабПозиции[[#This Row],[deliveryPost]],SUM(M2024:O2024))</f>
        <v>386</v>
      </c>
      <c r="Q2024" s="57">
        <v>386</v>
      </c>
      <c r="R2024" s="62">
        <f>ТабПозиции[[#This Row],[totalSumm]]-ТабПозиции[[#This Row],[payment]]</f>
        <v>0</v>
      </c>
      <c r="S2024" s="34" t="s">
        <v>955</v>
      </c>
      <c r="T2024" s="56" t="s">
        <v>3061</v>
      </c>
      <c r="U2024" s="56" t="str">
        <f>IF(AND(ТабПозиции[[#This Row],[Остаток]]=0,ТабПозиции[[#This Row],[ord]]="true"),"true","false")</f>
        <v>true</v>
      </c>
      <c r="V2024" s="56" t="s">
        <v>3061</v>
      </c>
    </row>
    <row r="2025" spans="1:22" x14ac:dyDescent="0.25">
      <c r="A2025" s="26">
        <v>531</v>
      </c>
      <c r="B2025" s="1">
        <f>IFERROR(VLOOKUP(ТабПозиции[[#This Row],[orderNum]],ТабЗаказы[#Data],MATCH(B$7,ТабЗаказы[#Headers],0),0),"")</f>
        <v>45734</v>
      </c>
      <c r="C2025" s="95" t="str">
        <f>MONTH(ТабПозиции[[#This Row],[date]])&amp;"/"&amp;YEAR(ТабПозиции[[#This Row],[date]])</f>
        <v>3/2025</v>
      </c>
      <c r="D2025" s="1" t="str">
        <f>IFERROR(VLOOKUP(ТабПозиции[[#This Row],[orderNum]],ТабЗаказы[#Data],MATCH(D$7,ТабЗаказы[#Headers],0),0),"")</f>
        <v>Галина Агабекова(церковь)</v>
      </c>
      <c r="E2025" s="93" t="s">
        <v>2674</v>
      </c>
      <c r="F2025" s="56" t="s">
        <v>3061</v>
      </c>
      <c r="G2025" s="28" t="s">
        <v>2694</v>
      </c>
      <c r="H2025" s="34">
        <v>45740</v>
      </c>
      <c r="I2025" s="96">
        <v>1</v>
      </c>
      <c r="J2025" s="96">
        <v>85</v>
      </c>
      <c r="K2025">
        <f>ТабПозиции[[#This Row],[discountPrice]]*ТабПозиции[[#This Row],[quantity]]</f>
        <v>85</v>
      </c>
      <c r="L2025" s="26">
        <v>85</v>
      </c>
      <c r="M2025">
        <f t="shared" si="46"/>
        <v>85</v>
      </c>
      <c r="N2025" s="96"/>
      <c r="O202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Row],[orderNum]],ТабПозиции[orderSumm])&gt;1500),ABS(M2025*VLOOKUP(ТабПозиции[[#This Row],[orderNum]],ТабЗаказы[#Data],MATCH("Percent",ТабЗаказы[#Headers],0),0))/100,200/COUNTIF(ТабПозиции[orderNum],ТабПозиции[[#This Row],[orderNum]])),0),"")</f>
        <v>13</v>
      </c>
      <c r="P2025" s="95">
        <f>IF(OR(ТабПозиции[[#This Row],[item]]="По штрихкоду",ТабПозиции[[#This Row],[item]]="Посылка"),ТабПозиции[[#This Row],[deliverySumm]]+ТабПозиции[[#This Row],[deliveryPost]],SUM(M2025:O2025))</f>
        <v>98</v>
      </c>
      <c r="Q2025" s="57">
        <v>98</v>
      </c>
      <c r="R2025" s="62">
        <f>ТабПозиции[[#This Row],[totalSumm]]-ТабПозиции[[#This Row],[payment]]</f>
        <v>0</v>
      </c>
      <c r="S2025" s="34" t="s">
        <v>1000</v>
      </c>
      <c r="T2025" s="56" t="s">
        <v>3061</v>
      </c>
      <c r="U2025" s="56" t="str">
        <f>IF(AND(ТабПозиции[[#This Row],[Остаток]]=0,ТабПозиции[[#This Row],[ord]]="true"),"true","false")</f>
        <v>true</v>
      </c>
      <c r="V2025" s="56" t="s">
        <v>3061</v>
      </c>
    </row>
    <row r="2026" spans="1:22" x14ac:dyDescent="0.25">
      <c r="A2026" s="26">
        <v>531</v>
      </c>
      <c r="B2026" s="1">
        <f>IFERROR(VLOOKUP(ТабПозиции[[#This Row],[orderNum]],ТабЗаказы[#Data],MATCH(B$7,ТабЗаказы[#Headers],0),0),"")</f>
        <v>45734</v>
      </c>
      <c r="C2026" s="95" t="str">
        <f>MONTH(ТабПозиции[[#This Row],[date]])&amp;"/"&amp;YEAR(ТабПозиции[[#This Row],[date]])</f>
        <v>3/2025</v>
      </c>
      <c r="D2026" s="1" t="str">
        <f>IFERROR(VLOOKUP(ТабПозиции[[#This Row],[orderNum]],ТабЗаказы[#Data],MATCH(D$7,ТабЗаказы[#Headers],0),0),"")</f>
        <v>Галина Агабекова(церковь)</v>
      </c>
      <c r="E2026" s="93" t="s">
        <v>2675</v>
      </c>
      <c r="F2026" s="56" t="s">
        <v>3061</v>
      </c>
      <c r="G2026" s="28" t="s">
        <v>2694</v>
      </c>
      <c r="H2026" s="34">
        <v>45740</v>
      </c>
      <c r="I2026" s="96">
        <v>1</v>
      </c>
      <c r="J2026" s="96">
        <v>45</v>
      </c>
      <c r="K2026">
        <f>ТабПозиции[[#This Row],[discountPrice]]*ТабПозиции[[#This Row],[quantity]]</f>
        <v>45</v>
      </c>
      <c r="L2026" s="26">
        <v>45</v>
      </c>
      <c r="M2026">
        <f t="shared" si="46"/>
        <v>45</v>
      </c>
      <c r="N2026" s="96"/>
      <c r="O202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Row],[orderNum]],ТабПозиции[orderSumm])&gt;1500),ABS(M2026*VLOOKUP(ТабПозиции[[#This Row],[orderNum]],ТабЗаказы[#Data],MATCH("Percent",ТабЗаказы[#Headers],0),0))/100,200/COUNTIF(ТабПозиции[orderNum],ТабПозиции[[#This Row],[orderNum]])),0),"")</f>
        <v>7</v>
      </c>
      <c r="P2026" s="95">
        <f>IF(OR(ТабПозиции[[#This Row],[item]]="По штрихкоду",ТабПозиции[[#This Row],[item]]="Посылка"),ТабПозиции[[#This Row],[deliverySumm]]+ТабПозиции[[#This Row],[deliveryPost]],SUM(M2026:O2026))</f>
        <v>52</v>
      </c>
      <c r="Q2026" s="57">
        <v>52</v>
      </c>
      <c r="R2026" s="62">
        <f>ТабПозиции[[#This Row],[totalSumm]]-ТабПозиции[[#This Row],[payment]]</f>
        <v>0</v>
      </c>
      <c r="S2026" s="34" t="s">
        <v>1000</v>
      </c>
      <c r="T2026" s="56" t="s">
        <v>3061</v>
      </c>
      <c r="U2026" s="56" t="str">
        <f>IF(AND(ТабПозиции[[#This Row],[Остаток]]=0,ТабПозиции[[#This Row],[ord]]="true"),"true","false")</f>
        <v>true</v>
      </c>
      <c r="V2026" s="56" t="s">
        <v>3061</v>
      </c>
    </row>
    <row r="2027" spans="1:22" x14ac:dyDescent="0.25">
      <c r="A2027" s="26">
        <v>531</v>
      </c>
      <c r="B2027" s="1">
        <f>IFERROR(VLOOKUP(ТабПозиции[[#This Row],[orderNum]],ТабЗаказы[#Data],MATCH(B$7,ТабЗаказы[#Headers],0),0),"")</f>
        <v>45734</v>
      </c>
      <c r="C2027" s="95" t="str">
        <f>MONTH(ТабПозиции[[#This Row],[date]])&amp;"/"&amp;YEAR(ТабПозиции[[#This Row],[date]])</f>
        <v>3/2025</v>
      </c>
      <c r="D2027" s="1" t="str">
        <f>IFERROR(VLOOKUP(ТабПозиции[[#This Row],[orderNum]],ТабЗаказы[#Data],MATCH(D$7,ТабЗаказы[#Headers],0),0),"")</f>
        <v>Галина Агабекова(церковь)</v>
      </c>
      <c r="E2027" s="93" t="s">
        <v>2676</v>
      </c>
      <c r="F2027" s="56" t="s">
        <v>3061</v>
      </c>
      <c r="G2027" s="28" t="s">
        <v>2694</v>
      </c>
      <c r="H2027" s="34">
        <v>45740</v>
      </c>
      <c r="I2027" s="96">
        <v>1</v>
      </c>
      <c r="J2027" s="96">
        <v>90</v>
      </c>
      <c r="K2027">
        <f>ТабПозиции[[#This Row],[discountPrice]]*ТабПозиции[[#This Row],[quantity]]</f>
        <v>90</v>
      </c>
      <c r="L2027" s="26">
        <v>90</v>
      </c>
      <c r="M2027">
        <f t="shared" si="46"/>
        <v>90</v>
      </c>
      <c r="N2027" s="96"/>
      <c r="O202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Row],[orderNum]],ТабПозиции[orderSumm])&gt;1500),ABS(M2027*VLOOKUP(ТабПозиции[[#This Row],[orderNum]],ТабЗаказы[#Data],MATCH("Percent",ТабЗаказы[#Headers],0),0))/100,200/COUNTIF(ТабПозиции[orderNum],ТабПозиции[[#This Row],[orderNum]])),0),"")</f>
        <v>14</v>
      </c>
      <c r="P2027" s="95">
        <f>IF(OR(ТабПозиции[[#This Row],[item]]="По штрихкоду",ТабПозиции[[#This Row],[item]]="Посылка"),ТабПозиции[[#This Row],[deliverySumm]]+ТабПозиции[[#This Row],[deliveryPost]],SUM(M2027:O2027))</f>
        <v>104</v>
      </c>
      <c r="Q2027" s="57">
        <v>104</v>
      </c>
      <c r="R2027" s="62">
        <f>ТабПозиции[[#This Row],[totalSumm]]-ТабПозиции[[#This Row],[payment]]</f>
        <v>0</v>
      </c>
      <c r="S2027" s="34" t="s">
        <v>1000</v>
      </c>
      <c r="T2027" s="56" t="s">
        <v>3061</v>
      </c>
      <c r="U2027" s="56" t="str">
        <f>IF(AND(ТабПозиции[[#This Row],[Остаток]]=0,ТабПозиции[[#This Row],[ord]]="true"),"true","false")</f>
        <v>true</v>
      </c>
      <c r="V2027" s="56" t="s">
        <v>3061</v>
      </c>
    </row>
    <row r="2028" spans="1:22" x14ac:dyDescent="0.25">
      <c r="A2028" s="26">
        <v>531</v>
      </c>
      <c r="B2028" s="1">
        <f>IFERROR(VLOOKUP(ТабПозиции[[#This Row],[orderNum]],ТабЗаказы[#Data],MATCH(B$7,ТабЗаказы[#Headers],0),0),"")</f>
        <v>45734</v>
      </c>
      <c r="C2028" s="95" t="str">
        <f>MONTH(ТабПозиции[[#This Row],[date]])&amp;"/"&amp;YEAR(ТабПозиции[[#This Row],[date]])</f>
        <v>3/2025</v>
      </c>
      <c r="D2028" s="1" t="str">
        <f>IFERROR(VLOOKUP(ТабПозиции[[#This Row],[orderNum]],ТабЗаказы[#Data],MATCH(D$7,ТабЗаказы[#Headers],0),0),"")</f>
        <v>Галина Агабекова(церковь)</v>
      </c>
      <c r="E2028" s="93" t="s">
        <v>2677</v>
      </c>
      <c r="F2028" s="56" t="s">
        <v>3061</v>
      </c>
      <c r="G2028" s="28" t="s">
        <v>2694</v>
      </c>
      <c r="H2028" s="34">
        <v>45740</v>
      </c>
      <c r="I2028" s="96">
        <v>1</v>
      </c>
      <c r="J2028" s="96">
        <v>590</v>
      </c>
      <c r="K2028">
        <f>ТабПозиции[[#This Row],[discountPrice]]*ТабПозиции[[#This Row],[quantity]]</f>
        <v>590</v>
      </c>
      <c r="L2028" s="26">
        <v>590</v>
      </c>
      <c r="M2028">
        <f t="shared" si="46"/>
        <v>590</v>
      </c>
      <c r="N2028" s="96"/>
      <c r="O202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Row],[orderNum]],ТабПозиции[orderSumm])&gt;1500),ABS(M2028*VLOOKUP(ТабПозиции[[#This Row],[orderNum]],ТабЗаказы[#Data],MATCH("Percent",ТабЗаказы[#Headers],0),0))/100,200/COUNTIF(ТабПозиции[orderNum],ТабПозиции[[#This Row],[orderNum]])),0),"")</f>
        <v>89</v>
      </c>
      <c r="P2028" s="95">
        <f>IF(OR(ТабПозиции[[#This Row],[item]]="По штрихкоду",ТабПозиции[[#This Row],[item]]="Посылка"),ТабПозиции[[#This Row],[deliverySumm]]+ТабПозиции[[#This Row],[deliveryPost]],SUM(M2028:O2028))</f>
        <v>679</v>
      </c>
      <c r="Q2028" s="57">
        <v>679</v>
      </c>
      <c r="R2028" s="62">
        <f>ТабПозиции[[#This Row],[totalSumm]]-ТабПозиции[[#This Row],[payment]]</f>
        <v>0</v>
      </c>
      <c r="S2028" s="34" t="s">
        <v>1000</v>
      </c>
      <c r="T2028" s="56" t="s">
        <v>3061</v>
      </c>
      <c r="U2028" s="56" t="str">
        <f>IF(AND(ТабПозиции[[#This Row],[Остаток]]=0,ТабПозиции[[#This Row],[ord]]="true"),"true","false")</f>
        <v>true</v>
      </c>
      <c r="V2028" s="56" t="s">
        <v>3061</v>
      </c>
    </row>
    <row r="2029" spans="1:22" x14ac:dyDescent="0.25">
      <c r="A2029" s="26">
        <v>531</v>
      </c>
      <c r="B2029" s="1">
        <f>IFERROR(VLOOKUP(ТабПозиции[[#This Row],[orderNum]],ТабЗаказы[#Data],MATCH(B$7,ТабЗаказы[#Headers],0),0),"")</f>
        <v>45734</v>
      </c>
      <c r="C2029" s="95" t="str">
        <f>MONTH(ТабПозиции[[#This Row],[date]])&amp;"/"&amp;YEAR(ТабПозиции[[#This Row],[date]])</f>
        <v>3/2025</v>
      </c>
      <c r="D2029" s="1" t="str">
        <f>IFERROR(VLOOKUP(ТабПозиции[[#This Row],[orderNum]],ТабЗаказы[#Data],MATCH(D$7,ТабЗаказы[#Headers],0),0),"")</f>
        <v>Галина Агабекова(церковь)</v>
      </c>
      <c r="E2029" s="93" t="s">
        <v>2678</v>
      </c>
      <c r="F2029" s="56" t="s">
        <v>3061</v>
      </c>
      <c r="G2029" s="28" t="s">
        <v>2694</v>
      </c>
      <c r="H2029" s="34">
        <v>45740</v>
      </c>
      <c r="I2029" s="96">
        <v>1</v>
      </c>
      <c r="J2029" s="96">
        <v>100</v>
      </c>
      <c r="K2029">
        <f>ТабПозиции[[#This Row],[discountPrice]]*ТабПозиции[[#This Row],[quantity]]</f>
        <v>100</v>
      </c>
      <c r="L2029" s="26">
        <v>100</v>
      </c>
      <c r="M2029">
        <f t="shared" si="46"/>
        <v>100</v>
      </c>
      <c r="N2029" s="96"/>
      <c r="O202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Row],[orderNum]],ТабПозиции[orderSumm])&gt;1500),ABS(M2029*VLOOKUP(ТабПозиции[[#This Row],[orderNum]],ТабЗаказы[#Data],MATCH("Percent",ТабЗаказы[#Headers],0),0))/100,200/COUNTIF(ТабПозиции[orderNum],ТабПозиции[[#This Row],[orderNum]])),0),"")</f>
        <v>15</v>
      </c>
      <c r="P2029" s="95">
        <f>IF(OR(ТабПозиции[[#This Row],[item]]="По штрихкоду",ТабПозиции[[#This Row],[item]]="Посылка"),ТабПозиции[[#This Row],[deliverySumm]]+ТабПозиции[[#This Row],[deliveryPost]],SUM(M2029:O2029))</f>
        <v>115</v>
      </c>
      <c r="Q2029" s="57">
        <v>115</v>
      </c>
      <c r="R2029" s="62">
        <f>ТабПозиции[[#This Row],[totalSumm]]-ТабПозиции[[#This Row],[payment]]</f>
        <v>0</v>
      </c>
      <c r="S2029" s="34" t="s">
        <v>1000</v>
      </c>
      <c r="T2029" s="56" t="s">
        <v>3061</v>
      </c>
      <c r="U2029" s="56" t="str">
        <f>IF(AND(ТабПозиции[[#This Row],[Остаток]]=0,ТабПозиции[[#This Row],[ord]]="true"),"true","false")</f>
        <v>true</v>
      </c>
      <c r="V2029" s="56" t="s">
        <v>3061</v>
      </c>
    </row>
    <row r="2030" spans="1:22" x14ac:dyDescent="0.25">
      <c r="A2030" s="26">
        <v>531</v>
      </c>
      <c r="B2030" s="1">
        <f>IFERROR(VLOOKUP(ТабПозиции[[#This Row],[orderNum]],ТабЗаказы[#Data],MATCH(B$7,ТабЗаказы[#Headers],0),0),"")</f>
        <v>45734</v>
      </c>
      <c r="C2030" s="95" t="str">
        <f>MONTH(ТабПозиции[[#This Row],[date]])&amp;"/"&amp;YEAR(ТабПозиции[[#This Row],[date]])</f>
        <v>3/2025</v>
      </c>
      <c r="D2030" s="1" t="str">
        <f>IFERROR(VLOOKUP(ТабПозиции[[#This Row],[orderNum]],ТабЗаказы[#Data],MATCH(D$7,ТабЗаказы[#Headers],0),0),"")</f>
        <v>Галина Агабекова(церковь)</v>
      </c>
      <c r="E2030" s="93" t="s">
        <v>2679</v>
      </c>
      <c r="F2030" s="56" t="s">
        <v>3061</v>
      </c>
      <c r="G2030" s="28" t="s">
        <v>2692</v>
      </c>
      <c r="H2030" s="34">
        <v>45742</v>
      </c>
      <c r="I2030" s="96">
        <v>1</v>
      </c>
      <c r="J2030" s="96">
        <v>412</v>
      </c>
      <c r="K2030">
        <f>ТабПозиции[[#This Row],[discountPrice]]*ТабПозиции[[#This Row],[quantity]]</f>
        <v>412</v>
      </c>
      <c r="L2030" s="26">
        <v>412</v>
      </c>
      <c r="M2030">
        <f t="shared" si="46"/>
        <v>412</v>
      </c>
      <c r="N2030" s="96">
        <v>219</v>
      </c>
      <c r="O203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Row],[orderNum]],ТабПозиции[orderSumm])&gt;1500),ABS(M2030*VLOOKUP(ТабПозиции[[#This Row],[orderNum]],ТабЗаказы[#Data],MATCH("Percent",ТабЗаказы[#Headers],0),0))/100,200/COUNTIF(ТабПозиции[orderNum],ТабПозиции[[#This Row],[orderNum]])),0),"")</f>
        <v>62</v>
      </c>
      <c r="P2030" s="95">
        <f>IF(OR(ТабПозиции[[#This Row],[item]]="По штрихкоду",ТабПозиции[[#This Row],[item]]="Посылка"),ТабПозиции[[#This Row],[deliverySumm]]+ТабПозиции[[#This Row],[deliveryPost]],SUM(M2030:O2030))</f>
        <v>693</v>
      </c>
      <c r="Q2030" s="57">
        <v>693</v>
      </c>
      <c r="R2030" s="62">
        <f>ТабПозиции[[#This Row],[totalSumm]]-ТабПозиции[[#This Row],[payment]]</f>
        <v>0</v>
      </c>
      <c r="S2030" s="34" t="s">
        <v>1011</v>
      </c>
      <c r="T2030" s="56" t="s">
        <v>3061</v>
      </c>
      <c r="U2030" s="56" t="str">
        <f>IF(AND(ТабПозиции[[#This Row],[Остаток]]=0,ТабПозиции[[#This Row],[ord]]="true"),"true","false")</f>
        <v>true</v>
      </c>
      <c r="V2030" s="56" t="s">
        <v>3061</v>
      </c>
    </row>
    <row r="2031" spans="1:22" x14ac:dyDescent="0.25">
      <c r="A2031" s="26">
        <v>531</v>
      </c>
      <c r="B2031" s="1">
        <f>IFERROR(VLOOKUP(ТабПозиции[[#This Row],[orderNum]],ТабЗаказы[#Data],MATCH(B$7,ТабЗаказы[#Headers],0),0),"")</f>
        <v>45734</v>
      </c>
      <c r="C2031" s="95" t="str">
        <f>MONTH(ТабПозиции[[#This Row],[date]])&amp;"/"&amp;YEAR(ТабПозиции[[#This Row],[date]])</f>
        <v>3/2025</v>
      </c>
      <c r="D2031" s="1" t="str">
        <f>IFERROR(VLOOKUP(ТабПозиции[[#This Row],[orderNum]],ТабЗаказы[#Data],MATCH(D$7,ТабЗаказы[#Headers],0),0),"")</f>
        <v>Галина Агабекова(церковь)</v>
      </c>
      <c r="E2031" s="93" t="s">
        <v>2681</v>
      </c>
      <c r="F2031" s="56" t="s">
        <v>3061</v>
      </c>
      <c r="G2031" s="28" t="s">
        <v>2692</v>
      </c>
      <c r="H2031" s="34">
        <v>45742</v>
      </c>
      <c r="I2031" s="96">
        <v>1</v>
      </c>
      <c r="J2031" s="96">
        <v>142</v>
      </c>
      <c r="K2031">
        <f>ТабПозиции[[#This Row],[discountPrice]]*ТабПозиции[[#This Row],[quantity]]</f>
        <v>142</v>
      </c>
      <c r="L2031" s="26">
        <v>142</v>
      </c>
      <c r="M2031">
        <f t="shared" si="46"/>
        <v>142</v>
      </c>
      <c r="N2031" s="96"/>
      <c r="O203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Row],[orderNum]],ТабПозиции[orderSumm])&gt;1500),ABS(M2031*VLOOKUP(ТабПозиции[[#This Row],[orderNum]],ТабЗаказы[#Data],MATCH("Percent",ТабЗаказы[#Headers],0),0))/100,200/COUNTIF(ТабПозиции[orderNum],ТабПозиции[[#This Row],[orderNum]])),0),"")</f>
        <v>21</v>
      </c>
      <c r="P2031" s="95">
        <f>IF(OR(ТабПозиции[[#This Row],[item]]="По штрихкоду",ТабПозиции[[#This Row],[item]]="Посылка"),ТабПозиции[[#This Row],[deliverySumm]]+ТабПозиции[[#This Row],[deliveryPost]],SUM(M2031:O2031))</f>
        <v>163</v>
      </c>
      <c r="Q2031" s="57">
        <v>163</v>
      </c>
      <c r="R2031" s="62">
        <f>ТабПозиции[[#This Row],[totalSumm]]-ТабПозиции[[#This Row],[payment]]</f>
        <v>0</v>
      </c>
      <c r="S2031" s="34" t="s">
        <v>1011</v>
      </c>
      <c r="T2031" s="56" t="s">
        <v>3061</v>
      </c>
      <c r="U2031" s="56" t="str">
        <f>IF(AND(ТабПозиции[[#This Row],[Остаток]]=0,ТабПозиции[[#This Row],[ord]]="true"),"true","false")</f>
        <v>true</v>
      </c>
      <c r="V2031" s="56" t="s">
        <v>3061</v>
      </c>
    </row>
    <row r="2032" spans="1:22" x14ac:dyDescent="0.25">
      <c r="A2032" s="26">
        <v>531</v>
      </c>
      <c r="B2032" s="1">
        <f>IFERROR(VLOOKUP(ТабПозиции[[#This Row],[orderNum]],ТабЗаказы[#Data],MATCH(B$7,ТабЗаказы[#Headers],0),0),"")</f>
        <v>45734</v>
      </c>
      <c r="C2032" s="95" t="str">
        <f>MONTH(ТабПозиции[[#This Row],[date]])&amp;"/"&amp;YEAR(ТабПозиции[[#This Row],[date]])</f>
        <v>3/2025</v>
      </c>
      <c r="D2032" s="1" t="str">
        <f>IFERROR(VLOOKUP(ТабПозиции[[#This Row],[orderNum]],ТабЗаказы[#Data],MATCH(D$7,ТабЗаказы[#Headers],0),0),"")</f>
        <v>Галина Агабекова(церковь)</v>
      </c>
      <c r="E2032" s="93" t="s">
        <v>2680</v>
      </c>
      <c r="F2032" s="56" t="s">
        <v>3061</v>
      </c>
      <c r="H2032" s="34">
        <v>45735</v>
      </c>
      <c r="I2032" s="96">
        <v>1</v>
      </c>
      <c r="J2032" s="96">
        <v>235</v>
      </c>
      <c r="K2032">
        <f>ТабПозиции[[#This Row],[discountPrice]]*ТабПозиции[[#This Row],[quantity]]</f>
        <v>235</v>
      </c>
      <c r="L2032" s="26">
        <v>240</v>
      </c>
      <c r="M2032">
        <f t="shared" si="46"/>
        <v>240</v>
      </c>
      <c r="N2032" s="96"/>
      <c r="O203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Row],[orderNum]],ТабПозиции[orderSumm])&gt;1500),ABS(M2032*VLOOKUP(ТабПозиции[[#This Row],[orderNum]],ТабЗаказы[#Data],MATCH("Percent",ТабЗаказы[#Headers],0),0))/100,200/COUNTIF(ТабПозиции[orderNum],ТабПозиции[[#This Row],[orderNum]])),0),"")</f>
        <v>36</v>
      </c>
      <c r="P2032" s="95">
        <f>IF(OR(ТабПозиции[[#This Row],[item]]="По штрихкоду",ТабПозиции[[#This Row],[item]]="Посылка"),ТабПозиции[[#This Row],[deliverySumm]]+ТабПозиции[[#This Row],[deliveryPost]],SUM(M2032:O2032))</f>
        <v>276</v>
      </c>
      <c r="Q2032" s="57">
        <v>276</v>
      </c>
      <c r="R2032" s="62">
        <f>ТабПозиции[[#This Row],[totalSumm]]-ТабПозиции[[#This Row],[payment]]</f>
        <v>0</v>
      </c>
      <c r="S2032" s="34" t="s">
        <v>955</v>
      </c>
      <c r="T2032" s="56" t="s">
        <v>3061</v>
      </c>
      <c r="U2032" s="56" t="str">
        <f>IF(AND(ТабПозиции[[#This Row],[Остаток]]=0,ТабПозиции[[#This Row],[ord]]="true"),"true","false")</f>
        <v>true</v>
      </c>
      <c r="V2032" s="56" t="s">
        <v>3061</v>
      </c>
    </row>
    <row r="2033" spans="1:22" x14ac:dyDescent="0.25">
      <c r="A2033" s="26">
        <v>532</v>
      </c>
      <c r="B2033" s="1">
        <f>IFERROR(VLOOKUP(ТабПозиции[[#This Row],[orderNum]],ТабЗаказы[#Data],MATCH(B$7,ТабЗаказы[#Headers],0),0),"")</f>
        <v>45735</v>
      </c>
      <c r="C2033" s="95" t="str">
        <f>MONTH(ТабПозиции[[#This Row],[date]])&amp;"/"&amp;YEAR(ТабПозиции[[#This Row],[date]])</f>
        <v>3/2025</v>
      </c>
      <c r="D2033" s="1" t="str">
        <f>IFERROR(VLOOKUP(ТабПозиции[[#This Row],[orderNum]],ТабЗаказы[#Data],MATCH(D$7,ТабЗаказы[#Headers],0),0),"")</f>
        <v>Леонид Камелия</v>
      </c>
      <c r="E2033" s="93" t="s">
        <v>2685</v>
      </c>
      <c r="F2033" s="56" t="s">
        <v>3061</v>
      </c>
      <c r="G2033" s="28" t="s">
        <v>2686</v>
      </c>
      <c r="H2033" s="34">
        <v>45737</v>
      </c>
      <c r="I2033" s="96">
        <v>1</v>
      </c>
      <c r="J2033" s="96">
        <v>4290</v>
      </c>
      <c r="K2033">
        <f>ТабПозиции[[#This Row],[discountPrice]]*ТабПозиции[[#This Row],[quantity]]</f>
        <v>4290</v>
      </c>
      <c r="L2033" s="26">
        <v>4290</v>
      </c>
      <c r="M2033">
        <f t="shared" si="46"/>
        <v>4290</v>
      </c>
      <c r="N2033" s="96">
        <v>259</v>
      </c>
      <c r="O203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Row],[orderNum]],ТабПозиции[orderSumm])&gt;1500),ABS(M2033*VLOOKUP(ТабПозиции[[#This Row],[orderNum]],ТабЗаказы[#Data],MATCH("Percent",ТабЗаказы[#Headers],0),0))/100,200/COUNTIF(ТабПозиции[orderNum],ТабПозиции[[#This Row],[orderNum]])),0),"")</f>
        <v>644</v>
      </c>
      <c r="P2033" s="95">
        <f>IF(OR(ТабПозиции[[#This Row],[item]]="По штрихкоду",ТабПозиции[[#This Row],[item]]="Посылка"),ТабПозиции[[#This Row],[deliverySumm]]+ТабПозиции[[#This Row],[deliveryPost]],SUM(M2033:O2033))</f>
        <v>5193</v>
      </c>
      <c r="Q2033" s="57">
        <v>5193</v>
      </c>
      <c r="R2033" s="62">
        <f>ТабПозиции[[#This Row],[totalSumm]]-ТабПозиции[[#This Row],[payment]]</f>
        <v>0</v>
      </c>
      <c r="S2033" s="34" t="s">
        <v>1000</v>
      </c>
      <c r="T2033" s="56" t="s">
        <v>3061</v>
      </c>
      <c r="U2033" s="56" t="str">
        <f>IF(AND(ТабПозиции[[#This Row],[Остаток]]=0,ТабПозиции[[#This Row],[ord]]="true"),"true","false")</f>
        <v>true</v>
      </c>
      <c r="V2033" s="56" t="s">
        <v>3061</v>
      </c>
    </row>
    <row r="2034" spans="1:22" x14ac:dyDescent="0.25">
      <c r="A2034" s="26">
        <v>533</v>
      </c>
      <c r="B2034" s="1">
        <f>IFERROR(VLOOKUP(ТабПозиции[[#This Row],[orderNum]],ТабЗаказы[#Data],MATCH(B$7,ТабЗаказы[#Headers],0),0),"")</f>
        <v>45737</v>
      </c>
      <c r="C2034" s="95" t="str">
        <f>MONTH(ТабПозиции[[#This Row],[date]])&amp;"/"&amp;YEAR(ТабПозиции[[#This Row],[date]])</f>
        <v>3/2025</v>
      </c>
      <c r="D2034" s="1" t="str">
        <f>IFERROR(VLOOKUP(ТабПозиции[[#This Row],[orderNum]],ТабЗаказы[#Data],MATCH(D$7,ТабЗаказы[#Headers],0),0),"")</f>
        <v>Максим телевизор</v>
      </c>
      <c r="E2034" s="26" t="s">
        <v>815</v>
      </c>
      <c r="F2034" s="56" t="s">
        <v>3061</v>
      </c>
      <c r="G2034" s="28" t="s">
        <v>2693</v>
      </c>
      <c r="H2034" s="34">
        <v>45737</v>
      </c>
      <c r="I2034" s="96">
        <v>1</v>
      </c>
      <c r="J2034" s="96">
        <v>3500</v>
      </c>
      <c r="K2034">
        <f>ТабПозиции[[#This Row],[discountPrice]]*ТабПозиции[[#This Row],[quantity]]</f>
        <v>3500</v>
      </c>
      <c r="L2034" s="26">
        <v>3500</v>
      </c>
      <c r="M2034">
        <f t="shared" si="46"/>
        <v>3500</v>
      </c>
      <c r="N2034" s="96"/>
      <c r="O203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Row],[orderNum]],ТабПозиции[orderSumm])&gt;1500),ABS(M2034*VLOOKUP(ТабПозиции[[#This Row],[orderNum]],ТабЗаказы[#Data],MATCH("Percent",ТабЗаказы[#Headers],0),0))/100,200/COUNTIF(ТабПозиции[orderNum],ТабПозиции[[#This Row],[orderNum]])),0),"")</f>
        <v>350</v>
      </c>
      <c r="P2034" s="95">
        <f>IF(OR(ТабПозиции[[#This Row],[item]]="По штрихкоду",ТабПозиции[[#This Row],[item]]="Посылка"),ТабПозиции[[#This Row],[deliverySumm]]+ТабПозиции[[#This Row],[deliveryPost]],SUM(M2034:O2034))</f>
        <v>350</v>
      </c>
      <c r="Q2034" s="57">
        <v>350</v>
      </c>
      <c r="R2034" s="62">
        <f>ТабПозиции[[#This Row],[totalSumm]]-ТабПозиции[[#This Row],[payment]]</f>
        <v>0</v>
      </c>
      <c r="S2034" s="34" t="s">
        <v>1000</v>
      </c>
      <c r="T2034" s="56" t="s">
        <v>3061</v>
      </c>
      <c r="U2034" s="56" t="str">
        <f>IF(AND(ТабПозиции[[#This Row],[Остаток]]=0,ТабПозиции[[#This Row],[ord]]="true"),"true","false")</f>
        <v>true</v>
      </c>
      <c r="V2034" s="56" t="s">
        <v>3061</v>
      </c>
    </row>
    <row r="2035" spans="1:22" x14ac:dyDescent="0.25">
      <c r="A2035" s="26">
        <v>529</v>
      </c>
      <c r="B2035" s="1">
        <f>IFERROR(VLOOKUP(ТабПозиции[[#This Row],[orderNum]],ТабЗаказы[#Data],MATCH(B$7,ТабЗаказы[#Headers],0),0),"")</f>
        <v>45733</v>
      </c>
      <c r="C2035" s="95" t="str">
        <f>MONTH(ТабПозиции[[#This Row],[date]])&amp;"/"&amp;YEAR(ТабПозиции[[#This Row],[date]])</f>
        <v>3/2025</v>
      </c>
      <c r="D2035" s="1" t="str">
        <f>IFERROR(VLOOKUP(ТабПозиции[[#This Row],[orderNum]],ТабЗаказы[#Data],MATCH(D$7,ТабЗаказы[#Headers],0),0),"")</f>
        <v>Юля Ларисына</v>
      </c>
      <c r="E2035" s="93" t="s">
        <v>2039</v>
      </c>
      <c r="F2035" s="56" t="s">
        <v>3061</v>
      </c>
      <c r="H2035" s="34">
        <v>45737</v>
      </c>
      <c r="I2035" s="96">
        <v>1</v>
      </c>
      <c r="J2035" s="96">
        <v>271</v>
      </c>
      <c r="K2035">
        <f>ТабПозиции[[#This Row],[discountPrice]]*ТабПозиции[[#This Row],[quantity]]</f>
        <v>271</v>
      </c>
      <c r="L2035" s="26">
        <v>286</v>
      </c>
      <c r="M2035">
        <f t="shared" si="46"/>
        <v>286</v>
      </c>
      <c r="N2035" s="96"/>
      <c r="O203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Row],[orderNum]],ТабПозиции[orderSumm])&gt;1500),ABS(M2035*VLOOKUP(ТабПозиции[[#This Row],[orderNum]],ТабЗаказы[#Data],MATCH("Percent",ТабЗаказы[#Headers],0),0))/100,200/COUNTIF(ТабПозиции[orderNum],ТабПозиции[[#This Row],[orderNum]])),0),"")</f>
        <v>43</v>
      </c>
      <c r="P2035" s="95">
        <f>IF(OR(ТабПозиции[[#This Row],[item]]="По штрихкоду",ТабПозиции[[#This Row],[item]]="Посылка"),ТабПозиции[[#This Row],[deliverySumm]]+ТабПозиции[[#This Row],[deliveryPost]],SUM(M2035:O2035))</f>
        <v>329</v>
      </c>
      <c r="Q2035" s="57">
        <v>329</v>
      </c>
      <c r="R2035" s="62">
        <f>ТабПозиции[[#This Row],[totalSumm]]-ТабПозиции[[#This Row],[payment]]</f>
        <v>0</v>
      </c>
      <c r="S2035" s="34" t="s">
        <v>965</v>
      </c>
      <c r="T2035" s="56" t="s">
        <v>3061</v>
      </c>
      <c r="U2035" s="56" t="str">
        <f>IF(AND(ТабПозиции[[#This Row],[Остаток]]=0,ТабПозиции[[#This Row],[ord]]="true"),"true","false")</f>
        <v>true</v>
      </c>
      <c r="V2035" s="56" t="s">
        <v>3061</v>
      </c>
    </row>
    <row r="2036" spans="1:22" x14ac:dyDescent="0.25">
      <c r="A2036" s="26">
        <v>529</v>
      </c>
      <c r="B2036" s="1">
        <f>IFERROR(VLOOKUP(ТабПозиции[[#This Row],[orderNum]],ТабЗаказы[#Data],MATCH(B$7,ТабЗаказы[#Headers],0),0),"")</f>
        <v>45733</v>
      </c>
      <c r="C2036" s="95" t="str">
        <f>MONTH(ТабПозиции[[#This Row],[date]])&amp;"/"&amp;YEAR(ТабПозиции[[#This Row],[date]])</f>
        <v>3/2025</v>
      </c>
      <c r="D2036" s="1" t="str">
        <f>IFERROR(VLOOKUP(ТабПозиции[[#This Row],[orderNum]],ТабЗаказы[#Data],MATCH(D$7,ТабЗаказы[#Headers],0),0),"")</f>
        <v>Юля Ларисына</v>
      </c>
      <c r="E2036" s="93" t="s">
        <v>2039</v>
      </c>
      <c r="F2036" s="56" t="s">
        <v>3061</v>
      </c>
      <c r="H2036" s="34">
        <v>45737</v>
      </c>
      <c r="I2036" s="96">
        <v>1</v>
      </c>
      <c r="J2036" s="96">
        <v>271</v>
      </c>
      <c r="K2036">
        <f>ТабПозиции[[#This Row],[discountPrice]]*ТабПозиции[[#This Row],[quantity]]</f>
        <v>271</v>
      </c>
      <c r="L2036" s="26">
        <v>286</v>
      </c>
      <c r="M2036">
        <f t="shared" si="46"/>
        <v>286</v>
      </c>
      <c r="N2036" s="96"/>
      <c r="O203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Row],[orderNum]],ТабПозиции[orderSumm])&gt;1500),ABS(M2036*VLOOKUP(ТабПозиции[[#This Row],[orderNum]],ТабЗаказы[#Data],MATCH("Percent",ТабЗаказы[#Headers],0),0))/100,200/COUNTIF(ТабПозиции[orderNum],ТабПозиции[[#This Row],[orderNum]])),0),"")</f>
        <v>43</v>
      </c>
      <c r="P2036" s="95">
        <f>IF(OR(ТабПозиции[[#This Row],[item]]="По штрихкоду",ТабПозиции[[#This Row],[item]]="Посылка"),ТабПозиции[[#This Row],[deliverySumm]]+ТабПозиции[[#This Row],[deliveryPost]],SUM(M2036:O2036))</f>
        <v>329</v>
      </c>
      <c r="Q2036" s="57">
        <v>329</v>
      </c>
      <c r="R2036" s="62">
        <f>ТабПозиции[[#This Row],[totalSumm]]-ТабПозиции[[#This Row],[payment]]</f>
        <v>0</v>
      </c>
      <c r="S2036" s="34" t="s">
        <v>965</v>
      </c>
      <c r="T2036" s="56" t="s">
        <v>3061</v>
      </c>
      <c r="U2036" s="56" t="str">
        <f>IF(AND(ТабПозиции[[#This Row],[Остаток]]=0,ТабПозиции[[#This Row],[ord]]="true"),"true","false")</f>
        <v>true</v>
      </c>
      <c r="V2036" s="56" t="s">
        <v>3061</v>
      </c>
    </row>
    <row r="2037" spans="1:22" x14ac:dyDescent="0.25">
      <c r="A2037" s="26">
        <v>534</v>
      </c>
      <c r="B2037" s="1">
        <f>IFERROR(VLOOKUP(ТабПозиции[[#This Row],[orderNum]],ТабЗаказы[#Data],MATCH(B$7,ТабЗаказы[#Headers],0),0),"")</f>
        <v>45737</v>
      </c>
      <c r="C2037" s="95" t="str">
        <f>MONTH(ТабПозиции[[#This Row],[date]])&amp;"/"&amp;YEAR(ТабПозиции[[#This Row],[date]])</f>
        <v>3/2025</v>
      </c>
      <c r="D2037" s="1" t="str">
        <f>IFERROR(VLOOKUP(ТабПозиции[[#This Row],[orderNum]],ТабЗаказы[#Data],MATCH(D$7,ТабЗаказы[#Headers],0),0),"")</f>
        <v>Максим телевизор</v>
      </c>
      <c r="E2037" s="26" t="s">
        <v>815</v>
      </c>
      <c r="F2037" s="56" t="s">
        <v>3061</v>
      </c>
      <c r="H2037" s="34">
        <v>45737</v>
      </c>
      <c r="I2037" s="96">
        <v>1</v>
      </c>
      <c r="J2037" s="96">
        <v>250</v>
      </c>
      <c r="K2037">
        <f>ТабПозиции[[#This Row],[discountPrice]]*ТабПозиции[[#This Row],[quantity]]</f>
        <v>250</v>
      </c>
      <c r="L2037" s="26">
        <v>250</v>
      </c>
      <c r="M2037">
        <f t="shared" si="46"/>
        <v>250</v>
      </c>
      <c r="N2037" s="96"/>
      <c r="O203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Row],[orderNum]],ТабПозиции[orderSumm])&gt;1500),ABS(M2037*VLOOKUP(ТабПозиции[[#This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2037" s="95">
        <f>IF(OR(ТабПозиции[[#This Row],[item]]="По штрихкоду",ТабПозиции[[#This Row],[item]]="Посылка"),ТабПозиции[[#This Row],[deliverySumm]]+ТабПозиции[[#This Row],[deliveryPost]],SUM(M2037:O2037))</f>
        <v>200</v>
      </c>
      <c r="Q2037" s="57">
        <v>200</v>
      </c>
      <c r="R2037" s="62">
        <f>ТабПозиции[[#This Row],[totalSumm]]-ТабПозиции[[#This Row],[payment]]</f>
        <v>0</v>
      </c>
      <c r="S2037" s="34" t="s">
        <v>1000</v>
      </c>
      <c r="T2037" s="56" t="s">
        <v>3061</v>
      </c>
      <c r="U2037" s="56" t="str">
        <f>IF(AND(ТабПозиции[[#This Row],[Остаток]]=0,ТабПозиции[[#This Row],[ord]]="true"),"true","false")</f>
        <v>true</v>
      </c>
      <c r="V2037" s="56" t="s">
        <v>3061</v>
      </c>
    </row>
    <row r="2038" spans="1:22" x14ac:dyDescent="0.25">
      <c r="A2038" s="26">
        <v>535</v>
      </c>
      <c r="B2038" s="1">
        <f>IFERROR(VLOOKUP(ТабПозиции[[#This Row],[orderNum]],ТабЗаказы[#Data],MATCH(B$7,ТабЗаказы[#Headers],0),0),"")</f>
        <v>45737</v>
      </c>
      <c r="C2038" s="95" t="str">
        <f>MONTH(ТабПозиции[[#This Row],[date]])&amp;"/"&amp;YEAR(ТабПозиции[[#This Row],[date]])</f>
        <v>3/2025</v>
      </c>
      <c r="D2038" s="1" t="str">
        <f>IFERROR(VLOOKUP(ТабПозиции[[#This Row],[orderNum]],ТабЗаказы[#Data],MATCH(D$7,ТабЗаказы[#Headers],0),0),"")</f>
        <v>Лана</v>
      </c>
      <c r="E2038" s="26" t="s">
        <v>32</v>
      </c>
      <c r="F2038" s="56" t="s">
        <v>3061</v>
      </c>
      <c r="H2038" s="34">
        <v>45737</v>
      </c>
      <c r="I2038" s="96">
        <v>1</v>
      </c>
      <c r="J2038" s="96">
        <v>23124</v>
      </c>
      <c r="K2038">
        <f>ТабПозиции[[#This Row],[discountPrice]]*ТабПозиции[[#This Row],[quantity]]</f>
        <v>23124</v>
      </c>
      <c r="L2038" s="96">
        <v>23124</v>
      </c>
      <c r="M2038">
        <f t="shared" si="46"/>
        <v>23124</v>
      </c>
      <c r="N2038" s="96"/>
      <c r="O203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Row],[orderNum]],ТабПозиции[orderSumm])&gt;1500),ABS(M2038*VLOOKUP(ТабПозиции[[#This Row],[orderNum]],ТабЗаказы[#Data],MATCH("Percent",ТабЗаказы[#Headers],0),0))/100,200/COUNTIF(ТабПозиции[orderNum],ТабПозиции[[#This Row],[orderNum]])),0),"")</f>
        <v>2312</v>
      </c>
      <c r="P2038" s="95">
        <f>IF(OR(ТабПозиции[[#This Row],[item]]="По штрихкоду",ТабПозиции[[#This Row],[item]]="Посылка"),ТабПозиции[[#This Row],[deliverySumm]]+ТабПозиции[[#This Row],[deliveryPost]],SUM(M2038:O2038))</f>
        <v>2312</v>
      </c>
      <c r="Q2038" s="57">
        <v>2312</v>
      </c>
      <c r="R2038" s="62">
        <f>ТабПозиции[[#This Row],[totalSumm]]-ТабПозиции[[#This Row],[payment]]</f>
        <v>0</v>
      </c>
      <c r="S2038" s="34" t="s">
        <v>955</v>
      </c>
      <c r="T2038" s="56" t="s">
        <v>3061</v>
      </c>
      <c r="U2038" s="56" t="str">
        <f>IF(AND(ТабПозиции[[#This Row],[Остаток]]=0,ТабПозиции[[#This Row],[ord]]="true"),"true","false")</f>
        <v>true</v>
      </c>
      <c r="V2038" s="56" t="s">
        <v>3061</v>
      </c>
    </row>
    <row r="2039" spans="1:22" x14ac:dyDescent="0.25">
      <c r="A2039" s="26">
        <v>536</v>
      </c>
      <c r="B2039" s="1">
        <f>IFERROR(VLOOKUP(ТабПозиции[[#This Row],[orderNum]],ТабЗаказы[#Data],MATCH(B$7,ТабЗаказы[#Headers],0),0),"")</f>
        <v>45737</v>
      </c>
      <c r="C2039" s="95" t="str">
        <f>MONTH(ТабПозиции[[#This Row],[date]])&amp;"/"&amp;YEAR(ТабПозиции[[#This Row],[date]])</f>
        <v>3/2025</v>
      </c>
      <c r="D2039" s="1" t="str">
        <f>IFERROR(VLOOKUP(ТабПозиции[[#This Row],[orderNum]],ТабЗаказы[#Data],MATCH(D$7,ТабЗаказы[#Headers],0),0),"")</f>
        <v>Андрей Бердянское</v>
      </c>
      <c r="E2039" s="26" t="s">
        <v>815</v>
      </c>
      <c r="F2039" s="56" t="s">
        <v>3061</v>
      </c>
      <c r="H2039" s="34">
        <v>45737</v>
      </c>
      <c r="I2039" s="96">
        <v>1</v>
      </c>
      <c r="J2039" s="96">
        <f>59478+18091</f>
        <v>77569</v>
      </c>
      <c r="K2039">
        <f>ТабПозиции[[#This Row],[discountPrice]]*ТабПозиции[[#This Row],[quantity]]</f>
        <v>77569</v>
      </c>
      <c r="L2039" s="96">
        <v>77569</v>
      </c>
      <c r="M2039">
        <f t="shared" si="46"/>
        <v>77569</v>
      </c>
      <c r="N2039" s="96">
        <v>1122</v>
      </c>
      <c r="O203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Row],[orderNum]],ТабПозиции[orderSumm])&gt;1500),ABS(M2039*VLOOKUP(ТабПозиции[[#This Row],[orderNum]],ТабЗаказы[#Data],MATCH("Percent",ТабЗаказы[#Headers],0),0))/100,200/COUNTIF(ТабПозиции[orderNum],ТабПозиции[[#This Row],[orderNum]])),0),"")</f>
        <v>3878</v>
      </c>
      <c r="P2039" s="95">
        <f>IF(OR(ТабПозиции[[#This Row],[item]]="По штрихкоду",ТабПозиции[[#This Row],[item]]="Посылка"),ТабПозиции[[#This Row],[deliverySumm]]+ТабПозиции[[#This Row],[deliveryPost]],SUM(M2039:O2039))</f>
        <v>5000</v>
      </c>
      <c r="Q2039" s="57">
        <v>5000</v>
      </c>
      <c r="R2039" s="62">
        <f>ТабПозиции[[#This Row],[totalSumm]]-ТабПозиции[[#This Row],[payment]]</f>
        <v>0</v>
      </c>
      <c r="S2039" s="34" t="s">
        <v>955</v>
      </c>
      <c r="T2039" s="56" t="s">
        <v>3061</v>
      </c>
      <c r="U2039" s="56" t="str">
        <f>IF(AND(ТабПозиции[[#This Row],[Остаток]]=0,ТабПозиции[[#This Row],[ord]]="true"),"true","false")</f>
        <v>true</v>
      </c>
      <c r="V2039" s="56" t="s">
        <v>3061</v>
      </c>
    </row>
    <row r="2040" spans="1:22" x14ac:dyDescent="0.25">
      <c r="A2040" s="26">
        <v>537</v>
      </c>
      <c r="B2040" s="1">
        <f>IFERROR(VLOOKUP(ТабПозиции[[#This Row],[orderNum]],ТабЗаказы[#Data],MATCH(B$7,ТабЗаказы[#Headers],0),0),"")</f>
        <v>45737</v>
      </c>
      <c r="C2040" s="95" t="str">
        <f>MONTH(ТабПозиции[[#This Row],[date]])&amp;"/"&amp;YEAR(ТабПозиции[[#This Row],[date]])</f>
        <v>3/2025</v>
      </c>
      <c r="D2040" s="1" t="str">
        <f>IFERROR(VLOOKUP(ТабПозиции[[#This Row],[orderNum]],ТабЗаказы[#Data],MATCH(D$7,ТабЗаказы[#Headers],0),0),"")</f>
        <v>Александр 3 Металлургов</v>
      </c>
      <c r="E2040" s="26" t="s">
        <v>761</v>
      </c>
      <c r="F2040" s="56" t="s">
        <v>3061</v>
      </c>
      <c r="H2040" s="34">
        <v>45739</v>
      </c>
      <c r="I2040" s="96">
        <v>1</v>
      </c>
      <c r="J2040" s="96">
        <v>1434</v>
      </c>
      <c r="K2040">
        <f>ТабПозиции[[#This Row],[discountPrice]]*ТабПозиции[[#This Row],[quantity]]</f>
        <v>1434</v>
      </c>
      <c r="L2040" s="26">
        <v>1510</v>
      </c>
      <c r="M2040">
        <f t="shared" si="46"/>
        <v>1510</v>
      </c>
      <c r="N2040" s="96"/>
      <c r="O204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Row],[orderNum]],ТабПозиции[orderSumm])&gt;1500),ABS(M2040*VLOOKUP(ТабПозиции[[#This Row],[orderNum]],ТабЗаказы[#Data],MATCH("Percent",ТабЗаказы[#Headers],0),0))/100,200/COUNTIF(ТабПозиции[orderNum],ТабПозиции[[#This Row],[orderNum]])),0),"")</f>
        <v>227</v>
      </c>
      <c r="P2040" s="95">
        <f>IF(OR(ТабПозиции[[#This Row],[item]]="По штрихкоду",ТабПозиции[[#This Row],[item]]="Посылка"),ТабПозиции[[#This Row],[deliverySumm]]+ТабПозиции[[#This Row],[deliveryPost]],SUM(M2040:O2040))</f>
        <v>1737</v>
      </c>
      <c r="Q2040" s="57">
        <v>1737</v>
      </c>
      <c r="R2040" s="62">
        <f>ТабПозиции[[#This Row],[totalSumm]]-ТабПозиции[[#This Row],[payment]]</f>
        <v>0</v>
      </c>
      <c r="S2040" s="34" t="s">
        <v>965</v>
      </c>
      <c r="T2040" s="56" t="s">
        <v>3061</v>
      </c>
      <c r="U2040" s="56" t="str">
        <f>IF(AND(ТабПозиции[[#This Row],[Остаток]]=0,ТабПозиции[[#This Row],[ord]]="true"),"true","false")</f>
        <v>true</v>
      </c>
      <c r="V2040" s="56" t="s">
        <v>3061</v>
      </c>
    </row>
    <row r="2041" spans="1:22" x14ac:dyDescent="0.25">
      <c r="A2041" s="26">
        <v>525</v>
      </c>
      <c r="B2041" s="1">
        <f>IFERROR(VLOOKUP(ТабПозиции[[#This Row],[orderNum]],ТабЗаказы[#Data],MATCH(B$7,ТабЗаказы[#Headers],0),0),"")</f>
        <v>45731</v>
      </c>
      <c r="C2041" s="95" t="str">
        <f>MONTH(ТабПозиции[[#This Row],[date]])&amp;"/"&amp;YEAR(ТабПозиции[[#This Row],[date]])</f>
        <v>3/2025</v>
      </c>
      <c r="D2041" s="1" t="str">
        <f>IFERROR(VLOOKUP(ТабПозиции[[#This Row],[orderNum]],ТабЗаказы[#Data],MATCH(D$7,ТабЗаказы[#Headers],0),0),"")</f>
        <v>Игорь Рельефная</v>
      </c>
      <c r="E2041" s="93" t="s">
        <v>2642</v>
      </c>
      <c r="F2041" s="56" t="s">
        <v>3061</v>
      </c>
      <c r="H2041" s="34">
        <v>45758</v>
      </c>
      <c r="I2041" s="96">
        <v>0</v>
      </c>
      <c r="J2041" s="96">
        <v>213</v>
      </c>
      <c r="K2041">
        <f>ТабПозиции[[#This Row],[discountPrice]]*ТабПозиции[[#This Row],[quantity]]</f>
        <v>0</v>
      </c>
      <c r="L2041" s="26">
        <v>218</v>
      </c>
      <c r="M2041">
        <f t="shared" si="46"/>
        <v>0</v>
      </c>
      <c r="N2041" s="96"/>
      <c r="O2041">
        <v>0</v>
      </c>
      <c r="P2041" s="95">
        <f>IF(OR(ТабПозиции[[#This Row],[item]]="По штрихкоду",ТабПозиции[[#This Row],[item]]="Посылка"),ТабПозиции[[#This Row],[deliverySumm]]+ТабПозиции[[#This Row],[deliveryPost]],SUM(M2041:O2041))</f>
        <v>0</v>
      </c>
      <c r="R2041" s="62">
        <f>ТабПозиции[[#This Row],[totalSumm]]-ТабПозиции[[#This Row],[payment]]</f>
        <v>0</v>
      </c>
      <c r="S2041" s="34" t="s">
        <v>955</v>
      </c>
      <c r="T2041" s="56" t="s">
        <v>3061</v>
      </c>
      <c r="U2041" s="56" t="str">
        <f>IF(AND(ТабПозиции[[#This Row],[Остаток]]=0,ТабПозиции[[#This Row],[ord]]="true"),"true","false")</f>
        <v>true</v>
      </c>
      <c r="V2041" s="56" t="s">
        <v>3061</v>
      </c>
    </row>
    <row r="2042" spans="1:22" x14ac:dyDescent="0.25">
      <c r="A2042" s="26">
        <v>538</v>
      </c>
      <c r="B2042" s="1">
        <f>IFERROR(VLOOKUP(ТабПозиции[[#This Row],[orderNum]],ТабЗаказы[#Data],MATCH(B$7,ТабЗаказы[#Headers],0),0),"")</f>
        <v>45738</v>
      </c>
      <c r="C2042" s="95" t="str">
        <f>MONTH(ТабПозиции[[#This Row],[date]])&amp;"/"&amp;YEAR(ТабПозиции[[#This Row],[date]])</f>
        <v>3/2025</v>
      </c>
      <c r="D2042" s="1" t="str">
        <f>IFERROR(VLOOKUP(ТабПозиции[[#This Row],[orderNum]],ТабЗаказы[#Data],MATCH(D$7,ТабЗаказы[#Headers],0),0),"")</f>
        <v>Роман Куприна</v>
      </c>
      <c r="E2042" s="93" t="s">
        <v>1069</v>
      </c>
      <c r="F2042" s="56" t="s">
        <v>3061</v>
      </c>
      <c r="H2042" s="34">
        <v>45739</v>
      </c>
      <c r="I2042" s="96">
        <v>1</v>
      </c>
      <c r="J2042" s="96">
        <v>3600</v>
      </c>
      <c r="K2042">
        <f>ТабПозиции[[#This Row],[discountPrice]]*ТабПозиции[[#This Row],[quantity]]</f>
        <v>3600</v>
      </c>
      <c r="L2042" s="26">
        <v>3790</v>
      </c>
      <c r="M2042">
        <f t="shared" si="46"/>
        <v>3790</v>
      </c>
      <c r="N2042" s="96"/>
      <c r="O204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Row],[orderNum]],ТабПозиции[orderSumm])&gt;1500),ABS(M2042*VLOOKUP(ТабПозиции[[#This Row],[orderNum]],ТабЗаказы[#Data],MATCH("Percent",ТабЗаказы[#Headers],0),0))/100,200/COUNTIF(ТабПозиции[orderNum],ТабПозиции[[#This Row],[orderNum]])),0),"")</f>
        <v>569</v>
      </c>
      <c r="P2042" s="95">
        <f>IF(OR(ТабПозиции[[#This Row],[item]]="По штрихкоду",ТабПозиции[[#This Row],[item]]="Посылка"),ТабПозиции[[#This Row],[deliverySumm]]+ТабПозиции[[#This Row],[deliveryPost]],SUM(M2042:O2042))</f>
        <v>4359</v>
      </c>
      <c r="Q2042" s="57">
        <v>4359</v>
      </c>
      <c r="R2042" s="62">
        <f>ТабПозиции[[#This Row],[totalSumm]]-ТабПозиции[[#This Row],[payment]]</f>
        <v>0</v>
      </c>
      <c r="S2042" s="34" t="s">
        <v>965</v>
      </c>
      <c r="T2042" s="56" t="s">
        <v>3061</v>
      </c>
      <c r="U2042" s="56" t="str">
        <f>IF(AND(ТабПозиции[[#This Row],[Остаток]]=0,ТабПозиции[[#This Row],[ord]]="true"),"true","false")</f>
        <v>true</v>
      </c>
      <c r="V2042" s="56" t="s">
        <v>3061</v>
      </c>
    </row>
    <row r="2043" spans="1:22" x14ac:dyDescent="0.25">
      <c r="A2043" s="26">
        <v>539</v>
      </c>
      <c r="B2043" s="1">
        <f>IFERROR(VLOOKUP(ТабПозиции[[#This Row],[orderNum]],ТабЗаказы[#Data],MATCH(B$7,ТабЗаказы[#Headers],0),0),"")</f>
        <v>45738</v>
      </c>
      <c r="C2043" s="95" t="str">
        <f>MONTH(ТабПозиции[[#This Row],[date]])&amp;"/"&amp;YEAR(ТабПозиции[[#This Row],[date]])</f>
        <v>3/2025</v>
      </c>
      <c r="D2043" s="1" t="str">
        <f>IFERROR(VLOOKUP(ТабПозиции[[#This Row],[orderNum]],ТабЗаказы[#Data],MATCH(D$7,ТабЗаказы[#Headers],0),0),"")</f>
        <v>Юля Ларисына</v>
      </c>
      <c r="E2043" s="93" t="s">
        <v>2702</v>
      </c>
      <c r="F2043" s="56" t="s">
        <v>3061</v>
      </c>
      <c r="H2043" s="34">
        <v>45745</v>
      </c>
      <c r="I2043" s="96">
        <v>1</v>
      </c>
      <c r="J2043" s="96">
        <v>132</v>
      </c>
      <c r="K2043">
        <f>ТабПозиции[[#This Row],[discountPrice]]*ТабПозиции[[#This Row],[quantity]]</f>
        <v>132</v>
      </c>
      <c r="L2043" s="26">
        <v>139</v>
      </c>
      <c r="M2043">
        <f t="shared" si="46"/>
        <v>139</v>
      </c>
      <c r="N2043" s="96"/>
      <c r="O204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Row],[orderNum]],ТабПозиции[orderSumm])&gt;1500),ABS(M2043*VLOOKUP(ТабПозиции[[#This Row],[orderNum]],ТабЗаказы[#Data],MATCH("Percent",ТабЗаказы[#Headers],0),0))/100,200/COUNTIF(ТабПозиции[orderNum],ТабПозиции[[#This Row],[orderNum]])),0),"")</f>
        <v>21</v>
      </c>
      <c r="P2043" s="95">
        <f>IF(OR(ТабПозиции[[#This Row],[item]]="По штрихкоду",ТабПозиции[[#This Row],[item]]="Посылка"),ТабПозиции[[#This Row],[deliverySumm]]+ТабПозиции[[#This Row],[deliveryPost]],SUM(M2043:O2043))</f>
        <v>160</v>
      </c>
      <c r="Q2043" s="57">
        <v>160</v>
      </c>
      <c r="R2043" s="62">
        <f>ТабПозиции[[#This Row],[totalSumm]]-ТабПозиции[[#This Row],[payment]]</f>
        <v>0</v>
      </c>
      <c r="S2043" s="34" t="s">
        <v>965</v>
      </c>
      <c r="T2043" s="56" t="s">
        <v>3061</v>
      </c>
      <c r="U2043" s="56" t="str">
        <f>IF(AND(ТабПозиции[[#This Row],[Остаток]]=0,ТабПозиции[[#This Row],[ord]]="true"),"true","false")</f>
        <v>true</v>
      </c>
      <c r="V2043" s="56" t="s">
        <v>3061</v>
      </c>
    </row>
    <row r="2044" spans="1:22" x14ac:dyDescent="0.25">
      <c r="A2044" s="26">
        <v>539</v>
      </c>
      <c r="B2044" s="1">
        <f>IFERROR(VLOOKUP(ТабПозиции[[#This Row],[orderNum]],ТабЗаказы[#Data],MATCH(B$7,ТабЗаказы[#Headers],0),0),"")</f>
        <v>45738</v>
      </c>
      <c r="C2044" s="95" t="str">
        <f>MONTH(ТабПозиции[[#This Row],[date]])&amp;"/"&amp;YEAR(ТабПозиции[[#This Row],[date]])</f>
        <v>3/2025</v>
      </c>
      <c r="D2044" s="1" t="str">
        <f>IFERROR(VLOOKUP(ТабПозиции[[#This Row],[orderNum]],ТабЗаказы[#Data],MATCH(D$7,ТабЗаказы[#Headers],0),0),"")</f>
        <v>Юля Ларисына</v>
      </c>
      <c r="E2044" s="93" t="s">
        <v>2031</v>
      </c>
      <c r="F2044" s="56" t="s">
        <v>3061</v>
      </c>
      <c r="H2044" s="34">
        <v>45740</v>
      </c>
      <c r="I2044" s="96">
        <v>1</v>
      </c>
      <c r="J2044" s="96">
        <v>273</v>
      </c>
      <c r="K2044">
        <f>ТабПозиции[[#This Row],[discountPrice]]*ТабПозиции[[#This Row],[quantity]]</f>
        <v>273</v>
      </c>
      <c r="L2044" s="26">
        <v>288</v>
      </c>
      <c r="M2044">
        <f t="shared" si="46"/>
        <v>288</v>
      </c>
      <c r="N2044" s="96"/>
      <c r="O204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Row],[orderNum]],ТабПозиции[orderSumm])&gt;1500),ABS(M2044*VLOOKUP(ТабПозиции[[#This Row],[orderNum]],ТабЗаказы[#Data],MATCH("Percent",ТабЗаказы[#Headers],0),0))/100,200/COUNTIF(ТабПозиции[orderNum],ТабПозиции[[#This Row],[orderNum]])),0),"")</f>
        <v>43</v>
      </c>
      <c r="P2044" s="95">
        <f>IF(OR(ТабПозиции[[#This Row],[item]]="По штрихкоду",ТабПозиции[[#This Row],[item]]="Посылка"),ТабПозиции[[#This Row],[deliverySumm]]+ТабПозиции[[#This Row],[deliveryPost]],SUM(M2044:O2044))</f>
        <v>331</v>
      </c>
      <c r="Q2044" s="57">
        <v>331</v>
      </c>
      <c r="R2044" s="62">
        <f>ТабПозиции[[#This Row],[totalSumm]]-ТабПозиции[[#This Row],[payment]]</f>
        <v>0</v>
      </c>
      <c r="S2044" s="34" t="s">
        <v>965</v>
      </c>
      <c r="T2044" s="56" t="s">
        <v>3061</v>
      </c>
      <c r="U2044" s="56" t="str">
        <f>IF(AND(ТабПозиции[[#This Row],[Остаток]]=0,ТабПозиции[[#This Row],[ord]]="true"),"true","false")</f>
        <v>true</v>
      </c>
      <c r="V2044" s="56" t="s">
        <v>3061</v>
      </c>
    </row>
    <row r="2045" spans="1:22" x14ac:dyDescent="0.25">
      <c r="A2045" s="26">
        <v>539</v>
      </c>
      <c r="B2045" s="1">
        <f>IFERROR(VLOOKUP(ТабПозиции[[#This Row],[orderNum]],ТабЗаказы[#Data],MATCH(B$7,ТабЗаказы[#Headers],0),0),"")</f>
        <v>45738</v>
      </c>
      <c r="C2045" s="95" t="str">
        <f>MONTH(ТабПозиции[[#This Row],[date]])&amp;"/"&amp;YEAR(ТабПозиции[[#This Row],[date]])</f>
        <v>3/2025</v>
      </c>
      <c r="D2045" s="1" t="str">
        <f>IFERROR(VLOOKUP(ТабПозиции[[#This Row],[orderNum]],ТабЗаказы[#Data],MATCH(D$7,ТабЗаказы[#Headers],0),0),"")</f>
        <v>Юля Ларисына</v>
      </c>
      <c r="E2045" s="93" t="s">
        <v>2703</v>
      </c>
      <c r="F2045" s="56" t="s">
        <v>3061</v>
      </c>
      <c r="H2045" s="34">
        <v>45742</v>
      </c>
      <c r="I2045" s="96">
        <v>1</v>
      </c>
      <c r="J2045" s="96">
        <v>178</v>
      </c>
      <c r="K2045">
        <f>ТабПозиции[[#This Row],[discountPrice]]*ТабПозиции[[#This Row],[quantity]]</f>
        <v>178</v>
      </c>
      <c r="L2045" s="26">
        <v>188</v>
      </c>
      <c r="M2045">
        <f t="shared" si="46"/>
        <v>188</v>
      </c>
      <c r="N2045" s="96"/>
      <c r="O204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Row],[orderNum]],ТабПозиции[orderSumm])&gt;1500),ABS(M2045*VLOOKUP(ТабПозиции[[#This Row],[orderNum]],ТабЗаказы[#Data],MATCH("Percent",ТабЗаказы[#Headers],0),0))/100,200/COUNTIF(ТабПозиции[orderNum],ТабПозиции[[#This Row],[orderNum]])),0),"")</f>
        <v>28</v>
      </c>
      <c r="P2045" s="95">
        <f>IF(OR(ТабПозиции[[#This Row],[item]]="По штрихкоду",ТабПозиции[[#This Row],[item]]="Посылка"),ТабПозиции[[#This Row],[deliverySumm]]+ТабПозиции[[#This Row],[deliveryPost]],SUM(M2045:O2045))</f>
        <v>216</v>
      </c>
      <c r="Q2045" s="57">
        <v>216</v>
      </c>
      <c r="R2045" s="62">
        <f>ТабПозиции[[#This Row],[totalSumm]]-ТабПозиции[[#This Row],[payment]]</f>
        <v>0</v>
      </c>
      <c r="S2045" s="34" t="s">
        <v>965</v>
      </c>
      <c r="T2045" s="56" t="s">
        <v>3061</v>
      </c>
      <c r="U2045" s="56" t="str">
        <f>IF(AND(ТабПозиции[[#This Row],[Остаток]]=0,ТабПозиции[[#This Row],[ord]]="true"),"true","false")</f>
        <v>true</v>
      </c>
      <c r="V2045" s="56" t="s">
        <v>3061</v>
      </c>
    </row>
    <row r="2046" spans="1:22" x14ac:dyDescent="0.25">
      <c r="A2046" s="26">
        <v>539</v>
      </c>
      <c r="B2046" s="1">
        <f>IFERROR(VLOOKUP(ТабПозиции[[#This Row],[orderNum]],ТабЗаказы[#Data],MATCH(B$7,ТабЗаказы[#Headers],0),0),"")</f>
        <v>45738</v>
      </c>
      <c r="C2046" s="95" t="str">
        <f>MONTH(ТабПозиции[[#This Row],[date]])&amp;"/"&amp;YEAR(ТабПозиции[[#This Row],[date]])</f>
        <v>3/2025</v>
      </c>
      <c r="D2046" s="1" t="str">
        <f>IFERROR(VLOOKUP(ТабПозиции[[#This Row],[orderNum]],ТабЗаказы[#Data],MATCH(D$7,ТабЗаказы[#Headers],0),0),"")</f>
        <v>Юля Ларисына</v>
      </c>
      <c r="E2046" s="93" t="s">
        <v>2704</v>
      </c>
      <c r="F2046" s="56" t="s">
        <v>3061</v>
      </c>
      <c r="H2046" s="34">
        <v>45740</v>
      </c>
      <c r="I2046" s="96">
        <v>1</v>
      </c>
      <c r="J2046" s="96">
        <v>123</v>
      </c>
      <c r="K2046">
        <f>ТабПозиции[[#This Row],[discountPrice]]*ТабПозиции[[#This Row],[quantity]]</f>
        <v>123</v>
      </c>
      <c r="L2046" s="26">
        <v>130</v>
      </c>
      <c r="M2046">
        <f t="shared" si="46"/>
        <v>130</v>
      </c>
      <c r="N2046" s="96"/>
      <c r="O204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Row],[orderNum]],ТабПозиции[orderSumm])&gt;1500),ABS(M2046*VLOOKUP(ТабПозиции[[#This Row],[orderNum]],ТабЗаказы[#Data],MATCH("Percent",ТабЗаказы[#Headers],0),0))/100,200/COUNTIF(ТабПозиции[orderNum],ТабПозиции[[#This Row],[orderNum]])),0),"")</f>
        <v>20</v>
      </c>
      <c r="P2046" s="95">
        <f>IF(OR(ТабПозиции[[#This Row],[item]]="По штрихкоду",ТабПозиции[[#This Row],[item]]="Посылка"),ТабПозиции[[#This Row],[deliverySumm]]+ТабПозиции[[#This Row],[deliveryPost]],SUM(M2046:O2046))</f>
        <v>150</v>
      </c>
      <c r="Q2046" s="57">
        <v>150</v>
      </c>
      <c r="R2046" s="62">
        <f>ТабПозиции[[#This Row],[totalSumm]]-ТабПозиции[[#This Row],[payment]]</f>
        <v>0</v>
      </c>
      <c r="S2046" s="34" t="s">
        <v>965</v>
      </c>
      <c r="T2046" s="56" t="s">
        <v>3061</v>
      </c>
      <c r="U2046" s="56" t="str">
        <f>IF(AND(ТабПозиции[[#This Row],[Остаток]]=0,ТабПозиции[[#This Row],[ord]]="true"),"true","false")</f>
        <v>true</v>
      </c>
      <c r="V2046" s="56" t="s">
        <v>3061</v>
      </c>
    </row>
    <row r="2047" spans="1:22" x14ac:dyDescent="0.25">
      <c r="A2047" s="26">
        <v>539</v>
      </c>
      <c r="B2047" s="1">
        <f>IFERROR(VLOOKUP(ТабПозиции[[#This Row],[orderNum]],ТабЗаказы[#Data],MATCH(B$7,ТабЗаказы[#Headers],0),0),"")</f>
        <v>45738</v>
      </c>
      <c r="C2047" s="95" t="str">
        <f>MONTH(ТабПозиции[[#This Row],[date]])&amp;"/"&amp;YEAR(ТабПозиции[[#This Row],[date]])</f>
        <v>3/2025</v>
      </c>
      <c r="D2047" s="1" t="str">
        <f>IFERROR(VLOOKUP(ТабПозиции[[#This Row],[orderNum]],ТабЗаказы[#Data],MATCH(D$7,ТабЗаказы[#Headers],0),0),"")</f>
        <v>Юля Ларисына</v>
      </c>
      <c r="E2047" s="93" t="s">
        <v>2039</v>
      </c>
      <c r="F2047" s="56" t="s">
        <v>3061</v>
      </c>
      <c r="H2047" s="34">
        <v>45740</v>
      </c>
      <c r="I2047" s="96">
        <v>1</v>
      </c>
      <c r="J2047" s="96">
        <v>271</v>
      </c>
      <c r="K2047">
        <f>ТабПозиции[[#This Row],[discountPrice]]*ТабПозиции[[#This Row],[quantity]]</f>
        <v>271</v>
      </c>
      <c r="L2047" s="26">
        <v>286</v>
      </c>
      <c r="M2047">
        <f t="shared" si="46"/>
        <v>286</v>
      </c>
      <c r="N2047" s="96"/>
      <c r="O204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Row],[orderNum]],ТабПозиции[orderSumm])&gt;1500),ABS(M2047*VLOOKUP(ТабПозиции[[#This Row],[orderNum]],ТабЗаказы[#Data],MATCH("Percent",ТабЗаказы[#Headers],0),0))/100,200/COUNTIF(ТабПозиции[orderNum],ТабПозиции[[#This Row],[orderNum]])),0),"")</f>
        <v>43</v>
      </c>
      <c r="P2047" s="95">
        <f>IF(OR(ТабПозиции[[#This Row],[item]]="По штрихкоду",ТабПозиции[[#This Row],[item]]="Посылка"),ТабПозиции[[#This Row],[deliverySumm]]+ТабПозиции[[#This Row],[deliveryPost]],SUM(M2047:O2047))</f>
        <v>329</v>
      </c>
      <c r="Q2047" s="57">
        <v>329</v>
      </c>
      <c r="R2047" s="62">
        <f>ТабПозиции[[#This Row],[totalSumm]]-ТабПозиции[[#This Row],[payment]]</f>
        <v>0</v>
      </c>
      <c r="S2047" s="34" t="s">
        <v>965</v>
      </c>
      <c r="T2047" s="56" t="s">
        <v>3061</v>
      </c>
      <c r="U2047" s="56" t="str">
        <f>IF(AND(ТабПозиции[[#This Row],[Остаток]]=0,ТабПозиции[[#This Row],[ord]]="true"),"true","false")</f>
        <v>true</v>
      </c>
      <c r="V2047" s="56" t="s">
        <v>3061</v>
      </c>
    </row>
    <row r="2048" spans="1:22" x14ac:dyDescent="0.25">
      <c r="A2048" s="26">
        <v>539</v>
      </c>
      <c r="B2048" s="1">
        <f>IFERROR(VLOOKUP(ТабПозиции[[#This Row],[orderNum]],ТабЗаказы[#Data],MATCH(B$7,ТабЗаказы[#Headers],0),0),"")</f>
        <v>45738</v>
      </c>
      <c r="C2048" s="95" t="str">
        <f>MONTH(ТабПозиции[[#This Row],[date]])&amp;"/"&amp;YEAR(ТабПозиции[[#This Row],[date]])</f>
        <v>3/2025</v>
      </c>
      <c r="D2048" s="1" t="str">
        <f>IFERROR(VLOOKUP(ТабПозиции[[#This Row],[orderNum]],ТабЗаказы[#Data],MATCH(D$7,ТабЗаказы[#Headers],0),0),"")</f>
        <v>Юля Ларисына</v>
      </c>
      <c r="E2048" s="93" t="s">
        <v>2705</v>
      </c>
      <c r="F2048" s="56" t="s">
        <v>3061</v>
      </c>
      <c r="H2048" s="34">
        <v>45742</v>
      </c>
      <c r="I2048" s="96">
        <v>1</v>
      </c>
      <c r="J2048" s="96">
        <v>192</v>
      </c>
      <c r="K2048">
        <f>ТабПозиции[[#This Row],[discountPrice]]*ТабПозиции[[#This Row],[quantity]]</f>
        <v>192</v>
      </c>
      <c r="L2048" s="26">
        <v>203</v>
      </c>
      <c r="M2048">
        <f t="shared" si="46"/>
        <v>203</v>
      </c>
      <c r="N2048" s="96"/>
      <c r="O204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Row],[orderNum]],ТабПозиции[orderSumm])&gt;1500),ABS(M2048*VLOOKUP(ТабПозиции[[#This Row],[orderNum]],ТабЗаказы[#Data],MATCH("Percent",ТабЗаказы[#Headers],0),0))/100,200/COUNTIF(ТабПозиции[orderNum],ТабПозиции[[#This Row],[orderNum]])),0),"")</f>
        <v>30</v>
      </c>
      <c r="P2048" s="95">
        <f>IF(OR(ТабПозиции[[#This Row],[item]]="По штрихкоду",ТабПозиции[[#This Row],[item]]="Посылка"),ТабПозиции[[#This Row],[deliverySumm]]+ТабПозиции[[#This Row],[deliveryPost]],SUM(M2048:O2048))</f>
        <v>233</v>
      </c>
      <c r="Q2048" s="57">
        <v>233</v>
      </c>
      <c r="R2048" s="62">
        <f>ТабПозиции[[#This Row],[totalSumm]]-ТабПозиции[[#This Row],[payment]]</f>
        <v>0</v>
      </c>
      <c r="S2048" s="34" t="s">
        <v>965</v>
      </c>
      <c r="T2048" s="56" t="s">
        <v>3061</v>
      </c>
      <c r="U2048" s="56" t="str">
        <f>IF(AND(ТабПозиции[[#This Row],[Остаток]]=0,ТабПозиции[[#This Row],[ord]]="true"),"true","false")</f>
        <v>true</v>
      </c>
      <c r="V2048" s="56" t="s">
        <v>3061</v>
      </c>
    </row>
    <row r="2049" spans="1:22" x14ac:dyDescent="0.25">
      <c r="A2049" s="26">
        <v>539</v>
      </c>
      <c r="B2049" s="1">
        <f>IFERROR(VLOOKUP(ТабПозиции[[#This Row],[orderNum]],ТабЗаказы[#Data],MATCH(B$7,ТабЗаказы[#Headers],0),0),"")</f>
        <v>45738</v>
      </c>
      <c r="C2049" s="95" t="str">
        <f>MONTH(ТабПозиции[[#This Row],[date]])&amp;"/"&amp;YEAR(ТабПозиции[[#This Row],[date]])</f>
        <v>3/2025</v>
      </c>
      <c r="D2049" s="1" t="str">
        <f>IFERROR(VLOOKUP(ТабПозиции[[#This Row],[orderNum]],ТабЗаказы[#Data],MATCH(D$7,ТабЗаказы[#Headers],0),0),"")</f>
        <v>Юля Ларисына</v>
      </c>
      <c r="E2049" s="93" t="s">
        <v>2207</v>
      </c>
      <c r="F2049" s="56" t="s">
        <v>3061</v>
      </c>
      <c r="H2049" s="34">
        <v>45739</v>
      </c>
      <c r="I2049" s="96">
        <v>1</v>
      </c>
      <c r="J2049" s="96">
        <v>442</v>
      </c>
      <c r="K2049">
        <f>ТабПозиции[[#This Row],[discountPrice]]*ТабПозиции[[#This Row],[quantity]]</f>
        <v>442</v>
      </c>
      <c r="L2049" s="26">
        <v>466</v>
      </c>
      <c r="M2049">
        <f t="shared" si="46"/>
        <v>466</v>
      </c>
      <c r="N2049" s="96"/>
      <c r="O204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Row],[orderNum]],ТабПозиции[orderSumm])&gt;1500),ABS(M2049*VLOOKUP(ТабПозиции[[#This Row],[orderNum]],ТабЗаказы[#Data],MATCH("Percent",ТабЗаказы[#Headers],0),0))/100,200/COUNTIF(ТабПозиции[orderNum],ТабПозиции[[#This Row],[orderNum]])),0),"")</f>
        <v>70</v>
      </c>
      <c r="P2049" s="95">
        <f>IF(OR(ТабПозиции[[#This Row],[item]]="По штрихкоду",ТабПозиции[[#This Row],[item]]="Посылка"),ТабПозиции[[#This Row],[deliverySumm]]+ТабПозиции[[#This Row],[deliveryPost]],SUM(M2049:O2049))</f>
        <v>536</v>
      </c>
      <c r="Q2049" s="57">
        <v>536</v>
      </c>
      <c r="R2049" s="62">
        <f>ТабПозиции[[#This Row],[totalSumm]]-ТабПозиции[[#This Row],[payment]]</f>
        <v>0</v>
      </c>
      <c r="S2049" s="34" t="s">
        <v>965</v>
      </c>
      <c r="T2049" s="56" t="s">
        <v>3061</v>
      </c>
      <c r="U2049" s="56" t="str">
        <f>IF(AND(ТабПозиции[[#This Row],[Остаток]]=0,ТабПозиции[[#This Row],[ord]]="true"),"true","false")</f>
        <v>true</v>
      </c>
      <c r="V2049" s="56" t="s">
        <v>3061</v>
      </c>
    </row>
    <row r="2050" spans="1:22" x14ac:dyDescent="0.25">
      <c r="A2050" s="26">
        <v>539</v>
      </c>
      <c r="B2050" s="1">
        <f>IFERROR(VLOOKUP(ТабПозиции[[#This Row],[orderNum]],ТабЗаказы[#Data],MATCH(B$7,ТабЗаказы[#Headers],0),0),"")</f>
        <v>45738</v>
      </c>
      <c r="C2050" s="95" t="str">
        <f>MONTH(ТабПозиции[[#This Row],[date]])&amp;"/"&amp;YEAR(ТабПозиции[[#This Row],[date]])</f>
        <v>3/2025</v>
      </c>
      <c r="D2050" s="1" t="str">
        <f>IFERROR(VLOOKUP(ТабПозиции[[#This Row],[orderNum]],ТабЗаказы[#Data],MATCH(D$7,ТабЗаказы[#Headers],0),0),"")</f>
        <v>Юля Ларисына</v>
      </c>
      <c r="E2050" s="93" t="s">
        <v>2706</v>
      </c>
      <c r="F2050" s="56" t="s">
        <v>3061</v>
      </c>
      <c r="H2050" s="34">
        <v>45741</v>
      </c>
      <c r="I2050" s="96">
        <v>1</v>
      </c>
      <c r="J2050" s="96">
        <v>217</v>
      </c>
      <c r="K2050">
        <f>ТабПозиции[[#This Row],[discountPrice]]*ТабПозиции[[#This Row],[quantity]]</f>
        <v>217</v>
      </c>
      <c r="L2050" s="26">
        <v>229</v>
      </c>
      <c r="M2050">
        <f t="shared" si="46"/>
        <v>229</v>
      </c>
      <c r="N2050" s="96"/>
      <c r="O205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Row],[orderNum]],ТабПозиции[orderSumm])&gt;1500),ABS(M2050*VLOOKUP(ТабПозиции[[#This Row],[orderNum]],ТабЗаказы[#Data],MATCH("Percent",ТабЗаказы[#Headers],0),0))/100,200/COUNTIF(ТабПозиции[orderNum],ТабПозиции[[#This Row],[orderNum]])),0),"")</f>
        <v>34</v>
      </c>
      <c r="P2050" s="95">
        <f>IF(OR(ТабПозиции[[#This Row],[item]]="По штрихкоду",ТабПозиции[[#This Row],[item]]="Посылка"),ТабПозиции[[#This Row],[deliverySumm]]+ТабПозиции[[#This Row],[deliveryPost]],SUM(M2050:O2050))</f>
        <v>263</v>
      </c>
      <c r="Q2050" s="57">
        <v>263</v>
      </c>
      <c r="R2050" s="62">
        <f>ТабПозиции[[#This Row],[totalSumm]]-ТабПозиции[[#This Row],[payment]]</f>
        <v>0</v>
      </c>
      <c r="S2050" s="34" t="s">
        <v>965</v>
      </c>
      <c r="T2050" s="56" t="s">
        <v>3061</v>
      </c>
      <c r="U2050" s="56" t="str">
        <f>IF(AND(ТабПозиции[[#This Row],[Остаток]]=0,ТабПозиции[[#This Row],[ord]]="true"),"true","false")</f>
        <v>true</v>
      </c>
      <c r="V2050" s="56" t="s">
        <v>3061</v>
      </c>
    </row>
    <row r="2051" spans="1:22" x14ac:dyDescent="0.25">
      <c r="A2051" s="26">
        <v>539</v>
      </c>
      <c r="B2051" s="1">
        <f>IFERROR(VLOOKUP(ТабПозиции[[#This Row],[orderNum]],ТабЗаказы[#Data],MATCH(B$7,ТабЗаказы[#Headers],0),0),"")</f>
        <v>45738</v>
      </c>
      <c r="C2051" s="95" t="str">
        <f>MONTH(ТабПозиции[[#This Row],[date]])&amp;"/"&amp;YEAR(ТабПозиции[[#This Row],[date]])</f>
        <v>3/2025</v>
      </c>
      <c r="D2051" s="1" t="str">
        <f>IFERROR(VLOOKUP(ТабПозиции[[#This Row],[orderNum]],ТабЗаказы[#Data],MATCH(D$7,ТабЗаказы[#Headers],0),0),"")</f>
        <v>Юля Ларисына</v>
      </c>
      <c r="E2051" s="93" t="s">
        <v>2656</v>
      </c>
      <c r="F2051" s="56" t="s">
        <v>3061</v>
      </c>
      <c r="H2051" s="34">
        <v>45739</v>
      </c>
      <c r="I2051" s="96">
        <v>1</v>
      </c>
      <c r="J2051" s="96">
        <v>281</v>
      </c>
      <c r="K2051">
        <f>ТабПозиции[[#This Row],[discountPrice]]*ТабПозиции[[#This Row],[quantity]]</f>
        <v>281</v>
      </c>
      <c r="L2051" s="26">
        <v>296</v>
      </c>
      <c r="M2051">
        <f t="shared" si="46"/>
        <v>296</v>
      </c>
      <c r="N2051" s="96"/>
      <c r="O205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Row],[orderNum]],ТабПозиции[orderSumm])&gt;1500),ABS(M2051*VLOOKUP(ТабПозиции[[#This Row],[orderNum]],ТабЗаказы[#Data],MATCH("Percent",ТабЗаказы[#Headers],0),0))/100,200/COUNTIF(ТабПозиции[orderNum],ТабПозиции[[#This Row],[orderNum]])),0),"")</f>
        <v>44</v>
      </c>
      <c r="P2051" s="95">
        <f>IF(OR(ТабПозиции[[#This Row],[item]]="По штрихкоду",ТабПозиции[[#This Row],[item]]="Посылка"),ТабПозиции[[#This Row],[deliverySumm]]+ТабПозиции[[#This Row],[deliveryPost]],SUM(M2051:O2051))</f>
        <v>340</v>
      </c>
      <c r="Q2051" s="57">
        <v>340</v>
      </c>
      <c r="R2051" s="62">
        <f>ТабПозиции[[#This Row],[totalSumm]]-ТабПозиции[[#This Row],[payment]]</f>
        <v>0</v>
      </c>
      <c r="S2051" s="34" t="s">
        <v>965</v>
      </c>
      <c r="T2051" s="56" t="s">
        <v>3061</v>
      </c>
      <c r="U2051" s="56" t="str">
        <f>IF(AND(ТабПозиции[[#This Row],[Остаток]]=0,ТабПозиции[[#This Row],[ord]]="true"),"true","false")</f>
        <v>true</v>
      </c>
      <c r="V2051" s="56" t="s">
        <v>3061</v>
      </c>
    </row>
    <row r="2052" spans="1:22" x14ac:dyDescent="0.25">
      <c r="A2052" s="26">
        <v>539</v>
      </c>
      <c r="B2052" s="1">
        <f>IFERROR(VLOOKUP(ТабПозиции[[#This Row],[orderNum]],ТабЗаказы[#Data],MATCH(B$7,ТабЗаказы[#Headers],0),0),"")</f>
        <v>45738</v>
      </c>
      <c r="C2052" s="95" t="str">
        <f>MONTH(ТабПозиции[[#This Row],[date]])&amp;"/"&amp;YEAR(ТабПозиции[[#This Row],[date]])</f>
        <v>3/2025</v>
      </c>
      <c r="D2052" s="1" t="str">
        <f>IFERROR(VLOOKUP(ТабПозиции[[#This Row],[orderNum]],ТабЗаказы[#Data],MATCH(D$7,ТабЗаказы[#Headers],0),0),"")</f>
        <v>Юля Ларисына</v>
      </c>
      <c r="E2052" s="93" t="s">
        <v>2657</v>
      </c>
      <c r="F2052" s="56" t="s">
        <v>3061</v>
      </c>
      <c r="H2052" s="34">
        <v>45742</v>
      </c>
      <c r="I2052" s="96">
        <v>1</v>
      </c>
      <c r="J2052" s="96">
        <v>317</v>
      </c>
      <c r="K2052">
        <f>ТабПозиции[[#This Row],[discountPrice]]*ТабПозиции[[#This Row],[quantity]]</f>
        <v>317</v>
      </c>
      <c r="L2052" s="26">
        <v>334</v>
      </c>
      <c r="M2052">
        <f t="shared" si="46"/>
        <v>334</v>
      </c>
      <c r="N2052" s="96"/>
      <c r="O205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Row],[orderNum]],ТабПозиции[orderSumm])&gt;1500),ABS(M2052*VLOOKUP(ТабПозиции[[#This Row],[orderNum]],ТабЗаказы[#Data],MATCH("Percent",ТабЗаказы[#Headers],0),0))/100,200/COUNTIF(ТабПозиции[orderNum],ТабПозиции[[#This Row],[orderNum]])),0),"")</f>
        <v>50</v>
      </c>
      <c r="P2052" s="95">
        <f>IF(OR(ТабПозиции[[#This Row],[item]]="По штрихкоду",ТабПозиции[[#This Row],[item]]="Посылка"),ТабПозиции[[#This Row],[deliverySumm]]+ТабПозиции[[#This Row],[deliveryPost]],SUM(M2052:O2052))</f>
        <v>384</v>
      </c>
      <c r="Q2052" s="57">
        <v>384</v>
      </c>
      <c r="R2052" s="62">
        <f>ТабПозиции[[#This Row],[totalSumm]]-ТабПозиции[[#This Row],[payment]]</f>
        <v>0</v>
      </c>
      <c r="S2052" s="34" t="s">
        <v>965</v>
      </c>
      <c r="T2052" s="56" t="s">
        <v>3061</v>
      </c>
      <c r="U2052" s="56" t="str">
        <f>IF(AND(ТабПозиции[[#This Row],[Остаток]]=0,ТабПозиции[[#This Row],[ord]]="true"),"true","false")</f>
        <v>true</v>
      </c>
      <c r="V2052" s="56" t="s">
        <v>3061</v>
      </c>
    </row>
    <row r="2053" spans="1:22" x14ac:dyDescent="0.25">
      <c r="A2053" s="26">
        <v>539</v>
      </c>
      <c r="B2053" s="1">
        <f>IFERROR(VLOOKUP(ТабПозиции[[#This Row],[orderNum]],ТабЗаказы[#Data],MATCH(B$7,ТабЗаказы[#Headers],0),0),"")</f>
        <v>45738</v>
      </c>
      <c r="C2053" s="95" t="str">
        <f>MONTH(ТабПозиции[[#This Row],[date]])&amp;"/"&amp;YEAR(ТабПозиции[[#This Row],[date]])</f>
        <v>3/2025</v>
      </c>
      <c r="D2053" s="1" t="str">
        <f>IFERROR(VLOOKUP(ТабПозиции[[#This Row],[orderNum]],ТабЗаказы[#Data],MATCH(D$7,ТабЗаказы[#Headers],0),0),"")</f>
        <v>Юля Ларисына</v>
      </c>
      <c r="E2053" s="93" t="s">
        <v>1230</v>
      </c>
      <c r="F2053" s="56" t="s">
        <v>3061</v>
      </c>
      <c r="H2053" s="34">
        <v>45740</v>
      </c>
      <c r="I2053" s="96">
        <v>1</v>
      </c>
      <c r="J2053" s="96">
        <v>374</v>
      </c>
      <c r="K2053">
        <f>ТабПозиции[[#This Row],[discountPrice]]*ТабПозиции[[#This Row],[quantity]]</f>
        <v>374</v>
      </c>
      <c r="L2053" s="26">
        <v>394</v>
      </c>
      <c r="M2053">
        <f t="shared" si="46"/>
        <v>394</v>
      </c>
      <c r="N2053" s="96"/>
      <c r="O205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Row],[orderNum]],ТабПозиции[orderSumm])&gt;1500),ABS(M2053*VLOOKUP(ТабПозиции[[#This Row],[orderNum]],ТабЗаказы[#Data],MATCH("Percent",ТабЗаказы[#Headers],0),0))/100,200/COUNTIF(ТабПозиции[orderNum],ТабПозиции[[#This Row],[orderNum]])),0),"")</f>
        <v>59</v>
      </c>
      <c r="P2053" s="95">
        <f>IF(OR(ТабПозиции[[#This Row],[item]]="По штрихкоду",ТабПозиции[[#This Row],[item]]="Посылка"),ТабПозиции[[#This Row],[deliverySumm]]+ТабПозиции[[#This Row],[deliveryPost]],SUM(M2053:O2053))</f>
        <v>453</v>
      </c>
      <c r="Q2053" s="57">
        <v>453</v>
      </c>
      <c r="R2053" s="62">
        <f>ТабПозиции[[#This Row],[totalSumm]]-ТабПозиции[[#This Row],[payment]]</f>
        <v>0</v>
      </c>
      <c r="S2053" s="34" t="s">
        <v>965</v>
      </c>
      <c r="T2053" s="56" t="s">
        <v>3061</v>
      </c>
      <c r="U2053" s="56" t="str">
        <f>IF(AND(ТабПозиции[[#This Row],[Остаток]]=0,ТабПозиции[[#This Row],[ord]]="true"),"true","false")</f>
        <v>true</v>
      </c>
      <c r="V2053" s="56" t="s">
        <v>3061</v>
      </c>
    </row>
    <row r="2054" spans="1:22" x14ac:dyDescent="0.25">
      <c r="A2054" s="26">
        <v>539</v>
      </c>
      <c r="B2054" s="1">
        <f>IFERROR(VLOOKUP(ТабПозиции[[#This Row],[orderNum]],ТабЗаказы[#Data],MATCH(B$7,ТабЗаказы[#Headers],0),0),"")</f>
        <v>45738</v>
      </c>
      <c r="C2054" s="95" t="str">
        <f>MONTH(ТабПозиции[[#This Row],[date]])&amp;"/"&amp;YEAR(ТабПозиции[[#This Row],[date]])</f>
        <v>3/2025</v>
      </c>
      <c r="D2054" s="1" t="str">
        <f>IFERROR(VLOOKUP(ТабПозиции[[#This Row],[orderNum]],ТабЗаказы[#Data],MATCH(D$7,ТабЗаказы[#Headers],0),0),"")</f>
        <v>Юля Ларисына</v>
      </c>
      <c r="E2054" s="93" t="s">
        <v>2027</v>
      </c>
      <c r="F2054" s="56" t="s">
        <v>3061</v>
      </c>
      <c r="H2054" s="34">
        <v>45739</v>
      </c>
      <c r="I2054" s="96">
        <v>1</v>
      </c>
      <c r="J2054" s="96">
        <v>397</v>
      </c>
      <c r="K2054">
        <f>ТабПозиции[[#This Row],[discountPrice]]*ТабПозиции[[#This Row],[quantity]]</f>
        <v>397</v>
      </c>
      <c r="L2054" s="26">
        <v>418</v>
      </c>
      <c r="M2054">
        <f t="shared" si="46"/>
        <v>418</v>
      </c>
      <c r="N2054" s="96"/>
      <c r="O205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Row],[orderNum]],ТабПозиции[orderSumm])&gt;1500),ABS(M2054*VLOOKUP(ТабПозиции[[#This Row],[orderNum]],ТабЗаказы[#Data],MATCH("Percent",ТабЗаказы[#Headers],0),0))/100,200/COUNTIF(ТабПозиции[orderNum],ТабПозиции[[#This Row],[orderNum]])),0),"")</f>
        <v>63</v>
      </c>
      <c r="P2054" s="95">
        <f>IF(OR(ТабПозиции[[#This Row],[item]]="По штрихкоду",ТабПозиции[[#This Row],[item]]="Посылка"),ТабПозиции[[#This Row],[deliverySumm]]+ТабПозиции[[#This Row],[deliveryPost]],SUM(M2054:O2054))</f>
        <v>481</v>
      </c>
      <c r="Q2054" s="57">
        <v>481</v>
      </c>
      <c r="R2054" s="62">
        <f>ТабПозиции[[#This Row],[totalSumm]]-ТабПозиции[[#This Row],[payment]]</f>
        <v>0</v>
      </c>
      <c r="S2054" s="34" t="s">
        <v>965</v>
      </c>
      <c r="T2054" s="56" t="s">
        <v>3061</v>
      </c>
      <c r="U2054" s="56" t="str">
        <f>IF(AND(ТабПозиции[[#This Row],[Остаток]]=0,ТабПозиции[[#This Row],[ord]]="true"),"true","false")</f>
        <v>true</v>
      </c>
      <c r="V2054" s="56" t="s">
        <v>3061</v>
      </c>
    </row>
    <row r="2055" spans="1:22" x14ac:dyDescent="0.25">
      <c r="A2055" s="26">
        <v>539</v>
      </c>
      <c r="B2055" s="1">
        <f>IFERROR(VLOOKUP(ТабПозиции[[#This Row],[orderNum]],ТабЗаказы[#Data],MATCH(B$7,ТабЗаказы[#Headers],0),0),"")</f>
        <v>45738</v>
      </c>
      <c r="C2055" s="95" t="str">
        <f>MONTH(ТабПозиции[[#This Row],[date]])&amp;"/"&amp;YEAR(ТабПозиции[[#This Row],[date]])</f>
        <v>3/2025</v>
      </c>
      <c r="D2055" s="1" t="str">
        <f>IFERROR(VLOOKUP(ТабПозиции[[#This Row],[orderNum]],ТабЗаказы[#Data],MATCH(D$7,ТабЗаказы[#Headers],0),0),"")</f>
        <v>Юля Ларисына</v>
      </c>
      <c r="E2055" s="93" t="s">
        <v>2707</v>
      </c>
      <c r="F2055" s="56" t="s">
        <v>3061</v>
      </c>
      <c r="H2055" s="34">
        <v>45739</v>
      </c>
      <c r="I2055" s="96">
        <v>1</v>
      </c>
      <c r="J2055" s="96">
        <v>456</v>
      </c>
      <c r="K2055">
        <f>ТабПозиции[[#This Row],[discountPrice]]*ТабПозиции[[#This Row],[quantity]]</f>
        <v>456</v>
      </c>
      <c r="L2055" s="26">
        <v>481</v>
      </c>
      <c r="M2055">
        <f t="shared" si="46"/>
        <v>481</v>
      </c>
      <c r="N2055" s="96"/>
      <c r="O205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Row],[orderNum]],ТабПозиции[orderSumm])&gt;1500),ABS(M2055*VLOOKUP(ТабПозиции[[#This Row],[orderNum]],ТабЗаказы[#Data],MATCH("Percent",ТабЗаказы[#Headers],0),0))/100,200/COUNTIF(ТабПозиции[orderNum],ТабПозиции[[#This Row],[orderNum]])),0),"")</f>
        <v>72</v>
      </c>
      <c r="P2055" s="95">
        <f>IF(OR(ТабПозиции[[#This Row],[item]]="По штрихкоду",ТабПозиции[[#This Row],[item]]="Посылка"),ТабПозиции[[#This Row],[deliverySumm]]+ТабПозиции[[#This Row],[deliveryPost]],SUM(M2055:O2055))</f>
        <v>553</v>
      </c>
      <c r="Q2055" s="57">
        <v>553</v>
      </c>
      <c r="R2055" s="62">
        <f>ТабПозиции[[#This Row],[totalSumm]]-ТабПозиции[[#This Row],[payment]]</f>
        <v>0</v>
      </c>
      <c r="S2055" s="34" t="s">
        <v>965</v>
      </c>
      <c r="T2055" s="56" t="s">
        <v>3061</v>
      </c>
      <c r="U2055" s="56" t="str">
        <f>IF(AND(ТабПозиции[[#This Row],[Остаток]]=0,ТабПозиции[[#This Row],[ord]]="true"),"true","false")</f>
        <v>true</v>
      </c>
      <c r="V2055" s="56" t="s">
        <v>3061</v>
      </c>
    </row>
    <row r="2056" spans="1:22" x14ac:dyDescent="0.25">
      <c r="A2056" s="26">
        <v>539</v>
      </c>
      <c r="B2056" s="1">
        <f>IFERROR(VLOOKUP(ТабПозиции[[#This Row],[orderNum]],ТабЗаказы[#Data],MATCH(B$7,ТабЗаказы[#Headers],0),0),"")</f>
        <v>45738</v>
      </c>
      <c r="C2056" s="95" t="str">
        <f>MONTH(ТабПозиции[[#This Row],[date]])&amp;"/"&amp;YEAR(ТабПозиции[[#This Row],[date]])</f>
        <v>3/2025</v>
      </c>
      <c r="D2056" s="1" t="str">
        <f>IFERROR(VLOOKUP(ТабПозиции[[#This Row],[orderNum]],ТабЗаказы[#Data],MATCH(D$7,ТабЗаказы[#Headers],0),0),"")</f>
        <v>Юля Ларисына</v>
      </c>
      <c r="E2056" s="93" t="s">
        <v>2708</v>
      </c>
      <c r="F2056" s="56" t="s">
        <v>3061</v>
      </c>
      <c r="H2056" s="34">
        <v>45740</v>
      </c>
      <c r="I2056" s="96">
        <v>1</v>
      </c>
      <c r="J2056" s="96">
        <v>384</v>
      </c>
      <c r="K2056">
        <f>ТабПозиции[[#This Row],[discountPrice]]*ТабПозиции[[#This Row],[quantity]]</f>
        <v>384</v>
      </c>
      <c r="L2056" s="26">
        <v>405</v>
      </c>
      <c r="M2056">
        <f t="shared" si="46"/>
        <v>405</v>
      </c>
      <c r="N2056" s="96"/>
      <c r="O205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Row],[orderNum]],ТабПозиции[orderSumm])&gt;1500),ABS(M2056*VLOOKUP(ТабПозиции[[#This Row],[orderNum]],ТабЗаказы[#Data],MATCH("Percent",ТабЗаказы[#Headers],0),0))/100,200/COUNTIF(ТабПозиции[orderNum],ТабПозиции[[#This Row],[orderNum]])),0),"")</f>
        <v>61</v>
      </c>
      <c r="P2056" s="95">
        <f>IF(OR(ТабПозиции[[#This Row],[item]]="По штрихкоду",ТабПозиции[[#This Row],[item]]="Посылка"),ТабПозиции[[#This Row],[deliverySumm]]+ТабПозиции[[#This Row],[deliveryPost]],SUM(M2056:O2056))</f>
        <v>466</v>
      </c>
      <c r="Q2056" s="57">
        <v>466</v>
      </c>
      <c r="R2056" s="62">
        <f>ТабПозиции[[#This Row],[totalSumm]]-ТабПозиции[[#This Row],[payment]]</f>
        <v>0</v>
      </c>
      <c r="S2056" s="34" t="s">
        <v>965</v>
      </c>
      <c r="T2056" s="56" t="s">
        <v>3061</v>
      </c>
      <c r="U2056" s="56" t="str">
        <f>IF(AND(ТабПозиции[[#This Row],[Остаток]]=0,ТабПозиции[[#This Row],[ord]]="true"),"true","false")</f>
        <v>true</v>
      </c>
      <c r="V2056" s="56" t="s">
        <v>3061</v>
      </c>
    </row>
    <row r="2057" spans="1:22" x14ac:dyDescent="0.25">
      <c r="A2057" s="26">
        <v>539</v>
      </c>
      <c r="B2057" s="1">
        <f>IFERROR(VLOOKUP(ТабПозиции[[#This Row],[orderNum]],ТабЗаказы[#Data],MATCH(B$7,ТабЗаказы[#Headers],0),0),"")</f>
        <v>45738</v>
      </c>
      <c r="C2057" s="95" t="str">
        <f>MONTH(ТабПозиции[[#This Row],[date]])&amp;"/"&amp;YEAR(ТабПозиции[[#This Row],[date]])</f>
        <v>3/2025</v>
      </c>
      <c r="D2057" s="1" t="str">
        <f>IFERROR(VLOOKUP(ТабПозиции[[#This Row],[orderNum]],ТабЗаказы[#Data],MATCH(D$7,ТабЗаказы[#Headers],0),0),"")</f>
        <v>Юля Ларисына</v>
      </c>
      <c r="E2057" s="93" t="s">
        <v>2709</v>
      </c>
      <c r="F2057" s="56" t="s">
        <v>3061</v>
      </c>
      <c r="H2057" s="34">
        <v>45740</v>
      </c>
      <c r="I2057" s="96">
        <v>1</v>
      </c>
      <c r="J2057" s="96">
        <v>118</v>
      </c>
      <c r="K2057">
        <f>ТабПозиции[[#This Row],[discountPrice]]*ТабПозиции[[#This Row],[quantity]]</f>
        <v>118</v>
      </c>
      <c r="L2057" s="26">
        <v>125</v>
      </c>
      <c r="M2057">
        <f t="shared" si="46"/>
        <v>125</v>
      </c>
      <c r="N2057" s="96"/>
      <c r="O205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Row],[orderNum]],ТабПозиции[orderSumm])&gt;1500),ABS(M2057*VLOOKUP(ТабПозиции[[#This Row],[orderNum]],ТабЗаказы[#Data],MATCH("Percent",ТабЗаказы[#Headers],0),0))/100,200/COUNTIF(ТабПозиции[orderNum],ТабПозиции[[#This Row],[orderNum]])),0),"")</f>
        <v>19</v>
      </c>
      <c r="P2057" s="95">
        <f>IF(OR(ТабПозиции[[#This Row],[item]]="По штрихкоду",ТабПозиции[[#This Row],[item]]="Посылка"),ТабПозиции[[#This Row],[deliverySumm]]+ТабПозиции[[#This Row],[deliveryPost]],SUM(M2057:O2057))</f>
        <v>144</v>
      </c>
      <c r="Q2057" s="57">
        <v>144</v>
      </c>
      <c r="R2057" s="62">
        <f>ТабПозиции[[#This Row],[totalSumm]]-ТабПозиции[[#This Row],[payment]]</f>
        <v>0</v>
      </c>
      <c r="S2057" s="34" t="s">
        <v>965</v>
      </c>
      <c r="T2057" s="56" t="s">
        <v>3061</v>
      </c>
      <c r="U2057" s="56" t="str">
        <f>IF(AND(ТабПозиции[[#This Row],[Остаток]]=0,ТабПозиции[[#This Row],[ord]]="true"),"true","false")</f>
        <v>true</v>
      </c>
      <c r="V2057" s="56" t="s">
        <v>3061</v>
      </c>
    </row>
    <row r="2058" spans="1:22" x14ac:dyDescent="0.25">
      <c r="A2058" s="26">
        <v>540</v>
      </c>
      <c r="B2058" s="1">
        <f>IFERROR(VLOOKUP(ТабПозиции[[#This Row],[orderNum]],ТабЗаказы[#Data],MATCH(B$7,ТабЗаказы[#Headers],0),0),"")</f>
        <v>45739</v>
      </c>
      <c r="C2058" s="95" t="str">
        <f>MONTH(ТабПозиции[[#This Row],[date]])&amp;"/"&amp;YEAR(ТабПозиции[[#This Row],[date]])</f>
        <v>3/2025</v>
      </c>
      <c r="D2058" s="1" t="str">
        <f>IFERROR(VLOOKUP(ТабПозиции[[#This Row],[orderNum]],ТабЗаказы[#Data],MATCH(D$7,ТабЗаказы[#Headers],0),0),"")</f>
        <v>Митрофанов Евгений</v>
      </c>
      <c r="E2058" s="93" t="s">
        <v>2719</v>
      </c>
      <c r="F2058" s="56" t="s">
        <v>3061</v>
      </c>
      <c r="G2058" s="28" t="s">
        <v>2731</v>
      </c>
      <c r="H2058" s="34">
        <v>45744</v>
      </c>
      <c r="I2058" s="96">
        <v>1</v>
      </c>
      <c r="J2058" s="96">
        <v>14400</v>
      </c>
      <c r="K2058">
        <f>ТабПозиции[[#This Row],[discountPrice]]*ТабПозиции[[#This Row],[quantity]]</f>
        <v>14400</v>
      </c>
      <c r="L2058" s="26">
        <v>14400</v>
      </c>
      <c r="M2058">
        <f t="shared" si="46"/>
        <v>14400</v>
      </c>
      <c r="N2058" s="96">
        <v>434</v>
      </c>
      <c r="O205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Row],[orderNum]],ТабПозиции[orderSumm])&gt;1500),ABS(M2058*VLOOKUP(ТабПозиции[[#This Row],[orderNum]],ТабЗаказы[#Data],MATCH("Percent",ТабЗаказы[#Headers],0),0))/100,200/COUNTIF(ТабПозиции[orderNum],ТабПозиции[[#This Row],[orderNum]])),0),"")</f>
        <v>1440</v>
      </c>
      <c r="P2058" s="95">
        <f>IF(OR(ТабПозиции[[#This Row],[item]]="По штрихкоду",ТабПозиции[[#This Row],[item]]="Посылка"),ТабПозиции[[#This Row],[deliverySumm]]+ТабПозиции[[#This Row],[deliveryPost]],SUM(M2058:O2058))</f>
        <v>16274</v>
      </c>
      <c r="Q2058" s="57">
        <v>16274</v>
      </c>
      <c r="R2058" s="62">
        <f>ТабПозиции[[#This Row],[totalSumm]]-ТабПозиции[[#This Row],[payment]]</f>
        <v>0</v>
      </c>
      <c r="S2058" s="34" t="s">
        <v>1000</v>
      </c>
      <c r="T2058" s="56" t="s">
        <v>3061</v>
      </c>
      <c r="U2058" s="56" t="str">
        <f>IF(AND(ТабПозиции[[#This Row],[Остаток]]=0,ТабПозиции[[#This Row],[ord]]="true"),"true","false")</f>
        <v>true</v>
      </c>
      <c r="V2058" s="56" t="s">
        <v>3061</v>
      </c>
    </row>
    <row r="2059" spans="1:22" x14ac:dyDescent="0.25">
      <c r="A2059" s="26">
        <v>541</v>
      </c>
      <c r="B2059" s="1">
        <f>IFERROR(VLOOKUP(ТабПозиции[[#This Row],[orderNum]],ТабЗаказы[#Data],MATCH(B$7,ТабЗаказы[#Headers],0),0),"")</f>
        <v>45740</v>
      </c>
      <c r="C2059" s="95" t="str">
        <f>MONTH(ТабПозиции[[#This Row],[date]])&amp;"/"&amp;YEAR(ТабПозиции[[#This Row],[date]])</f>
        <v>3/2025</v>
      </c>
      <c r="D2059" s="1" t="str">
        <f>IFERROR(VLOOKUP(ТабПозиции[[#This Row],[orderNum]],ТабЗаказы[#Data],MATCH(D$7,ТабЗаказы[#Headers],0),0),"")</f>
        <v>Галина Агабекова(церковь)</v>
      </c>
      <c r="E2059" s="93" t="s">
        <v>2711</v>
      </c>
      <c r="F2059" s="56" t="s">
        <v>3061</v>
      </c>
      <c r="H2059" s="34">
        <v>45741</v>
      </c>
      <c r="I2059" s="96">
        <v>1</v>
      </c>
      <c r="J2059" s="96">
        <v>2678</v>
      </c>
      <c r="K2059">
        <f>ТабПозиции[[#This Row],[discountPrice]]*ТабПозиции[[#This Row],[quantity]]</f>
        <v>2678</v>
      </c>
      <c r="L2059" s="26">
        <v>2819</v>
      </c>
      <c r="M2059">
        <f t="shared" si="46"/>
        <v>2819</v>
      </c>
      <c r="N2059" s="96"/>
      <c r="O205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Row],[orderNum]],ТабПозиции[orderSumm])&gt;1500),ABS(M2059*VLOOKUP(ТабПозиции[[#This Row],[orderNum]],ТабЗаказы[#Data],MATCH("Percent",ТабЗаказы[#Headers],0),0))/100,200/COUNTIF(ТабПозиции[orderNum],ТабПозиции[[#This Row],[orderNum]])),0),"")</f>
        <v>423</v>
      </c>
      <c r="P2059" s="95">
        <f>IF(OR(ТабПозиции[[#This Row],[item]]="По штрихкоду",ТабПозиции[[#This Row],[item]]="Посылка"),ТабПозиции[[#This Row],[deliverySumm]]+ТабПозиции[[#This Row],[deliveryPost]],SUM(M2059:O2059))</f>
        <v>3242</v>
      </c>
      <c r="Q2059" s="57">
        <v>3242</v>
      </c>
      <c r="R2059" s="62">
        <f>ТабПозиции[[#This Row],[totalSumm]]-ТабПозиции[[#This Row],[payment]]</f>
        <v>0</v>
      </c>
      <c r="S2059" s="34" t="s">
        <v>965</v>
      </c>
      <c r="T2059" s="56" t="s">
        <v>3061</v>
      </c>
      <c r="U2059" s="56" t="str">
        <f>IF(AND(ТабПозиции[[#This Row],[Остаток]]=0,ТабПозиции[[#This Row],[ord]]="true"),"true","false")</f>
        <v>true</v>
      </c>
      <c r="V2059" s="56" t="s">
        <v>3061</v>
      </c>
    </row>
    <row r="2060" spans="1:22" x14ac:dyDescent="0.25">
      <c r="A2060" s="26">
        <v>541</v>
      </c>
      <c r="B2060" s="1">
        <f>IFERROR(VLOOKUP(ТабПозиции[[#This Row],[orderNum]],ТабЗаказы[#Data],MATCH(B$7,ТабЗаказы[#Headers],0),0),"")</f>
        <v>45740</v>
      </c>
      <c r="C2060" s="95" t="str">
        <f>MONTH(ТабПозиции[[#This Row],[date]])&amp;"/"&amp;YEAR(ТабПозиции[[#This Row],[date]])</f>
        <v>3/2025</v>
      </c>
      <c r="D2060" s="1" t="str">
        <f>IFERROR(VLOOKUP(ТабПозиции[[#This Row],[orderNum]],ТабЗаказы[#Data],MATCH(D$7,ТабЗаказы[#Headers],0),0),"")</f>
        <v>Галина Агабекова(церковь)</v>
      </c>
      <c r="E2060" s="93" t="s">
        <v>2710</v>
      </c>
      <c r="F2060" s="56" t="s">
        <v>3061</v>
      </c>
      <c r="H2060" s="34">
        <v>45741</v>
      </c>
      <c r="I2060" s="96">
        <v>1</v>
      </c>
      <c r="J2060" s="96">
        <v>730</v>
      </c>
      <c r="K2060">
        <f>ТабПозиции[[#This Row],[discountPrice]]*ТабПозиции[[#This Row],[quantity]]</f>
        <v>730</v>
      </c>
      <c r="L2060" s="26">
        <v>772</v>
      </c>
      <c r="M2060">
        <f t="shared" si="46"/>
        <v>772</v>
      </c>
      <c r="N2060" s="96"/>
      <c r="O206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Row],[orderNum]],ТабПозиции[orderSumm])&gt;1500),ABS(M2060*VLOOKUP(ТабПозиции[[#This Row],[orderNum]],ТабЗаказы[#Data],MATCH("Percent",ТабЗаказы[#Headers],0),0))/100,200/COUNTIF(ТабПозиции[orderNum],ТабПозиции[[#This Row],[orderNum]])),0),"")</f>
        <v>116</v>
      </c>
      <c r="P2060" s="95">
        <f>IF(OR(ТабПозиции[[#This Row],[item]]="По штрихкоду",ТабПозиции[[#This Row],[item]]="Посылка"),ТабПозиции[[#This Row],[deliverySumm]]+ТабПозиции[[#This Row],[deliveryPost]],SUM(M2060:O2060))</f>
        <v>888</v>
      </c>
      <c r="Q2060" s="57">
        <v>888</v>
      </c>
      <c r="R2060" s="62">
        <f>ТабПозиции[[#This Row],[totalSumm]]-ТабПозиции[[#This Row],[payment]]</f>
        <v>0</v>
      </c>
      <c r="S2060" s="34" t="s">
        <v>955</v>
      </c>
      <c r="T2060" s="56" t="s">
        <v>3061</v>
      </c>
      <c r="U2060" s="56" t="str">
        <f>IF(AND(ТабПозиции[[#This Row],[Остаток]]=0,ТабПозиции[[#This Row],[ord]]="true"),"true","false")</f>
        <v>true</v>
      </c>
      <c r="V2060" s="56" t="s">
        <v>3061</v>
      </c>
    </row>
    <row r="2061" spans="1:22" x14ac:dyDescent="0.25">
      <c r="A2061" s="26">
        <v>541</v>
      </c>
      <c r="B2061" s="1">
        <f>IFERROR(VLOOKUP(ТабПозиции[[#This Row],[orderNum]],ТабЗаказы[#Data],MATCH(B$7,ТабЗаказы[#Headers],0),0),"")</f>
        <v>45740</v>
      </c>
      <c r="C2061" s="95" t="str">
        <f>MONTH(ТабПозиции[[#This Row],[date]])&amp;"/"&amp;YEAR(ТабПозиции[[#This Row],[date]])</f>
        <v>3/2025</v>
      </c>
      <c r="D2061" s="1" t="str">
        <f>IFERROR(VLOOKUP(ТабПозиции[[#This Row],[orderNum]],ТабЗаказы[#Data],MATCH(D$7,ТабЗаказы[#Headers],0),0),"")</f>
        <v>Галина Агабекова(церковь)</v>
      </c>
      <c r="E2061" s="93" t="s">
        <v>2712</v>
      </c>
      <c r="F2061" s="56" t="s">
        <v>3061</v>
      </c>
      <c r="H2061" s="34">
        <v>45743</v>
      </c>
      <c r="I2061" s="96">
        <v>1</v>
      </c>
      <c r="J2061" s="96">
        <v>765</v>
      </c>
      <c r="K2061">
        <f>ТабПозиции[[#This Row],[discountPrice]]*ТабПозиции[[#This Row],[quantity]]</f>
        <v>765</v>
      </c>
      <c r="L2061" s="26">
        <v>822</v>
      </c>
      <c r="M2061">
        <f t="shared" si="46"/>
        <v>822</v>
      </c>
      <c r="N2061" s="96"/>
      <c r="O206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Row],[orderNum]],ТабПозиции[orderSumm])&gt;1500),ABS(M2061*VLOOKUP(ТабПозиции[[#This Row],[orderNum]],ТабЗаказы[#Data],MATCH("Percent",ТабЗаказы[#Headers],0),0))/100,200/COUNTIF(ТабПозиции[orderNum],ТабПозиции[[#This Row],[orderNum]])),0),"")</f>
        <v>123</v>
      </c>
      <c r="P2061" s="95">
        <f>IF(OR(ТабПозиции[[#This Row],[item]]="По штрихкоду",ТабПозиции[[#This Row],[item]]="Посылка"),ТабПозиции[[#This Row],[deliverySumm]]+ТабПозиции[[#This Row],[deliveryPost]],SUM(M2061:O2061))</f>
        <v>945</v>
      </c>
      <c r="Q2061" s="57">
        <v>945</v>
      </c>
      <c r="R2061" s="62">
        <f>ТабПозиции[[#This Row],[totalSumm]]-ТабПозиции[[#This Row],[payment]]</f>
        <v>0</v>
      </c>
      <c r="S2061" s="34" t="s">
        <v>955</v>
      </c>
      <c r="T2061" s="56" t="s">
        <v>3061</v>
      </c>
      <c r="U2061" s="56" t="str">
        <f>IF(AND(ТабПозиции[[#This Row],[Остаток]]=0,ТабПозиции[[#This Row],[ord]]="true"),"true","false")</f>
        <v>true</v>
      </c>
      <c r="V2061" s="56" t="s">
        <v>3061</v>
      </c>
    </row>
    <row r="2062" spans="1:22" x14ac:dyDescent="0.25">
      <c r="A2062" s="26">
        <v>541</v>
      </c>
      <c r="B2062" s="1">
        <f>IFERROR(VLOOKUP(ТабПозиции[[#This Row],[orderNum]],ТабЗаказы[#Data],MATCH(B$7,ТабЗаказы[#Headers],0),0),"")</f>
        <v>45740</v>
      </c>
      <c r="C2062" s="95" t="str">
        <f>MONTH(ТабПозиции[[#This Row],[date]])&amp;"/"&amp;YEAR(ТабПозиции[[#This Row],[date]])</f>
        <v>3/2025</v>
      </c>
      <c r="D2062" s="1" t="str">
        <f>IFERROR(VLOOKUP(ТабПозиции[[#This Row],[orderNum]],ТабЗаказы[#Data],MATCH(D$7,ТабЗаказы[#Headers],0),0),"")</f>
        <v>Галина Агабекова(церковь)</v>
      </c>
      <c r="E2062" s="93" t="s">
        <v>2713</v>
      </c>
      <c r="F2062" s="56" t="s">
        <v>3061</v>
      </c>
      <c r="H2062" s="34">
        <v>45742</v>
      </c>
      <c r="I2062" s="96">
        <v>1</v>
      </c>
      <c r="J2062" s="96">
        <v>1116</v>
      </c>
      <c r="K2062">
        <f>ТабПозиции[[#This Row],[discountPrice]]*ТабПозиции[[#This Row],[quantity]]</f>
        <v>1116</v>
      </c>
      <c r="L2062" s="26">
        <v>1200</v>
      </c>
      <c r="M2062">
        <f t="shared" si="46"/>
        <v>1200</v>
      </c>
      <c r="N2062" s="96"/>
      <c r="O206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Row],[orderNum]],ТабПозиции[orderSumm])&gt;1500),ABS(M2062*VLOOKUP(ТабПозиции[[#This Row],[orderNum]],ТабЗаказы[#Data],MATCH("Percent",ТабЗаказы[#Headers],0),0))/100,200/COUNTIF(ТабПозиции[orderNum],ТабПозиции[[#This Row],[orderNum]])),0),"")</f>
        <v>180</v>
      </c>
      <c r="P2062" s="95">
        <f>IF(OR(ТабПозиции[[#This Row],[item]]="По штрихкоду",ТабПозиции[[#This Row],[item]]="Посылка"),ТабПозиции[[#This Row],[deliverySumm]]+ТабПозиции[[#This Row],[deliveryPost]],SUM(M2062:O2062))</f>
        <v>1380</v>
      </c>
      <c r="Q2062" s="57">
        <v>1380</v>
      </c>
      <c r="R2062" s="62">
        <f>ТабПозиции[[#This Row],[totalSumm]]-ТабПозиции[[#This Row],[payment]]</f>
        <v>0</v>
      </c>
      <c r="S2062" s="34" t="s">
        <v>955</v>
      </c>
      <c r="T2062" s="56" t="s">
        <v>3061</v>
      </c>
      <c r="U2062" s="56" t="str">
        <f>IF(AND(ТабПозиции[[#This Row],[Остаток]]=0,ТабПозиции[[#This Row],[ord]]="true"),"true","false")</f>
        <v>true</v>
      </c>
      <c r="V2062" s="56" t="s">
        <v>3061</v>
      </c>
    </row>
    <row r="2063" spans="1:22" x14ac:dyDescent="0.25">
      <c r="A2063" s="26">
        <v>541</v>
      </c>
      <c r="B2063" s="1">
        <f>IFERROR(VLOOKUP(ТабПозиции[[#This Row],[orderNum]],ТабЗаказы[#Data],MATCH(B$7,ТабЗаказы[#Headers],0),0),"")</f>
        <v>45740</v>
      </c>
      <c r="C2063" s="95" t="str">
        <f>MONTH(ТабПозиции[[#This Row],[date]])&amp;"/"&amp;YEAR(ТабПозиции[[#This Row],[date]])</f>
        <v>3/2025</v>
      </c>
      <c r="D2063" s="1" t="str">
        <f>IFERROR(VLOOKUP(ТабПозиции[[#This Row],[orderNum]],ТабЗаказы[#Data],MATCH(D$7,ТабЗаказы[#Headers],0),0),"")</f>
        <v>Галина Агабекова(церковь)</v>
      </c>
      <c r="E2063" s="93" t="s">
        <v>2714</v>
      </c>
      <c r="F2063" s="56" t="s">
        <v>3061</v>
      </c>
      <c r="H2063" s="34">
        <v>45742</v>
      </c>
      <c r="I2063" s="96">
        <v>1</v>
      </c>
      <c r="J2063" s="96">
        <v>409</v>
      </c>
      <c r="K2063">
        <f>ТабПозиции[[#This Row],[discountPrice]]*ТабПозиции[[#This Row],[quantity]]</f>
        <v>409</v>
      </c>
      <c r="L2063" s="26">
        <v>441</v>
      </c>
      <c r="M2063">
        <f t="shared" si="46"/>
        <v>441</v>
      </c>
      <c r="N2063" s="96"/>
      <c r="O206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Row],[orderNum]],ТабПозиции[orderSumm])&gt;1500),ABS(M2063*VLOOKUP(ТабПозиции[[#This Row],[orderNum]],ТабЗаказы[#Data],MATCH("Percent",ТабЗаказы[#Headers],0),0))/100,200/COUNTIF(ТабПозиции[orderNum],ТабПозиции[[#This Row],[orderNum]])),0),"")</f>
        <v>66</v>
      </c>
      <c r="P2063" s="95">
        <f>IF(OR(ТабПозиции[[#This Row],[item]]="По штрихкоду",ТабПозиции[[#This Row],[item]]="Посылка"),ТабПозиции[[#This Row],[deliverySumm]]+ТабПозиции[[#This Row],[deliveryPost]],SUM(M2063:O2063))</f>
        <v>507</v>
      </c>
      <c r="Q2063" s="57">
        <v>507</v>
      </c>
      <c r="R2063" s="62">
        <f>ТабПозиции[[#This Row],[totalSumm]]-ТабПозиции[[#This Row],[payment]]</f>
        <v>0</v>
      </c>
      <c r="S2063" s="34" t="s">
        <v>955</v>
      </c>
      <c r="T2063" s="56" t="s">
        <v>3061</v>
      </c>
      <c r="U2063" s="56" t="str">
        <f>IF(AND(ТабПозиции[[#This Row],[Остаток]]=0,ТабПозиции[[#This Row],[ord]]="true"),"true","false")</f>
        <v>true</v>
      </c>
      <c r="V2063" s="56" t="s">
        <v>3061</v>
      </c>
    </row>
    <row r="2064" spans="1:22" x14ac:dyDescent="0.25">
      <c r="A2064" s="26">
        <v>541</v>
      </c>
      <c r="B2064" s="1">
        <f>IFERROR(VLOOKUP(ТабПозиции[[#This Row],[orderNum]],ТабЗаказы[#Data],MATCH(B$7,ТабЗаказы[#Headers],0),0),"")</f>
        <v>45740</v>
      </c>
      <c r="C2064" s="95" t="str">
        <f>MONTH(ТабПозиции[[#This Row],[date]])&amp;"/"&amp;YEAR(ТабПозиции[[#This Row],[date]])</f>
        <v>3/2025</v>
      </c>
      <c r="D2064" s="1" t="str">
        <f>IFERROR(VLOOKUP(ТабПозиции[[#This Row],[orderNum]],ТабЗаказы[#Data],MATCH(D$7,ТабЗаказы[#Headers],0),0),"")</f>
        <v>Галина Агабекова(церковь)</v>
      </c>
      <c r="E2064" s="93" t="s">
        <v>2715</v>
      </c>
      <c r="F2064" s="56" t="s">
        <v>3061</v>
      </c>
      <c r="H2064" s="34">
        <v>45742</v>
      </c>
      <c r="I2064" s="96">
        <v>1</v>
      </c>
      <c r="J2064" s="96">
        <v>808</v>
      </c>
      <c r="K2064">
        <f>ТабПозиции[[#This Row],[discountPrice]]*ТабПозиции[[#This Row],[quantity]]</f>
        <v>808</v>
      </c>
      <c r="L2064" s="26">
        <v>870</v>
      </c>
      <c r="M2064">
        <f t="shared" si="46"/>
        <v>870</v>
      </c>
      <c r="N2064" s="96"/>
      <c r="O206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Row],[orderNum]],ТабПозиции[orderSumm])&gt;1500),ABS(M2064*VLOOKUP(ТабПозиции[[#This Row],[orderNum]],ТабЗаказы[#Data],MATCH("Percent",ТабЗаказы[#Headers],0),0))/100,200/COUNTIF(ТабПозиции[orderNum],ТабПозиции[[#This Row],[orderNum]])),0),"")</f>
        <v>131</v>
      </c>
      <c r="P2064" s="95">
        <f>IF(OR(ТабПозиции[[#This Row],[item]]="По штрихкоду",ТабПозиции[[#This Row],[item]]="Посылка"),ТабПозиции[[#This Row],[deliverySumm]]+ТабПозиции[[#This Row],[deliveryPost]],SUM(M2064:O2064))</f>
        <v>1001</v>
      </c>
      <c r="Q2064" s="57">
        <v>1001</v>
      </c>
      <c r="R2064" s="62">
        <f>ТабПозиции[[#This Row],[totalSumm]]-ТабПозиции[[#This Row],[payment]]</f>
        <v>0</v>
      </c>
      <c r="S2064" s="34" t="s">
        <v>955</v>
      </c>
      <c r="T2064" s="56" t="s">
        <v>3061</v>
      </c>
      <c r="U2064" s="56" t="str">
        <f>IF(AND(ТабПозиции[[#This Row],[Остаток]]=0,ТабПозиции[[#This Row],[ord]]="true"),"true","false")</f>
        <v>true</v>
      </c>
      <c r="V2064" s="56" t="s">
        <v>3061</v>
      </c>
    </row>
    <row r="2065" spans="1:22" x14ac:dyDescent="0.25">
      <c r="A2065" s="26">
        <v>541</v>
      </c>
      <c r="B2065" s="1">
        <f>IFERROR(VLOOKUP(ТабПозиции[[#This Row],[orderNum]],ТабЗаказы[#Data],MATCH(B$7,ТабЗаказы[#Headers],0),0),"")</f>
        <v>45740</v>
      </c>
      <c r="C2065" s="95" t="str">
        <f>MONTH(ТабПозиции[[#This Row],[date]])&amp;"/"&amp;YEAR(ТабПозиции[[#This Row],[date]])</f>
        <v>3/2025</v>
      </c>
      <c r="D2065" s="1" t="str">
        <f>IFERROR(VLOOKUP(ТабПозиции[[#This Row],[orderNum]],ТабЗаказы[#Data],MATCH(D$7,ТабЗаказы[#Headers],0),0),"")</f>
        <v>Галина Агабекова(церковь)</v>
      </c>
      <c r="E2065" s="93" t="s">
        <v>2716</v>
      </c>
      <c r="F2065" s="56" t="s">
        <v>3061</v>
      </c>
      <c r="H2065" s="34">
        <v>45742</v>
      </c>
      <c r="I2065" s="96">
        <v>1</v>
      </c>
      <c r="J2065" s="96">
        <v>832</v>
      </c>
      <c r="K2065">
        <f>ТабПозиции[[#This Row],[discountPrice]]*ТабПозиции[[#This Row],[quantity]]</f>
        <v>832</v>
      </c>
      <c r="L2065" s="26">
        <v>881</v>
      </c>
      <c r="M2065">
        <f t="shared" si="46"/>
        <v>881</v>
      </c>
      <c r="N2065" s="96"/>
      <c r="O206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Row],[orderNum]],ТабПозиции[orderSumm])&gt;1500),ABS(M2065*VLOOKUP(ТабПозиции[[#This Row],[orderNum]],ТабЗаказы[#Data],MATCH("Percent",ТабЗаказы[#Headers],0),0))/100,200/COUNTIF(ТабПозиции[orderNum],ТабПозиции[[#This Row],[orderNum]])),0),"")</f>
        <v>132</v>
      </c>
      <c r="P2065" s="95">
        <f>IF(OR(ТабПозиции[[#This Row],[item]]="По штрихкоду",ТабПозиции[[#This Row],[item]]="Посылка"),ТабПозиции[[#This Row],[deliverySumm]]+ТабПозиции[[#This Row],[deliveryPost]],SUM(M2065:O2065))</f>
        <v>1013</v>
      </c>
      <c r="Q2065" s="57">
        <v>1013</v>
      </c>
      <c r="R2065" s="62">
        <f>ТабПозиции[[#This Row],[totalSumm]]-ТабПозиции[[#This Row],[payment]]</f>
        <v>0</v>
      </c>
      <c r="S2065" s="34" t="s">
        <v>955</v>
      </c>
      <c r="T2065" s="56" t="s">
        <v>3061</v>
      </c>
      <c r="U2065" s="56" t="str">
        <f>IF(AND(ТабПозиции[[#This Row],[Остаток]]=0,ТабПозиции[[#This Row],[ord]]="true"),"true","false")</f>
        <v>true</v>
      </c>
      <c r="V2065" s="56" t="s">
        <v>3061</v>
      </c>
    </row>
    <row r="2066" spans="1:22" x14ac:dyDescent="0.25">
      <c r="A2066" s="26">
        <v>542</v>
      </c>
      <c r="B2066" s="1">
        <f>IFERROR(VLOOKUP(ТабПозиции[[#This Row],[orderNum]],ТабЗаказы[#Data],MATCH(B$7,ТабЗаказы[#Headers],0),0),"")</f>
        <v>45741</v>
      </c>
      <c r="C2066" s="95" t="str">
        <f>MONTH(ТабПозиции[[#This Row],[date]])&amp;"/"&amp;YEAR(ТабПозиции[[#This Row],[date]])</f>
        <v>3/2025</v>
      </c>
      <c r="D2066" s="1" t="str">
        <f>IFERROR(VLOOKUP(ТабПозиции[[#This Row],[orderNum]],ТабЗаказы[#Data],MATCH(D$7,ТабЗаказы[#Headers],0),0),"")</f>
        <v>Юля Ларисына</v>
      </c>
      <c r="E2066" s="93" t="s">
        <v>2720</v>
      </c>
      <c r="F2066" s="56" t="s">
        <v>3061</v>
      </c>
      <c r="H2066" s="34">
        <v>45742</v>
      </c>
      <c r="I2066" s="96">
        <v>1</v>
      </c>
      <c r="J2066" s="96">
        <v>1316</v>
      </c>
      <c r="K2066">
        <f>ТабПозиции[[#This Row],[discountPrice]]*ТабПозиции[[#This Row],[quantity]]</f>
        <v>1316</v>
      </c>
      <c r="L2066" s="26">
        <v>1386</v>
      </c>
      <c r="M2066">
        <f t="shared" si="46"/>
        <v>1386</v>
      </c>
      <c r="N2066" s="96"/>
      <c r="O206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Row],[orderNum]],ТабПозиции[orderSumm])&gt;1500),ABS(M2066*VLOOKUP(ТабПозиции[[#This Row],[orderNum]],ТабЗаказы[#Data],MATCH("Percent",ТабЗаказы[#Headers],0),0))/100,200/COUNTIF(ТабПозиции[orderNum],ТабПозиции[[#This Row],[orderNum]])),0),"")</f>
        <v>208</v>
      </c>
      <c r="P2066" s="95">
        <f>IF(OR(ТабПозиции[[#This Row],[item]]="По штрихкоду",ТабПозиции[[#This Row],[item]]="Посылка"),ТабПозиции[[#This Row],[deliverySumm]]+ТабПозиции[[#This Row],[deliveryPost]],SUM(M2066:O2066))</f>
        <v>1594</v>
      </c>
      <c r="Q2066" s="57">
        <v>1594</v>
      </c>
      <c r="R2066" s="62">
        <f>ТабПозиции[[#This Row],[totalSumm]]-ТабПозиции[[#This Row],[payment]]</f>
        <v>0</v>
      </c>
      <c r="S2066" s="34" t="s">
        <v>965</v>
      </c>
      <c r="T2066" s="56" t="s">
        <v>3061</v>
      </c>
      <c r="U2066" s="56" t="str">
        <f>IF(AND(ТабПозиции[[#This Row],[Остаток]]=0,ТабПозиции[[#This Row],[ord]]="true"),"true","false")</f>
        <v>true</v>
      </c>
      <c r="V2066" s="56" t="s">
        <v>3061</v>
      </c>
    </row>
    <row r="2067" spans="1:22" x14ac:dyDescent="0.25">
      <c r="A2067" s="26">
        <v>542</v>
      </c>
      <c r="B2067" s="1">
        <f>IFERROR(VLOOKUP(ТабПозиции[[#This Row],[orderNum]],ТабЗаказы[#Data],MATCH(B$7,ТабЗаказы[#Headers],0),0),"")</f>
        <v>45741</v>
      </c>
      <c r="C2067" s="95" t="str">
        <f>MONTH(ТабПозиции[[#This Row],[date]])&amp;"/"&amp;YEAR(ТабПозиции[[#This Row],[date]])</f>
        <v>3/2025</v>
      </c>
      <c r="D2067" s="1" t="str">
        <f>IFERROR(VLOOKUP(ТабПозиции[[#This Row],[orderNum]],ТабЗаказы[#Data],MATCH(D$7,ТабЗаказы[#Headers],0),0),"")</f>
        <v>Юля Ларисына</v>
      </c>
      <c r="E2067" s="93" t="s">
        <v>2721</v>
      </c>
      <c r="F2067" s="56" t="s">
        <v>3061</v>
      </c>
      <c r="H2067" s="34">
        <v>45742</v>
      </c>
      <c r="I2067" s="96">
        <v>1</v>
      </c>
      <c r="J2067" s="96">
        <v>757</v>
      </c>
      <c r="K2067">
        <f>ТабПозиции[[#This Row],[discountPrice]]*ТабПозиции[[#This Row],[quantity]]</f>
        <v>757</v>
      </c>
      <c r="L2067" s="26">
        <v>797</v>
      </c>
      <c r="M2067">
        <f t="shared" si="46"/>
        <v>797</v>
      </c>
      <c r="N2067" s="96"/>
      <c r="O206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Row],[orderNum]],ТабПозиции[orderSumm])&gt;1500),ABS(M2067*VLOOKUP(ТабПозиции[[#This Row],[orderNum]],ТабЗаказы[#Data],MATCH("Percent",ТабЗаказы[#Headers],0),0))/100,200/COUNTIF(ТабПозиции[orderNum],ТабПозиции[[#This Row],[orderNum]])),0),"")</f>
        <v>120</v>
      </c>
      <c r="P2067" s="95">
        <f>IF(OR(ТабПозиции[[#This Row],[item]]="По штрихкоду",ТабПозиции[[#This Row],[item]]="Посылка"),ТабПозиции[[#This Row],[deliverySumm]]+ТабПозиции[[#This Row],[deliveryPost]],SUM(M2067:O2067))</f>
        <v>917</v>
      </c>
      <c r="Q2067" s="57">
        <v>917</v>
      </c>
      <c r="R2067" s="62">
        <f>ТабПозиции[[#This Row],[totalSumm]]-ТабПозиции[[#This Row],[payment]]</f>
        <v>0</v>
      </c>
      <c r="S2067" s="34" t="s">
        <v>965</v>
      </c>
      <c r="T2067" s="56" t="s">
        <v>3061</v>
      </c>
      <c r="U2067" s="56" t="str">
        <f>IF(AND(ТабПозиции[[#This Row],[Остаток]]=0,ТабПозиции[[#This Row],[ord]]="true"),"true","false")</f>
        <v>true</v>
      </c>
      <c r="V2067" s="56" t="s">
        <v>3061</v>
      </c>
    </row>
    <row r="2068" spans="1:22" x14ac:dyDescent="0.25">
      <c r="A2068" s="26">
        <v>542</v>
      </c>
      <c r="B2068" s="1">
        <f>IFERROR(VLOOKUP(ТабПозиции[[#This Row],[orderNum]],ТабЗаказы[#Data],MATCH(B$7,ТабЗаказы[#Headers],0),0),"")</f>
        <v>45741</v>
      </c>
      <c r="C2068" s="95" t="str">
        <f>MONTH(ТабПозиции[[#This Row],[date]])&amp;"/"&amp;YEAR(ТабПозиции[[#This Row],[date]])</f>
        <v>3/2025</v>
      </c>
      <c r="D2068" s="1" t="str">
        <f>IFERROR(VLOOKUP(ТабПозиции[[#This Row],[orderNum]],ТабЗаказы[#Data],MATCH(D$7,ТабЗаказы[#Headers],0),0),"")</f>
        <v>Юля Ларисына</v>
      </c>
      <c r="E2068" s="93" t="s">
        <v>2419</v>
      </c>
      <c r="F2068" s="56" t="s">
        <v>3061</v>
      </c>
      <c r="H2068" s="34">
        <v>45743</v>
      </c>
      <c r="I2068" s="96">
        <v>1</v>
      </c>
      <c r="J2068" s="96">
        <v>365</v>
      </c>
      <c r="K2068">
        <f>ТабПозиции[[#This Row],[discountPrice]]*ТабПозиции[[#This Row],[quantity]]</f>
        <v>365</v>
      </c>
      <c r="L2068" s="26">
        <v>385</v>
      </c>
      <c r="M2068">
        <f t="shared" si="46"/>
        <v>385</v>
      </c>
      <c r="N2068" s="96"/>
      <c r="O206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Row],[orderNum]],ТабПозиции[orderSumm])&gt;1500),ABS(M2068*VLOOKUP(ТабПозиции[[#This Row],[orderNum]],ТабЗаказы[#Data],MATCH("Percent",ТабЗаказы[#Headers],0),0))/100,200/COUNTIF(ТабПозиции[orderNum],ТабПозиции[[#This Row],[orderNum]])),0),"")</f>
        <v>58</v>
      </c>
      <c r="P2068" s="95">
        <f>IF(OR(ТабПозиции[[#This Row],[item]]="По штрихкоду",ТабПозиции[[#This Row],[item]]="Посылка"),ТабПозиции[[#This Row],[deliverySumm]]+ТабПозиции[[#This Row],[deliveryPost]],SUM(M2068:O2068))</f>
        <v>443</v>
      </c>
      <c r="Q2068" s="57">
        <v>443</v>
      </c>
      <c r="R2068" s="62">
        <f>ТабПозиции[[#This Row],[totalSumm]]-ТабПозиции[[#This Row],[payment]]</f>
        <v>0</v>
      </c>
      <c r="S2068" s="34" t="s">
        <v>965</v>
      </c>
      <c r="T2068" s="56" t="s">
        <v>3061</v>
      </c>
      <c r="U2068" s="56" t="str">
        <f>IF(AND(ТабПозиции[[#This Row],[Остаток]]=0,ТабПозиции[[#This Row],[ord]]="true"),"true","false")</f>
        <v>true</v>
      </c>
      <c r="V2068" s="56" t="s">
        <v>3061</v>
      </c>
    </row>
    <row r="2069" spans="1:22" x14ac:dyDescent="0.25">
      <c r="A2069" s="26">
        <v>542</v>
      </c>
      <c r="B2069" s="1">
        <f>IFERROR(VLOOKUP(ТабПозиции[[#This Row],[orderNum]],ТабЗаказы[#Data],MATCH(B$7,ТабЗаказы[#Headers],0),0),"")</f>
        <v>45741</v>
      </c>
      <c r="C2069" s="95" t="str">
        <f>MONTH(ТабПозиции[[#This Row],[date]])&amp;"/"&amp;YEAR(ТабПозиции[[#This Row],[date]])</f>
        <v>3/2025</v>
      </c>
      <c r="D2069" s="1" t="str">
        <f>IFERROR(VLOOKUP(ТабПозиции[[#This Row],[orderNum]],ТабЗаказы[#Data],MATCH(D$7,ТабЗаказы[#Headers],0),0),"")</f>
        <v>Юля Ларисына</v>
      </c>
      <c r="E2069" s="93" t="s">
        <v>2722</v>
      </c>
      <c r="F2069" s="56" t="s">
        <v>3061</v>
      </c>
      <c r="H2069" s="34">
        <v>45746</v>
      </c>
      <c r="I2069" s="96">
        <v>1</v>
      </c>
      <c r="J2069" s="96">
        <v>146</v>
      </c>
      <c r="K2069">
        <f>ТабПозиции[[#This Row],[discountPrice]]*ТабПозиции[[#This Row],[quantity]]</f>
        <v>146</v>
      </c>
      <c r="L2069" s="26">
        <v>154</v>
      </c>
      <c r="M2069">
        <f t="shared" si="46"/>
        <v>154</v>
      </c>
      <c r="N2069" s="96"/>
      <c r="O206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Row],[orderNum]],ТабПозиции[orderSumm])&gt;1500),ABS(M2069*VLOOKUP(ТабПозиции[[#This Row],[orderNum]],ТабЗаказы[#Data],MATCH("Percent",ТабЗаказы[#Headers],0),0))/100,200/COUNTIF(ТабПозиции[orderNum],ТабПозиции[[#This Row],[orderNum]])),0),"")</f>
        <v>23</v>
      </c>
      <c r="P2069" s="95">
        <f>IF(OR(ТабПозиции[[#This Row],[item]]="По штрихкоду",ТабПозиции[[#This Row],[item]]="Посылка"),ТабПозиции[[#This Row],[deliverySumm]]+ТабПозиции[[#This Row],[deliveryPost]],SUM(M2069:O2069))</f>
        <v>177</v>
      </c>
      <c r="Q2069" s="57">
        <v>177</v>
      </c>
      <c r="R2069" s="62">
        <f>ТабПозиции[[#This Row],[totalSumm]]-ТабПозиции[[#This Row],[payment]]</f>
        <v>0</v>
      </c>
      <c r="S2069" s="34" t="s">
        <v>965</v>
      </c>
      <c r="T2069" s="56" t="s">
        <v>3061</v>
      </c>
      <c r="U2069" s="56" t="str">
        <f>IF(AND(ТабПозиции[[#This Row],[Остаток]]=0,ТабПозиции[[#This Row],[ord]]="true"),"true","false")</f>
        <v>true</v>
      </c>
      <c r="V2069" s="56" t="s">
        <v>3061</v>
      </c>
    </row>
    <row r="2070" spans="1:22" x14ac:dyDescent="0.25">
      <c r="A2070" s="26">
        <v>543</v>
      </c>
      <c r="B2070" s="1">
        <f>IFERROR(VLOOKUP(ТабПозиции[[#This Row],[orderNum]],ТабЗаказы[#Data],MATCH(B$7,ТабЗаказы[#Headers],0),0),"")</f>
        <v>45741</v>
      </c>
      <c r="C2070" s="95" t="str">
        <f>MONTH(ТабПозиции[[#This Row],[date]])&amp;"/"&amp;YEAR(ТабПозиции[[#This Row],[date]])</f>
        <v>3/2025</v>
      </c>
      <c r="D2070" s="1" t="str">
        <f>IFERROR(VLOOKUP(ТабПозиции[[#This Row],[orderNum]],ТабЗаказы[#Data],MATCH(D$7,ТабЗаказы[#Headers],0),0),"")</f>
        <v>Кирилл Куприна</v>
      </c>
      <c r="E2070" s="93" t="s">
        <v>2723</v>
      </c>
      <c r="F2070" s="56" t="s">
        <v>3061</v>
      </c>
      <c r="H2070" s="34">
        <v>45743</v>
      </c>
      <c r="I2070" s="96">
        <v>1</v>
      </c>
      <c r="J2070" s="96">
        <v>760</v>
      </c>
      <c r="K2070">
        <f>ТабПозиции[[#This Row],[discountPrice]]*ТабПозиции[[#This Row],[quantity]]</f>
        <v>760</v>
      </c>
      <c r="L2070" s="26">
        <v>800</v>
      </c>
      <c r="M2070">
        <f t="shared" si="46"/>
        <v>800</v>
      </c>
      <c r="N2070" s="96"/>
      <c r="O207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Row],[orderNum]],ТабПозиции[orderSumm])&gt;1500),ABS(M2070*VLOOKUP(ТабПозиции[[#This Row],[orderNum]],ТабЗаказы[#Data],MATCH("Percent",ТабЗаказы[#Headers],0),0))/100,200/COUNTIF(ТабПозиции[orderNum],ТабПозиции[[#This Row],[orderNum]])),0),"")</f>
        <v>80</v>
      </c>
      <c r="P2070" s="95">
        <f>IF(OR(ТабПозиции[[#This Row],[item]]="По штрихкоду",ТабПозиции[[#This Row],[item]]="Посылка"),ТабПозиции[[#This Row],[deliverySumm]]+ТабПозиции[[#This Row],[deliveryPost]],SUM(M2070:O2070))</f>
        <v>880</v>
      </c>
      <c r="Q2070" s="57">
        <v>880</v>
      </c>
      <c r="R2070" s="62">
        <f>ТабПозиции[[#This Row],[totalSumm]]-ТабПозиции[[#This Row],[payment]]</f>
        <v>0</v>
      </c>
      <c r="S2070" s="34" t="s">
        <v>965</v>
      </c>
      <c r="T2070" s="56" t="s">
        <v>3061</v>
      </c>
      <c r="U2070" s="56" t="str">
        <f>IF(AND(ТабПозиции[[#This Row],[Остаток]]=0,ТабПозиции[[#This Row],[ord]]="true"),"true","false")</f>
        <v>true</v>
      </c>
      <c r="V2070" s="56" t="s">
        <v>3061</v>
      </c>
    </row>
    <row r="2071" spans="1:22" x14ac:dyDescent="0.25">
      <c r="A2071" s="26">
        <v>543</v>
      </c>
      <c r="B2071" s="1">
        <f>IFERROR(VLOOKUP(ТабПозиции[[#This Row],[orderNum]],ТабЗаказы[#Data],MATCH(B$7,ТабЗаказы[#Headers],0),0),"")</f>
        <v>45741</v>
      </c>
      <c r="C2071" s="95" t="str">
        <f>MONTH(ТабПозиции[[#This Row],[date]])&amp;"/"&amp;YEAR(ТабПозиции[[#This Row],[date]])</f>
        <v>3/2025</v>
      </c>
      <c r="D2071" s="1" t="str">
        <f>IFERROR(VLOOKUP(ТабПозиции[[#This Row],[orderNum]],ТабЗаказы[#Data],MATCH(D$7,ТабЗаказы[#Headers],0),0),"")</f>
        <v>Кирилл Куприна</v>
      </c>
      <c r="E2071" s="93" t="s">
        <v>2724</v>
      </c>
      <c r="F2071" s="56" t="s">
        <v>3061</v>
      </c>
      <c r="H2071" s="34">
        <v>45743</v>
      </c>
      <c r="I2071" s="96">
        <v>1</v>
      </c>
      <c r="J2071" s="96">
        <v>364</v>
      </c>
      <c r="K2071">
        <f>ТабПозиции[[#This Row],[discountPrice]]*ТабПозиции[[#This Row],[quantity]]</f>
        <v>364</v>
      </c>
      <c r="L2071" s="26">
        <v>384</v>
      </c>
      <c r="M2071">
        <f t="shared" si="46"/>
        <v>384</v>
      </c>
      <c r="N2071" s="96"/>
      <c r="O207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Row],[orderNum]],ТабПозиции[orderSumm])&gt;1500),ABS(M2071*VLOOKUP(ТабПозиции[[#This Row],[orderNum]],ТабЗаказы[#Data],MATCH("Percent",ТабЗаказы[#Headers],0),0))/100,200/COUNTIF(ТабПозиции[orderNum],ТабПозиции[[#This Row],[orderNum]])),0),"")</f>
        <v>38</v>
      </c>
      <c r="P2071" s="95">
        <f>IF(OR(ТабПозиции[[#This Row],[item]]="По штрихкоду",ТабПозиции[[#This Row],[item]]="Посылка"),ТабПозиции[[#This Row],[deliverySumm]]+ТабПозиции[[#This Row],[deliveryPost]],SUM(M2071:O2071))</f>
        <v>422</v>
      </c>
      <c r="Q2071" s="57">
        <v>422</v>
      </c>
      <c r="R2071" s="62">
        <f>ТабПозиции[[#This Row],[totalSumm]]-ТабПозиции[[#This Row],[payment]]</f>
        <v>0</v>
      </c>
      <c r="S2071" s="34" t="s">
        <v>965</v>
      </c>
      <c r="T2071" s="56" t="s">
        <v>3061</v>
      </c>
      <c r="U2071" s="56" t="str">
        <f>IF(AND(ТабПозиции[[#This Row],[Остаток]]=0,ТабПозиции[[#This Row],[ord]]="true"),"true","false")</f>
        <v>true</v>
      </c>
      <c r="V2071" s="56" t="s">
        <v>3061</v>
      </c>
    </row>
    <row r="2072" spans="1:22" x14ac:dyDescent="0.25">
      <c r="A2072" s="26">
        <v>543</v>
      </c>
      <c r="B2072" s="1">
        <f>IFERROR(VLOOKUP(ТабПозиции[[#This Row],[orderNum]],ТабЗаказы[#Data],MATCH(B$7,ТабЗаказы[#Headers],0),0),"")</f>
        <v>45741</v>
      </c>
      <c r="C2072" s="95" t="str">
        <f>MONTH(ТабПозиции[[#This Row],[date]])&amp;"/"&amp;YEAR(ТабПозиции[[#This Row],[date]])</f>
        <v>3/2025</v>
      </c>
      <c r="D2072" s="1" t="str">
        <f>IFERROR(VLOOKUP(ТабПозиции[[#This Row],[orderNum]],ТабЗаказы[#Data],MATCH(D$7,ТабЗаказы[#Headers],0),0),"")</f>
        <v>Кирилл Куприна</v>
      </c>
      <c r="E2072" s="93" t="s">
        <v>1884</v>
      </c>
      <c r="F2072" s="56" t="s">
        <v>3061</v>
      </c>
      <c r="H2072" s="34">
        <v>45743</v>
      </c>
      <c r="I2072" s="96">
        <v>1</v>
      </c>
      <c r="J2072" s="96">
        <v>2469</v>
      </c>
      <c r="K2072">
        <f>ТабПозиции[[#This Row],[discountPrice]]*ТабПозиции[[#This Row],[quantity]]</f>
        <v>2469</v>
      </c>
      <c r="L2072" s="26">
        <v>2599</v>
      </c>
      <c r="M2072">
        <f t="shared" si="46"/>
        <v>2599</v>
      </c>
      <c r="N2072" s="96"/>
      <c r="O207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Row],[orderNum]],ТабПозиции[orderSumm])&gt;1500),ABS(M2072*VLOOKUP(ТабПозиции[[#This Row],[orderNum]],ТабЗаказы[#Data],MATCH("Percent",ТабЗаказы[#Headers],0),0))/100,200/COUNTIF(ТабПозиции[orderNum],ТабПозиции[[#This Row],[orderNum]])),0),"")</f>
        <v>260</v>
      </c>
      <c r="P2072" s="95">
        <f>IF(OR(ТабПозиции[[#This Row],[item]]="По штрихкоду",ТабПозиции[[#This Row],[item]]="Посылка"),ТабПозиции[[#This Row],[deliverySumm]]+ТабПозиции[[#This Row],[deliveryPost]],SUM(M2072:O2072))</f>
        <v>2859</v>
      </c>
      <c r="Q2072" s="57">
        <v>2859</v>
      </c>
      <c r="R2072" s="62">
        <f>ТабПозиции[[#This Row],[totalSumm]]-ТабПозиции[[#This Row],[payment]]</f>
        <v>0</v>
      </c>
      <c r="S2072" s="34" t="s">
        <v>965</v>
      </c>
      <c r="T2072" s="56" t="s">
        <v>3061</v>
      </c>
      <c r="U2072" s="56" t="str">
        <f>IF(AND(ТабПозиции[[#This Row],[Остаток]]=0,ТабПозиции[[#This Row],[ord]]="true"),"true","false")</f>
        <v>true</v>
      </c>
      <c r="V2072" s="56" t="s">
        <v>3061</v>
      </c>
    </row>
    <row r="2073" spans="1:22" x14ac:dyDescent="0.25">
      <c r="A2073" s="26">
        <v>543</v>
      </c>
      <c r="B2073" s="1">
        <f>IFERROR(VLOOKUP(ТабПозиции[[#This Row],[orderNum]],ТабЗаказы[#Data],MATCH(B$7,ТабЗаказы[#Headers],0),0),"")</f>
        <v>45741</v>
      </c>
      <c r="C2073" s="95" t="str">
        <f>MONTH(ТабПозиции[[#This Row],[date]])&amp;"/"&amp;YEAR(ТабПозиции[[#This Row],[date]])</f>
        <v>3/2025</v>
      </c>
      <c r="D2073" s="1" t="str">
        <f>IFERROR(VLOOKUP(ТабПозиции[[#This Row],[orderNum]],ТабЗаказы[#Data],MATCH(D$7,ТабЗаказы[#Headers],0),0),"")</f>
        <v>Кирилл Куприна</v>
      </c>
      <c r="E2073" s="93" t="s">
        <v>2401</v>
      </c>
      <c r="F2073" s="56" t="s">
        <v>3061</v>
      </c>
      <c r="H2073" s="34">
        <v>45743</v>
      </c>
      <c r="I2073" s="96">
        <v>1</v>
      </c>
      <c r="J2073" s="96">
        <v>481</v>
      </c>
      <c r="K2073">
        <f>ТабПозиции[[#This Row],[discountPrice]]*ТабПозиции[[#This Row],[quantity]]</f>
        <v>481</v>
      </c>
      <c r="L2073" s="26">
        <v>507</v>
      </c>
      <c r="M2073">
        <f t="shared" si="46"/>
        <v>507</v>
      </c>
      <c r="N2073" s="96"/>
      <c r="O207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Row],[orderNum]],ТабПозиции[orderSumm])&gt;1500),ABS(M2073*VLOOKUP(ТабПозиции[[#This Row],[orderNum]],ТабЗаказы[#Data],MATCH("Percent",ТабЗаказы[#Headers],0),0))/100,200/COUNTIF(ТабПозиции[orderNum],ТабПозиции[[#This Row],[orderNum]])),0),"")</f>
        <v>51</v>
      </c>
      <c r="P2073" s="95">
        <f>IF(OR(ТабПозиции[[#This Row],[item]]="По штрихкоду",ТабПозиции[[#This Row],[item]]="Посылка"),ТабПозиции[[#This Row],[deliverySumm]]+ТабПозиции[[#This Row],[deliveryPost]],SUM(M2073:O2073))</f>
        <v>558</v>
      </c>
      <c r="Q2073" s="57">
        <v>558</v>
      </c>
      <c r="R2073" s="62">
        <f>ТабПозиции[[#This Row],[totalSumm]]-ТабПозиции[[#This Row],[payment]]</f>
        <v>0</v>
      </c>
      <c r="S2073" s="34" t="s">
        <v>965</v>
      </c>
      <c r="T2073" s="56" t="s">
        <v>3061</v>
      </c>
      <c r="U2073" s="56" t="str">
        <f>IF(AND(ТабПозиции[[#This Row],[Остаток]]=0,ТабПозиции[[#This Row],[ord]]="true"),"true","false")</f>
        <v>true</v>
      </c>
      <c r="V2073" s="56" t="s">
        <v>3061</v>
      </c>
    </row>
    <row r="2074" spans="1:22" x14ac:dyDescent="0.25">
      <c r="A2074" s="26">
        <v>543</v>
      </c>
      <c r="B2074" s="1">
        <f>IFERROR(VLOOKUP(ТабПозиции[[#This Row],[orderNum]],ТабЗаказы[#Data],MATCH(B$7,ТабЗаказы[#Headers],0),0),"")</f>
        <v>45741</v>
      </c>
      <c r="C2074" s="95" t="str">
        <f>MONTH(ТабПозиции[[#This Row],[date]])&amp;"/"&amp;YEAR(ТабПозиции[[#This Row],[date]])</f>
        <v>3/2025</v>
      </c>
      <c r="D2074" s="1" t="str">
        <f>IFERROR(VLOOKUP(ТабПозиции[[#This Row],[orderNum]],ТабЗаказы[#Data],MATCH(D$7,ТабЗаказы[#Headers],0),0),"")</f>
        <v>Кирилл Куприна</v>
      </c>
      <c r="E2074" s="93" t="s">
        <v>1069</v>
      </c>
      <c r="F2074" s="56" t="s">
        <v>3061</v>
      </c>
      <c r="H2074" s="34">
        <v>45743</v>
      </c>
      <c r="I2074" s="96">
        <v>1</v>
      </c>
      <c r="J2074" s="96">
        <v>1969</v>
      </c>
      <c r="K2074">
        <f>ТабПозиции[[#This Row],[discountPrice]]*ТабПозиции[[#This Row],[quantity]]</f>
        <v>1969</v>
      </c>
      <c r="L2074" s="26">
        <v>2073</v>
      </c>
      <c r="M2074">
        <f t="shared" si="46"/>
        <v>2073</v>
      </c>
      <c r="N2074" s="96"/>
      <c r="O207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Row],[orderNum]],ТабПозиции[orderSumm])&gt;1500),ABS(M2074*VLOOKUP(ТабПозиции[[#This Row],[orderNum]],ТабЗаказы[#Data],MATCH("Percent",ТабЗаказы[#Headers],0),0))/100,200/COUNTIF(ТабПозиции[orderNum],ТабПозиции[[#This Row],[orderNum]])),0),"")</f>
        <v>207</v>
      </c>
      <c r="P2074" s="95">
        <f>IF(OR(ТабПозиции[[#This Row],[item]]="По штрихкоду",ТабПозиции[[#This Row],[item]]="Посылка"),ТабПозиции[[#This Row],[deliverySumm]]+ТабПозиции[[#This Row],[deliveryPost]],SUM(M2074:O2074))</f>
        <v>2280</v>
      </c>
      <c r="Q2074" s="57">
        <v>2280</v>
      </c>
      <c r="R2074" s="62">
        <f>ТабПозиции[[#This Row],[totalSumm]]-ТабПозиции[[#This Row],[payment]]</f>
        <v>0</v>
      </c>
      <c r="S2074" s="34" t="s">
        <v>965</v>
      </c>
      <c r="T2074" s="56" t="s">
        <v>3061</v>
      </c>
      <c r="U2074" s="56" t="str">
        <f>IF(AND(ТабПозиции[[#This Row],[Остаток]]=0,ТабПозиции[[#This Row],[ord]]="true"),"true","false")</f>
        <v>true</v>
      </c>
      <c r="V2074" s="56" t="s">
        <v>3061</v>
      </c>
    </row>
    <row r="2075" spans="1:22" x14ac:dyDescent="0.25">
      <c r="A2075" s="26">
        <v>544</v>
      </c>
      <c r="B2075" s="1">
        <f>IFERROR(VLOOKUP(ТабПозиции[[#This Row],[orderNum]],ТабЗаказы[#Data],MATCH(B$7,ТабЗаказы[#Headers],0),0),"")</f>
        <v>45742</v>
      </c>
      <c r="C2075" s="95" t="str">
        <f>MONTH(ТабПозиции[[#This Row],[date]])&amp;"/"&amp;YEAR(ТабПозиции[[#This Row],[date]])</f>
        <v>3/2025</v>
      </c>
      <c r="D2075" s="1" t="str">
        <f>IFERROR(VLOOKUP(ТабПозиции[[#This Row],[orderNum]],ТабЗаказы[#Data],MATCH(D$7,ТабЗаказы[#Headers],0),0),"")</f>
        <v>Елена Гайдар</v>
      </c>
      <c r="E2075" s="93" t="s">
        <v>1176</v>
      </c>
      <c r="F2075" s="56" t="s">
        <v>3061</v>
      </c>
      <c r="H2075" s="34">
        <v>45743</v>
      </c>
      <c r="I2075" s="96">
        <v>1</v>
      </c>
      <c r="J2075" s="96">
        <v>335</v>
      </c>
      <c r="K2075">
        <f>ТабПозиции[[#This Row],[discountPrice]]*ТабПозиции[[#This Row],[quantity]]</f>
        <v>335</v>
      </c>
      <c r="L2075" s="26">
        <v>353</v>
      </c>
      <c r="M2075">
        <f t="shared" si="46"/>
        <v>353</v>
      </c>
      <c r="N2075" s="96"/>
      <c r="O207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Row],[orderNum]],ТабПозиции[orderSumm])&gt;1500),ABS(M2075*VLOOKUP(ТабПозиции[[#This Row],[orderNum]],ТабЗаказы[#Data],MATCH("Percent",ТабЗаказы[#Headers],0),0))/100,200/COUNTIF(ТабПозиции[orderNum],ТабПозиции[[#This Row],[orderNum]])),0),"")</f>
        <v>53</v>
      </c>
      <c r="P2075" s="95">
        <f>IF(OR(ТабПозиции[[#This Row],[item]]="По штрихкоду",ТабПозиции[[#This Row],[item]]="Посылка"),ТабПозиции[[#This Row],[deliverySumm]]+ТабПозиции[[#This Row],[deliveryPost]],SUM(M2075:O2075))</f>
        <v>406</v>
      </c>
      <c r="Q2075" s="57">
        <v>406</v>
      </c>
      <c r="R2075" s="62">
        <f>ТабПозиции[[#This Row],[totalSumm]]-ТабПозиции[[#This Row],[payment]]</f>
        <v>0</v>
      </c>
      <c r="S2075" s="34" t="s">
        <v>965</v>
      </c>
      <c r="T2075" s="56" t="s">
        <v>3061</v>
      </c>
      <c r="U2075" s="56" t="str">
        <f>IF(AND(ТабПозиции[[#This Row],[Остаток]]=0,ТабПозиции[[#This Row],[ord]]="true"),"true","false")</f>
        <v>true</v>
      </c>
      <c r="V2075" s="56" t="s">
        <v>3061</v>
      </c>
    </row>
    <row r="2076" spans="1:22" x14ac:dyDescent="0.25">
      <c r="A2076" s="26">
        <v>544</v>
      </c>
      <c r="B2076" s="1">
        <f>IFERROR(VLOOKUP(ТабПозиции[[#This Row],[orderNum]],ТабЗаказы[#Data],MATCH(B$7,ТабЗаказы[#Headers],0),0),"")</f>
        <v>45742</v>
      </c>
      <c r="C2076" s="95" t="str">
        <f>MONTH(ТабПозиции[[#This Row],[date]])&amp;"/"&amp;YEAR(ТабПозиции[[#This Row],[date]])</f>
        <v>3/2025</v>
      </c>
      <c r="D2076" s="1" t="str">
        <f>IFERROR(VLOOKUP(ТабПозиции[[#This Row],[orderNum]],ТабЗаказы[#Data],MATCH(D$7,ТабЗаказы[#Headers],0),0),"")</f>
        <v>Елена Гайдар</v>
      </c>
      <c r="E2076" s="93" t="s">
        <v>1923</v>
      </c>
      <c r="F2076" s="56" t="s">
        <v>3061</v>
      </c>
      <c r="H2076" s="34">
        <v>45744</v>
      </c>
      <c r="I2076" s="96">
        <v>1</v>
      </c>
      <c r="J2076" s="96">
        <v>215</v>
      </c>
      <c r="K2076">
        <f>ТабПозиции[[#This Row],[discountPrice]]*ТабПозиции[[#This Row],[quantity]]</f>
        <v>215</v>
      </c>
      <c r="L2076" s="26">
        <v>227</v>
      </c>
      <c r="M2076">
        <f t="shared" si="44"/>
        <v>227</v>
      </c>
      <c r="N2076" s="96"/>
      <c r="O207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Row],[orderNum]],ТабПозиции[orderSumm])&gt;1500),ABS(M2076*VLOOKUP(ТабПозиции[[#This Row],[orderNum]],ТабЗаказы[#Data],MATCH("Percent",ТабЗаказы[#Headers],0),0))/100,200/COUNTIF(ТабПозиции[orderNum],ТабПозиции[[#This Row],[orderNum]])),0),"")</f>
        <v>34</v>
      </c>
      <c r="P2076" s="95">
        <f>IF(OR(ТабПозиции[[#This Row],[item]]="По штрихкоду",ТабПозиции[[#This Row],[item]]="Посылка"),ТабПозиции[[#This Row],[deliverySumm]]+ТабПозиции[[#This Row],[deliveryPost]],SUM(M2076:O2076))</f>
        <v>261</v>
      </c>
      <c r="Q2076" s="57">
        <v>261</v>
      </c>
      <c r="R2076" s="62">
        <f>ТабПозиции[[#This Row],[totalSumm]]-ТабПозиции[[#This Row],[payment]]</f>
        <v>0</v>
      </c>
      <c r="S2076" s="34" t="s">
        <v>965</v>
      </c>
      <c r="T2076" s="56" t="s">
        <v>3061</v>
      </c>
      <c r="U2076" s="56" t="str">
        <f>IF(AND(ТабПозиции[[#This Row],[Остаток]]=0,ТабПозиции[[#This Row],[ord]]="true"),"true","false")</f>
        <v>true</v>
      </c>
      <c r="V2076" s="56" t="s">
        <v>3061</v>
      </c>
    </row>
    <row r="2077" spans="1:22" x14ac:dyDescent="0.25">
      <c r="A2077" s="26">
        <v>544</v>
      </c>
      <c r="B2077" s="1">
        <f>IFERROR(VLOOKUP(ТабПозиции[[#This Row],[orderNum]],ТабЗаказы[#Data],MATCH(B$7,ТабЗаказы[#Headers],0),0),"")</f>
        <v>45742</v>
      </c>
      <c r="C2077" s="95" t="str">
        <f>MONTH(ТабПозиции[[#This Row],[date]])&amp;"/"&amp;YEAR(ТабПозиции[[#This Row],[date]])</f>
        <v>3/2025</v>
      </c>
      <c r="D2077" s="1" t="str">
        <f>IFERROR(VLOOKUP(ТабПозиции[[#This Row],[orderNum]],ТабЗаказы[#Data],MATCH(D$7,ТабЗаказы[#Headers],0),0),"")</f>
        <v>Елена Гайдар</v>
      </c>
      <c r="E2077" s="93" t="s">
        <v>1916</v>
      </c>
      <c r="F2077" s="56" t="s">
        <v>3061</v>
      </c>
      <c r="H2077" s="34">
        <v>45743</v>
      </c>
      <c r="I2077" s="96">
        <v>1</v>
      </c>
      <c r="J2077" s="96">
        <v>1017</v>
      </c>
      <c r="K2077">
        <f>ТабПозиции[[#This Row],[discountPrice]]*ТабПозиции[[#This Row],[quantity]]</f>
        <v>1017</v>
      </c>
      <c r="L2077" s="26">
        <v>1071</v>
      </c>
      <c r="M2077">
        <f t="shared" si="44"/>
        <v>1071</v>
      </c>
      <c r="N2077" s="96"/>
      <c r="O207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Row],[orderNum]],ТабПозиции[orderSumm])&gt;1500),ABS(M2077*VLOOKUP(ТабПозиции[[#This Row],[orderNum]],ТабЗаказы[#Data],MATCH("Percent",ТабЗаказы[#Headers],0),0))/100,200/COUNTIF(ТабПозиции[orderNum],ТабПозиции[[#This Row],[orderNum]])),0),"")</f>
        <v>161</v>
      </c>
      <c r="P2077" s="95">
        <f>IF(OR(ТабПозиции[[#This Row],[item]]="По штрихкоду",ТабПозиции[[#This Row],[item]]="Посылка"),ТабПозиции[[#This Row],[deliverySumm]]+ТабПозиции[[#This Row],[deliveryPost]],SUM(M2077:O2077))</f>
        <v>1232</v>
      </c>
      <c r="Q2077" s="57">
        <v>1232</v>
      </c>
      <c r="R2077" s="62">
        <f>ТабПозиции[[#This Row],[totalSumm]]-ТабПозиции[[#This Row],[payment]]</f>
        <v>0</v>
      </c>
      <c r="S2077" s="34" t="s">
        <v>965</v>
      </c>
      <c r="T2077" s="56" t="s">
        <v>3061</v>
      </c>
      <c r="U2077" s="56" t="str">
        <f>IF(AND(ТабПозиции[[#This Row],[Остаток]]=0,ТабПозиции[[#This Row],[ord]]="true"),"true","false")</f>
        <v>true</v>
      </c>
      <c r="V2077" s="56" t="s">
        <v>3061</v>
      </c>
    </row>
    <row r="2078" spans="1:22" x14ac:dyDescent="0.25">
      <c r="A2078" s="26">
        <v>544</v>
      </c>
      <c r="B2078" s="1">
        <f>IFERROR(VLOOKUP(ТабПозиции[[#This Row],[orderNum]],ТабЗаказы[#Data],MATCH(B$7,ТабЗаказы[#Headers],0),0),"")</f>
        <v>45742</v>
      </c>
      <c r="C2078" s="95" t="str">
        <f>MONTH(ТабПозиции[[#This Row],[date]])&amp;"/"&amp;YEAR(ТабПозиции[[#This Row],[date]])</f>
        <v>3/2025</v>
      </c>
      <c r="D2078" s="1" t="str">
        <f>IFERROR(VLOOKUP(ТабПозиции[[#This Row],[orderNum]],ТабЗаказы[#Data],MATCH(D$7,ТабЗаказы[#Headers],0),0),"")</f>
        <v>Елена Гайдар</v>
      </c>
      <c r="E2078" s="93" t="s">
        <v>2371</v>
      </c>
      <c r="F2078" s="56" t="s">
        <v>3061</v>
      </c>
      <c r="H2078" s="34">
        <v>45743</v>
      </c>
      <c r="I2078" s="96">
        <v>1</v>
      </c>
      <c r="J2078" s="96">
        <v>522</v>
      </c>
      <c r="K2078">
        <f>ТабПозиции[[#This Row],[discountPrice]]*ТабПозиции[[#This Row],[quantity]]</f>
        <v>522</v>
      </c>
      <c r="L2078" s="26">
        <v>550</v>
      </c>
      <c r="M2078">
        <f t="shared" si="44"/>
        <v>550</v>
      </c>
      <c r="N2078" s="96"/>
      <c r="O207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Row],[orderNum]],ТабПозиции[orderSumm])&gt;1500),ABS(M2078*VLOOKUP(ТабПозиции[[#This Row],[orderNum]],ТабЗаказы[#Data],MATCH("Percent",ТабЗаказы[#Headers],0),0))/100,200/COUNTIF(ТабПозиции[orderNum],ТабПозиции[[#This Row],[orderNum]])),0),"")</f>
        <v>83</v>
      </c>
      <c r="P2078" s="95">
        <f>IF(OR(ТабПозиции[[#This Row],[item]]="По штрихкоду",ТабПозиции[[#This Row],[item]]="Посылка"),ТабПозиции[[#This Row],[deliverySumm]]+ТабПозиции[[#This Row],[deliveryPost]],SUM(M2078:O2078))</f>
        <v>633</v>
      </c>
      <c r="Q2078" s="57">
        <v>633</v>
      </c>
      <c r="R2078" s="62">
        <f>ТабПозиции[[#This Row],[totalSumm]]-ТабПозиции[[#This Row],[payment]]</f>
        <v>0</v>
      </c>
      <c r="S2078" s="34" t="s">
        <v>965</v>
      </c>
      <c r="T2078" s="56" t="s">
        <v>3061</v>
      </c>
      <c r="U2078" s="56" t="str">
        <f>IF(AND(ТабПозиции[[#This Row],[Остаток]]=0,ТабПозиции[[#This Row],[ord]]="true"),"true","false")</f>
        <v>true</v>
      </c>
      <c r="V2078" s="56" t="s">
        <v>3061</v>
      </c>
    </row>
    <row r="2079" spans="1:22" x14ac:dyDescent="0.25">
      <c r="A2079" s="26">
        <v>544</v>
      </c>
      <c r="B2079" s="1">
        <f>IFERROR(VLOOKUP(ТабПозиции[[#This Row],[orderNum]],ТабЗаказы[#Data],MATCH(B$7,ТабЗаказы[#Headers],0),0),"")</f>
        <v>45742</v>
      </c>
      <c r="C2079" s="95" t="str">
        <f>MONTH(ТабПозиции[[#This Row],[date]])&amp;"/"&amp;YEAR(ТабПозиции[[#This Row],[date]])</f>
        <v>3/2025</v>
      </c>
      <c r="D2079" s="1" t="str">
        <f>IFERROR(VLOOKUP(ТабПозиции[[#This Row],[orderNum]],ТабЗаказы[#Data],MATCH(D$7,ТабЗаказы[#Headers],0),0),"")</f>
        <v>Елена Гайдар</v>
      </c>
      <c r="E2079" s="93" t="s">
        <v>2725</v>
      </c>
      <c r="F2079" s="56" t="s">
        <v>3061</v>
      </c>
      <c r="H2079" s="34">
        <v>45744</v>
      </c>
      <c r="I2079" s="96">
        <v>1</v>
      </c>
      <c r="J2079" s="96">
        <v>871</v>
      </c>
      <c r="K2079">
        <f>ТабПозиции[[#This Row],[discountPrice]]*ТабПозиции[[#This Row],[quantity]]</f>
        <v>871</v>
      </c>
      <c r="L2079" s="26">
        <v>917</v>
      </c>
      <c r="M2079">
        <f t="shared" si="44"/>
        <v>917</v>
      </c>
      <c r="N2079" s="96"/>
      <c r="O207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Row],[orderNum]],ТабПозиции[orderSumm])&gt;1500),ABS(M2079*VLOOKUP(ТабПозиции[[#This Row],[orderNum]],ТабЗаказы[#Data],MATCH("Percent",ТабЗаказы[#Headers],0),0))/100,200/COUNTIF(ТабПозиции[orderNum],ТабПозиции[[#This Row],[orderNum]])),0),"")</f>
        <v>138</v>
      </c>
      <c r="P2079" s="95">
        <f>IF(OR(ТабПозиции[[#This Row],[item]]="По штрихкоду",ТабПозиции[[#This Row],[item]]="Посылка"),ТабПозиции[[#This Row],[deliverySumm]]+ТабПозиции[[#This Row],[deliveryPost]],SUM(M2079:O2079))</f>
        <v>1055</v>
      </c>
      <c r="Q2079" s="57">
        <v>1055</v>
      </c>
      <c r="R2079" s="62">
        <f>ТабПозиции[[#This Row],[totalSumm]]-ТабПозиции[[#This Row],[payment]]</f>
        <v>0</v>
      </c>
      <c r="S2079" s="34" t="s">
        <v>965</v>
      </c>
      <c r="T2079" s="56" t="s">
        <v>3061</v>
      </c>
      <c r="U2079" s="56" t="str">
        <f>IF(AND(ТабПозиции[[#This Row],[Остаток]]=0,ТабПозиции[[#This Row],[ord]]="true"),"true","false")</f>
        <v>true</v>
      </c>
      <c r="V2079" s="56" t="s">
        <v>3061</v>
      </c>
    </row>
    <row r="2080" spans="1:22" x14ac:dyDescent="0.25">
      <c r="A2080" s="26">
        <v>544</v>
      </c>
      <c r="B2080" s="1">
        <f>IFERROR(VLOOKUP(ТабПозиции[[#This Row],[orderNum]],ТабЗаказы[#Data],MATCH(B$7,ТабЗаказы[#Headers],0),0),"")</f>
        <v>45742</v>
      </c>
      <c r="C2080" s="95" t="str">
        <f>MONTH(ТабПозиции[[#This Row],[date]])&amp;"/"&amp;YEAR(ТабПозиции[[#This Row],[date]])</f>
        <v>3/2025</v>
      </c>
      <c r="D2080" s="1" t="str">
        <f>IFERROR(VLOOKUP(ТабПозиции[[#This Row],[orderNum]],ТабЗаказы[#Data],MATCH(D$7,ТабЗаказы[#Headers],0),0),"")</f>
        <v>Елена Гайдар</v>
      </c>
      <c r="E2080" s="93" t="s">
        <v>2726</v>
      </c>
      <c r="F2080" s="56" t="s">
        <v>3061</v>
      </c>
      <c r="H2080" s="34">
        <v>45743</v>
      </c>
      <c r="I2080" s="96">
        <v>1</v>
      </c>
      <c r="J2080" s="96">
        <v>290</v>
      </c>
      <c r="K2080">
        <f>ТабПозиции[[#This Row],[discountPrice]]*ТабПозиции[[#This Row],[quantity]]</f>
        <v>290</v>
      </c>
      <c r="L2080" s="26">
        <v>306</v>
      </c>
      <c r="M2080">
        <f t="shared" si="44"/>
        <v>306</v>
      </c>
      <c r="N2080" s="96"/>
      <c r="O208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Row],[orderNum]],ТабПозиции[orderSumm])&gt;1500),ABS(M2080*VLOOKUP(ТабПозиции[[#This Row],[orderNum]],ТабЗаказы[#Data],MATCH("Percent",ТабЗаказы[#Headers],0),0))/100,200/COUNTIF(ТабПозиции[orderNum],ТабПозиции[[#This Row],[orderNum]])),0),"")</f>
        <v>46</v>
      </c>
      <c r="P2080" s="95">
        <f>IF(OR(ТабПозиции[[#This Row],[item]]="По штрихкоду",ТабПозиции[[#This Row],[item]]="Посылка"),ТабПозиции[[#This Row],[deliverySumm]]+ТабПозиции[[#This Row],[deliveryPost]],SUM(M2080:O2080))</f>
        <v>352</v>
      </c>
      <c r="Q2080" s="57">
        <v>352</v>
      </c>
      <c r="R2080" s="62">
        <f>ТабПозиции[[#This Row],[totalSumm]]-ТабПозиции[[#This Row],[payment]]</f>
        <v>0</v>
      </c>
      <c r="S2080" s="34" t="s">
        <v>965</v>
      </c>
      <c r="T2080" s="56" t="s">
        <v>3061</v>
      </c>
      <c r="U2080" s="56" t="str">
        <f>IF(AND(ТабПозиции[[#This Row],[Остаток]]=0,ТабПозиции[[#This Row],[ord]]="true"),"true","false")</f>
        <v>true</v>
      </c>
      <c r="V2080" s="56" t="s">
        <v>3061</v>
      </c>
    </row>
    <row r="2081" spans="1:22" x14ac:dyDescent="0.25">
      <c r="A2081" s="26">
        <v>544</v>
      </c>
      <c r="B2081" s="1">
        <f>IFERROR(VLOOKUP(ТабПозиции[[#This Row],[orderNum]],ТабЗаказы[#Data],MATCH(B$7,ТабЗаказы[#Headers],0),0),"")</f>
        <v>45742</v>
      </c>
      <c r="C2081" s="95" t="str">
        <f>MONTH(ТабПозиции[[#This Row],[date]])&amp;"/"&amp;YEAR(ТабПозиции[[#This Row],[date]])</f>
        <v>3/2025</v>
      </c>
      <c r="D2081" s="1" t="str">
        <f>IFERROR(VLOOKUP(ТабПозиции[[#This Row],[orderNum]],ТабЗаказы[#Data],MATCH(D$7,ТабЗаказы[#Headers],0),0),"")</f>
        <v>Елена Гайдар</v>
      </c>
      <c r="E2081" s="93" t="s">
        <v>1570</v>
      </c>
      <c r="F2081" s="56" t="s">
        <v>3061</v>
      </c>
      <c r="H2081" s="34">
        <v>45743</v>
      </c>
      <c r="I2081" s="96">
        <v>1</v>
      </c>
      <c r="J2081" s="96">
        <v>343</v>
      </c>
      <c r="K2081">
        <f>ТабПозиции[[#This Row],[discountPrice]]*ТабПозиции[[#This Row],[quantity]]</f>
        <v>343</v>
      </c>
      <c r="L2081" s="26">
        <v>362</v>
      </c>
      <c r="M2081">
        <f t="shared" si="44"/>
        <v>362</v>
      </c>
      <c r="N2081" s="96"/>
      <c r="O208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Row],[orderNum]],ТабПозиции[orderSumm])&gt;1500),ABS(M2081*VLOOKUP(ТабПозиции[[#This Row],[orderNum]],ТабЗаказы[#Data],MATCH("Percent",ТабЗаказы[#Headers],0),0))/100,200/COUNTIF(ТабПозиции[orderNum],ТабПозиции[[#This Row],[orderNum]])),0),"")</f>
        <v>54</v>
      </c>
      <c r="P2081" s="95">
        <f>IF(OR(ТабПозиции[[#This Row],[item]]="По штрихкоду",ТабПозиции[[#This Row],[item]]="Посылка"),ТабПозиции[[#This Row],[deliverySumm]]+ТабПозиции[[#This Row],[deliveryPost]],SUM(M2081:O2081))</f>
        <v>416</v>
      </c>
      <c r="Q2081" s="57">
        <v>416</v>
      </c>
      <c r="R2081" s="62">
        <f>ТабПозиции[[#This Row],[totalSumm]]-ТабПозиции[[#This Row],[payment]]</f>
        <v>0</v>
      </c>
      <c r="S2081" s="34" t="s">
        <v>965</v>
      </c>
      <c r="T2081" s="56" t="s">
        <v>3061</v>
      </c>
      <c r="U2081" s="56" t="str">
        <f>IF(AND(ТабПозиции[[#This Row],[Остаток]]=0,ТабПозиции[[#This Row],[ord]]="true"),"true","false")</f>
        <v>true</v>
      </c>
      <c r="V2081" s="56" t="s">
        <v>3061</v>
      </c>
    </row>
    <row r="2082" spans="1:22" x14ac:dyDescent="0.25">
      <c r="A2082" s="26">
        <v>544</v>
      </c>
      <c r="B2082" s="1">
        <f>IFERROR(VLOOKUP(ТабПозиции[[#This Row],[orderNum]],ТабЗаказы[#Data],MATCH(B$7,ТабЗаказы[#Headers],0),0),"")</f>
        <v>45742</v>
      </c>
      <c r="C2082" s="95" t="str">
        <f>MONTH(ТабПозиции[[#This Row],[date]])&amp;"/"&amp;YEAR(ТабПозиции[[#This Row],[date]])</f>
        <v>3/2025</v>
      </c>
      <c r="D2082" s="1" t="str">
        <f>IFERROR(VLOOKUP(ТабПозиции[[#This Row],[orderNum]],ТабЗаказы[#Data],MATCH(D$7,ТабЗаказы[#Headers],0),0),"")</f>
        <v>Елена Гайдар</v>
      </c>
      <c r="E2082" s="93" t="s">
        <v>1504</v>
      </c>
      <c r="F2082" s="56" t="s">
        <v>3061</v>
      </c>
      <c r="H2082" s="34">
        <v>45743</v>
      </c>
      <c r="I2082" s="96">
        <v>1</v>
      </c>
      <c r="J2082" s="96">
        <v>600</v>
      </c>
      <c r="K2082">
        <f>ТабПозиции[[#This Row],[discountPrice]]*ТабПозиции[[#This Row],[quantity]]</f>
        <v>600</v>
      </c>
      <c r="L2082" s="26">
        <v>632</v>
      </c>
      <c r="M2082">
        <f t="shared" si="44"/>
        <v>632</v>
      </c>
      <c r="N2082" s="96"/>
      <c r="O208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Row],[orderNum]],ТабПозиции[orderSumm])&gt;1500),ABS(M2082*VLOOKUP(ТабПозиции[[#This Row],[orderNum]],ТабЗаказы[#Data],MATCH("Percent",ТабЗаказы[#Headers],0),0))/100,200/COUNTIF(ТабПозиции[orderNum],ТабПозиции[[#This Row],[orderNum]])),0),"")</f>
        <v>95</v>
      </c>
      <c r="P2082" s="95">
        <f>IF(OR(ТабПозиции[[#This Row],[item]]="По штрихкоду",ТабПозиции[[#This Row],[item]]="Посылка"),ТабПозиции[[#This Row],[deliverySumm]]+ТабПозиции[[#This Row],[deliveryPost]],SUM(M2082:O2082))</f>
        <v>727</v>
      </c>
      <c r="Q2082" s="57">
        <v>727</v>
      </c>
      <c r="R2082" s="62">
        <f>ТабПозиции[[#This Row],[totalSumm]]-ТабПозиции[[#This Row],[payment]]</f>
        <v>0</v>
      </c>
      <c r="S2082" s="34" t="s">
        <v>965</v>
      </c>
      <c r="T2082" s="56" t="s">
        <v>3061</v>
      </c>
      <c r="U2082" s="56" t="str">
        <f>IF(AND(ТабПозиции[[#This Row],[Остаток]]=0,ТабПозиции[[#This Row],[ord]]="true"),"true","false")</f>
        <v>true</v>
      </c>
      <c r="V2082" s="56" t="s">
        <v>3061</v>
      </c>
    </row>
    <row r="2083" spans="1:22" x14ac:dyDescent="0.25">
      <c r="A2083" s="26">
        <v>544</v>
      </c>
      <c r="B2083" s="1">
        <f>IFERROR(VLOOKUP(ТабПозиции[[#This Row],[orderNum]],ТабЗаказы[#Data],MATCH(B$7,ТабЗаказы[#Headers],0),0),"")</f>
        <v>45742</v>
      </c>
      <c r="C2083" s="95" t="str">
        <f>MONTH(ТабПозиции[[#This Row],[date]])&amp;"/"&amp;YEAR(ТабПозиции[[#This Row],[date]])</f>
        <v>3/2025</v>
      </c>
      <c r="D2083" s="1" t="str">
        <f>IFERROR(VLOOKUP(ТабПозиции[[#This Row],[orderNum]],ТабЗаказы[#Data],MATCH(D$7,ТабЗаказы[#Headers],0),0),"")</f>
        <v>Елена Гайдар</v>
      </c>
      <c r="E2083" s="93" t="s">
        <v>1505</v>
      </c>
      <c r="F2083" s="56" t="s">
        <v>3061</v>
      </c>
      <c r="H2083" s="34">
        <v>45744</v>
      </c>
      <c r="I2083" s="96">
        <v>2</v>
      </c>
      <c r="J2083" s="96">
        <v>265</v>
      </c>
      <c r="K2083">
        <f>ТабПозиции[[#This Row],[discountPrice]]*ТабПозиции[[#This Row],[quantity]]</f>
        <v>530</v>
      </c>
      <c r="L2083" s="26">
        <v>279</v>
      </c>
      <c r="M2083">
        <f t="shared" si="44"/>
        <v>558</v>
      </c>
      <c r="N2083" s="96"/>
      <c r="O208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Row],[orderNum]],ТабПозиции[orderSumm])&gt;1500),ABS(M2083*VLOOKUP(ТабПозиции[[#This Row],[orderNum]],ТабЗаказы[#Data],MATCH("Percent",ТабЗаказы[#Headers],0),0))/100,200/COUNTIF(ТабПозиции[orderNum],ТабПозиции[[#This Row],[orderNum]])),0),"")</f>
        <v>84</v>
      </c>
      <c r="P2083" s="95">
        <f>IF(OR(ТабПозиции[[#This Row],[item]]="По штрихкоду",ТабПозиции[[#This Row],[item]]="Посылка"),ТабПозиции[[#This Row],[deliverySumm]]+ТабПозиции[[#This Row],[deliveryPost]],SUM(M2083:O2083))</f>
        <v>642</v>
      </c>
      <c r="Q2083" s="57">
        <v>642</v>
      </c>
      <c r="R2083" s="62">
        <f>ТабПозиции[[#This Row],[totalSumm]]-ТабПозиции[[#This Row],[payment]]</f>
        <v>0</v>
      </c>
      <c r="S2083" s="34" t="s">
        <v>965</v>
      </c>
      <c r="T2083" s="56" t="s">
        <v>3061</v>
      </c>
      <c r="U2083" s="56" t="str">
        <f>IF(AND(ТабПозиции[[#This Row],[Остаток]]=0,ТабПозиции[[#This Row],[ord]]="true"),"true","false")</f>
        <v>true</v>
      </c>
      <c r="V2083" s="56" t="s">
        <v>3061</v>
      </c>
    </row>
    <row r="2084" spans="1:22" x14ac:dyDescent="0.25">
      <c r="A2084" s="26">
        <v>545</v>
      </c>
      <c r="B2084" s="1">
        <f>IFERROR(VLOOKUP(ТабПозиции[[#This Row],[orderNum]],ТабЗаказы[#Data],MATCH(B$7,ТабЗаказы[#Headers],0),0),"")</f>
        <v>45742</v>
      </c>
      <c r="C2084" s="95" t="str">
        <f>MONTH(ТабПозиции[[#This Row],[date]])&amp;"/"&amp;YEAR(ТабПозиции[[#This Row],[date]])</f>
        <v>3/2025</v>
      </c>
      <c r="D2084" s="1" t="str">
        <f>IFERROR(VLOOKUP(ТабПозиции[[#This Row],[orderNum]],ТабЗаказы[#Data],MATCH(D$7,ТабЗаказы[#Headers],0),0),"")</f>
        <v>Михаил Строителей 145</v>
      </c>
      <c r="E2084" s="93" t="s">
        <v>2728</v>
      </c>
      <c r="F2084" s="56" t="s">
        <v>3061</v>
      </c>
      <c r="H2084" s="34">
        <v>45744</v>
      </c>
      <c r="I2084" s="96">
        <v>1</v>
      </c>
      <c r="J2084" s="96">
        <v>564</v>
      </c>
      <c r="K2084">
        <f>ТабПозиции[[#This Row],[discountPrice]]*ТабПозиции[[#This Row],[quantity]]</f>
        <v>564</v>
      </c>
      <c r="L2084" s="26">
        <v>594</v>
      </c>
      <c r="M2084">
        <f t="shared" si="44"/>
        <v>594</v>
      </c>
      <c r="N2084" s="96"/>
      <c r="O208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Row],[orderNum]],ТабПозиции[orderSumm])&gt;1500),ABS(M2084*VLOOKUP(ТабПозиции[[#This Row],[orderNum]],ТабЗаказы[#Data],MATCH("Percent",ТабЗаказы[#Headers],0),0))/100,200/COUNTIF(ТабПозиции[orderNum],ТабПозиции[[#This Row],[orderNum]])),0),"")</f>
        <v>89</v>
      </c>
      <c r="P2084" s="95">
        <f>IF(OR(ТабПозиции[[#This Row],[item]]="По штрихкоду",ТабПозиции[[#This Row],[item]]="Посылка"),ТабПозиции[[#This Row],[deliverySumm]]+ТабПозиции[[#This Row],[deliveryPost]],SUM(M2084:O2084))</f>
        <v>683</v>
      </c>
      <c r="Q2084" s="57">
        <v>683</v>
      </c>
      <c r="R2084" s="62">
        <f>ТабПозиции[[#This Row],[totalSumm]]-ТабПозиции[[#This Row],[payment]]</f>
        <v>0</v>
      </c>
      <c r="S2084" s="34" t="s">
        <v>965</v>
      </c>
      <c r="T2084" s="56" t="s">
        <v>3061</v>
      </c>
      <c r="U2084" s="56" t="str">
        <f>IF(AND(ТабПозиции[[#This Row],[Остаток]]=0,ТабПозиции[[#This Row],[ord]]="true"),"true","false")</f>
        <v>true</v>
      </c>
      <c r="V2084" s="56" t="s">
        <v>3061</v>
      </c>
    </row>
    <row r="2085" spans="1:22" x14ac:dyDescent="0.25">
      <c r="A2085" s="26">
        <v>545</v>
      </c>
      <c r="B2085" s="1">
        <f>IFERROR(VLOOKUP(ТабПозиции[[#This Row],[orderNum]],ТабЗаказы[#Data],MATCH(B$7,ТабЗаказы[#Headers],0),0),"")</f>
        <v>45742</v>
      </c>
      <c r="C2085" s="95" t="str">
        <f>MONTH(ТабПозиции[[#This Row],[date]])&amp;"/"&amp;YEAR(ТабПозиции[[#This Row],[date]])</f>
        <v>3/2025</v>
      </c>
      <c r="D2085" s="1" t="str">
        <f>IFERROR(VLOOKUP(ТабПозиции[[#This Row],[orderNum]],ТабЗаказы[#Data],MATCH(D$7,ТабЗаказы[#Headers],0),0),"")</f>
        <v>Михаил Строителей 145</v>
      </c>
      <c r="E2085" s="93" t="s">
        <v>2727</v>
      </c>
      <c r="F2085" s="56" t="s">
        <v>3061</v>
      </c>
      <c r="H2085" s="34">
        <v>45744</v>
      </c>
      <c r="I2085" s="96">
        <v>1</v>
      </c>
      <c r="J2085" s="96">
        <v>767</v>
      </c>
      <c r="K2085">
        <f>ТабПозиции[[#This Row],[discountPrice]]*ТабПозиции[[#This Row],[quantity]]</f>
        <v>767</v>
      </c>
      <c r="L2085" s="26">
        <v>808</v>
      </c>
      <c r="M2085">
        <f t="shared" si="44"/>
        <v>808</v>
      </c>
      <c r="N2085" s="96"/>
      <c r="O208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Row],[orderNum]],ТабПозиции[orderSumm])&gt;1500),ABS(M2085*VLOOKUP(ТабПозиции[[#This Row],[orderNum]],ТабЗаказы[#Data],MATCH("Percent",ТабЗаказы[#Headers],0),0))/100,200/COUNTIF(ТабПозиции[orderNum],ТабПозиции[[#This Row],[orderNum]])),0),"")</f>
        <v>121</v>
      </c>
      <c r="P2085" s="95">
        <f>IF(OR(ТабПозиции[[#This Row],[item]]="По штрихкоду",ТабПозиции[[#This Row],[item]]="Посылка"),ТабПозиции[[#This Row],[deliverySumm]]+ТабПозиции[[#This Row],[deliveryPost]],SUM(M2085:O2085))</f>
        <v>929</v>
      </c>
      <c r="Q2085" s="57">
        <v>929</v>
      </c>
      <c r="R2085" s="62">
        <f>ТабПозиции[[#This Row],[totalSumm]]-ТабПозиции[[#This Row],[payment]]</f>
        <v>0</v>
      </c>
      <c r="S2085" s="34" t="s">
        <v>965</v>
      </c>
      <c r="T2085" s="56" t="s">
        <v>3061</v>
      </c>
      <c r="U2085" s="56" t="str">
        <f>IF(AND(ТабПозиции[[#This Row],[Остаток]]=0,ТабПозиции[[#This Row],[ord]]="true"),"true","false")</f>
        <v>true</v>
      </c>
      <c r="V2085" s="56" t="s">
        <v>3061</v>
      </c>
    </row>
    <row r="2086" spans="1:22" x14ac:dyDescent="0.25">
      <c r="A2086" s="26">
        <v>545</v>
      </c>
      <c r="B2086" s="1">
        <f>IFERROR(VLOOKUP(ТабПозиции[[#This Row],[orderNum]],ТабЗаказы[#Data],MATCH(B$7,ТабЗаказы[#Headers],0),0),"")</f>
        <v>45742</v>
      </c>
      <c r="C2086" s="95" t="str">
        <f>MONTH(ТабПозиции[[#This Row],[date]])&amp;"/"&amp;YEAR(ТабПозиции[[#This Row],[date]])</f>
        <v>3/2025</v>
      </c>
      <c r="D2086" s="1" t="str">
        <f>IFERROR(VLOOKUP(ТабПозиции[[#This Row],[orderNum]],ТабЗаказы[#Data],MATCH(D$7,ТабЗаказы[#Headers],0),0),"")</f>
        <v>Михаил Строителей 145</v>
      </c>
      <c r="E2086" s="93" t="s">
        <v>2729</v>
      </c>
      <c r="F2086" s="56" t="s">
        <v>3061</v>
      </c>
      <c r="H2086" s="34">
        <v>45744</v>
      </c>
      <c r="I2086" s="96">
        <v>1</v>
      </c>
      <c r="J2086" s="96">
        <v>811</v>
      </c>
      <c r="K2086">
        <f>ТабПозиции[[#This Row],[discountPrice]]*ТабПозиции[[#This Row],[quantity]]</f>
        <v>811</v>
      </c>
      <c r="L2086" s="26">
        <v>854</v>
      </c>
      <c r="M2086">
        <f t="shared" si="44"/>
        <v>854</v>
      </c>
      <c r="N2086" s="96"/>
      <c r="O208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Row],[orderNum]],ТабПозиции[orderSumm])&gt;1500),ABS(M2086*VLOOKUP(ТабПозиции[[#This Row],[orderNum]],ТабЗаказы[#Data],MATCH("Percent",ТабЗаказы[#Headers],0),0))/100,200/COUNTIF(ТабПозиции[orderNum],ТабПозиции[[#This Row],[orderNum]])),0),"")</f>
        <v>128</v>
      </c>
      <c r="P2086" s="95">
        <f>IF(OR(ТабПозиции[[#This Row],[item]]="По штрихкоду",ТабПозиции[[#This Row],[item]]="Посылка"),ТабПозиции[[#This Row],[deliverySumm]]+ТабПозиции[[#This Row],[deliveryPost]],SUM(M2086:O2086))</f>
        <v>982</v>
      </c>
      <c r="Q2086" s="57">
        <v>982</v>
      </c>
      <c r="R2086" s="62">
        <f>ТабПозиции[[#This Row],[totalSumm]]-ТабПозиции[[#This Row],[payment]]</f>
        <v>0</v>
      </c>
      <c r="S2086" s="34" t="s">
        <v>965</v>
      </c>
      <c r="T2086" s="56" t="s">
        <v>3061</v>
      </c>
      <c r="U2086" s="56" t="str">
        <f>IF(AND(ТабПозиции[[#This Row],[Остаток]]=0,ТабПозиции[[#This Row],[ord]]="true"),"true","false")</f>
        <v>true</v>
      </c>
      <c r="V2086" s="56" t="s">
        <v>3061</v>
      </c>
    </row>
    <row r="2087" spans="1:22" x14ac:dyDescent="0.25">
      <c r="A2087" s="26">
        <v>545</v>
      </c>
      <c r="B2087" s="1">
        <f>IFERROR(VLOOKUP(ТабПозиции[[#This Row],[orderNum]],ТабЗаказы[#Data],MATCH(B$7,ТабЗаказы[#Headers],0),0),"")</f>
        <v>45742</v>
      </c>
      <c r="C2087" s="95" t="str">
        <f>MONTH(ТабПозиции[[#This Row],[date]])&amp;"/"&amp;YEAR(ТабПозиции[[#This Row],[date]])</f>
        <v>3/2025</v>
      </c>
      <c r="D2087" s="1" t="str">
        <f>IFERROR(VLOOKUP(ТабПозиции[[#This Row],[orderNum]],ТабЗаказы[#Data],MATCH(D$7,ТабЗаказы[#Headers],0),0),"")</f>
        <v>Михаил Строителей 145</v>
      </c>
      <c r="E2087" s="93" t="s">
        <v>2730</v>
      </c>
      <c r="F2087" s="56" t="s">
        <v>3061</v>
      </c>
      <c r="H2087" s="34">
        <v>45744</v>
      </c>
      <c r="I2087" s="96">
        <v>1</v>
      </c>
      <c r="J2087" s="96">
        <v>764</v>
      </c>
      <c r="K2087">
        <f>ТабПозиции[[#This Row],[discountPrice]]*ТабПозиции[[#This Row],[quantity]]</f>
        <v>764</v>
      </c>
      <c r="L2087" s="26">
        <v>805</v>
      </c>
      <c r="M2087">
        <f t="shared" si="44"/>
        <v>805</v>
      </c>
      <c r="N2087" s="96"/>
      <c r="O208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Row],[orderNum]],ТабПозиции[orderSumm])&gt;1500),ABS(M2087*VLOOKUP(ТабПозиции[[#This Row],[orderNum]],ТабЗаказы[#Data],MATCH("Percent",ТабЗаказы[#Headers],0),0))/100,200/COUNTIF(ТабПозиции[orderNum],ТабПозиции[[#This Row],[orderNum]])),0),"")</f>
        <v>121</v>
      </c>
      <c r="P2087" s="95">
        <f>IF(OR(ТабПозиции[[#This Row],[item]]="По штрихкоду",ТабПозиции[[#This Row],[item]]="Посылка"),ТабПозиции[[#This Row],[deliverySumm]]+ТабПозиции[[#This Row],[deliveryPost]],SUM(M2087:O2087))</f>
        <v>926</v>
      </c>
      <c r="Q2087" s="57">
        <v>926</v>
      </c>
      <c r="R2087" s="62">
        <f>ТабПозиции[[#This Row],[totalSumm]]-ТабПозиции[[#This Row],[payment]]</f>
        <v>0</v>
      </c>
      <c r="S2087" s="34" t="s">
        <v>965</v>
      </c>
      <c r="T2087" s="56" t="s">
        <v>3061</v>
      </c>
      <c r="U2087" s="56" t="str">
        <f>IF(AND(ТабПозиции[[#This Row],[Остаток]]=0,ТабПозиции[[#This Row],[ord]]="true"),"true","false")</f>
        <v>true</v>
      </c>
      <c r="V2087" s="56" t="s">
        <v>3061</v>
      </c>
    </row>
    <row r="2088" spans="1:22" x14ac:dyDescent="0.25">
      <c r="A2088" s="26">
        <v>546</v>
      </c>
      <c r="B2088" s="1">
        <f>IFERROR(VLOOKUP(ТабПозиции[[#This Row],[orderNum]],ТабЗаказы[#Data],MATCH(B$7,ТабЗаказы[#Headers],0),0),"")</f>
        <v>45744</v>
      </c>
      <c r="C2088" s="95" t="str">
        <f>MONTH(ТабПозиции[[#This Row],[date]])&amp;"/"&amp;YEAR(ТабПозиции[[#This Row],[date]])</f>
        <v>3/2025</v>
      </c>
      <c r="D2088" s="1" t="str">
        <f>IFERROR(VLOOKUP(ТабПозиции[[#This Row],[orderNum]],ТабЗаказы[#Data],MATCH(D$7,ТабЗаказы[#Headers],0),0),"")</f>
        <v>Владимир Миленко</v>
      </c>
      <c r="E2088" s="26" t="s">
        <v>32</v>
      </c>
      <c r="F2088" s="56" t="s">
        <v>3061</v>
      </c>
      <c r="H2088" s="34">
        <v>45744</v>
      </c>
      <c r="I2088" s="96">
        <v>1</v>
      </c>
      <c r="J2088" s="96">
        <v>2871</v>
      </c>
      <c r="K2088">
        <f>ТабПозиции[[#This Row],[discountPrice]]*ТабПозиции[[#This Row],[quantity]]</f>
        <v>2871</v>
      </c>
      <c r="L2088" s="26">
        <v>2871</v>
      </c>
      <c r="M2088">
        <f t="shared" si="44"/>
        <v>2871</v>
      </c>
      <c r="N2088" s="96"/>
      <c r="O208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Row],[orderNum]],ТабПозиции[orderSumm])&gt;1500),ABS(M2088*VLOOKUP(ТабПозиции[[#This Row],[orderNum]],ТабЗаказы[#Data],MATCH("Percent",ТабЗаказы[#Headers],0),0))/100,200/COUNTIF(ТабПозиции[orderNum],ТабПозиции[[#This Row],[orderNum]])),0),"")</f>
        <v>431</v>
      </c>
      <c r="P2088" s="95">
        <f>IF(OR(ТабПозиции[[#This Row],[item]]="По штрихкоду",ТабПозиции[[#This Row],[item]]="Посылка"),ТабПозиции[[#This Row],[deliverySumm]]+ТабПозиции[[#This Row],[deliveryPost]],SUM(M2088:O2088))</f>
        <v>431</v>
      </c>
      <c r="Q2088" s="57">
        <v>431</v>
      </c>
      <c r="R2088" s="62">
        <f>ТабПозиции[[#This Row],[totalSumm]]-ТабПозиции[[#This Row],[payment]]</f>
        <v>0</v>
      </c>
      <c r="S2088" s="34" t="s">
        <v>955</v>
      </c>
      <c r="T2088" s="56" t="s">
        <v>3061</v>
      </c>
      <c r="U2088" s="56" t="str">
        <f>IF(AND(ТабПозиции[[#This Row],[Остаток]]=0,ТабПозиции[[#This Row],[ord]]="true"),"true","false")</f>
        <v>true</v>
      </c>
      <c r="V2088" s="56" t="s">
        <v>3061</v>
      </c>
    </row>
    <row r="2089" spans="1:22" x14ac:dyDescent="0.25">
      <c r="A2089" s="26">
        <v>525</v>
      </c>
      <c r="B2089" s="1">
        <f>IFERROR(VLOOKUP(ТабПозиции[[#This Row],[orderNum]],ТабЗаказы[#Data],MATCH(B$7,ТабЗаказы[#Headers],0),0),"")</f>
        <v>45731</v>
      </c>
      <c r="C2089" s="95" t="str">
        <f>MONTH(ТабПозиции[[#This Row],[date]])&amp;"/"&amp;YEAR(ТабПозиции[[#This Row],[date]])</f>
        <v>3/2025</v>
      </c>
      <c r="D2089" s="1" t="str">
        <f>IFERROR(VLOOKUP(ТабПозиции[[#This Row],[orderNum]],ТабЗаказы[#Data],MATCH(D$7,ТабЗаказы[#Headers],0),0),"")</f>
        <v>Игорь Рельефная</v>
      </c>
      <c r="E2089" s="93" t="s">
        <v>2642</v>
      </c>
      <c r="F2089" s="56" t="s">
        <v>3061</v>
      </c>
      <c r="H2089" s="34">
        <v>45764</v>
      </c>
      <c r="I2089" s="96">
        <v>0</v>
      </c>
      <c r="J2089" s="96">
        <v>227</v>
      </c>
      <c r="K2089">
        <f>ТабПозиции[[#This Row],[discountPrice]]*ТабПозиции[[#This Row],[quantity]]</f>
        <v>0</v>
      </c>
      <c r="L2089" s="26">
        <v>227</v>
      </c>
      <c r="M2089">
        <f t="shared" si="44"/>
        <v>0</v>
      </c>
      <c r="N2089" s="96"/>
      <c r="P2089" s="95">
        <f>IF(OR(ТабПозиции[[#This Row],[item]]="По штрихкоду",ТабПозиции[[#This Row],[item]]="Посылка"),ТабПозиции[[#This Row],[deliverySumm]]+ТабПозиции[[#This Row],[deliveryPost]],SUM(M2089:O2089))</f>
        <v>0</v>
      </c>
      <c r="R2089" s="62">
        <f>ТабПозиции[[#This Row],[totalSumm]]-ТабПозиции[[#This Row],[payment]]</f>
        <v>0</v>
      </c>
      <c r="S2089" s="34" t="s">
        <v>955</v>
      </c>
      <c r="T2089" s="56" t="s">
        <v>3061</v>
      </c>
      <c r="U2089" s="56" t="str">
        <f>IF(AND(ТабПозиции[[#This Row],[Остаток]]=0,ТабПозиции[[#This Row],[ord]]="true"),"true","false")</f>
        <v>true</v>
      </c>
      <c r="V2089" s="56" t="s">
        <v>3061</v>
      </c>
    </row>
    <row r="2090" spans="1:22" x14ac:dyDescent="0.25">
      <c r="A2090" s="26">
        <v>547</v>
      </c>
      <c r="B2090" s="1">
        <f>IFERROR(VLOOKUP(ТабПозиции[[#This Row],[orderNum]],ТабЗаказы[#Data],MATCH(B$7,ТабЗаказы[#Headers],0),0),"")</f>
        <v>45746</v>
      </c>
      <c r="C2090" s="95" t="str">
        <f>MONTH(ТабПозиции[[#This Row],[date]])&amp;"/"&amp;YEAR(ТабПозиции[[#This Row],[date]])</f>
        <v>3/2025</v>
      </c>
      <c r="D2090" s="1" t="str">
        <f>IFERROR(VLOOKUP(ТабПозиции[[#This Row],[orderNum]],ТабЗаказы[#Data],MATCH(D$7,ТабЗаказы[#Headers],0),0),"")</f>
        <v>Юля Шевченко 305</v>
      </c>
      <c r="E2090" s="93" t="s">
        <v>2735</v>
      </c>
      <c r="F2090" s="56" t="s">
        <v>3061</v>
      </c>
      <c r="H2090" s="34">
        <v>45749</v>
      </c>
      <c r="I2090" s="96">
        <v>1</v>
      </c>
      <c r="J2090" s="96">
        <v>546</v>
      </c>
      <c r="K2090">
        <f>ТабПозиции[[#This Row],[discountPrice]]*ТабПозиции[[#This Row],[quantity]]</f>
        <v>546</v>
      </c>
      <c r="L2090" s="26">
        <v>560</v>
      </c>
      <c r="M2090">
        <f t="shared" si="44"/>
        <v>560</v>
      </c>
      <c r="N2090" s="96"/>
      <c r="O209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Row],[orderNum]],ТабПозиции[orderSumm])&gt;1500),ABS(M2090*VLOOKUP(ТабПозиции[[#This Row],[orderNum]],ТабЗаказы[#Data],MATCH("Percent",ТабЗаказы[#Headers],0),0))/100,200/COUNTIF(ТабПозиции[orderNum],ТабПозиции[[#This Row],[orderNum]])),0),"")</f>
        <v>84</v>
      </c>
      <c r="P2090" s="95">
        <f>IF(OR(ТабПозиции[[#This Row],[item]]="По штрихкоду",ТабПозиции[[#This Row],[item]]="Посылка"),ТабПозиции[[#This Row],[deliverySumm]]+ТабПозиции[[#This Row],[deliveryPost]],SUM(M2090:O2090))</f>
        <v>644</v>
      </c>
      <c r="Q2090" s="57">
        <v>644</v>
      </c>
      <c r="R2090" s="62">
        <f>ТабПозиции[[#This Row],[totalSumm]]-ТабПозиции[[#This Row],[payment]]</f>
        <v>0</v>
      </c>
      <c r="S2090" s="34" t="s">
        <v>955</v>
      </c>
      <c r="T2090" s="56" t="s">
        <v>3061</v>
      </c>
      <c r="U2090" s="56" t="str">
        <f>IF(AND(ТабПозиции[[#This Row],[Остаток]]=0,ТабПозиции[[#This Row],[ord]]="true"),"true","false")</f>
        <v>true</v>
      </c>
      <c r="V2090" s="56" t="s">
        <v>3061</v>
      </c>
    </row>
    <row r="2091" spans="1:22" x14ac:dyDescent="0.25">
      <c r="A2091" s="26">
        <v>547</v>
      </c>
      <c r="B2091" s="1">
        <f>IFERROR(VLOOKUP(ТабПозиции[[#This Row],[orderNum]],ТабЗаказы[#Data],MATCH(B$7,ТабЗаказы[#Headers],0),0),"")</f>
        <v>45746</v>
      </c>
      <c r="C2091" s="95" t="str">
        <f>MONTH(ТабПозиции[[#This Row],[date]])&amp;"/"&amp;YEAR(ТабПозиции[[#This Row],[date]])</f>
        <v>3/2025</v>
      </c>
      <c r="D2091" s="1" t="str">
        <f>IFERROR(VLOOKUP(ТабПозиции[[#This Row],[orderNum]],ТабЗаказы[#Data],MATCH(D$7,ТабЗаказы[#Headers],0),0),"")</f>
        <v>Юля Шевченко 305</v>
      </c>
      <c r="E2091" s="93" t="s">
        <v>2736</v>
      </c>
      <c r="F2091" s="56" t="s">
        <v>3061</v>
      </c>
      <c r="H2091" s="34">
        <v>45750</v>
      </c>
      <c r="I2091" s="96">
        <v>1</v>
      </c>
      <c r="J2091" s="96">
        <v>1162</v>
      </c>
      <c r="K2091">
        <f>ТабПозиции[[#This Row],[discountPrice]]*ТабПозиции[[#This Row],[quantity]]</f>
        <v>1162</v>
      </c>
      <c r="L2091" s="26">
        <v>1210</v>
      </c>
      <c r="M2091">
        <f t="shared" si="44"/>
        <v>1210</v>
      </c>
      <c r="N2091" s="96"/>
      <c r="O209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Row],[orderNum]],ТабПозиции[orderSumm])&gt;1500),ABS(M2091*VLOOKUP(ТабПозиции[[#This Row],[orderNum]],ТабЗаказы[#Data],MATCH("Percent",ТабЗаказы[#Headers],0),0))/100,200/COUNTIF(ТабПозиции[orderNum],ТабПозиции[[#This Row],[orderNum]])),0),"")</f>
        <v>182</v>
      </c>
      <c r="P2091" s="95">
        <f>IF(OR(ТабПозиции[[#This Row],[item]]="По штрихкоду",ТабПозиции[[#This Row],[item]]="Посылка"),ТабПозиции[[#This Row],[deliverySumm]]+ТабПозиции[[#This Row],[deliveryPost]],SUM(M2091:O2091))</f>
        <v>1392</v>
      </c>
      <c r="Q2091" s="57">
        <v>1392</v>
      </c>
      <c r="R2091" s="62">
        <f>ТабПозиции[[#This Row],[totalSumm]]-ТабПозиции[[#This Row],[payment]]</f>
        <v>0</v>
      </c>
      <c r="S2091" s="34" t="s">
        <v>955</v>
      </c>
      <c r="T2091" s="56" t="s">
        <v>3061</v>
      </c>
      <c r="U2091" s="56" t="str">
        <f>IF(AND(ТабПозиции[[#This Row],[Остаток]]=0,ТабПозиции[[#This Row],[ord]]="true"),"true","false")</f>
        <v>true</v>
      </c>
      <c r="V2091" s="56" t="s">
        <v>3061</v>
      </c>
    </row>
    <row r="2092" spans="1:22" x14ac:dyDescent="0.25">
      <c r="A2092" s="26">
        <v>547</v>
      </c>
      <c r="B2092" s="1">
        <f>IFERROR(VLOOKUP(ТабПозиции[[#This Row],[orderNum]],ТабЗаказы[#Data],MATCH(B$7,ТабЗаказы[#Headers],0),0),"")</f>
        <v>45746</v>
      </c>
      <c r="C2092" s="95" t="str">
        <f>MONTH(ТабПозиции[[#This Row],[date]])&amp;"/"&amp;YEAR(ТабПозиции[[#This Row],[date]])</f>
        <v>3/2025</v>
      </c>
      <c r="D2092" s="1" t="str">
        <f>IFERROR(VLOOKUP(ТабПозиции[[#This Row],[orderNum]],ТабЗаказы[#Data],MATCH(D$7,ТабЗаказы[#Headers],0),0),"")</f>
        <v>Юля Шевченко 305</v>
      </c>
      <c r="E2092" s="93" t="s">
        <v>2737</v>
      </c>
      <c r="F2092" s="56" t="s">
        <v>3061</v>
      </c>
      <c r="H2092" s="34">
        <v>45747</v>
      </c>
      <c r="I2092" s="96">
        <v>1</v>
      </c>
      <c r="J2092" s="96">
        <v>1125</v>
      </c>
      <c r="K2092">
        <f>ТабПозиции[[#This Row],[discountPrice]]*ТабПозиции[[#This Row],[quantity]]</f>
        <v>1125</v>
      </c>
      <c r="L2092" s="26">
        <v>1183</v>
      </c>
      <c r="M2092">
        <f t="shared" ref="M2092:M2107" si="47">L2092*I2092</f>
        <v>1183</v>
      </c>
      <c r="N2092" s="96"/>
      <c r="O209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Row],[orderNum]],ТабПозиции[orderSumm])&gt;1500),ABS(M2092*VLOOKUP(ТабПозиции[[#This Row],[orderNum]],ТабЗаказы[#Data],MATCH("Percent",ТабЗаказы[#Headers],0),0))/100,200/COUNTIF(ТабПозиции[orderNum],ТабПозиции[[#This Row],[orderNum]])),0),"")</f>
        <v>177</v>
      </c>
      <c r="P2092" s="95">
        <f>IF(OR(ТабПозиции[[#This Row],[item]]="По штрихкоду",ТабПозиции[[#This Row],[item]]="Посылка"),ТабПозиции[[#This Row],[deliverySumm]]+ТабПозиции[[#This Row],[deliveryPost]],SUM(M2092:O2092))</f>
        <v>1360</v>
      </c>
      <c r="Q2092" s="57">
        <v>1360</v>
      </c>
      <c r="R2092" s="62">
        <f>ТабПозиции[[#This Row],[totalSumm]]-ТабПозиции[[#This Row],[payment]]</f>
        <v>0</v>
      </c>
      <c r="S2092" s="34" t="s">
        <v>955</v>
      </c>
      <c r="T2092" s="56" t="s">
        <v>3061</v>
      </c>
      <c r="U2092" s="56" t="str">
        <f>IF(AND(ТабПозиции[[#This Row],[Остаток]]=0,ТабПозиции[[#This Row],[ord]]="true"),"true","false")</f>
        <v>true</v>
      </c>
      <c r="V2092" s="56" t="s">
        <v>3061</v>
      </c>
    </row>
    <row r="2093" spans="1:22" x14ac:dyDescent="0.25">
      <c r="A2093" s="26">
        <v>547</v>
      </c>
      <c r="B2093" s="1">
        <f>IFERROR(VLOOKUP(ТабПозиции[[#This Row],[orderNum]],ТабЗаказы[#Data],MATCH(B$7,ТабЗаказы[#Headers],0),0),"")</f>
        <v>45746</v>
      </c>
      <c r="C2093" s="95" t="str">
        <f>MONTH(ТабПозиции[[#This Row],[date]])&amp;"/"&amp;YEAR(ТабПозиции[[#This Row],[date]])</f>
        <v>3/2025</v>
      </c>
      <c r="D2093" s="1" t="str">
        <f>IFERROR(VLOOKUP(ТабПозиции[[#This Row],[orderNum]],ТабЗаказы[#Data],MATCH(D$7,ТабЗаказы[#Headers],0),0),"")</f>
        <v>Юля Шевченко 305</v>
      </c>
      <c r="E2093" s="93" t="s">
        <v>2736</v>
      </c>
      <c r="F2093" s="56" t="s">
        <v>3061</v>
      </c>
      <c r="H2093" s="34">
        <v>45749</v>
      </c>
      <c r="I2093" s="96">
        <v>1</v>
      </c>
      <c r="J2093" s="96">
        <v>1089</v>
      </c>
      <c r="K2093">
        <f>ТабПозиции[[#This Row],[discountPrice]]*ТабПозиции[[#This Row],[quantity]]</f>
        <v>1089</v>
      </c>
      <c r="L2093" s="26">
        <v>1134</v>
      </c>
      <c r="M2093">
        <f t="shared" si="47"/>
        <v>1134</v>
      </c>
      <c r="N2093" s="96"/>
      <c r="O209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Row],[orderNum]],ТабПозиции[orderSumm])&gt;1500),ABS(M2093*VLOOKUP(ТабПозиции[[#This Row],[orderNum]],ТабЗаказы[#Data],MATCH("Percent",ТабЗаказы[#Headers],0),0))/100,200/COUNTIF(ТабПозиции[orderNum],ТабПозиции[[#This Row],[orderNum]])),0),"")</f>
        <v>170</v>
      </c>
      <c r="P2093" s="95">
        <f>IF(OR(ТабПозиции[[#This Row],[item]]="По штрихкоду",ТабПозиции[[#This Row],[item]]="Посылка"),ТабПозиции[[#This Row],[deliverySumm]]+ТабПозиции[[#This Row],[deliveryPost]],SUM(M2093:O2093))</f>
        <v>1304</v>
      </c>
      <c r="Q2093" s="57">
        <v>1304</v>
      </c>
      <c r="R2093" s="62">
        <f>ТабПозиции[[#This Row],[totalSumm]]-ТабПозиции[[#This Row],[payment]]</f>
        <v>0</v>
      </c>
      <c r="S2093" s="34" t="s">
        <v>955</v>
      </c>
      <c r="T2093" s="56" t="s">
        <v>3061</v>
      </c>
      <c r="U2093" s="56" t="str">
        <f>IF(AND(ТабПозиции[[#This Row],[Остаток]]=0,ТабПозиции[[#This Row],[ord]]="true"),"true","false")</f>
        <v>true</v>
      </c>
      <c r="V2093" s="56" t="s">
        <v>3061</v>
      </c>
    </row>
    <row r="2094" spans="1:22" x14ac:dyDescent="0.25">
      <c r="A2094" s="26">
        <v>547</v>
      </c>
      <c r="B2094" s="1">
        <f>IFERROR(VLOOKUP(ТабПозиции[[#This Row],[orderNum]],ТабЗаказы[#Data],MATCH(B$7,ТабЗаказы[#Headers],0),0),"")</f>
        <v>45746</v>
      </c>
      <c r="C2094" s="95" t="str">
        <f>MONTH(ТабПозиции[[#This Row],[date]])&amp;"/"&amp;YEAR(ТабПозиции[[#This Row],[date]])</f>
        <v>3/2025</v>
      </c>
      <c r="D2094" s="1" t="str">
        <f>IFERROR(VLOOKUP(ТабПозиции[[#This Row],[orderNum]],ТабЗаказы[#Data],MATCH(D$7,ТабЗаказы[#Headers],0),0),"")</f>
        <v>Юля Шевченко 305</v>
      </c>
      <c r="E2094" s="93" t="s">
        <v>2738</v>
      </c>
      <c r="F2094" s="56" t="s">
        <v>3061</v>
      </c>
      <c r="H2094" s="34">
        <v>45749</v>
      </c>
      <c r="I2094" s="96">
        <v>1</v>
      </c>
      <c r="J2094" s="96">
        <v>2159</v>
      </c>
      <c r="K2094">
        <f>ТабПозиции[[#This Row],[discountPrice]]*ТабПозиции[[#This Row],[quantity]]</f>
        <v>2159</v>
      </c>
      <c r="L2094" s="26">
        <v>2268</v>
      </c>
      <c r="M2094">
        <f t="shared" si="47"/>
        <v>2268</v>
      </c>
      <c r="N2094" s="96"/>
      <c r="O209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Row],[orderNum]],ТабПозиции[orderSumm])&gt;1500),ABS(M2094*VLOOKUP(ТабПозиции[[#This Row],[orderNum]],ТабЗаказы[#Data],MATCH("Percent",ТабЗаказы[#Headers],0),0))/100,200/COUNTIF(ТабПозиции[orderNum],ТабПозиции[[#This Row],[orderNum]])),0),"")</f>
        <v>340</v>
      </c>
      <c r="P2094" s="95">
        <f>IF(OR(ТабПозиции[[#This Row],[item]]="По штрихкоду",ТабПозиции[[#This Row],[item]]="Посылка"),ТабПозиции[[#This Row],[deliverySumm]]+ТабПозиции[[#This Row],[deliveryPost]],SUM(M2094:O2094))</f>
        <v>2608</v>
      </c>
      <c r="Q2094" s="57">
        <v>2608</v>
      </c>
      <c r="R2094" s="62">
        <f>ТабПозиции[[#This Row],[totalSumm]]-ТабПозиции[[#This Row],[payment]]</f>
        <v>0</v>
      </c>
      <c r="S2094" s="34" t="s">
        <v>955</v>
      </c>
      <c r="T2094" s="56" t="s">
        <v>3061</v>
      </c>
      <c r="U2094" s="56" t="str">
        <f>IF(AND(ТабПозиции[[#This Row],[Остаток]]=0,ТабПозиции[[#This Row],[ord]]="true"),"true","false")</f>
        <v>true</v>
      </c>
      <c r="V2094" s="56" t="s">
        <v>3061</v>
      </c>
    </row>
    <row r="2095" spans="1:22" x14ac:dyDescent="0.25">
      <c r="A2095" s="26">
        <v>547</v>
      </c>
      <c r="B2095" s="1">
        <f>IFERROR(VLOOKUP(ТабПозиции[[#This Row],[orderNum]],ТабЗаказы[#Data],MATCH(B$7,ТабЗаказы[#Headers],0),0),"")</f>
        <v>45746</v>
      </c>
      <c r="C2095" s="95" t="str">
        <f>MONTH(ТабПозиции[[#This Row],[date]])&amp;"/"&amp;YEAR(ТабПозиции[[#This Row],[date]])</f>
        <v>3/2025</v>
      </c>
      <c r="D2095" s="1" t="str">
        <f>IFERROR(VLOOKUP(ТабПозиции[[#This Row],[orderNum]],ТабЗаказы[#Data],MATCH(D$7,ТабЗаказы[#Headers],0),0),"")</f>
        <v>Юля Шевченко 305</v>
      </c>
      <c r="E2095" s="93" t="s">
        <v>2734</v>
      </c>
      <c r="F2095" s="56" t="s">
        <v>3061</v>
      </c>
      <c r="H2095" s="34">
        <v>45749</v>
      </c>
      <c r="I2095" s="96">
        <v>1</v>
      </c>
      <c r="J2095" s="96">
        <v>630</v>
      </c>
      <c r="K2095">
        <f>ТабПозиции[[#This Row],[discountPrice]]*ТабПозиции[[#This Row],[quantity]]</f>
        <v>630</v>
      </c>
      <c r="L2095" s="26">
        <v>678</v>
      </c>
      <c r="M2095">
        <f t="shared" si="47"/>
        <v>678</v>
      </c>
      <c r="N2095" s="96"/>
      <c r="O209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Row],[orderNum]],ТабПозиции[orderSumm])&gt;1500),ABS(M2095*VLOOKUP(ТабПозиции[[#This Row],[orderNum]],ТабЗаказы[#Data],MATCH("Percent",ТабЗаказы[#Headers],0),0))/100,200/COUNTIF(ТабПозиции[orderNum],ТабПозиции[[#This Row],[orderNum]])),0),"")</f>
        <v>102</v>
      </c>
      <c r="P2095" s="95">
        <f>IF(OR(ТабПозиции[[#This Row],[item]]="По штрихкоду",ТабПозиции[[#This Row],[item]]="Посылка"),ТабПозиции[[#This Row],[deliverySumm]]+ТабПозиции[[#This Row],[deliveryPost]],SUM(M2095:O2095))</f>
        <v>780</v>
      </c>
      <c r="Q2095" s="57">
        <v>780</v>
      </c>
      <c r="R2095" s="62">
        <f>ТабПозиции[[#This Row],[totalSumm]]-ТабПозиции[[#This Row],[payment]]</f>
        <v>0</v>
      </c>
      <c r="S2095" s="34" t="s">
        <v>955</v>
      </c>
      <c r="T2095" s="56" t="s">
        <v>3061</v>
      </c>
      <c r="U2095" s="56" t="str">
        <f>IF(AND(ТабПозиции[[#This Row],[Остаток]]=0,ТабПозиции[[#This Row],[ord]]="true"),"true","false")</f>
        <v>true</v>
      </c>
      <c r="V2095" s="56" t="s">
        <v>3061</v>
      </c>
    </row>
    <row r="2096" spans="1:22" x14ac:dyDescent="0.25">
      <c r="A2096" s="26">
        <v>548</v>
      </c>
      <c r="B2096" s="1">
        <f>IFERROR(VLOOKUP(ТабПозиции[[#This Row],[orderNum]],ТабЗаказы[#Data],MATCH(B$7,ТабЗаказы[#Headers],0),0),"")</f>
        <v>45747</v>
      </c>
      <c r="C2096" s="95" t="str">
        <f>MONTH(ТабПозиции[[#This Row],[date]])&amp;"/"&amp;YEAR(ТабПозиции[[#This Row],[date]])</f>
        <v>3/2025</v>
      </c>
      <c r="D2096" s="1" t="str">
        <f>IFERROR(VLOOKUP(ТабПозиции[[#This Row],[orderNum]],ТабЗаказы[#Data],MATCH(D$7,ТабЗаказы[#Headers],0),0),"")</f>
        <v>Галина Агабекова(церковь)</v>
      </c>
      <c r="E2096" s="93" t="s">
        <v>1140</v>
      </c>
      <c r="F2096" s="56" t="s">
        <v>3061</v>
      </c>
      <c r="H2096" s="34">
        <v>45748</v>
      </c>
      <c r="I2096" s="96">
        <v>1</v>
      </c>
      <c r="J2096" s="96">
        <v>432</v>
      </c>
      <c r="K2096">
        <f>ТабПозиции[[#This Row],[discountPrice]]*ТабПозиции[[#This Row],[quantity]]</f>
        <v>432</v>
      </c>
      <c r="L2096" s="26">
        <v>455</v>
      </c>
      <c r="M2096">
        <f t="shared" si="47"/>
        <v>455</v>
      </c>
      <c r="N2096" s="96"/>
      <c r="O209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Row],[orderNum]],ТабПозиции[orderSumm])&gt;1500),ABS(M2096*VLOOKUP(ТабПозиции[[#This Row],[orderNum]],ТабЗаказы[#Data],MATCH("Percent",ТабЗаказы[#Headers],0),0))/100,200/COUNTIF(ТабПозиции[orderNum],ТабПозиции[[#This Row],[orderNum]])),0),"")</f>
        <v>67</v>
      </c>
      <c r="P2096" s="95">
        <f>IF(OR(ТабПозиции[[#This Row],[item]]="По штрихкоду",ТабПозиции[[#This Row],[item]]="Посылка"),ТабПозиции[[#This Row],[deliverySumm]]+ТабПозиции[[#This Row],[deliveryPost]],SUM(M2096:O2096))</f>
        <v>522</v>
      </c>
      <c r="Q2096" s="57">
        <v>522</v>
      </c>
      <c r="R2096" s="62">
        <f>ТабПозиции[[#This Row],[totalSumm]]-ТабПозиции[[#This Row],[payment]]</f>
        <v>0</v>
      </c>
      <c r="S2096" s="34" t="s">
        <v>965</v>
      </c>
      <c r="T2096" s="56" t="s">
        <v>3061</v>
      </c>
      <c r="U2096" s="56" t="str">
        <f>IF(AND(ТабПозиции[[#This Row],[Остаток]]=0,ТабПозиции[[#This Row],[ord]]="true"),"true","false")</f>
        <v>true</v>
      </c>
      <c r="V2096" s="56" t="s">
        <v>3061</v>
      </c>
    </row>
    <row r="2097" spans="1:22" x14ac:dyDescent="0.25">
      <c r="A2097" s="26">
        <v>548</v>
      </c>
      <c r="B2097" s="1">
        <f>IFERROR(VLOOKUP(ТабПозиции[[#This Row],[orderNum]],ТабЗаказы[#Data],MATCH(B$7,ТабЗаказы[#Headers],0),0),"")</f>
        <v>45747</v>
      </c>
      <c r="C2097" s="95" t="str">
        <f>MONTH(ТабПозиции[[#This Row],[date]])&amp;"/"&amp;YEAR(ТабПозиции[[#This Row],[date]])</f>
        <v>3/2025</v>
      </c>
      <c r="D2097" s="1" t="str">
        <f>IFERROR(VLOOKUP(ТабПозиции[[#This Row],[orderNum]],ТабЗаказы[#Data],MATCH(D$7,ТабЗаказы[#Headers],0),0),"")</f>
        <v>Галина Агабекова(церковь)</v>
      </c>
      <c r="E2097" s="93" t="s">
        <v>2742</v>
      </c>
      <c r="F2097" s="56" t="s">
        <v>3061</v>
      </c>
      <c r="H2097" s="34">
        <v>45748</v>
      </c>
      <c r="I2097" s="96">
        <v>1</v>
      </c>
      <c r="J2097" s="96">
        <v>390</v>
      </c>
      <c r="K2097">
        <f>ТабПозиции[[#This Row],[discountPrice]]*ТабПозиции[[#This Row],[quantity]]</f>
        <v>390</v>
      </c>
      <c r="L2097" s="26">
        <v>420</v>
      </c>
      <c r="M2097">
        <f t="shared" si="47"/>
        <v>420</v>
      </c>
      <c r="N2097" s="96"/>
      <c r="O209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Row],[orderNum]],ТабПозиции[orderSumm])&gt;1500),ABS(M2097*VLOOKUP(ТабПозиции[[#This Row],[orderNum]],ТабЗаказы[#Data],MATCH("Percent",ТабЗаказы[#Headers],0),0))/100,200/COUNTIF(ТабПозиции[orderNum],ТабПозиции[[#This Row],[orderNum]])),0),"")</f>
        <v>67</v>
      </c>
      <c r="P2097" s="95">
        <f>IF(OR(ТабПозиции[[#This Row],[item]]="По штрихкоду",ТабПозиции[[#This Row],[item]]="Посылка"),ТабПозиции[[#This Row],[deliverySumm]]+ТабПозиции[[#This Row],[deliveryPost]],SUM(M2097:O2097))</f>
        <v>487</v>
      </c>
      <c r="Q2097" s="57">
        <v>487</v>
      </c>
      <c r="R2097" s="62">
        <f>ТабПозиции[[#This Row],[totalSumm]]-ТабПозиции[[#This Row],[payment]]</f>
        <v>0</v>
      </c>
      <c r="S2097" s="34" t="s">
        <v>955</v>
      </c>
      <c r="T2097" s="56" t="s">
        <v>3061</v>
      </c>
      <c r="U2097" s="56" t="str">
        <f>IF(AND(ТабПозиции[[#This Row],[Остаток]]=0,ТабПозиции[[#This Row],[ord]]="true"),"true","false")</f>
        <v>true</v>
      </c>
      <c r="V2097" s="56" t="s">
        <v>3061</v>
      </c>
    </row>
    <row r="2098" spans="1:22" x14ac:dyDescent="0.25">
      <c r="A2098" s="26">
        <v>548</v>
      </c>
      <c r="B2098" s="1">
        <f>IFERROR(VLOOKUP(ТабПозиции[[#This Row],[orderNum]],ТабЗаказы[#Data],MATCH(B$7,ТабЗаказы[#Headers],0),0),"")</f>
        <v>45747</v>
      </c>
      <c r="C2098" s="95" t="str">
        <f>MONTH(ТабПозиции[[#This Row],[date]])&amp;"/"&amp;YEAR(ТабПозиции[[#This Row],[date]])</f>
        <v>3/2025</v>
      </c>
      <c r="D2098" s="1" t="str">
        <f>IFERROR(VLOOKUP(ТабПозиции[[#This Row],[orderNum]],ТабЗаказы[#Data],MATCH(D$7,ТабЗаказы[#Headers],0),0),"")</f>
        <v>Галина Агабекова(церковь)</v>
      </c>
      <c r="E2098" s="93" t="s">
        <v>2743</v>
      </c>
      <c r="F2098" s="56" t="s">
        <v>3061</v>
      </c>
      <c r="H2098" s="34">
        <v>45750</v>
      </c>
      <c r="I2098" s="96">
        <v>1</v>
      </c>
      <c r="J2098" s="96">
        <v>322</v>
      </c>
      <c r="K2098">
        <f>ТабПозиции[[#This Row],[discountPrice]]*ТабПозиции[[#This Row],[quantity]]</f>
        <v>322</v>
      </c>
      <c r="L2098" s="26">
        <v>331</v>
      </c>
      <c r="M2098">
        <f t="shared" si="47"/>
        <v>331</v>
      </c>
      <c r="N2098" s="96"/>
      <c r="O209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Row],[orderNum]],ТабПозиции[orderSumm])&gt;1500),ABS(M2098*VLOOKUP(ТабПозиции[[#This Row],[orderNum]],ТабЗаказы[#Data],MATCH("Percent",ТабЗаказы[#Headers],0),0))/100,200/COUNTIF(ТабПозиции[orderNum],ТабПозиции[[#This Row],[orderNum]])),0),"")</f>
        <v>67</v>
      </c>
      <c r="P2098" s="95">
        <f>IF(OR(ТабПозиции[[#This Row],[item]]="По штрихкоду",ТабПозиции[[#This Row],[item]]="Посылка"),ТабПозиции[[#This Row],[deliverySumm]]+ТабПозиции[[#This Row],[deliveryPost]],SUM(M2098:O2098))</f>
        <v>398</v>
      </c>
      <c r="Q2098" s="57">
        <v>398</v>
      </c>
      <c r="R2098" s="62">
        <f>ТабПозиции[[#This Row],[totalSumm]]-ТабПозиции[[#This Row],[payment]]</f>
        <v>0</v>
      </c>
      <c r="S2098" s="34" t="s">
        <v>955</v>
      </c>
      <c r="T2098" s="56" t="s">
        <v>3061</v>
      </c>
      <c r="U2098" s="56" t="str">
        <f>IF(AND(ТабПозиции[[#This Row],[Остаток]]=0,ТабПозиции[[#This Row],[ord]]="true"),"true","false")</f>
        <v>true</v>
      </c>
      <c r="V2098" s="56" t="s">
        <v>3061</v>
      </c>
    </row>
    <row r="2099" spans="1:22" x14ac:dyDescent="0.25">
      <c r="A2099" s="26">
        <v>549</v>
      </c>
      <c r="B2099" s="1">
        <f>IFERROR(VLOOKUP(ТабПозиции[[#This Row],[orderNum]],ТабЗаказы[#Data],MATCH(B$7,ТабЗаказы[#Headers],0),0),"")</f>
        <v>45747</v>
      </c>
      <c r="C2099" s="95" t="str">
        <f>MONTH(ТабПозиции[[#This Row],[date]])&amp;"/"&amp;YEAR(ТабПозиции[[#This Row],[date]])</f>
        <v>3/2025</v>
      </c>
      <c r="D2099" s="1" t="str">
        <f>IFERROR(VLOOKUP(ТабПозиции[[#This Row],[orderNum]],ТабЗаказы[#Data],MATCH(D$7,ТабЗаказы[#Headers],0),0),"")</f>
        <v>Андрей BAB</v>
      </c>
      <c r="E2099" s="26" t="s">
        <v>815</v>
      </c>
      <c r="F2099" s="56" t="s">
        <v>3061</v>
      </c>
      <c r="G2099" s="28" t="s">
        <v>2780</v>
      </c>
      <c r="H2099" s="34">
        <v>45753</v>
      </c>
      <c r="I2099" s="96">
        <v>1</v>
      </c>
      <c r="J2099" s="96">
        <v>2200</v>
      </c>
      <c r="K2099">
        <f>ТабПозиции[[#This Row],[discountPrice]]*ТабПозиции[[#This Row],[quantity]]</f>
        <v>2200</v>
      </c>
      <c r="L2099" s="96">
        <v>2200</v>
      </c>
      <c r="M2099">
        <f t="shared" si="47"/>
        <v>2200</v>
      </c>
      <c r="N2099" s="96">
        <v>520</v>
      </c>
      <c r="O209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Row],[orderNum]],ТабПозиции[orderSumm])&gt;1500),ABS(M2099*VLOOKUP(ТабПозиции[[#This Row],[orderNum]],ТабЗаказы[#Data],MATCH("Percent",ТабЗаказы[#Headers],0),0))/100,200/COUNTIF(ТабПозиции[orderNum],ТабПозиции[[#This Row],[orderNum]])),0),"")</f>
        <v>330</v>
      </c>
      <c r="P2099" s="95">
        <f>IF(OR(ТабПозиции[[#This Row],[item]]="По штрихкоду",ТабПозиции[[#This Row],[item]]="Посылка"),ТабПозиции[[#This Row],[deliverySumm]]+ТабПозиции[[#This Row],[deliveryPost]],SUM(M2099:O2099))</f>
        <v>850</v>
      </c>
      <c r="Q2099" s="57">
        <v>850</v>
      </c>
      <c r="R2099" s="62">
        <f>ТабПозиции[[#This Row],[totalSumm]]-ТабПозиции[[#This Row],[payment]]</f>
        <v>0</v>
      </c>
      <c r="S2099" s="34" t="s">
        <v>1016</v>
      </c>
      <c r="T2099" s="56" t="s">
        <v>3061</v>
      </c>
      <c r="U2099" s="56" t="str">
        <f>IF(AND(ТабПозиции[[#This Row],[Остаток]]=0,ТабПозиции[[#This Row],[ord]]="true"),"true","false")</f>
        <v>true</v>
      </c>
      <c r="V2099" s="56" t="s">
        <v>3061</v>
      </c>
    </row>
    <row r="2100" spans="1:22" x14ac:dyDescent="0.25">
      <c r="A2100" s="26">
        <v>550</v>
      </c>
      <c r="B2100" s="1">
        <f>IFERROR(VLOOKUP(ТабПозиции[[#This Row],[orderNum]],ТабЗаказы[#Data],MATCH(B$7,ТабЗаказы[#Headers],0),0),"")</f>
        <v>45749</v>
      </c>
      <c r="C2100" s="95" t="str">
        <f>MONTH(ТабПозиции[[#This Row],[date]])&amp;"/"&amp;YEAR(ТабПозиции[[#This Row],[date]])</f>
        <v>4/2025</v>
      </c>
      <c r="D2100" s="1" t="str">
        <f>IFERROR(VLOOKUP(ТабПозиции[[#This Row],[orderNum]],ТабЗаказы[#Data],MATCH(D$7,ТабЗаказы[#Headers],0),0),"")</f>
        <v>Вячеслав Протонов</v>
      </c>
      <c r="E2100" s="93" t="s">
        <v>2765</v>
      </c>
      <c r="F2100" s="56" t="s">
        <v>3061</v>
      </c>
      <c r="H2100" s="34">
        <v>45751</v>
      </c>
      <c r="I2100" s="96">
        <v>1</v>
      </c>
      <c r="J2100" s="96">
        <v>1795</v>
      </c>
      <c r="K2100">
        <f>ТабПозиции[[#This Row],[discountPrice]]*ТабПозиции[[#This Row],[quantity]]</f>
        <v>1795</v>
      </c>
      <c r="L2100" s="26">
        <v>1890</v>
      </c>
      <c r="M2100">
        <f t="shared" si="47"/>
        <v>1890</v>
      </c>
      <c r="N2100" s="96"/>
      <c r="O210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Row],[orderNum]],ТабПозиции[orderSumm])&gt;1500),ABS(M2100*VLOOKUP(ТабПозиции[[#This Row],[orderNum]],ТабЗаказы[#Data],MATCH("Percent",ТабЗаказы[#Headers],0),0))/100,200/COUNTIF(ТабПозиции[orderNum],ТабПозиции[[#This Row],[orderNum]])),0),"")</f>
        <v>284</v>
      </c>
      <c r="P2100" s="95">
        <f>IF(OR(ТабПозиции[[#This Row],[item]]="По штрихкоду",ТабПозиции[[#This Row],[item]]="Посылка"),ТабПозиции[[#This Row],[deliverySumm]]+ТабПозиции[[#This Row],[deliveryPost]],SUM(M2100:O2100))</f>
        <v>2174</v>
      </c>
      <c r="Q2100" s="57">
        <v>2174</v>
      </c>
      <c r="R2100" s="62">
        <f>ТабПозиции[[#This Row],[totalSumm]]-ТабПозиции[[#This Row],[payment]]</f>
        <v>0</v>
      </c>
      <c r="S2100" s="34" t="s">
        <v>965</v>
      </c>
      <c r="T2100" s="56" t="s">
        <v>3061</v>
      </c>
      <c r="U2100" s="56" t="str">
        <f>IF(AND(ТабПозиции[[#This Row],[Остаток]]=0,ТабПозиции[[#This Row],[ord]]="true"),"true","false")</f>
        <v>true</v>
      </c>
      <c r="V2100" s="56" t="s">
        <v>3061</v>
      </c>
    </row>
    <row r="2101" spans="1:22" x14ac:dyDescent="0.25">
      <c r="A2101" s="26">
        <v>550</v>
      </c>
      <c r="B2101" s="1">
        <f>IFERROR(VLOOKUP(ТабПозиции[[#This Row],[orderNum]],ТабЗаказы[#Data],MATCH(B$7,ТабЗаказы[#Headers],0),0),"")</f>
        <v>45749</v>
      </c>
      <c r="C2101" s="95" t="str">
        <f>MONTH(ТабПозиции[[#This Row],[date]])&amp;"/"&amp;YEAR(ТабПозиции[[#This Row],[date]])</f>
        <v>4/2025</v>
      </c>
      <c r="D2101" s="1" t="str">
        <f>IFERROR(VLOOKUP(ТабПозиции[[#This Row],[orderNum]],ТабЗаказы[#Data],MATCH(D$7,ТабЗаказы[#Headers],0),0),"")</f>
        <v>Вячеслав Протонов</v>
      </c>
      <c r="E2101" s="93" t="s">
        <v>2766</v>
      </c>
      <c r="F2101" s="56" t="s">
        <v>3061</v>
      </c>
      <c r="H2101" s="34">
        <v>45750</v>
      </c>
      <c r="I2101" s="96">
        <v>1</v>
      </c>
      <c r="J2101" s="96">
        <v>296</v>
      </c>
      <c r="K2101">
        <f>ТабПозиции[[#This Row],[discountPrice]]*ТабПозиции[[#This Row],[quantity]]</f>
        <v>296</v>
      </c>
      <c r="L2101" s="26">
        <v>312</v>
      </c>
      <c r="M2101">
        <f t="shared" si="47"/>
        <v>312</v>
      </c>
      <c r="N2101" s="96"/>
      <c r="O210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Row],[orderNum]],ТабПозиции[orderSumm])&gt;1500),ABS(M2101*VLOOKUP(ТабПозиции[[#This Row],[orderNum]],ТабЗаказы[#Data],MATCH("Percent",ТабЗаказы[#Headers],0),0))/100,200/COUNTIF(ТабПозиции[orderNum],ТабПозиции[[#This Row],[orderNum]])),0),"")</f>
        <v>47</v>
      </c>
      <c r="P2101" s="95">
        <f>IF(OR(ТабПозиции[[#This Row],[item]]="По штрихкоду",ТабПозиции[[#This Row],[item]]="Посылка"),ТабПозиции[[#This Row],[deliverySumm]]+ТабПозиции[[#This Row],[deliveryPost]],SUM(M2101:O2101))</f>
        <v>359</v>
      </c>
      <c r="Q2101" s="57">
        <v>359</v>
      </c>
      <c r="R2101" s="62">
        <f>ТабПозиции[[#This Row],[totalSumm]]-ТабПозиции[[#This Row],[payment]]</f>
        <v>0</v>
      </c>
      <c r="S2101" s="34" t="s">
        <v>965</v>
      </c>
      <c r="T2101" s="56" t="s">
        <v>3061</v>
      </c>
      <c r="U2101" s="56" t="str">
        <f>IF(AND(ТабПозиции[[#This Row],[Остаток]]=0,ТабПозиции[[#This Row],[ord]]="true"),"true","false")</f>
        <v>true</v>
      </c>
      <c r="V2101" s="56" t="s">
        <v>3061</v>
      </c>
    </row>
    <row r="2102" spans="1:22" x14ac:dyDescent="0.25">
      <c r="A2102" s="26">
        <v>550</v>
      </c>
      <c r="B2102" s="1">
        <f>IFERROR(VLOOKUP(ТабПозиции[[#This Row],[orderNum]],ТабЗаказы[#Data],MATCH(B$7,ТабЗаказы[#Headers],0),0),"")</f>
        <v>45749</v>
      </c>
      <c r="C2102" s="95" t="str">
        <f>MONTH(ТабПозиции[[#This Row],[date]])&amp;"/"&amp;YEAR(ТабПозиции[[#This Row],[date]])</f>
        <v>4/2025</v>
      </c>
      <c r="D2102" s="1" t="str">
        <f>IFERROR(VLOOKUP(ТабПозиции[[#This Row],[orderNum]],ТабЗаказы[#Data],MATCH(D$7,ТабЗаказы[#Headers],0),0),"")</f>
        <v>Вячеслав Протонов</v>
      </c>
      <c r="E2102" s="93" t="s">
        <v>2767</v>
      </c>
      <c r="F2102" s="56" t="s">
        <v>3061</v>
      </c>
      <c r="H2102" s="34">
        <v>45751</v>
      </c>
      <c r="I2102" s="96">
        <v>1</v>
      </c>
      <c r="J2102" s="96">
        <v>582</v>
      </c>
      <c r="K2102">
        <f>ТабПозиции[[#This Row],[discountPrice]]*ТабПозиции[[#This Row],[quantity]]</f>
        <v>582</v>
      </c>
      <c r="L2102" s="26">
        <v>613</v>
      </c>
      <c r="M2102">
        <f t="shared" si="47"/>
        <v>613</v>
      </c>
      <c r="N2102" s="96"/>
      <c r="O210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Row],[orderNum]],ТабПозиции[orderSumm])&gt;1500),ABS(M2102*VLOOKUP(ТабПозиции[[#This Row],[orderNum]],ТабЗаказы[#Data],MATCH("Percent",ТабЗаказы[#Headers],0),0))/100,200/COUNTIF(ТабПозиции[orderNum],ТабПозиции[[#This Row],[orderNum]])),0),"")</f>
        <v>92</v>
      </c>
      <c r="P2102" s="95">
        <f>IF(OR(ТабПозиции[[#This Row],[item]]="По штрихкоду",ТабПозиции[[#This Row],[item]]="Посылка"),ТабПозиции[[#This Row],[deliverySumm]]+ТабПозиции[[#This Row],[deliveryPost]],SUM(M2102:O2102))</f>
        <v>705</v>
      </c>
      <c r="Q2102" s="57">
        <v>705</v>
      </c>
      <c r="R2102" s="62">
        <f>ТабПозиции[[#This Row],[totalSumm]]-ТабПозиции[[#This Row],[payment]]</f>
        <v>0</v>
      </c>
      <c r="S2102" s="34" t="s">
        <v>965</v>
      </c>
      <c r="T2102" s="56" t="s">
        <v>3061</v>
      </c>
      <c r="U2102" s="56" t="str">
        <f>IF(AND(ТабПозиции[[#This Row],[Остаток]]=0,ТабПозиции[[#This Row],[ord]]="true"),"true","false")</f>
        <v>true</v>
      </c>
      <c r="V2102" s="56" t="s">
        <v>3061</v>
      </c>
    </row>
    <row r="2103" spans="1:22" x14ac:dyDescent="0.25">
      <c r="A2103" s="26">
        <v>550</v>
      </c>
      <c r="B2103" s="1">
        <f>IFERROR(VLOOKUP(ТабПозиции[[#This Row],[orderNum]],ТабЗаказы[#Data],MATCH(B$7,ТабЗаказы[#Headers],0),0),"")</f>
        <v>45749</v>
      </c>
      <c r="C2103" s="95" t="str">
        <f>MONTH(ТабПозиции[[#This Row],[date]])&amp;"/"&amp;YEAR(ТабПозиции[[#This Row],[date]])</f>
        <v>4/2025</v>
      </c>
      <c r="D2103" s="1" t="str">
        <f>IFERROR(VLOOKUP(ТабПозиции[[#This Row],[orderNum]],ТабЗаказы[#Data],MATCH(D$7,ТабЗаказы[#Headers],0),0),"")</f>
        <v>Вячеслав Протонов</v>
      </c>
      <c r="E2103" s="93" t="s">
        <v>2768</v>
      </c>
      <c r="F2103" s="56" t="s">
        <v>3061</v>
      </c>
      <c r="H2103" s="34">
        <v>45750</v>
      </c>
      <c r="I2103" s="96">
        <v>1</v>
      </c>
      <c r="J2103" s="96">
        <v>197</v>
      </c>
      <c r="K2103">
        <f>ТабПозиции[[#This Row],[discountPrice]]*ТабПозиции[[#This Row],[quantity]]</f>
        <v>197</v>
      </c>
      <c r="L2103" s="26">
        <v>208</v>
      </c>
      <c r="M2103">
        <f t="shared" si="47"/>
        <v>208</v>
      </c>
      <c r="N2103" s="96"/>
      <c r="O210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Row],[orderNum]],ТабПозиции[orderSumm])&gt;1500),ABS(M2103*VLOOKUP(ТабПозиции[[#This Row],[orderNum]],ТабЗаказы[#Data],MATCH("Percent",ТабЗаказы[#Headers],0),0))/100,200/COUNTIF(ТабПозиции[orderNum],ТабПозиции[[#This Row],[orderNum]])),0),"")</f>
        <v>31</v>
      </c>
      <c r="P2103" s="95">
        <f>IF(OR(ТабПозиции[[#This Row],[item]]="По штрихкоду",ТабПозиции[[#This Row],[item]]="Посылка"),ТабПозиции[[#This Row],[deliverySumm]]+ТабПозиции[[#This Row],[deliveryPost]],SUM(M2103:O2103))</f>
        <v>239</v>
      </c>
      <c r="Q2103" s="57">
        <v>239</v>
      </c>
      <c r="R2103" s="62">
        <f>ТабПозиции[[#This Row],[totalSumm]]-ТабПозиции[[#This Row],[payment]]</f>
        <v>0</v>
      </c>
      <c r="S2103" s="34" t="s">
        <v>965</v>
      </c>
      <c r="T2103" s="56" t="s">
        <v>3061</v>
      </c>
      <c r="U2103" s="56" t="str">
        <f>IF(AND(ТабПозиции[[#This Row],[Остаток]]=0,ТабПозиции[[#This Row],[ord]]="true"),"true","false")</f>
        <v>true</v>
      </c>
      <c r="V2103" s="56" t="s">
        <v>3061</v>
      </c>
    </row>
    <row r="2104" spans="1:22" x14ac:dyDescent="0.25">
      <c r="A2104" s="26">
        <v>551</v>
      </c>
      <c r="B2104" s="1">
        <f>IFERROR(VLOOKUP(ТабПозиции[[#This Row],[orderNum]],ТабЗаказы[#Data],MATCH(B$7,ТабЗаказы[#Headers],0),0),"")</f>
        <v>45749</v>
      </c>
      <c r="C2104" s="95" t="str">
        <f>MONTH(ТабПозиции[[#This Row],[date]])&amp;"/"&amp;YEAR(ТабПозиции[[#This Row],[date]])</f>
        <v>4/2025</v>
      </c>
      <c r="D2104" s="1" t="str">
        <f>IFERROR(VLOOKUP(ТабПозиции[[#This Row],[orderNum]],ТабЗаказы[#Data],MATCH(D$7,ТабЗаказы[#Headers],0),0),"")</f>
        <v>Олег Федоров</v>
      </c>
      <c r="E2104" s="26" t="s">
        <v>815</v>
      </c>
      <c r="F2104" s="56" t="s">
        <v>3061</v>
      </c>
      <c r="G2104" s="28" t="s">
        <v>2769</v>
      </c>
      <c r="H2104" s="34"/>
      <c r="I2104" s="96">
        <v>1</v>
      </c>
      <c r="J2104" s="96">
        <v>7840</v>
      </c>
      <c r="K2104">
        <f>ТабПозиции[[#This Row],[discountPrice]]*ТабПозиции[[#This Row],[quantity]]</f>
        <v>7840</v>
      </c>
      <c r="L2104" s="26">
        <v>7840</v>
      </c>
      <c r="M2104">
        <f t="shared" si="47"/>
        <v>7840</v>
      </c>
      <c r="N2104" s="96">
        <v>7840</v>
      </c>
      <c r="O210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Row],[orderNum]],ТабПозиции[orderSumm])&gt;1500),ABS(M2104*VLOOKUP(ТабПозиции[[#This Row],[orderNum]],ТабЗаказы[#Data],MATCH("Percent",ТабЗаказы[#Headers],0),0))/100,200/COUNTIF(ТабПозиции[orderNum],ТабПозиции[[#This Row],[orderNum]])),0),"")</f>
        <v>784</v>
      </c>
      <c r="P2104" s="95">
        <f>IF(OR(ТабПозиции[[#This Row],[item]]="По штрихкоду",ТабПозиции[[#This Row],[item]]="Посылка"),ТабПозиции[[#This Row],[deliverySumm]]+ТабПозиции[[#This Row],[deliveryPost]],SUM(M2104:O2104))</f>
        <v>8624</v>
      </c>
      <c r="Q2104" s="57">
        <v>8624</v>
      </c>
      <c r="R2104" s="62">
        <f>ТабПозиции[[#This Row],[totalSumm]]-ТабПозиции[[#This Row],[payment]]</f>
        <v>0</v>
      </c>
      <c r="S2104" s="34" t="s">
        <v>1016</v>
      </c>
      <c r="T2104" s="56" t="s">
        <v>3061</v>
      </c>
      <c r="U2104" s="56" t="str">
        <f>IF(AND(ТабПозиции[[#This Row],[Остаток]]=0,ТабПозиции[[#This Row],[ord]]="true"),"true","false")</f>
        <v>true</v>
      </c>
      <c r="V2104" s="56" t="s">
        <v>3061</v>
      </c>
    </row>
    <row r="2105" spans="1:22" x14ac:dyDescent="0.25">
      <c r="A2105" s="26">
        <v>552</v>
      </c>
      <c r="B2105" s="1">
        <f>IFERROR(VLOOKUP(ТабПозиции[[#This Row],[orderNum]],ТабЗаказы[#Data],MATCH(B$7,ТабЗаказы[#Headers],0),0),"")</f>
        <v>45750</v>
      </c>
      <c r="C2105" s="95" t="str">
        <f>MONTH(ТабПозиции[[#This Row],[date]])&amp;"/"&amp;YEAR(ТабПозиции[[#This Row],[date]])</f>
        <v>4/2025</v>
      </c>
      <c r="D2105" s="1" t="str">
        <f>IFERROR(VLOOKUP(ТабПозиции[[#This Row],[orderNum]],ТабЗаказы[#Data],MATCH(D$7,ТабЗаказы[#Headers],0),0),"")</f>
        <v>Максим телевизор</v>
      </c>
      <c r="E2105" s="26" t="s">
        <v>815</v>
      </c>
      <c r="F2105" s="56" t="s">
        <v>3061</v>
      </c>
      <c r="G2105" s="28" t="s">
        <v>2770</v>
      </c>
      <c r="H2105" s="34">
        <v>45751</v>
      </c>
      <c r="I2105" s="96">
        <v>1</v>
      </c>
      <c r="J2105" s="96">
        <v>4300</v>
      </c>
      <c r="K2105">
        <f>ТабПозиции[[#This Row],[discountPrice]]*ТабПозиции[[#This Row],[quantity]]</f>
        <v>4300</v>
      </c>
      <c r="L2105" s="26">
        <v>4300</v>
      </c>
      <c r="M2105">
        <f t="shared" si="47"/>
        <v>4300</v>
      </c>
      <c r="N2105" s="96"/>
      <c r="O210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Row],[orderNum]],ТабПозиции[orderSumm])&gt;1500),ABS(M2105*VLOOKUP(ТабПозиции[[#This Row],[orderNum]],ТабЗаказы[#Data],MATCH("Percent",ТабЗаказы[#Headers],0),0))/100,200/COUNTIF(ТабПозиции[orderNum],ТабПозиции[[#This Row],[orderNum]])),0),"")</f>
        <v>430</v>
      </c>
      <c r="P2105" s="95">
        <f>IF(OR(ТабПозиции[[#This Row],[item]]="По штрихкоду",ТабПозиции[[#This Row],[item]]="Посылка"),ТабПозиции[[#This Row],[deliverySumm]]+ТабПозиции[[#This Row],[deliveryPost]],SUM(M2105:O2105))</f>
        <v>430</v>
      </c>
      <c r="Q2105" s="57">
        <v>430</v>
      </c>
      <c r="R2105" s="62">
        <f>ТабПозиции[[#This Row],[totalSumm]]-ТабПозиции[[#This Row],[payment]]</f>
        <v>0</v>
      </c>
      <c r="S2105" s="34" t="s">
        <v>1000</v>
      </c>
      <c r="T2105" s="56" t="s">
        <v>3061</v>
      </c>
      <c r="U2105" s="56" t="str">
        <f>IF(AND(ТабПозиции[[#This Row],[Остаток]]=0,ТабПозиции[[#This Row],[ord]]="true"),"true","false")</f>
        <v>true</v>
      </c>
      <c r="V2105" s="56" t="s">
        <v>3061</v>
      </c>
    </row>
    <row r="2106" spans="1:22" x14ac:dyDescent="0.25">
      <c r="A2106" s="26">
        <v>553</v>
      </c>
      <c r="B2106" s="1">
        <f>IFERROR(VLOOKUP(ТабПозиции[[#This Row],[orderNum]],ТабЗаказы[#Data],MATCH(B$7,ТабЗаказы[#Headers],0),0),"")</f>
        <v>45750</v>
      </c>
      <c r="C2106" s="95" t="str">
        <f>MONTH(ТабПозиции[[#This Row],[date]])&amp;"/"&amp;YEAR(ТабПозиции[[#This Row],[date]])</f>
        <v>4/2025</v>
      </c>
      <c r="D2106" s="1" t="str">
        <f>IFERROR(VLOOKUP(ТабПозиции[[#This Row],[orderNum]],ТабЗаказы[#Data],MATCH(D$7,ТабЗаказы[#Headers],0),0),"")</f>
        <v>Максим телевизор</v>
      </c>
      <c r="E2106" s="26" t="s">
        <v>815</v>
      </c>
      <c r="F2106" s="56" t="s">
        <v>3061</v>
      </c>
      <c r="G2106" s="28" t="s">
        <v>2771</v>
      </c>
      <c r="H2106" s="34">
        <v>45751</v>
      </c>
      <c r="I2106" s="96">
        <v>1</v>
      </c>
      <c r="J2106" s="96">
        <v>250</v>
      </c>
      <c r="K2106">
        <f>ТабПозиции[[#This Row],[discountPrice]]*ТабПозиции[[#This Row],[quantity]]</f>
        <v>250</v>
      </c>
      <c r="L2106" s="26">
        <v>250</v>
      </c>
      <c r="M2106">
        <f t="shared" si="47"/>
        <v>250</v>
      </c>
      <c r="N2106" s="96"/>
      <c r="O210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Row],[orderNum]],ТабПозиции[orderSumm])&gt;1500),ABS(M2106*VLOOKUP(ТабПозиции[[#This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2106" s="95">
        <f>IF(OR(ТабПозиции[[#This Row],[item]]="По штрихкоду",ТабПозиции[[#This Row],[item]]="Посылка"),ТабПозиции[[#This Row],[deliverySumm]]+ТабПозиции[[#This Row],[deliveryPost]],SUM(M2106:O2106))</f>
        <v>200</v>
      </c>
      <c r="Q2106" s="57">
        <v>200</v>
      </c>
      <c r="R2106" s="62">
        <f>ТабПозиции[[#This Row],[totalSumm]]-ТабПозиции[[#This Row],[payment]]</f>
        <v>0</v>
      </c>
      <c r="S2106" s="34" t="s">
        <v>1000</v>
      </c>
      <c r="T2106" s="56" t="s">
        <v>3061</v>
      </c>
      <c r="U2106" s="56" t="str">
        <f>IF(AND(ТабПозиции[[#This Row],[Остаток]]=0,ТабПозиции[[#This Row],[ord]]="true"),"true","false")</f>
        <v>true</v>
      </c>
      <c r="V2106" s="56" t="s">
        <v>3061</v>
      </c>
    </row>
    <row r="2107" spans="1:22" x14ac:dyDescent="0.25">
      <c r="A2107" s="26">
        <v>554</v>
      </c>
      <c r="B2107" s="1">
        <f>IFERROR(VLOOKUP(ТабПозиции[[#This Row],[orderNum]],ТабЗаказы[#Data],MATCH(B$7,ТабЗаказы[#Headers],0),0),"")</f>
        <v>45750</v>
      </c>
      <c r="C2107" s="95" t="str">
        <f>MONTH(ТабПозиции[[#This Row],[date]])&amp;"/"&amp;YEAR(ТабПозиции[[#This Row],[date]])</f>
        <v>4/2025</v>
      </c>
      <c r="D2107" s="1" t="str">
        <f>IFERROR(VLOOKUP(ТабПозиции[[#This Row],[orderNum]],ТабЗаказы[#Data],MATCH(D$7,ТабЗаказы[#Headers],0),0),"")</f>
        <v>Максим телевизор</v>
      </c>
      <c r="E2107" s="26" t="s">
        <v>815</v>
      </c>
      <c r="F2107" s="56" t="s">
        <v>3061</v>
      </c>
      <c r="G2107" s="28" t="s">
        <v>2772</v>
      </c>
      <c r="H2107" s="34">
        <v>45752</v>
      </c>
      <c r="I2107" s="96">
        <v>1</v>
      </c>
      <c r="J2107" s="96">
        <v>4600</v>
      </c>
      <c r="K2107">
        <f>ТабПозиции[[#This Row],[discountPrice]]*ТабПозиции[[#This Row],[quantity]]</f>
        <v>4600</v>
      </c>
      <c r="L2107" s="26">
        <v>4600</v>
      </c>
      <c r="M2107">
        <f t="shared" si="47"/>
        <v>4600</v>
      </c>
      <c r="N2107" s="96"/>
      <c r="O210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Row],[orderNum]],ТабПозиции[orderSumm])&gt;1500),ABS(M2107*VLOOKUP(ТабПозиции[[#This Row],[orderNum]],ТабЗаказы[#Data],MATCH("Percent",ТабЗаказы[#Headers],0),0))/100,200/COUNTIF(ТабПозиции[orderNum],ТабПозиции[[#This Row],[orderNum]])),0),"")</f>
        <v>460</v>
      </c>
      <c r="P2107" s="95">
        <f>IF(OR(ТабПозиции[[#This Row],[item]]="По штрихкоду",ТабПозиции[[#This Row],[item]]="Посылка"),ТабПозиции[[#This Row],[deliverySumm]]+ТабПозиции[[#This Row],[deliveryPost]],SUM(M2107:O2107))</f>
        <v>460</v>
      </c>
      <c r="Q2107" s="57">
        <v>460</v>
      </c>
      <c r="R2107" s="62">
        <f>ТабПозиции[[#This Row],[totalSumm]]-ТабПозиции[[#This Row],[payment]]</f>
        <v>0</v>
      </c>
      <c r="S2107" s="34" t="s">
        <v>1000</v>
      </c>
      <c r="T2107" s="56" t="s">
        <v>3061</v>
      </c>
      <c r="U2107" s="56" t="str">
        <f>IF(AND(ТабПозиции[[#This Row],[Остаток]]=0,ТабПозиции[[#This Row],[ord]]="true"),"true","false")</f>
        <v>true</v>
      </c>
      <c r="V2107" s="56" t="s">
        <v>3061</v>
      </c>
    </row>
    <row r="2108" spans="1:22" x14ac:dyDescent="0.25">
      <c r="A2108" s="26">
        <v>555</v>
      </c>
      <c r="B2108" s="1">
        <f>IFERROR(VLOOKUP(ТабПозиции[[#This Row],[orderNum]],ТабЗаказы[#Data],MATCH(B$7,ТабЗаказы[#Headers],0),0),"")</f>
        <v>45751</v>
      </c>
      <c r="C2108" s="95" t="str">
        <f>MONTH(ТабПозиции[[#This Row],[date]])&amp;"/"&amp;YEAR(ТабПозиции[[#This Row],[date]])</f>
        <v>4/2025</v>
      </c>
      <c r="D2108" s="1" t="str">
        <f>IFERROR(VLOOKUP(ТабПозиции[[#This Row],[orderNum]],ТабЗаказы[#Data],MATCH(D$7,ТабЗаказы[#Headers],0),0),"")</f>
        <v>Алина Азовстальская</v>
      </c>
      <c r="E2108" s="26" t="s">
        <v>815</v>
      </c>
      <c r="F2108" s="56" t="s">
        <v>3061</v>
      </c>
      <c r="G2108" s="28" t="s">
        <v>2777</v>
      </c>
      <c r="H2108" s="34">
        <v>45751</v>
      </c>
      <c r="I2108" s="96">
        <v>1</v>
      </c>
      <c r="J2108" s="96">
        <v>1000</v>
      </c>
      <c r="K2108">
        <f>ТабПозиции[[#This Row],[discountPrice]]*ТабПозиции[[#This Row],[quantity]]</f>
        <v>1000</v>
      </c>
      <c r="L2108" s="96">
        <v>1000</v>
      </c>
      <c r="M2108">
        <f t="shared" ref="M2108:M2122" si="48">L2108*I2108</f>
        <v>1000</v>
      </c>
      <c r="N2108" s="96"/>
      <c r="O210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Row],[orderNum]],ТабПозиции[orderSumm])&gt;1500),ABS(M2108*VLOOKUP(ТабПозиции[[#This Row],[orderNum]],ТабЗаказы[#Data],MATCH("Percent",ТабЗаказы[#Headers],0),0))/100,200/COUNTIF(ТабПозиции[orderNum],ТабПозиции[[#This Row],[orderNum]])),0),"")</f>
        <v>150</v>
      </c>
      <c r="P2108" s="95">
        <f>IF(OR(ТабПозиции[[#This Row],[item]]="По штрихкоду",ТабПозиции[[#This Row],[item]]="Посылка"),ТабПозиции[[#This Row],[deliverySumm]]+ТабПозиции[[#This Row],[deliveryPost]],SUM(M2108:O2108))</f>
        <v>150</v>
      </c>
      <c r="Q2108" s="57">
        <v>150</v>
      </c>
      <c r="R2108" s="62">
        <f>ТабПозиции[[#This Row],[totalSumm]]-ТабПозиции[[#This Row],[payment]]</f>
        <v>0</v>
      </c>
      <c r="S2108" s="34" t="s">
        <v>1011</v>
      </c>
      <c r="T2108" s="56" t="s">
        <v>3061</v>
      </c>
      <c r="U2108" s="56" t="str">
        <f>IF(AND(ТабПозиции[[#This Row],[Остаток]]=0,ТабПозиции[[#This Row],[ord]]="true"),"true","false")</f>
        <v>true</v>
      </c>
      <c r="V2108" s="56" t="s">
        <v>3061</v>
      </c>
    </row>
    <row r="2109" spans="1:22" x14ac:dyDescent="0.25">
      <c r="A2109" s="26">
        <v>555</v>
      </c>
      <c r="B2109" s="1">
        <f>IFERROR(VLOOKUP(ТабПозиции[[#This Row],[orderNum]],ТабЗаказы[#Data],MATCH(B$7,ТабЗаказы[#Headers],0),0),"")</f>
        <v>45751</v>
      </c>
      <c r="C2109" s="95" t="str">
        <f>MONTH(ТабПозиции[[#This Row],[date]])&amp;"/"&amp;YEAR(ТабПозиции[[#This Row],[date]])</f>
        <v>4/2025</v>
      </c>
      <c r="D2109" s="1" t="str">
        <f>IFERROR(VLOOKUP(ТабПозиции[[#This Row],[orderNum]],ТабЗаказы[#Data],MATCH(D$7,ТабЗаказы[#Headers],0),0),"")</f>
        <v>Алина Азовстальская</v>
      </c>
      <c r="E2109" s="26" t="s">
        <v>815</v>
      </c>
      <c r="F2109" s="56" t="s">
        <v>3061</v>
      </c>
      <c r="G2109" s="28" t="s">
        <v>2778</v>
      </c>
      <c r="H2109" s="34">
        <v>45751</v>
      </c>
      <c r="I2109" s="96">
        <v>1</v>
      </c>
      <c r="J2109" s="96">
        <v>1100</v>
      </c>
      <c r="K2109">
        <f>ТабПозиции[[#This Row],[discountPrice]]*ТабПозиции[[#This Row],[quantity]]</f>
        <v>1100</v>
      </c>
      <c r="L2109" s="96">
        <v>1100</v>
      </c>
      <c r="M2109">
        <f t="shared" si="48"/>
        <v>1100</v>
      </c>
      <c r="N2109" s="96"/>
      <c r="O210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Row],[orderNum]],ТабПозиции[orderSumm])&gt;1500),ABS(M2109*VLOOKUP(ТабПозиции[[#This Row],[orderNum]],ТабЗаказы[#Data],MATCH("Percent",ТабЗаказы[#Headers],0),0))/100,200/COUNTIF(ТабПозиции[orderNum],ТабПозиции[[#This Row],[orderNum]])),0),"")</f>
        <v>165</v>
      </c>
      <c r="P2109" s="95">
        <f>IF(OR(ТабПозиции[[#This Row],[item]]="По штрихкоду",ТабПозиции[[#This Row],[item]]="Посылка"),ТабПозиции[[#This Row],[deliverySumm]]+ТабПозиции[[#This Row],[deliveryPost]],SUM(M2109:O2109))</f>
        <v>165</v>
      </c>
      <c r="Q2109" s="57">
        <v>165</v>
      </c>
      <c r="R2109" s="62">
        <f>ТабПозиции[[#This Row],[totalSumm]]-ТабПозиции[[#This Row],[payment]]</f>
        <v>0</v>
      </c>
      <c r="S2109" s="34" t="s">
        <v>1011</v>
      </c>
      <c r="T2109" s="56" t="s">
        <v>3061</v>
      </c>
      <c r="U2109" s="56" t="str">
        <f>IF(AND(ТабПозиции[[#This Row],[Остаток]]=0,ТабПозиции[[#This Row],[ord]]="true"),"true","false")</f>
        <v>true</v>
      </c>
      <c r="V2109" s="56" t="s">
        <v>3061</v>
      </c>
    </row>
    <row r="2110" spans="1:22" x14ac:dyDescent="0.25">
      <c r="A2110" s="26">
        <v>557</v>
      </c>
      <c r="B2110" s="1">
        <f>IFERROR(VLOOKUP(ТабПозиции[[#This Row],[orderNum]],ТабЗаказы[#Data],MATCH(B$7,ТабЗаказы[#Headers],0),0),"")</f>
        <v>45751</v>
      </c>
      <c r="C2110" s="95" t="str">
        <f>MONTH(ТабПозиции[[#This Row],[date]])&amp;"/"&amp;YEAR(ТабПозиции[[#This Row],[date]])</f>
        <v>4/2025</v>
      </c>
      <c r="D2110" s="1" t="str">
        <f>IFERROR(VLOOKUP(ТабПозиции[[#This Row],[orderNum]],ТабЗаказы[#Data],MATCH(D$7,ТабЗаказы[#Headers],0),0),"")</f>
        <v>Александр Радин</v>
      </c>
      <c r="E2110" s="26" t="s">
        <v>815</v>
      </c>
      <c r="F2110" s="56" t="s">
        <v>3061</v>
      </c>
      <c r="G2110" s="28" t="s">
        <v>2781</v>
      </c>
      <c r="H2110" s="34">
        <v>45758</v>
      </c>
      <c r="I2110" s="96">
        <v>1</v>
      </c>
      <c r="J2110" s="96">
        <v>23100</v>
      </c>
      <c r="K2110">
        <f>ТабПозиции[[#This Row],[discountPrice]]*ТабПозиции[[#This Row],[quantity]]</f>
        <v>23100</v>
      </c>
      <c r="L2110" s="26">
        <f>11.55*2000</f>
        <v>23100</v>
      </c>
      <c r="M2110">
        <f t="shared" si="48"/>
        <v>23100</v>
      </c>
      <c r="N2110" s="96"/>
      <c r="O211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Row],[orderNum]],ТабПозиции[orderSumm])&gt;1500),ABS(M2110*VLOOKUP(ТабПозиции[[#This Row],[orderNum]],ТабЗаказы[#Data],MATCH("Percent",ТабЗаказы[#Headers],0),0))/100,200/COUNTIF(ТабПозиции[orderNum],ТабПозиции[[#This Row],[orderNum]])),0),"")</f>
        <v>2310</v>
      </c>
      <c r="P2110" s="95">
        <f>IF(OR(ТабПозиции[[#This Row],[item]]="По штрихкоду",ТабПозиции[[#This Row],[item]]="Посылка"),ТабПозиции[[#This Row],[deliverySumm]]+ТабПозиции[[#This Row],[deliveryPost]],SUM(M2110:O2110))</f>
        <v>2310</v>
      </c>
      <c r="Q2110" s="57">
        <v>2310</v>
      </c>
      <c r="R2110" s="62">
        <f>ТабПозиции[[#This Row],[totalSumm]]-ТабПозиции[[#This Row],[payment]]</f>
        <v>0</v>
      </c>
      <c r="S2110" s="34" t="s">
        <v>1016</v>
      </c>
      <c r="T2110" s="56" t="s">
        <v>3061</v>
      </c>
      <c r="U2110" s="56" t="s">
        <v>3061</v>
      </c>
      <c r="V2110" s="56" t="s">
        <v>3061</v>
      </c>
    </row>
    <row r="2111" spans="1:22" x14ac:dyDescent="0.25">
      <c r="A2111" s="26">
        <v>558</v>
      </c>
      <c r="B2111" s="1">
        <f>IFERROR(VLOOKUP(ТабПозиции[[#This Row],[orderNum]],ТабЗаказы[#Data],MATCH(B$7,ТабЗаказы[#Headers],0),0),"")</f>
        <v>45751</v>
      </c>
      <c r="C2111" s="95" t="str">
        <f>MONTH(ТабПозиции[[#This Row],[date]])&amp;"/"&amp;YEAR(ТабПозиции[[#This Row],[date]])</f>
        <v>4/2025</v>
      </c>
      <c r="D2111" s="1" t="str">
        <f>IFERROR(VLOOKUP(ТабПозиции[[#This Row],[orderNum]],ТабЗаказы[#Data],MATCH(D$7,ТабЗаказы[#Headers],0),0),"")</f>
        <v>Алена Бондаренко</v>
      </c>
      <c r="E2111" s="26" t="s">
        <v>32</v>
      </c>
      <c r="F2111" s="56" t="s">
        <v>3061</v>
      </c>
      <c r="H2111" s="34">
        <v>45751</v>
      </c>
      <c r="I2111" s="96">
        <v>1</v>
      </c>
      <c r="J2111" s="96">
        <v>8700</v>
      </c>
      <c r="K2111">
        <f>ТабПозиции[[#This Row],[discountPrice]]*ТабПозиции[[#This Row],[quantity]]</f>
        <v>8700</v>
      </c>
      <c r="L2111" s="96">
        <v>8700</v>
      </c>
      <c r="M2111">
        <f t="shared" si="48"/>
        <v>8700</v>
      </c>
      <c r="N2111" s="96"/>
      <c r="O211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Row],[orderNum]],ТабПозиции[orderSumm])&gt;1500),ABS(M2111*VLOOKUP(ТабПозиции[[#This Row],[orderNum]],ТабЗаказы[#Data],MATCH("Percent",ТабЗаказы[#Headers],0),0))/100,200/COUNTIF(ТабПозиции[orderNum],ТабПозиции[[#This Row],[orderNum]])),0),"")</f>
        <v>870</v>
      </c>
      <c r="P2111" s="95">
        <f>IF(OR(ТабПозиции[[#This Row],[item]]="По штрихкоду",ТабПозиции[[#This Row],[item]]="Посылка"),ТабПозиции[[#This Row],[deliverySumm]]+ТабПозиции[[#This Row],[deliveryPost]],SUM(M2111:O2111))</f>
        <v>870</v>
      </c>
      <c r="Q2111" s="57">
        <v>870</v>
      </c>
      <c r="R2111" s="62">
        <f>ТабПозиции[[#This Row],[totalSumm]]-ТабПозиции[[#This Row],[payment]]</f>
        <v>0</v>
      </c>
      <c r="S2111" s="34" t="s">
        <v>965</v>
      </c>
      <c r="T2111" s="56" t="s">
        <v>3061</v>
      </c>
      <c r="U2111" s="56" t="str">
        <f>IF(AND(ТабПозиции[[#This Row],[Остаток]]=0,ТабПозиции[[#This Row],[ord]]="true"),"true","false")</f>
        <v>true</v>
      </c>
      <c r="V2111" s="56" t="s">
        <v>3061</v>
      </c>
    </row>
    <row r="2112" spans="1:22" x14ac:dyDescent="0.25">
      <c r="A2112" s="26">
        <v>559</v>
      </c>
      <c r="B2112" s="1">
        <f>IFERROR(VLOOKUP(ТабПозиции[[#This Row],[orderNum]],ТабЗаказы[#Data],MATCH(B$7,ТабЗаказы[#Headers],0),0),"")</f>
        <v>45751</v>
      </c>
      <c r="C2112" s="95" t="str">
        <f>MONTH(ТабПозиции[[#This Row],[date]])&amp;"/"&amp;YEAR(ТабПозиции[[#This Row],[date]])</f>
        <v>4/2025</v>
      </c>
      <c r="D2112" s="1" t="str">
        <f>IFERROR(VLOOKUP(ТабПозиции[[#This Row],[orderNum]],ТабЗаказы[#Data],MATCH(D$7,ТабЗаказы[#Headers],0),0),"")</f>
        <v>Наталья Лунина 13</v>
      </c>
      <c r="E2112" s="26" t="s">
        <v>32</v>
      </c>
      <c r="F2112" s="56" t="s">
        <v>3061</v>
      </c>
      <c r="H2112" s="34">
        <v>45751</v>
      </c>
      <c r="I2112" s="96">
        <v>1</v>
      </c>
      <c r="J2112" s="96">
        <v>1303</v>
      </c>
      <c r="K2112">
        <f>ТабПозиции[[#This Row],[discountPrice]]*ТабПозиции[[#This Row],[quantity]]</f>
        <v>1303</v>
      </c>
      <c r="L2112" s="26">
        <v>1303</v>
      </c>
      <c r="M2112">
        <f t="shared" si="48"/>
        <v>1303</v>
      </c>
      <c r="N2112" s="96"/>
      <c r="O211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Row],[orderNum]],ТабПозиции[orderSumm])&gt;1500),ABS(M2112*VLOOKUP(ТабПозиции[[#This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2112" s="95">
        <f>IF(OR(ТабПозиции[[#This Row],[item]]="По штрихкоду",ТабПозиции[[#This Row],[item]]="Посылка"),ТабПозиции[[#This Row],[deliverySumm]]+ТабПозиции[[#This Row],[deliveryPost]],SUM(M2112:O2112))</f>
        <v>200</v>
      </c>
      <c r="Q2112" s="57">
        <v>200</v>
      </c>
      <c r="R2112" s="62">
        <f>ТабПозиции[[#This Row],[totalSumm]]-ТабПозиции[[#This Row],[payment]]</f>
        <v>0</v>
      </c>
      <c r="S2112" s="34" t="s">
        <v>965</v>
      </c>
      <c r="T2112" s="56" t="s">
        <v>3061</v>
      </c>
      <c r="U2112" s="56" t="str">
        <f>IF(AND(ТабПозиции[[#This Row],[Остаток]]=0,ТабПозиции[[#This Row],[ord]]="true"),"true","false")</f>
        <v>true</v>
      </c>
      <c r="V2112" s="56" t="s">
        <v>3061</v>
      </c>
    </row>
    <row r="2113" spans="1:22" x14ac:dyDescent="0.25">
      <c r="A2113" s="26">
        <v>560</v>
      </c>
      <c r="B2113" s="1">
        <f>IFERROR(VLOOKUP(ТабПозиции[[#This Row],[orderNum]],ТабЗаказы[#Data],MATCH(B$7,ТабЗаказы[#Headers],0),0),"")</f>
        <v>45751</v>
      </c>
      <c r="C2113" s="95" t="str">
        <f>MONTH(ТабПозиции[[#This Row],[date]])&amp;"/"&amp;YEAR(ТабПозиции[[#This Row],[date]])</f>
        <v>4/2025</v>
      </c>
      <c r="D2113" s="1" t="str">
        <f>IFERROR(VLOOKUP(ТабПозиции[[#This Row],[orderNum]],ТабЗаказы[#Data],MATCH(D$7,ТабЗаказы[#Headers],0),0),"")</f>
        <v>Артем 9 Авиадивизии</v>
      </c>
      <c r="E2113" s="26" t="s">
        <v>32</v>
      </c>
      <c r="F2113" s="56" t="s">
        <v>3061</v>
      </c>
      <c r="H2113" s="34">
        <v>45751</v>
      </c>
      <c r="I2113" s="96">
        <v>1</v>
      </c>
      <c r="J2113" s="96">
        <v>440</v>
      </c>
      <c r="K2113">
        <f>ТабПозиции[[#This Row],[discountPrice]]*ТабПозиции[[#This Row],[quantity]]</f>
        <v>440</v>
      </c>
      <c r="L2113" s="26">
        <v>440</v>
      </c>
      <c r="M2113">
        <f t="shared" si="48"/>
        <v>440</v>
      </c>
      <c r="N2113" s="96"/>
      <c r="O211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Row],[orderNum]],ТабПозиции[orderSumm])&gt;1500),ABS(M2113*VLOOKUP(ТабПозиции[[#This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2113" s="95">
        <f>IF(OR(ТабПозиции[[#This Row],[item]]="По штрихкоду",ТабПозиции[[#This Row],[item]]="Посылка"),ТабПозиции[[#This Row],[deliverySumm]]+ТабПозиции[[#This Row],[deliveryPost]],SUM(M2113:O2113))</f>
        <v>200</v>
      </c>
      <c r="Q2113" s="57">
        <v>200</v>
      </c>
      <c r="R2113" s="62">
        <f>ТабПозиции[[#This Row],[totalSumm]]-ТабПозиции[[#This Row],[payment]]</f>
        <v>0</v>
      </c>
      <c r="S2113" s="34" t="s">
        <v>955</v>
      </c>
      <c r="T2113" s="56" t="s">
        <v>3061</v>
      </c>
      <c r="U2113" s="56" t="str">
        <f>IF(AND(ТабПозиции[[#This Row],[Остаток]]=0,ТабПозиции[[#This Row],[ord]]="true"),"true","false")</f>
        <v>true</v>
      </c>
      <c r="V2113" s="56" t="s">
        <v>3061</v>
      </c>
    </row>
    <row r="2114" spans="1:22" x14ac:dyDescent="0.25">
      <c r="A2114" s="26">
        <v>561</v>
      </c>
      <c r="B2114" s="1">
        <f>IFERROR(VLOOKUP(ТабПозиции[[#This Row],[orderNum]],ТабЗаказы[#Data],MATCH(B$7,ТабЗаказы[#Headers],0),0),"")</f>
        <v>45754</v>
      </c>
      <c r="C2114" s="95" t="str">
        <f>MONTH(ТабПозиции[[#This Row],[date]])&amp;"/"&amp;YEAR(ТабПозиции[[#This Row],[date]])</f>
        <v>4/2025</v>
      </c>
      <c r="D2114" s="1" t="str">
        <f>IFERROR(VLOOKUP(ТабПозиции[[#This Row],[orderNum]],ТабЗаказы[#Data],MATCH(D$7,ТабЗаказы[#Headers],0),0),"")</f>
        <v>Юлина Мама</v>
      </c>
      <c r="E2114" s="93" t="s">
        <v>2174</v>
      </c>
      <c r="F2114" s="56" t="s">
        <v>3061</v>
      </c>
      <c r="H2114" s="34">
        <v>45755</v>
      </c>
      <c r="I2114" s="96">
        <v>1</v>
      </c>
      <c r="J2114" s="96">
        <v>754</v>
      </c>
      <c r="K2114">
        <f>ТабПозиции[[#This Row],[discountPrice]]*ТабПозиции[[#This Row],[quantity]]</f>
        <v>754</v>
      </c>
      <c r="L2114" s="26">
        <v>794</v>
      </c>
      <c r="M2114">
        <f t="shared" si="48"/>
        <v>794</v>
      </c>
      <c r="N2114" s="96"/>
      <c r="O211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Row],[orderNum]],ТабПозиции[orderSumm])&gt;1500),ABS(M2114*VLOOKUP(ТабПозиции[[#This Row],[orderNum]],ТабЗаказы[#Data],MATCH("Percent",ТабЗаказы[#Headers],0),0))/100,200/COUNTIF(ТабПозиции[orderNum],ТабПозиции[[#This Row],[orderNum]])),0),"")</f>
        <v>119</v>
      </c>
      <c r="P2114" s="95">
        <f>IF(OR(ТабПозиции[[#This Row],[item]]="По штрихкоду",ТабПозиции[[#This Row],[item]]="Посылка"),ТабПозиции[[#This Row],[deliverySumm]]+ТабПозиции[[#This Row],[deliveryPost]],SUM(M2114:O2114))</f>
        <v>913</v>
      </c>
      <c r="Q2114" s="57">
        <v>913</v>
      </c>
      <c r="R2114" s="62">
        <f>ТабПозиции[[#This Row],[totalSumm]]-ТабПозиции[[#This Row],[payment]]</f>
        <v>0</v>
      </c>
      <c r="S2114" s="34" t="s">
        <v>965</v>
      </c>
      <c r="T2114" s="56" t="s">
        <v>3061</v>
      </c>
      <c r="U2114" s="56" t="str">
        <f>IF(AND(ТабПозиции[[#This Row],[Остаток]]=0,ТабПозиции[[#This Row],[ord]]="true"),"true","false")</f>
        <v>true</v>
      </c>
      <c r="V2114" s="56" t="s">
        <v>3061</v>
      </c>
    </row>
    <row r="2115" spans="1:22" x14ac:dyDescent="0.25">
      <c r="A2115" s="26">
        <v>561</v>
      </c>
      <c r="B2115" s="1">
        <f>IFERROR(VLOOKUP(ТабПозиции[[#This Row],[orderNum]],ТабЗаказы[#Data],MATCH(B$7,ТабЗаказы[#Headers],0),0),"")</f>
        <v>45754</v>
      </c>
      <c r="C2115" s="95" t="str">
        <f>MONTH(ТабПозиции[[#This Row],[date]])&amp;"/"&amp;YEAR(ТабПозиции[[#This Row],[date]])</f>
        <v>4/2025</v>
      </c>
      <c r="D2115" s="1" t="str">
        <f>IFERROR(VLOOKUP(ТабПозиции[[#This Row],[orderNum]],ТабЗаказы[#Data],MATCH(D$7,ТабЗаказы[#Headers],0),0),"")</f>
        <v>Юлина Мама</v>
      </c>
      <c r="E2115" s="93" t="s">
        <v>2612</v>
      </c>
      <c r="F2115" s="56" t="s">
        <v>3061</v>
      </c>
      <c r="H2115" s="34">
        <v>45755</v>
      </c>
      <c r="I2115" s="96">
        <v>1</v>
      </c>
      <c r="J2115" s="96">
        <v>790</v>
      </c>
      <c r="K2115">
        <f>ТабПозиции[[#This Row],[discountPrice]]*ТабПозиции[[#This Row],[quantity]]</f>
        <v>790</v>
      </c>
      <c r="L2115" s="26">
        <v>832</v>
      </c>
      <c r="M2115">
        <f t="shared" si="48"/>
        <v>832</v>
      </c>
      <c r="N2115" s="96"/>
      <c r="O211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Row],[orderNum]],ТабПозиции[orderSumm])&gt;1500),ABS(M2115*VLOOKUP(ТабПозиции[[#This Row],[orderNum]],ТабЗаказы[#Data],MATCH("Percent",ТабЗаказы[#Headers],0),0))/100,200/COUNTIF(ТабПозиции[orderNum],ТабПозиции[[#This Row],[orderNum]])),0),"")</f>
        <v>125</v>
      </c>
      <c r="P2115" s="95">
        <f>IF(OR(ТабПозиции[[#This Row],[item]]="По штрихкоду",ТабПозиции[[#This Row],[item]]="Посылка"),ТабПозиции[[#This Row],[deliverySumm]]+ТабПозиции[[#This Row],[deliveryPost]],SUM(M2115:O2115))</f>
        <v>957</v>
      </c>
      <c r="Q2115" s="57">
        <v>957</v>
      </c>
      <c r="R2115" s="62">
        <f>ТабПозиции[[#This Row],[totalSumm]]-ТабПозиции[[#This Row],[payment]]</f>
        <v>0</v>
      </c>
      <c r="S2115" s="34" t="s">
        <v>965</v>
      </c>
      <c r="T2115" s="56" t="s">
        <v>3061</v>
      </c>
      <c r="U2115" s="56" t="str">
        <f>IF(AND(ТабПозиции[[#This Row],[Остаток]]=0,ТабПозиции[[#This Row],[ord]]="true"),"true","false")</f>
        <v>true</v>
      </c>
      <c r="V2115" s="56" t="s">
        <v>3061</v>
      </c>
    </row>
    <row r="2116" spans="1:22" x14ac:dyDescent="0.25">
      <c r="A2116" s="26">
        <v>561</v>
      </c>
      <c r="B2116" s="1">
        <f>IFERROR(VLOOKUP(ТабПозиции[[#This Row],[orderNum]],ТабЗаказы[#Data],MATCH(B$7,ТабЗаказы[#Headers],0),0),"")</f>
        <v>45754</v>
      </c>
      <c r="C2116" s="95" t="str">
        <f>MONTH(ТабПозиции[[#This Row],[date]])&amp;"/"&amp;YEAR(ТабПозиции[[#This Row],[date]])</f>
        <v>4/2025</v>
      </c>
      <c r="D2116" s="1" t="str">
        <f>IFERROR(VLOOKUP(ТабПозиции[[#This Row],[orderNum]],ТабЗаказы[#Data],MATCH(D$7,ТабЗаказы[#Headers],0),0),"")</f>
        <v>Юлина Мама</v>
      </c>
      <c r="E2116" s="93" t="s">
        <v>2783</v>
      </c>
      <c r="F2116" s="56" t="s">
        <v>3061</v>
      </c>
      <c r="H2116" s="34">
        <v>45756</v>
      </c>
      <c r="I2116" s="96">
        <v>1</v>
      </c>
      <c r="J2116" s="96">
        <v>1266</v>
      </c>
      <c r="K2116">
        <f>ТабПозиции[[#This Row],[discountPrice]]*ТабПозиции[[#This Row],[quantity]]</f>
        <v>1266</v>
      </c>
      <c r="L2116" s="26">
        <v>1333</v>
      </c>
      <c r="M2116">
        <f t="shared" si="48"/>
        <v>1333</v>
      </c>
      <c r="N2116" s="96"/>
      <c r="O211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Row],[orderNum]],ТабПозиции[orderSumm])&gt;1500),ABS(M2116*VLOOKUP(ТабПозиции[[#This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2116" s="95">
        <f>IF(OR(ТабПозиции[[#This Row],[item]]="По штрихкоду",ТабПозиции[[#This Row],[item]]="Посылка"),ТабПозиции[[#This Row],[deliverySumm]]+ТабПозиции[[#This Row],[deliveryPost]],SUM(M2116:O2116))</f>
        <v>1533</v>
      </c>
      <c r="Q2116" s="57">
        <v>1533</v>
      </c>
      <c r="R2116" s="62">
        <f>ТабПозиции[[#This Row],[totalSumm]]-ТабПозиции[[#This Row],[payment]]</f>
        <v>0</v>
      </c>
      <c r="S2116" s="34" t="s">
        <v>965</v>
      </c>
      <c r="T2116" s="56" t="s">
        <v>3061</v>
      </c>
      <c r="U2116" s="56" t="str">
        <f>IF(AND(ТабПозиции[[#This Row],[Остаток]]=0,ТабПозиции[[#This Row],[ord]]="true"),"true","false")</f>
        <v>true</v>
      </c>
      <c r="V2116" s="56" t="s">
        <v>3061</v>
      </c>
    </row>
    <row r="2117" spans="1:22" x14ac:dyDescent="0.25">
      <c r="A2117" s="26">
        <v>561</v>
      </c>
      <c r="B2117" s="1">
        <f>IFERROR(VLOOKUP(ТабПозиции[[#This Row],[orderNum]],ТабЗаказы[#Data],MATCH(B$7,ТабЗаказы[#Headers],0),0),"")</f>
        <v>45754</v>
      </c>
      <c r="C2117" s="95" t="str">
        <f>MONTH(ТабПозиции[[#This Row],[date]])&amp;"/"&amp;YEAR(ТабПозиции[[#This Row],[date]])</f>
        <v>4/2025</v>
      </c>
      <c r="D2117" s="1" t="str">
        <f>IFERROR(VLOOKUP(ТабПозиции[[#This Row],[orderNum]],ТабЗаказы[#Data],MATCH(D$7,ТабЗаказы[#Headers],0),0),"")</f>
        <v>Юлина Мама</v>
      </c>
      <c r="E2117" s="93" t="s">
        <v>2784</v>
      </c>
      <c r="F2117" s="56" t="s">
        <v>3061</v>
      </c>
      <c r="H2117" s="34">
        <v>45756</v>
      </c>
      <c r="I2117" s="96">
        <v>1</v>
      </c>
      <c r="J2117" s="96">
        <v>377</v>
      </c>
      <c r="K2117">
        <f>ТабПозиции[[#This Row],[discountPrice]]*ТабПозиции[[#This Row],[quantity]]</f>
        <v>377</v>
      </c>
      <c r="L2117" s="26">
        <v>397</v>
      </c>
      <c r="M2117">
        <f t="shared" si="48"/>
        <v>397</v>
      </c>
      <c r="N2117" s="96"/>
      <c r="O211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Row],[orderNum]],ТабПозиции[orderSumm])&gt;1500),ABS(M2117*VLOOKUP(ТабПозиции[[#This Row],[orderNum]],ТабЗаказы[#Data],MATCH("Percent",ТабЗаказы[#Headers],0),0))/100,200/COUNTIF(ТабПозиции[orderNum],ТабПозиции[[#This Row],[orderNum]])),0),"")</f>
        <v>60</v>
      </c>
      <c r="P2117" s="95">
        <f>IF(OR(ТабПозиции[[#This Row],[item]]="По штрихкоду",ТабПозиции[[#This Row],[item]]="Посылка"),ТабПозиции[[#This Row],[deliverySumm]]+ТабПозиции[[#This Row],[deliveryPost]],SUM(M2117:O2117))</f>
        <v>457</v>
      </c>
      <c r="Q2117" s="57">
        <v>457</v>
      </c>
      <c r="R2117" s="62">
        <f>ТабПозиции[[#This Row],[totalSumm]]-ТабПозиции[[#This Row],[payment]]</f>
        <v>0</v>
      </c>
      <c r="S2117" s="34" t="s">
        <v>965</v>
      </c>
      <c r="T2117" s="56" t="s">
        <v>3061</v>
      </c>
      <c r="U2117" s="56" t="str">
        <f>IF(AND(ТабПозиции[[#This Row],[Остаток]]=0,ТабПозиции[[#This Row],[ord]]="true"),"true","false")</f>
        <v>true</v>
      </c>
      <c r="V2117" s="56" t="s">
        <v>3061</v>
      </c>
    </row>
    <row r="2118" spans="1:22" x14ac:dyDescent="0.25">
      <c r="A2118" s="26">
        <v>562</v>
      </c>
      <c r="B2118" s="1">
        <f>IFERROR(VLOOKUP(ТабПозиции[[#This Row],[orderNum]],ТабЗаказы[#Data],MATCH(B$7,ТабЗаказы[#Headers],0),0),"")</f>
        <v>45754</v>
      </c>
      <c r="C2118" s="95" t="str">
        <f>MONTH(ТабПозиции[[#This Row],[date]])&amp;"/"&amp;YEAR(ТабПозиции[[#This Row],[date]])</f>
        <v>4/2025</v>
      </c>
      <c r="D2118" s="1" t="str">
        <f>IFERROR(VLOOKUP(ТабПозиции[[#This Row],[orderNum]],ТабЗаказы[#Data],MATCH(D$7,ТабЗаказы[#Headers],0),0),"")</f>
        <v>Юля Ларисына</v>
      </c>
      <c r="E2118" s="93" t="s">
        <v>2785</v>
      </c>
      <c r="F2118" s="56" t="s">
        <v>3061</v>
      </c>
      <c r="H2118" s="34">
        <v>45756</v>
      </c>
      <c r="I2118" s="96">
        <v>1</v>
      </c>
      <c r="J2118" s="96">
        <v>353</v>
      </c>
      <c r="K2118">
        <f>ТабПозиции[[#This Row],[discountPrice]]*ТабПозиции[[#This Row],[quantity]]</f>
        <v>353</v>
      </c>
      <c r="L2118" s="26">
        <v>372</v>
      </c>
      <c r="M2118">
        <f t="shared" si="48"/>
        <v>372</v>
      </c>
      <c r="N2118" s="96"/>
      <c r="O211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Row],[orderNum]],ТабПозиции[orderSumm])&gt;1500),ABS(M2118*VLOOKUP(ТабПозиции[[#This Row],[orderNum]],ТабЗаказы[#Data],MATCH("Percent",ТабЗаказы[#Headers],0),0))/100,200/COUNTIF(ТабПозиции[orderNum],ТабПозиции[[#This Row],[orderNum]])),0),"")</f>
        <v>56</v>
      </c>
      <c r="P2118" s="95">
        <f>IF(OR(ТабПозиции[[#This Row],[item]]="По штрихкоду",ТабПозиции[[#This Row],[item]]="Посылка"),ТабПозиции[[#This Row],[deliverySumm]]+ТабПозиции[[#This Row],[deliveryPost]],SUM(M2118:O2118))</f>
        <v>428</v>
      </c>
      <c r="Q2118" s="57">
        <v>428</v>
      </c>
      <c r="R2118" s="62">
        <f>ТабПозиции[[#This Row],[totalSumm]]-ТабПозиции[[#This Row],[payment]]</f>
        <v>0</v>
      </c>
      <c r="S2118" s="34" t="s">
        <v>965</v>
      </c>
      <c r="T2118" s="56" t="s">
        <v>3061</v>
      </c>
      <c r="U2118" s="56" t="str">
        <f>IF(AND(ТабПозиции[[#This Row],[Остаток]]=0,ТабПозиции[[#This Row],[ord]]="true"),"true","false")</f>
        <v>true</v>
      </c>
      <c r="V2118" s="56" t="s">
        <v>3061</v>
      </c>
    </row>
    <row r="2119" spans="1:22" x14ac:dyDescent="0.25">
      <c r="A2119" s="26">
        <v>562</v>
      </c>
      <c r="B2119" s="1">
        <f>IFERROR(VLOOKUP(ТабПозиции[[#This Row],[orderNum]],ТабЗаказы[#Data],MATCH(B$7,ТабЗаказы[#Headers],0),0),"")</f>
        <v>45754</v>
      </c>
      <c r="C2119" s="95" t="str">
        <f>MONTH(ТабПозиции[[#This Row],[date]])&amp;"/"&amp;YEAR(ТабПозиции[[#This Row],[date]])</f>
        <v>4/2025</v>
      </c>
      <c r="D2119" s="1" t="str">
        <f>IFERROR(VLOOKUP(ТабПозиции[[#This Row],[orderNum]],ТабЗаказы[#Data],MATCH(D$7,ТабЗаказы[#Headers],0),0),"")</f>
        <v>Юля Ларисына</v>
      </c>
      <c r="E2119" s="93" t="s">
        <v>2786</v>
      </c>
      <c r="F2119" s="56" t="s">
        <v>3061</v>
      </c>
      <c r="H2119" s="34">
        <v>45755</v>
      </c>
      <c r="I2119" s="96">
        <v>1</v>
      </c>
      <c r="J2119" s="96">
        <v>369</v>
      </c>
      <c r="K2119">
        <f>ТабПозиции[[#This Row],[discountPrice]]*ТабПозиции[[#This Row],[quantity]]</f>
        <v>369</v>
      </c>
      <c r="L2119" s="26">
        <v>389</v>
      </c>
      <c r="M2119">
        <f t="shared" si="48"/>
        <v>389</v>
      </c>
      <c r="N2119" s="96"/>
      <c r="O211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Row],[orderNum]],ТабПозиции[orderSumm])&gt;1500),ABS(M2119*VLOOKUP(ТабПозиции[[#This Row],[orderNum]],ТабЗаказы[#Data],MATCH("Percent",ТабЗаказы[#Headers],0),0))/100,200/COUNTIF(ТабПозиции[orderNum],ТабПозиции[[#This Row],[orderNum]])),0),"")</f>
        <v>58</v>
      </c>
      <c r="P2119" s="95">
        <f>IF(OR(ТабПозиции[[#This Row],[item]]="По штрихкоду",ТабПозиции[[#This Row],[item]]="Посылка"),ТабПозиции[[#This Row],[deliverySumm]]+ТабПозиции[[#This Row],[deliveryPost]],SUM(M2119:O2119))</f>
        <v>447</v>
      </c>
      <c r="Q2119" s="57">
        <v>447</v>
      </c>
      <c r="R2119" s="62">
        <f>ТабПозиции[[#This Row],[totalSumm]]-ТабПозиции[[#This Row],[payment]]</f>
        <v>0</v>
      </c>
      <c r="S2119" s="34" t="s">
        <v>965</v>
      </c>
      <c r="T2119" s="56" t="s">
        <v>3061</v>
      </c>
      <c r="U2119" s="56" t="str">
        <f>IF(AND(ТабПозиции[[#This Row],[Остаток]]=0,ТабПозиции[[#This Row],[ord]]="true"),"true","false")</f>
        <v>true</v>
      </c>
      <c r="V2119" s="56" t="s">
        <v>3061</v>
      </c>
    </row>
    <row r="2120" spans="1:22" x14ac:dyDescent="0.25">
      <c r="A2120" s="26">
        <v>562</v>
      </c>
      <c r="B2120" s="1">
        <f>IFERROR(VLOOKUP(ТабПозиции[[#This Row],[orderNum]],ТабЗаказы[#Data],MATCH(B$7,ТабЗаказы[#Headers],0),0),"")</f>
        <v>45754</v>
      </c>
      <c r="C2120" s="95" t="str">
        <f>MONTH(ТабПозиции[[#This Row],[date]])&amp;"/"&amp;YEAR(ТабПозиции[[#This Row],[date]])</f>
        <v>4/2025</v>
      </c>
      <c r="D2120" s="1" t="str">
        <f>IFERROR(VLOOKUP(ТабПозиции[[#This Row],[orderNum]],ТабЗаказы[#Data],MATCH(D$7,ТабЗаказы[#Headers],0),0),"")</f>
        <v>Юля Ларисына</v>
      </c>
      <c r="E2120" s="93" t="s">
        <v>1567</v>
      </c>
      <c r="F2120" s="56" t="s">
        <v>3061</v>
      </c>
      <c r="H2120" s="34">
        <v>45756</v>
      </c>
      <c r="I2120" s="96">
        <v>1</v>
      </c>
      <c r="J2120" s="96">
        <v>265</v>
      </c>
      <c r="K2120">
        <f>ТабПозиции[[#This Row],[discountPrice]]*ТабПозиции[[#This Row],[quantity]]</f>
        <v>265</v>
      </c>
      <c r="L2120" s="26">
        <v>279</v>
      </c>
      <c r="M2120">
        <f t="shared" si="48"/>
        <v>279</v>
      </c>
      <c r="N2120" s="96"/>
      <c r="O212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Row],[orderNum]],ТабПозиции[orderSumm])&gt;1500),ABS(M2120*VLOOKUP(ТабПозиции[[#This Row],[orderNum]],ТабЗаказы[#Data],MATCH("Percent",ТабЗаказы[#Headers],0),0))/100,200/COUNTIF(ТабПозиции[orderNum],ТабПозиции[[#This Row],[orderNum]])),0),"")</f>
        <v>42</v>
      </c>
      <c r="P2120" s="95">
        <f>IF(OR(ТабПозиции[[#This Row],[item]]="По штрихкоду",ТабПозиции[[#This Row],[item]]="Посылка"),ТабПозиции[[#This Row],[deliverySumm]]+ТабПозиции[[#This Row],[deliveryPost]],SUM(M2120:O2120))</f>
        <v>321</v>
      </c>
      <c r="Q2120" s="57">
        <v>321</v>
      </c>
      <c r="R2120" s="62">
        <f>ТабПозиции[[#This Row],[totalSumm]]-ТабПозиции[[#This Row],[payment]]</f>
        <v>0</v>
      </c>
      <c r="S2120" s="34" t="s">
        <v>965</v>
      </c>
      <c r="T2120" s="56" t="s">
        <v>3061</v>
      </c>
      <c r="U2120" s="56" t="str">
        <f>IF(AND(ТабПозиции[[#This Row],[Остаток]]=0,ТабПозиции[[#This Row],[ord]]="true"),"true","false")</f>
        <v>true</v>
      </c>
      <c r="V2120" s="56" t="s">
        <v>3061</v>
      </c>
    </row>
    <row r="2121" spans="1:22" x14ac:dyDescent="0.25">
      <c r="A2121" s="26">
        <v>562</v>
      </c>
      <c r="B2121" s="1">
        <f>IFERROR(VLOOKUP(ТабПозиции[[#This Row],[orderNum]],ТабЗаказы[#Data],MATCH(B$7,ТабЗаказы[#Headers],0),0),"")</f>
        <v>45754</v>
      </c>
      <c r="C2121" s="95" t="str">
        <f>MONTH(ТабПозиции[[#This Row],[date]])&amp;"/"&amp;YEAR(ТабПозиции[[#This Row],[date]])</f>
        <v>4/2025</v>
      </c>
      <c r="D2121" s="1" t="str">
        <f>IFERROR(VLOOKUP(ТабПозиции[[#This Row],[orderNum]],ТабЗаказы[#Data],MATCH(D$7,ТабЗаказы[#Headers],0),0),"")</f>
        <v>Юля Ларисына</v>
      </c>
      <c r="E2121" s="93" t="s">
        <v>2245</v>
      </c>
      <c r="F2121" s="56" t="s">
        <v>3061</v>
      </c>
      <c r="H2121" s="34">
        <v>45757</v>
      </c>
      <c r="I2121" s="96">
        <v>1</v>
      </c>
      <c r="J2121" s="96">
        <v>456</v>
      </c>
      <c r="K2121">
        <f>ТабПозиции[[#This Row],[discountPrice]]*ТабПозиции[[#This Row],[quantity]]</f>
        <v>456</v>
      </c>
      <c r="L2121" s="26">
        <v>480</v>
      </c>
      <c r="M2121">
        <f t="shared" si="48"/>
        <v>480</v>
      </c>
      <c r="N2121" s="96"/>
      <c r="O212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Row],[orderNum]],ТабПозиции[orderSumm])&gt;1500),ABS(M2121*VLOOKUP(ТабПозиции[[#This Row],[orderNum]],ТабЗаказы[#Data],MATCH("Percent",ТабЗаказы[#Headers],0),0))/100,200/COUNTIF(ТабПозиции[orderNum],ТабПозиции[[#This Row],[orderNum]])),0),"")</f>
        <v>72</v>
      </c>
      <c r="P2121" s="95">
        <f>IF(OR(ТабПозиции[[#This Row],[item]]="По штрихкоду",ТабПозиции[[#This Row],[item]]="Посылка"),ТабПозиции[[#This Row],[deliverySumm]]+ТабПозиции[[#This Row],[deliveryPost]],SUM(M2121:O2121))</f>
        <v>552</v>
      </c>
      <c r="Q2121" s="57">
        <v>552</v>
      </c>
      <c r="R2121" s="62">
        <f>ТабПозиции[[#This Row],[totalSumm]]-ТабПозиции[[#This Row],[payment]]</f>
        <v>0</v>
      </c>
      <c r="S2121" s="34" t="s">
        <v>965</v>
      </c>
      <c r="T2121" s="56" t="s">
        <v>3061</v>
      </c>
      <c r="U2121" s="56" t="str">
        <f>IF(AND(ТабПозиции[[#This Row],[Остаток]]=0,ТабПозиции[[#This Row],[ord]]="true"),"true","false")</f>
        <v>true</v>
      </c>
      <c r="V2121" s="56" t="s">
        <v>3061</v>
      </c>
    </row>
    <row r="2122" spans="1:22" x14ac:dyDescent="0.25">
      <c r="A2122" s="26">
        <v>562</v>
      </c>
      <c r="B2122" s="1">
        <f>IFERROR(VLOOKUP(ТабПозиции[[#This Row],[orderNum]],ТабЗаказы[#Data],MATCH(B$7,ТабЗаказы[#Headers],0),0),"")</f>
        <v>45754</v>
      </c>
      <c r="C2122" s="95" t="str">
        <f>MONTH(ТабПозиции[[#This Row],[date]])&amp;"/"&amp;YEAR(ТабПозиции[[#This Row],[date]])</f>
        <v>4/2025</v>
      </c>
      <c r="D2122" s="1" t="str">
        <f>IFERROR(VLOOKUP(ТабПозиции[[#This Row],[orderNum]],ТабЗаказы[#Data],MATCH(D$7,ТабЗаказы[#Headers],0),0),"")</f>
        <v>Юля Ларисына</v>
      </c>
      <c r="E2122" s="93" t="s">
        <v>2787</v>
      </c>
      <c r="F2122" s="56" t="s">
        <v>3061</v>
      </c>
      <c r="H2122" s="34">
        <v>45755</v>
      </c>
      <c r="I2122" s="96">
        <v>1</v>
      </c>
      <c r="J2122" s="96">
        <v>286</v>
      </c>
      <c r="K2122">
        <f>ТабПозиции[[#This Row],[discountPrice]]*ТабПозиции[[#This Row],[quantity]]</f>
        <v>286</v>
      </c>
      <c r="L2122" s="26">
        <v>302</v>
      </c>
      <c r="M2122">
        <f t="shared" si="48"/>
        <v>302</v>
      </c>
      <c r="N2122" s="96"/>
      <c r="O212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Row],[orderNum]],ТабПозиции[orderSumm])&gt;1500),ABS(M2122*VLOOKUP(ТабПозиции[[#This Row],[orderNum]],ТабЗаказы[#Data],MATCH("Percent",ТабЗаказы[#Headers],0),0))/100,200/COUNTIF(ТабПозиции[orderNum],ТабПозиции[[#This Row],[orderNum]])),0),"")</f>
        <v>45</v>
      </c>
      <c r="P2122" s="95">
        <f>IF(OR(ТабПозиции[[#This Row],[item]]="По штрихкоду",ТабПозиции[[#This Row],[item]]="Посылка"),ТабПозиции[[#This Row],[deliverySumm]]+ТабПозиции[[#This Row],[deliveryPost]],SUM(M2122:O2122))</f>
        <v>347</v>
      </c>
      <c r="Q2122" s="57">
        <v>347</v>
      </c>
      <c r="R2122" s="62">
        <f>ТабПозиции[[#This Row],[totalSumm]]-ТабПозиции[[#This Row],[payment]]</f>
        <v>0</v>
      </c>
      <c r="S2122" s="34" t="s">
        <v>965</v>
      </c>
      <c r="T2122" s="56" t="s">
        <v>3061</v>
      </c>
      <c r="U2122" s="56" t="str">
        <f>IF(AND(ТабПозиции[[#This Row],[Остаток]]=0,ТабПозиции[[#This Row],[ord]]="true"),"true","false")</f>
        <v>true</v>
      </c>
      <c r="V2122" s="56" t="s">
        <v>3061</v>
      </c>
    </row>
    <row r="2123" spans="1:22" x14ac:dyDescent="0.25">
      <c r="A2123" s="26">
        <v>562</v>
      </c>
      <c r="B2123" s="1">
        <f>IFERROR(VLOOKUP(ТабПозиции[[#This Row],[orderNum]],ТабЗаказы[#Data],MATCH(B$7,ТабЗаказы[#Headers],0),0),"")</f>
        <v>45754</v>
      </c>
      <c r="C2123" s="95" t="str">
        <f>MONTH(ТабПозиции[[#This Row],[date]])&amp;"/"&amp;YEAR(ТабПозиции[[#This Row],[date]])</f>
        <v>4/2025</v>
      </c>
      <c r="D2123" s="1" t="str">
        <f>IFERROR(VLOOKUP(ТабПозиции[[#This Row],[orderNum]],ТабЗаказы[#Data],MATCH(D$7,ТабЗаказы[#Headers],0),0),"")</f>
        <v>Юля Ларисына</v>
      </c>
      <c r="E2123" s="93" t="s">
        <v>2661</v>
      </c>
      <c r="F2123" s="56" t="s">
        <v>3061</v>
      </c>
      <c r="H2123" s="34">
        <v>45757</v>
      </c>
      <c r="I2123" s="96">
        <v>1</v>
      </c>
      <c r="J2123" s="96">
        <v>162</v>
      </c>
      <c r="K2123">
        <f>ТабПозиции[[#This Row],[discountPrice]]*ТабПозиции[[#This Row],[quantity]]</f>
        <v>162</v>
      </c>
      <c r="L2123" s="26">
        <v>171</v>
      </c>
      <c r="M2123">
        <f t="shared" si="44"/>
        <v>171</v>
      </c>
      <c r="N2123" s="96"/>
      <c r="O212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Row],[orderNum]],ТабПозиции[orderSumm])&gt;1500),ABS(M2123*VLOOKUP(ТабПозиции[[#This Row],[orderNum]],ТабЗаказы[#Data],MATCH("Percent",ТабЗаказы[#Headers],0),0))/100,200/COUNTIF(ТабПозиции[orderNum],ТабПозиции[[#This Row],[orderNum]])),0),"")</f>
        <v>26</v>
      </c>
      <c r="P2123" s="95">
        <f>IF(OR(ТабПозиции[[#This Row],[item]]="По штрихкоду",ТабПозиции[[#This Row],[item]]="Посылка"),ТабПозиции[[#This Row],[deliverySumm]]+ТабПозиции[[#This Row],[deliveryPost]],SUM(M2123:O2123))</f>
        <v>197</v>
      </c>
      <c r="Q2123" s="57">
        <v>197</v>
      </c>
      <c r="R2123" s="62">
        <f>ТабПозиции[[#This Row],[totalSumm]]-ТабПозиции[[#This Row],[payment]]</f>
        <v>0</v>
      </c>
      <c r="S2123" s="34" t="s">
        <v>965</v>
      </c>
      <c r="T2123" s="56" t="s">
        <v>3061</v>
      </c>
      <c r="U2123" s="56" t="str">
        <f>IF(AND(ТабПозиции[[#This Row],[Остаток]]=0,ТабПозиции[[#This Row],[ord]]="true"),"true","false")</f>
        <v>true</v>
      </c>
      <c r="V2123" s="56" t="s">
        <v>3061</v>
      </c>
    </row>
    <row r="2124" spans="1:22" x14ac:dyDescent="0.25">
      <c r="A2124" s="26">
        <v>562</v>
      </c>
      <c r="B2124" s="1">
        <f>IFERROR(VLOOKUP(ТабПозиции[[#This Row],[orderNum]],ТабЗаказы[#Data],MATCH(B$7,ТабЗаказы[#Headers],0),0),"")</f>
        <v>45754</v>
      </c>
      <c r="C2124" s="95" t="str">
        <f>MONTH(ТабПозиции[[#This Row],[date]])&amp;"/"&amp;YEAR(ТабПозиции[[#This Row],[date]])</f>
        <v>4/2025</v>
      </c>
      <c r="D2124" s="1" t="str">
        <f>IFERROR(VLOOKUP(ТабПозиции[[#This Row],[orderNum]],ТабЗаказы[#Data],MATCH(D$7,ТабЗаказы[#Headers],0),0),"")</f>
        <v>Юля Ларисына</v>
      </c>
      <c r="E2124" s="93" t="s">
        <v>2788</v>
      </c>
      <c r="F2124" s="56" t="s">
        <v>3061</v>
      </c>
      <c r="H2124" s="34">
        <v>45755</v>
      </c>
      <c r="I2124" s="96">
        <v>1</v>
      </c>
      <c r="J2124" s="96">
        <v>309</v>
      </c>
      <c r="K2124">
        <f>ТабПозиции[[#This Row],[discountPrice]]*ТабПозиции[[#This Row],[quantity]]</f>
        <v>309</v>
      </c>
      <c r="L2124" s="26">
        <v>326</v>
      </c>
      <c r="M2124">
        <f t="shared" si="44"/>
        <v>326</v>
      </c>
      <c r="N2124" s="96"/>
      <c r="O212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Row],[orderNum]],ТабПозиции[orderSumm])&gt;1500),ABS(M2124*VLOOKUP(ТабПозиции[[#This Row],[orderNum]],ТабЗаказы[#Data],MATCH("Percent",ТабЗаказы[#Headers],0),0))/100,200/COUNTIF(ТабПозиции[orderNum],ТабПозиции[[#This Row],[orderNum]])),0),"")</f>
        <v>49</v>
      </c>
      <c r="P2124" s="95">
        <f>IF(OR(ТабПозиции[[#This Row],[item]]="По штрихкоду",ТабПозиции[[#This Row],[item]]="Посылка"),ТабПозиции[[#This Row],[deliverySumm]]+ТабПозиции[[#This Row],[deliveryPost]],SUM(M2124:O2124))</f>
        <v>375</v>
      </c>
      <c r="Q2124" s="57">
        <v>375</v>
      </c>
      <c r="R2124" s="62">
        <f>ТабПозиции[[#This Row],[totalSumm]]-ТабПозиции[[#This Row],[payment]]</f>
        <v>0</v>
      </c>
      <c r="S2124" s="34" t="s">
        <v>965</v>
      </c>
      <c r="T2124" s="56" t="s">
        <v>3061</v>
      </c>
      <c r="U2124" s="56" t="str">
        <f>IF(AND(ТабПозиции[[#This Row],[Остаток]]=0,ТабПозиции[[#This Row],[ord]]="true"),"true","false")</f>
        <v>true</v>
      </c>
      <c r="V2124" s="56" t="s">
        <v>3061</v>
      </c>
    </row>
    <row r="2125" spans="1:22" x14ac:dyDescent="0.25">
      <c r="A2125" s="26">
        <v>562</v>
      </c>
      <c r="B2125" s="1">
        <f>IFERROR(VLOOKUP(ТабПозиции[[#This Row],[orderNum]],ТабЗаказы[#Data],MATCH(B$7,ТабЗаказы[#Headers],0),0),"")</f>
        <v>45754</v>
      </c>
      <c r="C2125" s="95" t="str">
        <f>MONTH(ТабПозиции[[#This Row],[date]])&amp;"/"&amp;YEAR(ТабПозиции[[#This Row],[date]])</f>
        <v>4/2025</v>
      </c>
      <c r="D2125" s="1" t="str">
        <f>IFERROR(VLOOKUP(ТабПозиции[[#This Row],[orderNum]],ТабЗаказы[#Data],MATCH(D$7,ТабЗаказы[#Headers],0),0),"")</f>
        <v>Юля Ларисына</v>
      </c>
      <c r="E2125" s="93" t="s">
        <v>2789</v>
      </c>
      <c r="F2125" s="56" t="s">
        <v>3061</v>
      </c>
      <c r="H2125" s="34">
        <v>45757</v>
      </c>
      <c r="I2125" s="96">
        <v>1</v>
      </c>
      <c r="J2125" s="96">
        <v>513</v>
      </c>
      <c r="K2125">
        <f>ТабПозиции[[#This Row],[discountPrice]]*ТабПозиции[[#This Row],[quantity]]</f>
        <v>513</v>
      </c>
      <c r="L2125" s="26">
        <v>540</v>
      </c>
      <c r="M2125">
        <f t="shared" si="44"/>
        <v>540</v>
      </c>
      <c r="N2125" s="96"/>
      <c r="O212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Row],[orderNum]],ТабПозиции[orderSumm])&gt;1500),ABS(M2125*VLOOKUP(ТабПозиции[[#This Row],[orderNum]],ТабЗаказы[#Data],MATCH("Percent",ТабЗаказы[#Headers],0),0))/100,200/COUNTIF(ТабПозиции[orderNum],ТабПозиции[[#This Row],[orderNum]])),0),"")</f>
        <v>81</v>
      </c>
      <c r="P2125" s="95">
        <f>IF(OR(ТабПозиции[[#This Row],[item]]="По штрихкоду",ТабПозиции[[#This Row],[item]]="Посылка"),ТабПозиции[[#This Row],[deliverySumm]]+ТабПозиции[[#This Row],[deliveryPost]],SUM(M2125:O2125))</f>
        <v>621</v>
      </c>
      <c r="Q2125" s="57">
        <v>621</v>
      </c>
      <c r="R2125" s="62">
        <f>ТабПозиции[[#This Row],[totalSumm]]-ТабПозиции[[#This Row],[payment]]</f>
        <v>0</v>
      </c>
      <c r="S2125" s="34" t="s">
        <v>965</v>
      </c>
      <c r="T2125" s="56" t="s">
        <v>3061</v>
      </c>
      <c r="U2125" s="56" t="str">
        <f>IF(AND(ТабПозиции[[#This Row],[Остаток]]=0,ТабПозиции[[#This Row],[ord]]="true"),"true","false")</f>
        <v>true</v>
      </c>
      <c r="V2125" s="56" t="s">
        <v>3061</v>
      </c>
    </row>
    <row r="2126" spans="1:22" x14ac:dyDescent="0.25">
      <c r="A2126" s="26">
        <v>562</v>
      </c>
      <c r="B2126" s="1">
        <f>IFERROR(VLOOKUP(ТабПозиции[[#This Row],[orderNum]],ТабЗаказы[#Data],MATCH(B$7,ТабЗаказы[#Headers],0),0),"")</f>
        <v>45754</v>
      </c>
      <c r="C2126" s="95" t="str">
        <f>MONTH(ТабПозиции[[#This Row],[date]])&amp;"/"&amp;YEAR(ТабПозиции[[#This Row],[date]])</f>
        <v>4/2025</v>
      </c>
      <c r="D2126" s="1" t="str">
        <f>IFERROR(VLOOKUP(ТабПозиции[[#This Row],[orderNum]],ТабЗаказы[#Data],MATCH(D$7,ТабЗаказы[#Headers],0),0),"")</f>
        <v>Юля Ларисына</v>
      </c>
      <c r="E2126" s="93" t="s">
        <v>2790</v>
      </c>
      <c r="F2126" s="56" t="s">
        <v>3061</v>
      </c>
      <c r="H2126" s="34">
        <v>45760</v>
      </c>
      <c r="I2126" s="96">
        <v>1</v>
      </c>
      <c r="J2126" s="96">
        <v>372</v>
      </c>
      <c r="K2126">
        <f>ТабПозиции[[#This Row],[discountPrice]]*ТабПозиции[[#This Row],[quantity]]</f>
        <v>372</v>
      </c>
      <c r="L2126" s="26">
        <v>392</v>
      </c>
      <c r="M2126">
        <f t="shared" si="44"/>
        <v>392</v>
      </c>
      <c r="N2126" s="96"/>
      <c r="O212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Row],[orderNum]],ТабПозиции[orderSumm])&gt;1500),ABS(M2126*VLOOKUP(ТабПозиции[[#This Row],[orderNum]],ТабЗаказы[#Data],MATCH("Percent",ТабЗаказы[#Headers],0),0))/100,200/COUNTIF(ТабПозиции[orderNum],ТабПозиции[[#This Row],[orderNum]])),0),"")</f>
        <v>59</v>
      </c>
      <c r="P2126" s="95">
        <f>IF(OR(ТабПозиции[[#This Row],[item]]="По штрихкоду",ТабПозиции[[#This Row],[item]]="Посылка"),ТабПозиции[[#This Row],[deliverySumm]]+ТабПозиции[[#This Row],[deliveryPost]],SUM(M2126:O2126))</f>
        <v>451</v>
      </c>
      <c r="Q2126" s="57">
        <v>451</v>
      </c>
      <c r="R2126" s="62">
        <f>ТабПозиции[[#This Row],[totalSumm]]-ТабПозиции[[#This Row],[payment]]</f>
        <v>0</v>
      </c>
      <c r="S2126" s="34" t="s">
        <v>965</v>
      </c>
      <c r="T2126" s="56" t="s">
        <v>3061</v>
      </c>
      <c r="U2126" s="56" t="str">
        <f>IF(AND(ТабПозиции[[#This Row],[Остаток]]=0,ТабПозиции[[#This Row],[ord]]="true"),"true","false")</f>
        <v>true</v>
      </c>
      <c r="V2126" s="56" t="s">
        <v>3062</v>
      </c>
    </row>
    <row r="2127" spans="1:22" x14ac:dyDescent="0.25">
      <c r="A2127" s="26">
        <v>562</v>
      </c>
      <c r="B2127" s="1">
        <f>IFERROR(VLOOKUP(ТабПозиции[[#This Row],[orderNum]],ТабЗаказы[#Data],MATCH(B$7,ТабЗаказы[#Headers],0),0),"")</f>
        <v>45754</v>
      </c>
      <c r="C2127" s="95" t="str">
        <f>MONTH(ТабПозиции[[#This Row],[date]])&amp;"/"&amp;YEAR(ТабПозиции[[#This Row],[date]])</f>
        <v>4/2025</v>
      </c>
      <c r="D2127" s="1" t="str">
        <f>IFERROR(VLOOKUP(ТабПозиции[[#This Row],[orderNum]],ТабЗаказы[#Data],MATCH(D$7,ТабЗаказы[#Headers],0),0),"")</f>
        <v>Юля Ларисына</v>
      </c>
      <c r="E2127" s="93" t="s">
        <v>2791</v>
      </c>
      <c r="F2127" s="56" t="s">
        <v>3061</v>
      </c>
      <c r="H2127" s="34">
        <v>45756</v>
      </c>
      <c r="I2127" s="96">
        <v>1</v>
      </c>
      <c r="J2127" s="96">
        <v>703</v>
      </c>
      <c r="K2127">
        <f>ТабПозиции[[#This Row],[discountPrice]]*ТабПозиции[[#This Row],[quantity]]</f>
        <v>703</v>
      </c>
      <c r="L2127" s="26">
        <v>741</v>
      </c>
      <c r="M2127">
        <f t="shared" ref="M2127:M2130" si="49">L2127*I2127</f>
        <v>741</v>
      </c>
      <c r="N2127" s="96"/>
      <c r="O212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Row],[orderNum]],ТабПозиции[orderSumm])&gt;1500),ABS(M2127*VLOOKUP(ТабПозиции[[#This Row],[orderNum]],ТабЗаказы[#Data],MATCH("Percent",ТабЗаказы[#Headers],0),0))/100,200/COUNTIF(ТабПозиции[orderNum],ТабПозиции[[#This Row],[orderNum]])),0),"")</f>
        <v>111</v>
      </c>
      <c r="P2127" s="95">
        <f>IF(OR(ТабПозиции[[#This Row],[item]]="По штрихкоду",ТабПозиции[[#This Row],[item]]="Посылка"),ТабПозиции[[#This Row],[deliverySumm]]+ТабПозиции[[#This Row],[deliveryPost]],SUM(M2127:O2127))</f>
        <v>852</v>
      </c>
      <c r="Q2127" s="57">
        <v>852</v>
      </c>
      <c r="R2127" s="62">
        <f>ТабПозиции[[#This Row],[totalSumm]]-ТабПозиции[[#This Row],[payment]]</f>
        <v>0</v>
      </c>
      <c r="S2127" s="34" t="s">
        <v>965</v>
      </c>
      <c r="T2127" s="56" t="s">
        <v>3061</v>
      </c>
      <c r="U2127" s="56" t="str">
        <f>IF(AND(ТабПозиции[[#This Row],[Остаток]]=0,ТабПозиции[[#This Row],[ord]]="true"),"true","false")</f>
        <v>true</v>
      </c>
      <c r="V2127" s="56" t="s">
        <v>3061</v>
      </c>
    </row>
    <row r="2128" spans="1:22" x14ac:dyDescent="0.25">
      <c r="A2128" s="26">
        <v>563</v>
      </c>
      <c r="B2128" s="1">
        <f>IFERROR(VLOOKUP(ТабПозиции[[#This Row],[orderNum]],ТабЗаказы[#Data],MATCH(B$7,ТабЗаказы[#Headers],0),0),"")</f>
        <v>45754</v>
      </c>
      <c r="C2128" s="95" t="str">
        <f>MONTH(ТабПозиции[[#This Row],[date]])&amp;"/"&amp;YEAR(ТабПозиции[[#This Row],[date]])</f>
        <v>4/2025</v>
      </c>
      <c r="D2128" s="1" t="str">
        <f>IFERROR(VLOOKUP(ТабПозиции[[#This Row],[orderNum]],ТабЗаказы[#Data],MATCH(D$7,ТабЗаказы[#Headers],0),0),"")</f>
        <v>Валентина от Светланы</v>
      </c>
      <c r="E2128" s="93" t="s">
        <v>2650</v>
      </c>
      <c r="F2128" s="56" t="s">
        <v>3062</v>
      </c>
      <c r="H2128" s="34">
        <v>45781</v>
      </c>
      <c r="I2128" s="96">
        <v>1</v>
      </c>
      <c r="J2128" s="96">
        <v>971</v>
      </c>
      <c r="K2128">
        <f>ТабПозиции[[#This Row],[discountPrice]]*ТабПозиции[[#This Row],[quantity]]</f>
        <v>971</v>
      </c>
      <c r="L2128" s="26">
        <v>1023</v>
      </c>
      <c r="M2128">
        <f t="shared" si="49"/>
        <v>1023</v>
      </c>
      <c r="N2128" s="96"/>
      <c r="O212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Row],[orderNum]],ТабПозиции[orderSumm])&gt;1500),ABS(M2128*VLOOKUP(ТабПозиции[[#This Row],[orderNum]],ТабЗаказы[#Data],MATCH("Percent",ТабЗаказы[#Headers],0),0))/100,200/COUNTIF(ТабПозиции[orderNum],ТабПозиции[[#This Row],[orderNum]])),0),"")</f>
        <v>153</v>
      </c>
      <c r="P2128" s="95">
        <f>IF(OR(ТабПозиции[[#This Row],[item]]="По штрихкоду",ТабПозиции[[#This Row],[item]]="Посылка"),ТабПозиции[[#This Row],[deliverySumm]]+ТабПозиции[[#This Row],[deliveryPost]],SUM(M2128:O2128))</f>
        <v>1176</v>
      </c>
      <c r="Q2128" s="57">
        <v>1176</v>
      </c>
      <c r="R2128" s="62">
        <f>ТабПозиции[[#This Row],[totalSumm]]-ТабПозиции[[#This Row],[payment]]</f>
        <v>0</v>
      </c>
      <c r="S2128" s="34" t="s">
        <v>965</v>
      </c>
      <c r="T2128" s="56" t="s">
        <v>3061</v>
      </c>
      <c r="U2128" s="56" t="str">
        <f>IF(AND(ТабПозиции[[#This Row],[Остаток]]=0,ТабПозиции[[#This Row],[ord]]="true"),"true","false")</f>
        <v>true</v>
      </c>
      <c r="V2128" s="56" t="s">
        <v>3062</v>
      </c>
    </row>
    <row r="2129" spans="1:22" x14ac:dyDescent="0.25">
      <c r="A2129" s="26">
        <v>563</v>
      </c>
      <c r="B2129" s="1">
        <f>IFERROR(VLOOKUP(ТабПозиции[[#This Row],[orderNum]],ТабЗаказы[#Data],MATCH(B$7,ТабЗаказы[#Headers],0),0),"")</f>
        <v>45754</v>
      </c>
      <c r="C2129" s="95" t="str">
        <f>MONTH(ТабПозиции[[#This Row],[date]])&amp;"/"&amp;YEAR(ТабПозиции[[#This Row],[date]])</f>
        <v>4/2025</v>
      </c>
      <c r="D2129" s="1" t="str">
        <f>IFERROR(VLOOKUP(ТабПозиции[[#This Row],[orderNum]],ТабЗаказы[#Data],MATCH(D$7,ТабЗаказы[#Headers],0),0),"")</f>
        <v>Валентина от Светланы</v>
      </c>
      <c r="E2129" s="93" t="s">
        <v>2794</v>
      </c>
      <c r="F2129" s="56" t="s">
        <v>3061</v>
      </c>
      <c r="H2129" s="34">
        <v>45756</v>
      </c>
      <c r="I2129" s="96">
        <v>1</v>
      </c>
      <c r="J2129" s="96">
        <v>314</v>
      </c>
      <c r="K2129">
        <f>ТабПозиции[[#This Row],[discountPrice]]*ТабПозиции[[#This Row],[quantity]]</f>
        <v>314</v>
      </c>
      <c r="L2129" s="26">
        <v>331</v>
      </c>
      <c r="M2129">
        <f t="shared" si="49"/>
        <v>331</v>
      </c>
      <c r="N2129" s="96"/>
      <c r="O212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Row],[orderNum]],ТабПозиции[orderSumm])&gt;1500),ABS(M2129*VLOOKUP(ТабПозиции[[#This Row],[orderNum]],ТабЗаказы[#Data],MATCH("Percent",ТабЗаказы[#Headers],0),0))/100,200/COUNTIF(ТабПозиции[orderNum],ТабПозиции[[#This Row],[orderNum]])),0),"")</f>
        <v>50</v>
      </c>
      <c r="P2129" s="95">
        <f>IF(OR(ТабПозиции[[#This Row],[item]]="По штрихкоду",ТабПозиции[[#This Row],[item]]="Посылка"),ТабПозиции[[#This Row],[deliverySumm]]+ТабПозиции[[#This Row],[deliveryPost]],SUM(M2129:O2129))</f>
        <v>381</v>
      </c>
      <c r="Q2129" s="57">
        <v>381</v>
      </c>
      <c r="R2129" s="62">
        <f>ТабПозиции[[#This Row],[totalSumm]]-ТабПозиции[[#This Row],[payment]]</f>
        <v>0</v>
      </c>
      <c r="S2129" s="34" t="s">
        <v>965</v>
      </c>
      <c r="T2129" s="56" t="s">
        <v>3061</v>
      </c>
      <c r="U2129" s="56" t="str">
        <f>IF(AND(ТабПозиции[[#This Row],[Остаток]]=0,ТабПозиции[[#This Row],[ord]]="true"),"true","false")</f>
        <v>true</v>
      </c>
      <c r="V2129" s="56" t="s">
        <v>3061</v>
      </c>
    </row>
    <row r="2130" spans="1:22" x14ac:dyDescent="0.25">
      <c r="A2130" s="26">
        <v>563</v>
      </c>
      <c r="B2130" s="1">
        <f>IFERROR(VLOOKUP(ТабПозиции[[#This Row],[orderNum]],ТабЗаказы[#Data],MATCH(B$7,ТабЗаказы[#Headers],0),0),"")</f>
        <v>45754</v>
      </c>
      <c r="C2130" s="95" t="str">
        <f>MONTH(ТабПозиции[[#This Row],[date]])&amp;"/"&amp;YEAR(ТабПозиции[[#This Row],[date]])</f>
        <v>4/2025</v>
      </c>
      <c r="D2130" s="1" t="str">
        <f>IFERROR(VLOOKUP(ТабПозиции[[#This Row],[orderNum]],ТабЗаказы[#Data],MATCH(D$7,ТабЗаказы[#Headers],0),0),"")</f>
        <v>Валентина от Светланы</v>
      </c>
      <c r="E2130" s="93" t="s">
        <v>2795</v>
      </c>
      <c r="F2130" s="56" t="s">
        <v>3061</v>
      </c>
      <c r="H2130" s="34">
        <v>45759</v>
      </c>
      <c r="I2130" s="96">
        <v>1</v>
      </c>
      <c r="J2130" s="96">
        <v>177</v>
      </c>
      <c r="K2130">
        <f>ТабПозиции[[#This Row],[discountPrice]]*ТабПозиции[[#This Row],[quantity]]</f>
        <v>177</v>
      </c>
      <c r="L2130" s="26">
        <v>187</v>
      </c>
      <c r="M2130">
        <f t="shared" si="49"/>
        <v>187</v>
      </c>
      <c r="N2130" s="96"/>
      <c r="O213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Row],[orderNum]],ТабПозиции[orderSumm])&gt;1500),ABS(M2130*VLOOKUP(ТабПозиции[[#This Row],[orderNum]],ТабЗаказы[#Data],MATCH("Percent",ТабЗаказы[#Headers],0),0))/100,200/COUNTIF(ТабПозиции[orderNum],ТабПозиции[[#This Row],[orderNum]])),0),"")</f>
        <v>28</v>
      </c>
      <c r="P2130" s="95">
        <f>IF(OR(ТабПозиции[[#This Row],[item]]="По штрихкоду",ТабПозиции[[#This Row],[item]]="Посылка"),ТабПозиции[[#This Row],[deliverySumm]]+ТабПозиции[[#This Row],[deliveryPost]],SUM(M2130:O2130))</f>
        <v>215</v>
      </c>
      <c r="Q2130" s="57">
        <v>215</v>
      </c>
      <c r="R2130" s="62">
        <f>ТабПозиции[[#This Row],[totalSumm]]-ТабПозиции[[#This Row],[payment]]</f>
        <v>0</v>
      </c>
      <c r="S2130" s="34" t="s">
        <v>965</v>
      </c>
      <c r="T2130" s="56" t="s">
        <v>3061</v>
      </c>
      <c r="U2130" s="56" t="str">
        <f>IF(AND(ТабПозиции[[#This Row],[Остаток]]=0,ТабПозиции[[#This Row],[ord]]="true"),"true","false")</f>
        <v>true</v>
      </c>
      <c r="V2130" s="56" t="s">
        <v>3062</v>
      </c>
    </row>
    <row r="2131" spans="1:22" x14ac:dyDescent="0.25">
      <c r="A2131" s="26">
        <v>563</v>
      </c>
      <c r="B2131" s="1">
        <f>IFERROR(VLOOKUP(ТабПозиции[[#This Row],[orderNum]],ТабЗаказы[#Data],MATCH(B$7,ТабЗаказы[#Headers],0),0),"")</f>
        <v>45754</v>
      </c>
      <c r="C2131" s="95" t="str">
        <f>MONTH(ТабПозиции[[#This Row],[date]])&amp;"/"&amp;YEAR(ТабПозиции[[#This Row],[date]])</f>
        <v>4/2025</v>
      </c>
      <c r="D2131" s="1" t="str">
        <f>IFERROR(VLOOKUP(ТабПозиции[[#This Row],[orderNum]],ТабЗаказы[#Data],MATCH(D$7,ТабЗаказы[#Headers],0),0),"")</f>
        <v>Валентина от Светланы</v>
      </c>
      <c r="E2131" s="93" t="s">
        <v>2796</v>
      </c>
      <c r="F2131" s="56" t="s">
        <v>3061</v>
      </c>
      <c r="H2131" s="34">
        <v>45758</v>
      </c>
      <c r="I2131" s="96">
        <v>1</v>
      </c>
      <c r="J2131" s="96">
        <v>171</v>
      </c>
      <c r="K2131">
        <f>ТабПозиции[[#This Row],[discountPrice]]*ТабПозиции[[#This Row],[quantity]]</f>
        <v>171</v>
      </c>
      <c r="L2131" s="26">
        <v>180</v>
      </c>
      <c r="M2131">
        <f t="shared" ref="M2131:M2134" si="50">L2131*I2131</f>
        <v>180</v>
      </c>
      <c r="N2131" s="96"/>
      <c r="O213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Row],[orderNum]],ТабПозиции[orderSumm])&gt;1500),ABS(M2131*VLOOKUP(ТабПозиции[[#This Row],[orderNum]],ТабЗаказы[#Data],MATCH("Percent",ТабЗаказы[#Headers],0),0))/100,200/COUNTIF(ТабПозиции[orderNum],ТабПозиции[[#This Row],[orderNum]])),0),"")</f>
        <v>27</v>
      </c>
      <c r="P2131" s="95">
        <f>IF(OR(ТабПозиции[[#This Row],[item]]="По штрихкоду",ТабПозиции[[#This Row],[item]]="Посылка"),ТабПозиции[[#This Row],[deliverySumm]]+ТабПозиции[[#This Row],[deliveryPost]],SUM(M2131:O2131))</f>
        <v>207</v>
      </c>
      <c r="Q2131" s="57">
        <v>207</v>
      </c>
      <c r="R2131" s="62">
        <f>ТабПозиции[[#This Row],[totalSumm]]-ТабПозиции[[#This Row],[payment]]</f>
        <v>0</v>
      </c>
      <c r="S2131" s="34" t="s">
        <v>965</v>
      </c>
      <c r="T2131" s="56" t="s">
        <v>3061</v>
      </c>
      <c r="U2131" s="56" t="str">
        <f>IF(AND(ТабПозиции[[#This Row],[Остаток]]=0,ТабПозиции[[#This Row],[ord]]="true"),"true","false")</f>
        <v>true</v>
      </c>
      <c r="V2131" s="56" t="s">
        <v>3061</v>
      </c>
    </row>
    <row r="2132" spans="1:22" x14ac:dyDescent="0.25">
      <c r="A2132" s="26">
        <v>564</v>
      </c>
      <c r="B2132" s="1">
        <f>IFERROR(VLOOKUP(ТабПозиции[[#This Row],[orderNum]],ТабЗаказы[#Data],MATCH(B$7,ТабЗаказы[#Headers],0),0),"")</f>
        <v>45755</v>
      </c>
      <c r="C2132" s="95" t="str">
        <f>MONTH(ТабПозиции[[#This Row],[date]])&amp;"/"&amp;YEAR(ТабПозиции[[#This Row],[date]])</f>
        <v>4/2025</v>
      </c>
      <c r="D2132" s="1" t="str">
        <f>IFERROR(VLOOKUP(ТабПозиции[[#This Row],[orderNum]],ТабЗаказы[#Data],MATCH(D$7,ТабЗаказы[#Headers],0),0),"")</f>
        <v>Олег Федоров</v>
      </c>
      <c r="E2132" s="26" t="s">
        <v>815</v>
      </c>
      <c r="F2132" s="56" t="s">
        <v>3061</v>
      </c>
      <c r="G2132" s="28" t="s">
        <v>2799</v>
      </c>
      <c r="H2132" s="34">
        <v>45754</v>
      </c>
      <c r="I2132" s="96">
        <v>1</v>
      </c>
      <c r="J2132" s="96">
        <v>2180</v>
      </c>
      <c r="K2132">
        <f>ТабПозиции[[#This Row],[discountPrice]]*ТабПозиции[[#This Row],[quantity]]</f>
        <v>2180</v>
      </c>
      <c r="L2132" s="26">
        <v>2180</v>
      </c>
      <c r="M2132">
        <f t="shared" si="50"/>
        <v>2180</v>
      </c>
      <c r="N2132" s="96">
        <v>2180</v>
      </c>
      <c r="O213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Row],[orderNum]],ТабПозиции[orderSumm])&gt;1500),ABS(M2132*VLOOKUP(ТабПозиции[[#This Row],[orderNum]],ТабЗаказы[#Data],MATCH("Percent",ТабЗаказы[#Headers],0),0))/100,200/COUNTIF(ТабПозиции[orderNum],ТабПозиции[[#This Row],[orderNum]])),0),"")</f>
        <v>327</v>
      </c>
      <c r="P2132" s="95">
        <f>IF(OR(ТабПозиции[[#This Row],[item]]="По штрихкоду",ТабПозиции[[#This Row],[item]]="Посылка"),ТабПозиции[[#This Row],[deliverySumm]]+ТабПозиции[[#This Row],[deliveryPost]],SUM(M2132:O2132))</f>
        <v>2507</v>
      </c>
      <c r="Q2132" s="57">
        <v>2507</v>
      </c>
      <c r="R2132" s="62">
        <f>ТабПозиции[[#This Row],[totalSumm]]-ТабПозиции[[#This Row],[payment]]</f>
        <v>0</v>
      </c>
      <c r="S2132" s="34" t="s">
        <v>1016</v>
      </c>
      <c r="T2132" s="56" t="s">
        <v>3061</v>
      </c>
      <c r="U2132" s="56" t="str">
        <f>IF(AND(ТабПозиции[[#This Row],[Остаток]]=0,ТабПозиции[[#This Row],[ord]]="true"),"true","false")</f>
        <v>true</v>
      </c>
      <c r="V2132" s="56" t="s">
        <v>3061</v>
      </c>
    </row>
    <row r="2133" spans="1:22" x14ac:dyDescent="0.25">
      <c r="A2133" s="26">
        <v>550</v>
      </c>
      <c r="B2133" s="1">
        <f>IFERROR(VLOOKUP(ТабПозиции[[#This Row],[orderNum]],ТабЗаказы[#Data],MATCH(B$7,ТабЗаказы[#Headers],0),0),"")</f>
        <v>45749</v>
      </c>
      <c r="C2133" s="95" t="str">
        <f>MONTH(ТабПозиции[[#This Row],[date]])&amp;"/"&amp;YEAR(ТабПозиции[[#This Row],[date]])</f>
        <v>4/2025</v>
      </c>
      <c r="D2133" s="1" t="str">
        <f>IFERROR(VLOOKUP(ТабПозиции[[#This Row],[orderNum]],ТабЗаказы[#Data],MATCH(D$7,ТабЗаказы[#Headers],0),0),"")</f>
        <v>Вячеслав Протонов</v>
      </c>
      <c r="E2133" s="93" t="s">
        <v>2685</v>
      </c>
      <c r="F2133" s="56" t="s">
        <v>3061</v>
      </c>
      <c r="H2133" s="34">
        <v>45751</v>
      </c>
      <c r="I2133" s="96">
        <v>1</v>
      </c>
      <c r="J2133" s="96">
        <v>495</v>
      </c>
      <c r="K2133">
        <f>ТабПозиции[[#This Row],[discountPrice]]*ТабПозиции[[#This Row],[quantity]]</f>
        <v>495</v>
      </c>
      <c r="L2133" s="26">
        <v>522</v>
      </c>
      <c r="M2133">
        <f t="shared" si="50"/>
        <v>522</v>
      </c>
      <c r="N2133" s="96"/>
      <c r="O213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Row],[orderNum]],ТабПозиции[orderSumm])&gt;1500),ABS(M2133*VLOOKUP(ТабПозиции[[#This Row],[orderNum]],ТабЗаказы[#Data],MATCH("Percent",ТабЗаказы[#Headers],0),0))/100,200/COUNTIF(ТабПозиции[orderNum],ТабПозиции[[#This Row],[orderNum]])),0),"")</f>
        <v>78</v>
      </c>
      <c r="P2133" s="95">
        <f>IF(OR(ТабПозиции[[#This Row],[item]]="По штрихкоду",ТабПозиции[[#This Row],[item]]="Посылка"),ТабПозиции[[#This Row],[deliverySumm]]+ТабПозиции[[#This Row],[deliveryPost]],SUM(M2133:O2133))</f>
        <v>600</v>
      </c>
      <c r="Q2133" s="57">
        <v>600</v>
      </c>
      <c r="R2133" s="62">
        <f>ТабПозиции[[#This Row],[totalSumm]]-ТабПозиции[[#This Row],[payment]]</f>
        <v>0</v>
      </c>
      <c r="S2133" s="34" t="s">
        <v>965</v>
      </c>
      <c r="T2133" s="56" t="s">
        <v>3061</v>
      </c>
      <c r="U2133" s="56" t="str">
        <f>IF(AND(ТабПозиции[[#This Row],[Остаток]]=0,ТабПозиции[[#This Row],[ord]]="true"),"true","false")</f>
        <v>true</v>
      </c>
      <c r="V2133" s="56" t="s">
        <v>3061</v>
      </c>
    </row>
    <row r="2134" spans="1:22" x14ac:dyDescent="0.25">
      <c r="A2134" s="26">
        <v>565</v>
      </c>
      <c r="B2134" s="1">
        <f>IFERROR(VLOOKUP(ТабПозиции[[#This Row],[orderNum]],ТабЗаказы[#Data],MATCH(B$7,ТабЗаказы[#Headers],0),0),"")</f>
        <v>45756</v>
      </c>
      <c r="C2134" s="95" t="str">
        <f>MONTH(ТабПозиции[[#This Row],[date]])&amp;"/"&amp;YEAR(ТабПозиции[[#This Row],[date]])</f>
        <v>4/2025</v>
      </c>
      <c r="D2134" s="1" t="str">
        <f>IFERROR(VLOOKUP(ТабПозиции[[#This Row],[orderNum]],ТабЗаказы[#Data],MATCH(D$7,ТабЗаказы[#Headers],0),0),"")</f>
        <v>Михаил Куприна</v>
      </c>
      <c r="E2134" s="93" t="s">
        <v>3064</v>
      </c>
      <c r="F2134" s="56" t="s">
        <v>3061</v>
      </c>
      <c r="H2134" s="34">
        <v>45758</v>
      </c>
      <c r="I2134" s="96">
        <v>1</v>
      </c>
      <c r="J2134" s="96">
        <v>167</v>
      </c>
      <c r="K2134">
        <f>ТабПозиции[[#This Row],[discountPrice]]*ТабПозиции[[#This Row],[quantity]]</f>
        <v>167</v>
      </c>
      <c r="L2134" s="26">
        <v>172</v>
      </c>
      <c r="M2134">
        <f t="shared" si="50"/>
        <v>172</v>
      </c>
      <c r="N2134" s="96"/>
      <c r="O213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Row],[orderNum]],ТабПозиции[orderSumm])&gt;1500),ABS(M2134*VLOOKUP(ТабПозиции[[#This Row],[orderNum]],ТабЗаказы[#Data],MATCH("Percent",ТабЗаказы[#Headers],0),0))/100,200/COUNTIF(ТабПозиции[orderNum],ТабПозиции[[#This Row],[orderNum]])),0),"")</f>
        <v>26</v>
      </c>
      <c r="P2134" s="95">
        <f>IF(OR(ТабПозиции[[#This Row],[item]]="По штрихкоду",ТабПозиции[[#This Row],[item]]="Посылка"),ТабПозиции[[#This Row],[deliverySumm]]+ТабПозиции[[#This Row],[deliveryPost]],SUM(M2134:O2134))</f>
        <v>198</v>
      </c>
      <c r="Q2134" s="57">
        <v>198</v>
      </c>
      <c r="R2134" s="62">
        <f>ТабПозиции[[#This Row],[totalSumm]]-ТабПозиции[[#This Row],[payment]]</f>
        <v>0</v>
      </c>
      <c r="S2134" s="34" t="s">
        <v>955</v>
      </c>
      <c r="T2134" s="56" t="s">
        <v>3061</v>
      </c>
      <c r="U2134" s="56" t="str">
        <f>IF(AND(ТабПозиции[[#This Row],[Остаток]]=0,ТабПозиции[[#This Row],[ord]]="true"),"true","false")</f>
        <v>true</v>
      </c>
      <c r="V2134" s="56" t="s">
        <v>3062</v>
      </c>
    </row>
    <row r="2135" spans="1:22" x14ac:dyDescent="0.25">
      <c r="A2135" s="26">
        <v>565</v>
      </c>
      <c r="B2135" s="1">
        <f>IFERROR(VLOOKUP(ТабПозиции[[#This Row],[orderNum]],ТабЗаказы[#Data],MATCH(B$7,ТабЗаказы[#Headers],0),0),"")</f>
        <v>45756</v>
      </c>
      <c r="C2135" s="95" t="str">
        <f>MONTH(ТабПозиции[[#This Row],[date]])&amp;"/"&amp;YEAR(ТабПозиции[[#This Row],[date]])</f>
        <v>4/2025</v>
      </c>
      <c r="D2135" s="1" t="str">
        <f>IFERROR(VLOOKUP(ТабПозиции[[#This Row],[orderNum]],ТабЗаказы[#Data],MATCH(D$7,ТабЗаказы[#Headers],0),0),"")</f>
        <v>Михаил Куприна</v>
      </c>
      <c r="E2135" s="93" t="s">
        <v>3065</v>
      </c>
      <c r="F2135" s="56" t="s">
        <v>3061</v>
      </c>
      <c r="H2135" s="34">
        <v>45758</v>
      </c>
      <c r="I2135" s="96">
        <v>1</v>
      </c>
      <c r="J2135" s="96">
        <v>157</v>
      </c>
      <c r="K2135">
        <f>ТабПозиции[[#This Row],[discountPrice]]*ТабПозиции[[#This Row],[quantity]]</f>
        <v>157</v>
      </c>
      <c r="L2135" s="26">
        <v>161</v>
      </c>
      <c r="M2135">
        <f t="shared" si="44"/>
        <v>161</v>
      </c>
      <c r="N2135" s="96"/>
      <c r="O213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Row],[orderNum]],ТабПозиции[orderSumm])&gt;1500),ABS(M2135*VLOOKUP(ТабПозиции[[#This Row],[orderNum]],ТабЗаказы[#Data],MATCH("Percent",ТабЗаказы[#Headers],0),0))/100,200/COUNTIF(ТабПозиции[orderNum],ТабПозиции[[#This Row],[orderNum]])),0),"")</f>
        <v>24</v>
      </c>
      <c r="P2135" s="95">
        <f>IF(OR(ТабПозиции[[#This Row],[item]]="По штрихкоду",ТабПозиции[[#This Row],[item]]="Посылка"),ТабПозиции[[#This Row],[deliverySumm]]+ТабПозиции[[#This Row],[deliveryPost]],SUM(M2135:O2135))</f>
        <v>185</v>
      </c>
      <c r="Q2135" s="57">
        <v>185</v>
      </c>
      <c r="R2135" s="62">
        <f>ТабПозиции[[#This Row],[totalSumm]]-ТабПозиции[[#This Row],[payment]]</f>
        <v>0</v>
      </c>
      <c r="S2135" s="34" t="s">
        <v>955</v>
      </c>
      <c r="T2135" s="56" t="s">
        <v>3061</v>
      </c>
      <c r="U2135" s="56" t="str">
        <f>IF(AND(ТабПозиции[[#This Row],[Остаток]]=0,ТабПозиции[[#This Row],[ord]]="true"),"true","false")</f>
        <v>true</v>
      </c>
      <c r="V2135" s="56" t="s">
        <v>3062</v>
      </c>
    </row>
    <row r="2136" spans="1:22" x14ac:dyDescent="0.25">
      <c r="A2136" s="26">
        <v>565</v>
      </c>
      <c r="B2136" s="1">
        <f>IFERROR(VLOOKUP(ТабПозиции[[#This Row],[orderNum]],ТабЗаказы[#Data],MATCH(B$7,ТабЗаказы[#Headers],0),0),"")</f>
        <v>45756</v>
      </c>
      <c r="C2136" s="95" t="str">
        <f>MONTH(ТабПозиции[[#This Row],[date]])&amp;"/"&amp;YEAR(ТабПозиции[[#This Row],[date]])</f>
        <v>4/2025</v>
      </c>
      <c r="D2136" s="1" t="str">
        <f>IFERROR(VLOOKUP(ТабПозиции[[#This Row],[orderNum]],ТабЗаказы[#Data],MATCH(D$7,ТабЗаказы[#Headers],0),0),"")</f>
        <v>Михаил Куприна</v>
      </c>
      <c r="E2136" s="93" t="s">
        <v>1683</v>
      </c>
      <c r="F2136" s="56" t="s">
        <v>3062</v>
      </c>
      <c r="H2136" s="34">
        <v>45781</v>
      </c>
      <c r="I2136" s="96">
        <v>1</v>
      </c>
      <c r="J2136" s="96">
        <v>2436</v>
      </c>
      <c r="K2136">
        <f>ТабПозиции[[#This Row],[discountPrice]]*ТабПозиции[[#This Row],[quantity]]</f>
        <v>2436</v>
      </c>
      <c r="L2136" s="26">
        <v>2629</v>
      </c>
      <c r="M2136">
        <f t="shared" si="44"/>
        <v>2629</v>
      </c>
      <c r="N2136" s="96"/>
      <c r="O213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Row],[orderNum]],ТабПозиции[orderSumm])&gt;1500),ABS(M2136*VLOOKUP(ТабПозиции[[#This Row],[orderNum]],ТабЗаказы[#Data],MATCH("Percent",ТабЗаказы[#Headers],0),0))/100,200/COUNTIF(ТабПозиции[orderNum],ТабПозиции[[#This Row],[orderNum]])),0),"")</f>
        <v>394</v>
      </c>
      <c r="P2136" s="95">
        <f>IF(OR(ТабПозиции[[#This Row],[item]]="По штрихкоду",ТабПозиции[[#This Row],[item]]="Посылка"),ТабПозиции[[#This Row],[deliverySumm]]+ТабПозиции[[#This Row],[deliveryPost]],SUM(M2136:O2136))</f>
        <v>3023</v>
      </c>
      <c r="Q2136" s="57">
        <v>3023</v>
      </c>
      <c r="R2136" s="62">
        <f>ТабПозиции[[#This Row],[totalSumm]]-ТабПозиции[[#This Row],[payment]]</f>
        <v>0</v>
      </c>
      <c r="S2136" s="34" t="s">
        <v>955</v>
      </c>
      <c r="T2136" s="56" t="s">
        <v>3061</v>
      </c>
      <c r="U2136" s="56" t="str">
        <f>IF(AND(ТабПозиции[[#This Row],[Остаток]]=0,ТабПозиции[[#This Row],[ord]]="true"),"true","false")</f>
        <v>true</v>
      </c>
      <c r="V2136" s="56" t="s">
        <v>3062</v>
      </c>
    </row>
    <row r="2137" spans="1:22" x14ac:dyDescent="0.25">
      <c r="A2137" s="26">
        <v>565</v>
      </c>
      <c r="B2137" s="1">
        <f>IFERROR(VLOOKUP(ТабПозиции[[#This Row],[orderNum]],ТабЗаказы[#Data],MATCH(B$7,ТабЗаказы[#Headers],0),0),"")</f>
        <v>45756</v>
      </c>
      <c r="C2137" s="95" t="str">
        <f>MONTH(ТабПозиции[[#This Row],[date]])&amp;"/"&amp;YEAR(ТабПозиции[[#This Row],[date]])</f>
        <v>4/2025</v>
      </c>
      <c r="D2137" s="1" t="str">
        <f>IFERROR(VLOOKUP(ТабПозиции[[#This Row],[orderNum]],ТабЗаказы[#Data],MATCH(D$7,ТабЗаказы[#Headers],0),0),"")</f>
        <v>Михаил Куприна</v>
      </c>
      <c r="E2137" s="93" t="s">
        <v>3066</v>
      </c>
      <c r="F2137" s="56" t="s">
        <v>3061</v>
      </c>
      <c r="H2137" s="34">
        <v>45758</v>
      </c>
      <c r="I2137" s="96">
        <v>1</v>
      </c>
      <c r="J2137" s="96">
        <v>362</v>
      </c>
      <c r="K2137">
        <f>ТабПозиции[[#This Row],[discountPrice]]*ТабПозиции[[#This Row],[quantity]]</f>
        <v>362</v>
      </c>
      <c r="L2137" s="26">
        <v>372</v>
      </c>
      <c r="M2137">
        <f t="shared" si="44"/>
        <v>372</v>
      </c>
      <c r="N2137" s="96"/>
      <c r="O213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Row],[orderNum]],ТабПозиции[orderSumm])&gt;1500),ABS(M2137*VLOOKUP(ТабПозиции[[#This Row],[orderNum]],ТабЗаказы[#Data],MATCH("Percent",ТабЗаказы[#Headers],0),0))/100,200/COUNTIF(ТабПозиции[orderNum],ТабПозиции[[#This Row],[orderNum]])),0),"")</f>
        <v>56</v>
      </c>
      <c r="P2137" s="95">
        <f>IF(OR(ТабПозиции[[#This Row],[item]]="По штрихкоду",ТабПозиции[[#This Row],[item]]="Посылка"),ТабПозиции[[#This Row],[deliverySumm]]+ТабПозиции[[#This Row],[deliveryPost]],SUM(M2137:O2137))</f>
        <v>428</v>
      </c>
      <c r="Q2137" s="57">
        <v>428</v>
      </c>
      <c r="R2137" s="62">
        <f>ТабПозиции[[#This Row],[totalSumm]]-ТабПозиции[[#This Row],[payment]]</f>
        <v>0</v>
      </c>
      <c r="S2137" s="34" t="s">
        <v>955</v>
      </c>
      <c r="T2137" s="56" t="s">
        <v>3061</v>
      </c>
      <c r="U2137" s="56" t="str">
        <f>IF(AND(ТабПозиции[[#This Row],[Остаток]]=0,ТабПозиции[[#This Row],[ord]]="true"),"true","false")</f>
        <v>true</v>
      </c>
      <c r="V2137" s="56" t="s">
        <v>3062</v>
      </c>
    </row>
    <row r="2138" spans="1:22" x14ac:dyDescent="0.25">
      <c r="A2138" s="26">
        <v>565</v>
      </c>
      <c r="B2138" s="1">
        <f>IFERROR(VLOOKUP(ТабПозиции[[#This Row],[orderNum]],ТабЗаказы[#Data],MATCH(B$7,ТабЗаказы[#Headers],0),0),"")</f>
        <v>45756</v>
      </c>
      <c r="C2138" s="95" t="str">
        <f>MONTH(ТабПозиции[[#This Row],[date]])&amp;"/"&amp;YEAR(ТабПозиции[[#This Row],[date]])</f>
        <v>4/2025</v>
      </c>
      <c r="D2138" s="1" t="str">
        <f>IFERROR(VLOOKUP(ТабПозиции[[#This Row],[orderNum]],ТабЗаказы[#Data],MATCH(D$7,ТабЗаказы[#Headers],0),0),"")</f>
        <v>Михаил Куприна</v>
      </c>
      <c r="E2138" s="93" t="s">
        <v>3065</v>
      </c>
      <c r="F2138" s="56" t="s">
        <v>3061</v>
      </c>
      <c r="H2138" s="34">
        <v>45758</v>
      </c>
      <c r="I2138" s="96">
        <v>1</v>
      </c>
      <c r="J2138" s="96">
        <v>106</v>
      </c>
      <c r="K2138">
        <f>ТабПозиции[[#This Row],[discountPrice]]*ТабПозиции[[#This Row],[quantity]]</f>
        <v>106</v>
      </c>
      <c r="L2138" s="26">
        <v>109</v>
      </c>
      <c r="M2138">
        <f t="shared" si="44"/>
        <v>109</v>
      </c>
      <c r="N2138" s="96"/>
      <c r="O213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Row],[orderNum]],ТабПозиции[orderSumm])&gt;1500),ABS(M2138*VLOOKUP(ТабПозиции[[#This Row],[orderNum]],ТабЗаказы[#Data],MATCH("Percent",ТабЗаказы[#Headers],0),0))/100,200/COUNTIF(ТабПозиции[orderNum],ТабПозиции[[#This Row],[orderNum]])),0),"")</f>
        <v>16</v>
      </c>
      <c r="P2138" s="95">
        <f>IF(OR(ТабПозиции[[#This Row],[item]]="По штрихкоду",ТабПозиции[[#This Row],[item]]="Посылка"),ТабПозиции[[#This Row],[deliverySumm]]+ТабПозиции[[#This Row],[deliveryPost]],SUM(M2138:O2138))</f>
        <v>125</v>
      </c>
      <c r="Q2138" s="57">
        <v>125</v>
      </c>
      <c r="R2138" s="62">
        <f>ТабПозиции[[#This Row],[totalSumm]]-ТабПозиции[[#This Row],[payment]]</f>
        <v>0</v>
      </c>
      <c r="S2138" s="34" t="s">
        <v>955</v>
      </c>
      <c r="T2138" s="56" t="s">
        <v>3061</v>
      </c>
      <c r="U2138" s="56" t="str">
        <f>IF(AND(ТабПозиции[[#This Row],[Остаток]]=0,ТабПозиции[[#This Row],[ord]]="true"),"true","false")</f>
        <v>true</v>
      </c>
      <c r="V2138" s="56" t="s">
        <v>3062</v>
      </c>
    </row>
    <row r="2139" spans="1:22" x14ac:dyDescent="0.25">
      <c r="A2139" s="26">
        <v>565</v>
      </c>
      <c r="B2139" s="1">
        <f>IFERROR(VLOOKUP(ТабПозиции[[#This Row],[orderNum]],ТабЗаказы[#Data],MATCH(B$7,ТабЗаказы[#Headers],0),0),"")</f>
        <v>45756</v>
      </c>
      <c r="C2139" s="95" t="str">
        <f>MONTH(ТабПозиции[[#This Row],[date]])&amp;"/"&amp;YEAR(ТабПозиции[[#This Row],[date]])</f>
        <v>4/2025</v>
      </c>
      <c r="D2139" s="1" t="str">
        <f>IFERROR(VLOOKUP(ТабПозиции[[#This Row],[orderNum]],ТабЗаказы[#Data],MATCH(D$7,ТабЗаказы[#Headers],0),0),"")</f>
        <v>Михаил Куприна</v>
      </c>
      <c r="E2139" s="93" t="s">
        <v>3067</v>
      </c>
      <c r="F2139" s="56" t="s">
        <v>3062</v>
      </c>
      <c r="H2139" s="34">
        <v>45791</v>
      </c>
      <c r="I2139" s="96">
        <v>1</v>
      </c>
      <c r="J2139" s="96">
        <v>548</v>
      </c>
      <c r="K2139">
        <f>ТабПозиции[[#This Row],[discountPrice]]*ТабПозиции[[#This Row],[quantity]]</f>
        <v>548</v>
      </c>
      <c r="L2139" s="26">
        <v>549</v>
      </c>
      <c r="M2139">
        <f t="shared" si="44"/>
        <v>549</v>
      </c>
      <c r="N2139" s="96"/>
      <c r="O213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Row],[orderNum]],ТабПозиции[orderSumm])&gt;1500),ABS(M2139*VLOOKUP(ТабПозиции[[#This Row],[orderNum]],ТабЗаказы[#Data],MATCH("Percent",ТабЗаказы[#Headers],0),0))/100,200/COUNTIF(ТабПозиции[orderNum],ТабПозиции[[#This Row],[orderNum]])),0),"")</f>
        <v>82</v>
      </c>
      <c r="P2139" s="95">
        <f>IF(OR(ТабПозиции[[#This Row],[item]]="По штрихкоду",ТабПозиции[[#This Row],[item]]="Посылка"),ТабПозиции[[#This Row],[deliverySumm]]+ТабПозиции[[#This Row],[deliveryPost]],SUM(M2139:O2139))</f>
        <v>631</v>
      </c>
      <c r="Q2139" s="57">
        <v>631</v>
      </c>
      <c r="R2139" s="62">
        <f>ТабПозиции[[#This Row],[totalSumm]]-ТабПозиции[[#This Row],[payment]]</f>
        <v>0</v>
      </c>
      <c r="S2139" s="34" t="s">
        <v>955</v>
      </c>
      <c r="T2139" s="56" t="s">
        <v>3061</v>
      </c>
      <c r="U2139" s="56" t="str">
        <f>IF(AND(ТабПозиции[[#This Row],[Остаток]]=0,ТабПозиции[[#This Row],[ord]]="true"),"true","false")</f>
        <v>true</v>
      </c>
      <c r="V2139" s="56" t="s">
        <v>3062</v>
      </c>
    </row>
    <row r="2140" spans="1:22" x14ac:dyDescent="0.25">
      <c r="A2140" s="26">
        <v>565</v>
      </c>
      <c r="B2140" s="1">
        <f>IFERROR(VLOOKUP(ТабПозиции[[#This Row],[orderNum]],ТабЗаказы[#Data],MATCH(B$7,ТабЗаказы[#Headers],0),0),"")</f>
        <v>45756</v>
      </c>
      <c r="C2140" s="95" t="str">
        <f>MONTH(ТабПозиции[[#This Row],[date]])&amp;"/"&amp;YEAR(ТабПозиции[[#This Row],[date]])</f>
        <v>4/2025</v>
      </c>
      <c r="D2140" s="1" t="str">
        <f>IFERROR(VLOOKUP(ТабПозиции[[#This Row],[orderNum]],ТабЗаказы[#Data],MATCH(D$7,ТабЗаказы[#Headers],0),0),"")</f>
        <v>Михаил Куприна</v>
      </c>
      <c r="E2140" s="93" t="s">
        <v>3068</v>
      </c>
      <c r="F2140" s="56" t="s">
        <v>3062</v>
      </c>
      <c r="H2140" s="34">
        <v>45782</v>
      </c>
      <c r="I2140" s="96">
        <v>1</v>
      </c>
      <c r="J2140" s="96">
        <v>1069</v>
      </c>
      <c r="K2140">
        <f>ТабПозиции[[#This Row],[discountPrice]]*ТабПозиции[[#This Row],[quantity]]</f>
        <v>1069</v>
      </c>
      <c r="L2140" s="26">
        <v>1142</v>
      </c>
      <c r="M2140">
        <f t="shared" ref="M2140:M2162" si="51">L2140*I2140</f>
        <v>1142</v>
      </c>
      <c r="N2140" s="96"/>
      <c r="O214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Row],[orderNum]],ТабПозиции[orderSumm])&gt;1500),ABS(M2140*VLOOKUP(ТабПозиции[[#This Row],[orderNum]],ТабЗаказы[#Data],MATCH("Percent",ТабЗаказы[#Headers],0),0))/100,200/COUNTIF(ТабПозиции[orderNum],ТабПозиции[[#This Row],[orderNum]])),0),"")</f>
        <v>171</v>
      </c>
      <c r="P2140" s="95">
        <f>IF(OR(ТабПозиции[[#This Row],[item]]="По штрихкоду",ТабПозиции[[#This Row],[item]]="Посылка"),ТабПозиции[[#This Row],[deliverySumm]]+ТабПозиции[[#This Row],[deliveryPost]],SUM(M2140:O2140))</f>
        <v>1313</v>
      </c>
      <c r="Q2140" s="57">
        <v>1313</v>
      </c>
      <c r="R2140" s="62">
        <f>ТабПозиции[[#This Row],[totalSumm]]-ТабПозиции[[#This Row],[payment]]</f>
        <v>0</v>
      </c>
      <c r="S2140" s="34" t="s">
        <v>955</v>
      </c>
      <c r="T2140" s="56" t="s">
        <v>3061</v>
      </c>
      <c r="U2140" s="56" t="str">
        <f>IF(AND(ТабПозиции[[#This Row],[Остаток]]=0,ТабПозиции[[#This Row],[ord]]="true"),"true","false")</f>
        <v>true</v>
      </c>
      <c r="V2140" s="56" t="s">
        <v>3062</v>
      </c>
    </row>
    <row r="2141" spans="1:22" x14ac:dyDescent="0.25">
      <c r="A2141" s="26">
        <v>566</v>
      </c>
      <c r="B2141" s="1">
        <f>IFERROR(VLOOKUP(ТабПозиции[[#This Row],[orderNum]],ТабЗаказы[#Data],MATCH(B$7,ТабЗаказы[#Headers],0),0),"")</f>
        <v>45755</v>
      </c>
      <c r="C2141" s="95" t="str">
        <f>MONTH(ТабПозиции[[#This Row],[date]])&amp;"/"&amp;YEAR(ТабПозиции[[#This Row],[date]])</f>
        <v>4/2025</v>
      </c>
      <c r="D2141" s="1" t="str">
        <f>IFERROR(VLOOKUP(ТабПозиции[[#This Row],[orderNum]],ТабЗаказы[#Data],MATCH(D$7,ТабЗаказы[#Headers],0),0),"")</f>
        <v>Елена жена Александра</v>
      </c>
      <c r="E2141" s="93" t="s">
        <v>2420</v>
      </c>
      <c r="F2141" s="56" t="s">
        <v>3061</v>
      </c>
      <c r="H2141" s="34">
        <v>45758</v>
      </c>
      <c r="I2141" s="96">
        <v>1</v>
      </c>
      <c r="J2141" s="96">
        <v>840</v>
      </c>
      <c r="K2141">
        <f>ТабПозиции[[#This Row],[discountPrice]]*ТабПозиции[[#This Row],[quantity]]</f>
        <v>840</v>
      </c>
      <c r="L2141" s="26">
        <v>923</v>
      </c>
      <c r="M2141">
        <f t="shared" si="51"/>
        <v>923</v>
      </c>
      <c r="N2141" s="96"/>
      <c r="O214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Row],[orderNum]],ТабПозиции[orderSumm])&gt;1500),ABS(M2141*VLOOKUP(ТабПозиции[[#This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2141" s="95">
        <f>IF(OR(ТабПозиции[[#This Row],[item]]="По штрихкоду",ТабПозиции[[#This Row],[item]]="Посылка"),ТабПозиции[[#This Row],[deliverySumm]]+ТабПозиции[[#This Row],[deliveryPost]],SUM(M2141:O2141))</f>
        <v>1123</v>
      </c>
      <c r="Q2141" s="57">
        <v>1123</v>
      </c>
      <c r="R2141" s="62">
        <f>ТабПозиции[[#This Row],[totalSumm]]-ТабПозиции[[#This Row],[payment]]</f>
        <v>0</v>
      </c>
      <c r="S2141" s="34" t="s">
        <v>955</v>
      </c>
      <c r="T2141" s="56" t="s">
        <v>3061</v>
      </c>
      <c r="U2141" s="56" t="str">
        <f>IF(AND(ТабПозиции[[#This Row],[Остаток]]=0,ТабПозиции[[#This Row],[ord]]="true"),"true","false")</f>
        <v>true</v>
      </c>
      <c r="V2141" s="56" t="s">
        <v>3061</v>
      </c>
    </row>
    <row r="2142" spans="1:22" x14ac:dyDescent="0.25">
      <c r="A2142" s="26">
        <v>567</v>
      </c>
      <c r="B2142" s="1">
        <f>IFERROR(VLOOKUP(ТабПозиции[[#This Row],[orderNum]],ТабЗаказы[#Data],MATCH(B$7,ТабЗаказы[#Headers],0),0),"")</f>
        <v>45758</v>
      </c>
      <c r="C2142" s="95" t="str">
        <f>MONTH(ТабПозиции[[#This Row],[date]])&amp;"/"&amp;YEAR(ТабПозиции[[#This Row],[date]])</f>
        <v>4/2025</v>
      </c>
      <c r="D2142" s="1" t="str">
        <f>IFERROR(VLOOKUP(ТабПозиции[[#This Row],[orderNum]],ТабЗаказы[#Data],MATCH(D$7,ТабЗаказы[#Headers],0),0),"")</f>
        <v>Михаил Куприна</v>
      </c>
      <c r="E2142" s="93" t="s">
        <v>3073</v>
      </c>
      <c r="F2142" s="56" t="s">
        <v>3061</v>
      </c>
      <c r="H2142" s="34">
        <v>45761</v>
      </c>
      <c r="I2142" s="96">
        <v>1</v>
      </c>
      <c r="J2142" s="96">
        <v>1055</v>
      </c>
      <c r="K2142">
        <f>ТабПозиции[[#This Row],[discountPrice]]*ТабПозиции[[#This Row],[quantity]]</f>
        <v>1055</v>
      </c>
      <c r="L2142" s="26">
        <v>1132</v>
      </c>
      <c r="M2142">
        <f t="shared" si="51"/>
        <v>1132</v>
      </c>
      <c r="N2142" s="96"/>
      <c r="O214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Row],[orderNum]],ТабПозиции[orderSumm])&gt;1500),ABS(M2142*VLOOKUP(ТабПозиции[[#This Row],[orderNum]],ТабЗаказы[#Data],MATCH("Percent",ТабЗаказы[#Headers],0),0))/100,200/COUNTIF(ТабПозиции[orderNum],ТабПозиции[[#This Row],[orderNum]])),0),"")</f>
        <v>170</v>
      </c>
      <c r="P2142" s="95">
        <f>IF(OR(ТабПозиции[[#This Row],[item]]="По штрихкоду",ТабПозиции[[#This Row],[item]]="Посылка"),ТабПозиции[[#This Row],[deliverySumm]]+ТабПозиции[[#This Row],[deliveryPost]],SUM(M2142:O2142))</f>
        <v>1302</v>
      </c>
      <c r="Q2142" s="57">
        <v>1302</v>
      </c>
      <c r="R2142" s="62">
        <f>ТабПозиции[[#This Row],[totalSumm]]-ТабПозиции[[#This Row],[payment]]</f>
        <v>0</v>
      </c>
      <c r="S2142" s="34" t="s">
        <v>955</v>
      </c>
      <c r="T2142" s="56" t="s">
        <v>3061</v>
      </c>
      <c r="U2142" s="56" t="str">
        <f>IF(AND(ТабПозиции[[#This Row],[Остаток]]=0,ТабПозиции[[#This Row],[ord]]="true"),"true","false")</f>
        <v>true</v>
      </c>
      <c r="V2142" s="56" t="s">
        <v>3062</v>
      </c>
    </row>
    <row r="2143" spans="1:22" x14ac:dyDescent="0.25">
      <c r="A2143" s="26">
        <v>567</v>
      </c>
      <c r="B2143" s="1">
        <f>IFERROR(VLOOKUP(ТабПозиции[[#This Row],[orderNum]],ТабЗаказы[#Data],MATCH(B$7,ТабЗаказы[#Headers],0),0),"")</f>
        <v>45758</v>
      </c>
      <c r="C2143" s="95" t="str">
        <f>MONTH(ТабПозиции[[#This Row],[date]])&amp;"/"&amp;YEAR(ТабПозиции[[#This Row],[date]])</f>
        <v>4/2025</v>
      </c>
      <c r="D2143" s="1" t="str">
        <f>IFERROR(VLOOKUP(ТабПозиции[[#This Row],[orderNum]],ТабЗаказы[#Data],MATCH(D$7,ТабЗаказы[#Headers],0),0),"")</f>
        <v>Михаил Куприна</v>
      </c>
      <c r="E2143" s="93" t="s">
        <v>3074</v>
      </c>
      <c r="F2143" s="56" t="s">
        <v>3061</v>
      </c>
      <c r="H2143" s="34">
        <v>45762</v>
      </c>
      <c r="I2143" s="96">
        <v>1</v>
      </c>
      <c r="J2143" s="96">
        <v>845</v>
      </c>
      <c r="K2143">
        <f>ТабПозиции[[#This Row],[discountPrice]]*ТабПозиции[[#This Row],[quantity]]</f>
        <v>845</v>
      </c>
      <c r="L2143" s="26">
        <v>908</v>
      </c>
      <c r="M2143">
        <f t="shared" si="51"/>
        <v>908</v>
      </c>
      <c r="N2143" s="96"/>
      <c r="O214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Row],[orderNum]],ТабПозиции[orderSumm])&gt;1500),ABS(M2143*VLOOKUP(ТабПозиции[[#This Row],[orderNum]],ТабЗаказы[#Data],MATCH("Percent",ТабЗаказы[#Headers],0),0))/100,200/COUNTIF(ТабПозиции[orderNum],ТабПозиции[[#This Row],[orderNum]])),0),"")</f>
        <v>136</v>
      </c>
      <c r="P2143" s="95">
        <f>IF(OR(ТабПозиции[[#This Row],[item]]="По штрихкоду",ТабПозиции[[#This Row],[item]]="Посылка"),ТабПозиции[[#This Row],[deliverySumm]]+ТабПозиции[[#This Row],[deliveryPost]],SUM(M2143:O2143))</f>
        <v>1044</v>
      </c>
      <c r="Q2143" s="57">
        <v>1044</v>
      </c>
      <c r="R2143" s="62">
        <f>ТабПозиции[[#This Row],[totalSumm]]-ТабПозиции[[#This Row],[payment]]</f>
        <v>0</v>
      </c>
      <c r="S2143" s="34" t="s">
        <v>955</v>
      </c>
      <c r="T2143" s="56" t="s">
        <v>3061</v>
      </c>
      <c r="U2143" s="56" t="str">
        <f>IF(AND(ТабПозиции[[#This Row],[Остаток]]=0,ТабПозиции[[#This Row],[ord]]="true"),"true","false")</f>
        <v>true</v>
      </c>
      <c r="V2143" s="56" t="s">
        <v>3062</v>
      </c>
    </row>
    <row r="2144" spans="1:22" x14ac:dyDescent="0.25">
      <c r="A2144" s="26">
        <v>568</v>
      </c>
      <c r="B2144" s="1">
        <f>IFERROR(VLOOKUP(ТабПозиции[[#This Row],[orderNum]],ТабЗаказы[#Data],MATCH(B$7,ТабЗаказы[#Headers],0),0),"")</f>
        <v>45758</v>
      </c>
      <c r="C2144" s="95" t="str">
        <f>MONTH(ТабПозиции[[#This Row],[date]])&amp;"/"&amp;YEAR(ТабПозиции[[#This Row],[date]])</f>
        <v>4/2025</v>
      </c>
      <c r="D2144" s="1" t="str">
        <f>IFERROR(VLOOKUP(ТабПозиции[[#This Row],[orderNum]],ТабЗаказы[#Data],MATCH(D$7,ТабЗаказы[#Headers],0),0),"")</f>
        <v>АлисаСофия</v>
      </c>
      <c r="E2144" s="26" t="s">
        <v>32</v>
      </c>
      <c r="F2144" s="56" t="s">
        <v>3061</v>
      </c>
      <c r="H2144" s="34">
        <v>45758</v>
      </c>
      <c r="I2144" s="96">
        <v>1</v>
      </c>
      <c r="J2144" s="96"/>
      <c r="K2144">
        <f>ТабПозиции[[#This Row],[discountPrice]]*ТабПозиции[[#This Row],[quantity]]</f>
        <v>0</v>
      </c>
      <c r="L2144" s="26">
        <v>2317</v>
      </c>
      <c r="M2144">
        <f t="shared" si="51"/>
        <v>2317</v>
      </c>
      <c r="N2144" s="96"/>
      <c r="O214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Row],[orderNum]],ТабПозиции[orderSumm])&gt;1500),ABS(M2144*VLOOKUP(ТабПозиции[[#This Row],[orderNum]],ТабЗаказы[#Data],MATCH("Percent",ТабЗаказы[#Headers],0),0))/100,200/COUNTIF(ТабПозиции[orderNum],ТабПозиции[[#This Row],[orderNum]])),0),"")</f>
        <v>348</v>
      </c>
      <c r="P2144" s="95">
        <f>IF(OR(ТабПозиции[[#This Row],[item]]="По штрихкоду",ТабПозиции[[#This Row],[item]]="Посылка"),ТабПозиции[[#This Row],[deliverySumm]]+ТабПозиции[[#This Row],[deliveryPost]],SUM(M2144:O2144))</f>
        <v>348</v>
      </c>
      <c r="Q2144" s="57">
        <v>348</v>
      </c>
      <c r="R2144" s="62">
        <f>ТабПозиции[[#This Row],[totalSumm]]-ТабПозиции[[#This Row],[payment]]</f>
        <v>0</v>
      </c>
      <c r="S2144" s="34" t="s">
        <v>955</v>
      </c>
      <c r="T2144" s="56" t="s">
        <v>3061</v>
      </c>
      <c r="U2144" s="56" t="str">
        <f>IF(AND(ТабПозиции[[#This Row],[Остаток]]=0,ТабПозиции[[#This Row],[ord]]="true"),"true","false")</f>
        <v>true</v>
      </c>
      <c r="V2144" s="56" t="s">
        <v>3061</v>
      </c>
    </row>
    <row r="2145" spans="1:22" x14ac:dyDescent="0.25">
      <c r="A2145" s="26">
        <v>569</v>
      </c>
      <c r="B2145" s="1">
        <f>IFERROR(VLOOKUP(ТабПозиции[[#This Row],[orderNum]],ТабЗаказы[#Data],MATCH(B$7,ТабЗаказы[#Headers],0),0),"")</f>
        <v>45758</v>
      </c>
      <c r="C2145" s="95" t="str">
        <f>MONTH(ТабПозиции[[#This Row],[date]])&amp;"/"&amp;YEAR(ТабПозиции[[#This Row],[date]])</f>
        <v>4/2025</v>
      </c>
      <c r="D2145" s="1" t="str">
        <f>IFERROR(VLOOKUP(ТабПозиции[[#This Row],[orderNum]],ТабЗаказы[#Data],MATCH(D$7,ТабЗаказы[#Headers],0),0),"")</f>
        <v>Лана</v>
      </c>
      <c r="E2145" s="26" t="s">
        <v>32</v>
      </c>
      <c r="F2145" s="56" t="s">
        <v>3061</v>
      </c>
      <c r="H2145" s="34">
        <v>45758</v>
      </c>
      <c r="I2145" s="96">
        <v>1</v>
      </c>
      <c r="J2145" s="96"/>
      <c r="K2145">
        <f>ТабПозиции[[#This Row],[discountPrice]]*ТабПозиции[[#This Row],[quantity]]</f>
        <v>0</v>
      </c>
      <c r="L2145" s="26">
        <v>1419</v>
      </c>
      <c r="M2145">
        <f t="shared" si="51"/>
        <v>1419</v>
      </c>
      <c r="N2145" s="96"/>
      <c r="O214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Row],[orderNum]],ТабПозиции[orderSumm])&gt;1500),ABS(M2145*VLOOKUP(ТабПозиции[[#This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2145" s="95">
        <f>IF(OR(ТабПозиции[[#This Row],[item]]="По штрихкоду",ТабПозиции[[#This Row],[item]]="Посылка"),ТабПозиции[[#This Row],[deliverySumm]]+ТабПозиции[[#This Row],[deliveryPost]],SUM(M2145:O2145))</f>
        <v>200</v>
      </c>
      <c r="Q2145" s="57">
        <v>200</v>
      </c>
      <c r="R2145" s="62">
        <f>ТабПозиции[[#This Row],[totalSumm]]-ТабПозиции[[#This Row],[payment]]</f>
        <v>0</v>
      </c>
      <c r="S2145" s="34" t="s">
        <v>955</v>
      </c>
      <c r="T2145" s="56" t="s">
        <v>3061</v>
      </c>
      <c r="U2145" s="56" t="str">
        <f>IF(AND(ТабПозиции[[#This Row],[Остаток]]=0,ТабПозиции[[#This Row],[ord]]="true"),"true","false")</f>
        <v>true</v>
      </c>
      <c r="V2145" s="56" t="s">
        <v>3061</v>
      </c>
    </row>
    <row r="2146" spans="1:22" x14ac:dyDescent="0.25">
      <c r="A2146" s="26">
        <v>570</v>
      </c>
      <c r="B2146" s="1">
        <f>IFERROR(VLOOKUP(ТабПозиции[[#This Row],[orderNum]],ТабЗаказы[#Data],MATCH(B$7,ТабЗаказы[#Headers],0),0),"")</f>
        <v>45760</v>
      </c>
      <c r="C2146" s="95" t="str">
        <f>MONTH(ТабПозиции[[#This Row],[date]])&amp;"/"&amp;YEAR(ТабПозиции[[#This Row],[date]])</f>
        <v>4/2025</v>
      </c>
      <c r="D2146" s="1" t="str">
        <f>IFERROR(VLOOKUP(ТабПозиции[[#This Row],[orderNum]],ТабЗаказы[#Data],MATCH(D$7,ТабЗаказы[#Headers],0),0),"")</f>
        <v>Юля Шевченко 305</v>
      </c>
      <c r="E2146" s="93" t="s">
        <v>3076</v>
      </c>
      <c r="F2146" s="56" t="s">
        <v>3061</v>
      </c>
      <c r="H2146" s="34">
        <v>45761</v>
      </c>
      <c r="I2146" s="96">
        <v>1</v>
      </c>
      <c r="J2146" s="96">
        <v>1882</v>
      </c>
      <c r="K2146">
        <f>ТабПозиции[[#This Row],[discountPrice]]*ТабПозиции[[#This Row],[quantity]]</f>
        <v>1882</v>
      </c>
      <c r="L2146" s="26">
        <v>1930</v>
      </c>
      <c r="M2146">
        <f t="shared" si="51"/>
        <v>1930</v>
      </c>
      <c r="N2146" s="96"/>
      <c r="O214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Row],[orderNum]],ТабПозиции[orderSumm])&gt;1500),ABS(M2146*VLOOKUP(ТабПозиции[[#This Row],[orderNum]],ТабЗаказы[#Data],MATCH("Percent",ТабЗаказы[#Headers],0),0))/100,200/COUNTIF(ТабПозиции[orderNum],ТабПозиции[[#This Row],[orderNum]])),0),"")</f>
        <v>290</v>
      </c>
      <c r="P2146" s="95">
        <f>IF(OR(ТабПозиции[[#This Row],[item]]="По штрихкоду",ТабПозиции[[#This Row],[item]]="Посылка"),ТабПозиции[[#This Row],[deliverySumm]]+ТабПозиции[[#This Row],[deliveryPost]],SUM(M2146:O2146))</f>
        <v>2220</v>
      </c>
      <c r="Q2146" s="57">
        <v>2220</v>
      </c>
      <c r="R2146" s="62">
        <f>ТабПозиции[[#This Row],[totalSumm]]-ТабПозиции[[#This Row],[payment]]</f>
        <v>0</v>
      </c>
      <c r="S2146" s="34" t="s">
        <v>955</v>
      </c>
      <c r="T2146" s="56" t="s">
        <v>3061</v>
      </c>
      <c r="U2146" s="56" t="str">
        <f>IF(AND(ТабПозиции[[#This Row],[Остаток]]=0,ТабПозиции[[#This Row],[ord]]="true"),"true","false")</f>
        <v>true</v>
      </c>
      <c r="V2146" s="56" t="s">
        <v>3062</v>
      </c>
    </row>
    <row r="2147" spans="1:22" x14ac:dyDescent="0.25">
      <c r="A2147" s="26">
        <v>570</v>
      </c>
      <c r="B2147" s="1">
        <f>IFERROR(VLOOKUP(ТабПозиции[[#This Row],[orderNum]],ТабЗаказы[#Data],MATCH(B$7,ТабЗаказы[#Headers],0),0),"")</f>
        <v>45760</v>
      </c>
      <c r="C2147" s="95" t="str">
        <f>MONTH(ТабПозиции[[#This Row],[date]])&amp;"/"&amp;YEAR(ТабПозиции[[#This Row],[date]])</f>
        <v>4/2025</v>
      </c>
      <c r="D2147" s="1" t="str">
        <f>IFERROR(VLOOKUP(ТабПозиции[[#This Row],[orderNum]],ТабЗаказы[#Data],MATCH(D$7,ТабЗаказы[#Headers],0),0),"")</f>
        <v>Юля Шевченко 305</v>
      </c>
      <c r="E2147" s="93" t="s">
        <v>1884</v>
      </c>
      <c r="F2147" s="56" t="s">
        <v>3061</v>
      </c>
      <c r="H2147" s="34">
        <v>45761</v>
      </c>
      <c r="I2147" s="96">
        <v>1</v>
      </c>
      <c r="J2147" s="96">
        <v>4211</v>
      </c>
      <c r="K2147">
        <f>ТабПозиции[[#This Row],[discountPrice]]*ТабПозиции[[#This Row],[quantity]]</f>
        <v>4211</v>
      </c>
      <c r="L2147" s="26">
        <v>4425</v>
      </c>
      <c r="M2147">
        <f t="shared" si="51"/>
        <v>4425</v>
      </c>
      <c r="N2147" s="96"/>
      <c r="O214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Row],[orderNum]],ТабПозиции[orderSumm])&gt;1500),ABS(M2147*VLOOKUP(ТабПозиции[[#This Row],[orderNum]],ТабЗаказы[#Data],MATCH("Percent",ТабЗаказы[#Headers],0),0))/100,200/COUNTIF(ТабПозиции[orderNum],ТабПозиции[[#This Row],[orderNum]])),0),"")</f>
        <v>664</v>
      </c>
      <c r="P2147" s="95">
        <f>IF(OR(ТабПозиции[[#This Row],[item]]="По штрихкоду",ТабПозиции[[#This Row],[item]]="Посылка"),ТабПозиции[[#This Row],[deliverySumm]]+ТабПозиции[[#This Row],[deliveryPost]],SUM(M2147:O2147))</f>
        <v>5089</v>
      </c>
      <c r="Q2147" s="57">
        <v>5089</v>
      </c>
      <c r="R2147" s="62">
        <f>ТабПозиции[[#This Row],[totalSumm]]-ТабПозиции[[#This Row],[payment]]</f>
        <v>0</v>
      </c>
      <c r="S2147" s="34" t="s">
        <v>955</v>
      </c>
      <c r="T2147" s="56" t="s">
        <v>3061</v>
      </c>
      <c r="U2147" s="56" t="str">
        <f>IF(AND(ТабПозиции[[#This Row],[Остаток]]=0,ТабПозиции[[#This Row],[ord]]="true"),"true","false")</f>
        <v>true</v>
      </c>
      <c r="V2147" s="56" t="s">
        <v>3062</v>
      </c>
    </row>
    <row r="2148" spans="1:22" x14ac:dyDescent="0.25">
      <c r="A2148" s="26">
        <v>570</v>
      </c>
      <c r="B2148" s="1">
        <f>IFERROR(VLOOKUP(ТабПозиции[[#This Row],[orderNum]],ТабЗаказы[#Data],MATCH(B$7,ТабЗаказы[#Headers],0),0),"")</f>
        <v>45760</v>
      </c>
      <c r="C2148" s="95" t="str">
        <f>MONTH(ТабПозиции[[#This Row],[date]])&amp;"/"&amp;YEAR(ТабПозиции[[#This Row],[date]])</f>
        <v>4/2025</v>
      </c>
      <c r="D2148" s="1" t="str">
        <f>IFERROR(VLOOKUP(ТабПозиции[[#This Row],[orderNum]],ТабЗаказы[#Data],MATCH(D$7,ТабЗаказы[#Headers],0),0),"")</f>
        <v>Юля Шевченко 305</v>
      </c>
      <c r="E2148" s="93" t="s">
        <v>3077</v>
      </c>
      <c r="F2148" s="56" t="s">
        <v>3061</v>
      </c>
      <c r="H2148" s="34">
        <v>45761</v>
      </c>
      <c r="I2148" s="96">
        <v>1</v>
      </c>
      <c r="J2148" s="96">
        <v>653</v>
      </c>
      <c r="K2148">
        <f>ТабПозиции[[#This Row],[discountPrice]]*ТабПозиции[[#This Row],[quantity]]</f>
        <v>653</v>
      </c>
      <c r="L2148" s="26">
        <v>699</v>
      </c>
      <c r="M2148">
        <f t="shared" si="51"/>
        <v>699</v>
      </c>
      <c r="N2148" s="96"/>
      <c r="O214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Row],[orderNum]],ТабПозиции[orderSumm])&gt;1500),ABS(M2148*VLOOKUP(ТабПозиции[[#This Row],[orderNum]],ТабЗаказы[#Data],MATCH("Percent",ТабЗаказы[#Headers],0),0))/100,200/COUNTIF(ТабПозиции[orderNum],ТабПозиции[[#This Row],[orderNum]])),0),"")</f>
        <v>105</v>
      </c>
      <c r="P2148" s="95">
        <f>IF(OR(ТабПозиции[[#This Row],[item]]="По штрихкоду",ТабПозиции[[#This Row],[item]]="Посылка"),ТабПозиции[[#This Row],[deliverySumm]]+ТабПозиции[[#This Row],[deliveryPost]],SUM(M2148:O2148))</f>
        <v>804</v>
      </c>
      <c r="Q2148" s="57">
        <v>804</v>
      </c>
      <c r="R2148" s="62">
        <f>ТабПозиции[[#This Row],[totalSumm]]-ТабПозиции[[#This Row],[payment]]</f>
        <v>0</v>
      </c>
      <c r="S2148" s="34" t="s">
        <v>955</v>
      </c>
      <c r="T2148" s="56" t="s">
        <v>3061</v>
      </c>
      <c r="U2148" s="56" t="str">
        <f>IF(AND(ТабПозиции[[#This Row],[Остаток]]=0,ТабПозиции[[#This Row],[ord]]="true"),"true","false")</f>
        <v>true</v>
      </c>
      <c r="V2148" s="56" t="s">
        <v>3062</v>
      </c>
    </row>
    <row r="2149" spans="1:22" x14ac:dyDescent="0.25">
      <c r="A2149" s="26">
        <v>570</v>
      </c>
      <c r="B2149" s="1">
        <f>IFERROR(VLOOKUP(ТабПозиции[[#This Row],[orderNum]],ТабЗаказы[#Data],MATCH(B$7,ТабЗаказы[#Headers],0),0),"")</f>
        <v>45760</v>
      </c>
      <c r="C2149" s="95" t="str">
        <f>MONTH(ТабПозиции[[#This Row],[date]])&amp;"/"&amp;YEAR(ТабПозиции[[#This Row],[date]])</f>
        <v>4/2025</v>
      </c>
      <c r="D2149" s="1" t="str">
        <f>IFERROR(VLOOKUP(ТабПозиции[[#This Row],[orderNum]],ТабЗаказы[#Data],MATCH(D$7,ТабЗаказы[#Headers],0),0),"")</f>
        <v>Юля Шевченко 305</v>
      </c>
      <c r="E2149" s="93" t="s">
        <v>3078</v>
      </c>
      <c r="F2149" s="56" t="s">
        <v>3061</v>
      </c>
      <c r="H2149" s="34">
        <v>45761</v>
      </c>
      <c r="I2149" s="96">
        <v>1</v>
      </c>
      <c r="J2149" s="96">
        <v>1570</v>
      </c>
      <c r="K2149">
        <f>ТабПозиции[[#This Row],[discountPrice]]*ТабПозиции[[#This Row],[quantity]]</f>
        <v>1570</v>
      </c>
      <c r="L2149" s="26">
        <v>1648</v>
      </c>
      <c r="M2149">
        <f t="shared" si="51"/>
        <v>1648</v>
      </c>
      <c r="N2149" s="96"/>
      <c r="O214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Row],[orderNum]],ТабПозиции[orderSumm])&gt;1500),ABS(M2149*VLOOKUP(ТабПозиции[[#This Row],[orderNum]],ТабЗаказы[#Data],MATCH("Percent",ТабЗаказы[#Headers],0),0))/100,200/COUNTIF(ТабПозиции[orderNum],ТабПозиции[[#This Row],[orderNum]])),0),"")</f>
        <v>247</v>
      </c>
      <c r="P2149" s="95">
        <f>IF(OR(ТабПозиции[[#This Row],[item]]="По штрихкоду",ТабПозиции[[#This Row],[item]]="Посылка"),ТабПозиции[[#This Row],[deliverySumm]]+ТабПозиции[[#This Row],[deliveryPost]],SUM(M2149:O2149))</f>
        <v>1895</v>
      </c>
      <c r="Q2149" s="57">
        <v>1895</v>
      </c>
      <c r="R2149" s="62">
        <f>ТабПозиции[[#This Row],[totalSumm]]-ТабПозиции[[#This Row],[payment]]</f>
        <v>0</v>
      </c>
      <c r="S2149" s="34" t="s">
        <v>955</v>
      </c>
      <c r="T2149" s="56" t="s">
        <v>3061</v>
      </c>
      <c r="U2149" s="56" t="str">
        <f>IF(AND(ТабПозиции[[#This Row],[Остаток]]=0,ТабПозиции[[#This Row],[ord]]="true"),"true","false")</f>
        <v>true</v>
      </c>
      <c r="V2149" s="56" t="s">
        <v>3062</v>
      </c>
    </row>
    <row r="2150" spans="1:22" x14ac:dyDescent="0.25">
      <c r="A2150" s="26">
        <v>571</v>
      </c>
      <c r="B2150" s="1">
        <f>IFERROR(VLOOKUP(ТабПозиции[[#This Row],[orderNum]],ТабЗаказы[#Data],MATCH(B$7,ТабЗаказы[#Headers],0),0),"")</f>
        <v>45761</v>
      </c>
      <c r="C2150" s="95" t="str">
        <f>MONTH(ТабПозиции[[#This Row],[date]])&amp;"/"&amp;YEAR(ТабПозиции[[#This Row],[date]])</f>
        <v>4/2025</v>
      </c>
      <c r="D2150" s="1" t="str">
        <f>IFERROR(VLOOKUP(ТабПозиции[[#This Row],[orderNum]],ТабЗаказы[#Data],MATCH(D$7,ТабЗаказы[#Headers],0),0),"")</f>
        <v>Олег Федоров</v>
      </c>
      <c r="E2150" s="26" t="s">
        <v>815</v>
      </c>
      <c r="F2150" s="56" t="s">
        <v>3061</v>
      </c>
      <c r="G2150" s="28" t="s">
        <v>3079</v>
      </c>
      <c r="H2150" s="34">
        <v>45765</v>
      </c>
      <c r="I2150" s="96">
        <v>1</v>
      </c>
      <c r="J2150" s="96">
        <v>2600</v>
      </c>
      <c r="K2150">
        <f>ТабПозиции[[#This Row],[discountPrice]]*ТабПозиции[[#This Row],[quantity]]</f>
        <v>2600</v>
      </c>
      <c r="L2150" s="26">
        <v>2600</v>
      </c>
      <c r="M2150">
        <f t="shared" si="51"/>
        <v>2600</v>
      </c>
      <c r="N2150" s="96">
        <v>750</v>
      </c>
      <c r="O215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Row],[orderNum]],ТабПозиции[orderSumm])&gt;1500),ABS(M2150*VLOOKUP(ТабПозиции[[#This Row],[orderNum]],ТабЗаказы[#Data],MATCH("Percent",ТабЗаказы[#Headers],0),0))/100,200/COUNTIF(ТабПозиции[orderNum],ТабПозиции[[#This Row],[orderNum]])),0),"")</f>
        <v>390</v>
      </c>
      <c r="P2150" s="95">
        <f>IF(OR(ТабПозиции[[#This Row],[item]]="По штрихкоду",ТабПозиции[[#This Row],[item]]="Посылка"),ТабПозиции[[#This Row],[deliverySumm]]+ТабПозиции[[#This Row],[deliveryPost]],SUM(M2150:O2150))</f>
        <v>1140</v>
      </c>
      <c r="Q2150" s="57">
        <v>1140</v>
      </c>
      <c r="R2150" s="62">
        <f>ТабПозиции[[#This Row],[totalSumm]]-ТабПозиции[[#This Row],[payment]]</f>
        <v>0</v>
      </c>
      <c r="S2150" s="34" t="s">
        <v>1016</v>
      </c>
      <c r="T2150" s="56" t="s">
        <v>3061</v>
      </c>
      <c r="U2150" s="56" t="str">
        <f>IF(AND(ТабПозиции[[#This Row],[Остаток]]=0,ТабПозиции[[#This Row],[ord]]="true"),"true","false")</f>
        <v>true</v>
      </c>
      <c r="V2150" s="56" t="s">
        <v>3062</v>
      </c>
    </row>
    <row r="2151" spans="1:22" x14ac:dyDescent="0.25">
      <c r="A2151" s="26">
        <v>572</v>
      </c>
      <c r="B2151" s="1">
        <f>IFERROR(VLOOKUP(ТабПозиции[[#This Row],[orderNum]],ТабЗаказы[#Data],MATCH(B$7,ТабЗаказы[#Headers],0),0),"")</f>
        <v>45760</v>
      </c>
      <c r="C2151" s="95" t="str">
        <f>MONTH(ТабПозиции[[#This Row],[date]])&amp;"/"&amp;YEAR(ТабПозиции[[#This Row],[date]])</f>
        <v>4/2025</v>
      </c>
      <c r="D2151" s="1" t="str">
        <f>IFERROR(VLOOKUP(ТабПозиции[[#This Row],[orderNum]],ТабЗаказы[#Data],MATCH(D$7,ТабЗаказы[#Headers],0),0),"")</f>
        <v>Игорь Рельефная</v>
      </c>
      <c r="E2151" s="93" t="s">
        <v>2642</v>
      </c>
      <c r="F2151" s="56" t="s">
        <v>3062</v>
      </c>
      <c r="H2151" s="34">
        <v>45781</v>
      </c>
      <c r="I2151" s="96">
        <v>1</v>
      </c>
      <c r="J2151" s="96">
        <v>322</v>
      </c>
      <c r="K2151">
        <f>ТабПозиции[[#This Row],[discountPrice]]*ТабПозиции[[#This Row],[quantity]]</f>
        <v>322</v>
      </c>
      <c r="L2151" s="26">
        <v>322</v>
      </c>
      <c r="M2151">
        <f t="shared" si="51"/>
        <v>322</v>
      </c>
      <c r="N2151" s="96"/>
      <c r="O215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Row],[orderNum]],ТабПозиции[orderSumm])&gt;1500),ABS(M2151*VLOOKUP(ТабПозиции[[#This Row],[orderNum]],ТабЗаказы[#Data],MATCH("Percent",ТабЗаказы[#Headers],0),0))/100,200/COUNTIF(ТабПозиции[orderNum],ТабПозиции[[#This Row],[orderNum]])),0),"")</f>
        <v>200</v>
      </c>
      <c r="P2151" s="95">
        <f>IF(OR(ТабПозиции[[#This Row],[item]]="По штрихкоду",ТабПозиции[[#This Row],[item]]="Посылка"),ТабПозиции[[#This Row],[deliverySumm]]+ТабПозиции[[#This Row],[deliveryPost]],SUM(M2151:O2151))</f>
        <v>522</v>
      </c>
      <c r="R2151" s="62">
        <f>ТабПозиции[[#This Row],[totalSumm]]-ТабПозиции[[#This Row],[payment]]</f>
        <v>522</v>
      </c>
      <c r="S2151" s="34" t="s">
        <v>1113</v>
      </c>
      <c r="T2151" s="56" t="s">
        <v>3061</v>
      </c>
      <c r="U2151" s="56" t="str">
        <f>IF(AND(ТабПозиции[[#This Row],[Остаток]]=0,ТабПозиции[[#This Row],[ord]]="true"),"true","false")</f>
        <v>false</v>
      </c>
      <c r="V2151" s="56" t="s">
        <v>3062</v>
      </c>
    </row>
    <row r="2152" spans="1:22" x14ac:dyDescent="0.25">
      <c r="A2152" s="26">
        <v>573</v>
      </c>
      <c r="B2152" s="1">
        <f>IFERROR(VLOOKUP(ТабПозиции[[#This Row],[orderNum]],ТабЗаказы[#Data],MATCH(B$7,ТабЗаказы[#Headers],0),0),"")</f>
        <v>45764</v>
      </c>
      <c r="C2152" s="95" t="str">
        <f>MONTH(ТабПозиции[[#This Row],[date]])&amp;"/"&amp;YEAR(ТабПозиции[[#This Row],[date]])</f>
        <v>4/2025</v>
      </c>
      <c r="D2152" s="1" t="str">
        <f>IFERROR(VLOOKUP(ТабПозиции[[#This Row],[orderNum]],ТабЗаказы[#Data],MATCH(D$7,ТабЗаказы[#Headers],0),0),"")</f>
        <v>Михаил Куприна</v>
      </c>
      <c r="E2152" s="93" t="s">
        <v>3092</v>
      </c>
      <c r="F2152" s="56" t="s">
        <v>3062</v>
      </c>
      <c r="H2152" s="34">
        <v>45768</v>
      </c>
      <c r="I2152" s="96">
        <v>1</v>
      </c>
      <c r="J2152" s="96">
        <v>1582</v>
      </c>
      <c r="K2152">
        <f>ТабПозиции[[#This Row],[discountPrice]]*ТабПозиции[[#This Row],[quantity]]</f>
        <v>1582</v>
      </c>
      <c r="L2152" s="26">
        <v>1696</v>
      </c>
      <c r="M2152">
        <f t="shared" si="51"/>
        <v>1696</v>
      </c>
      <c r="N2152" s="96"/>
      <c r="O215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Row],[orderNum]],ТабПозиции[orderSumm])&gt;1500),ABS(M2152*VLOOKUP(ТабПозиции[[#This Row],[orderNum]],ТабЗаказы[#Data],MATCH("Percent",ТабЗаказы[#Headers],0),0))/100,200/COUNTIF(ТабПозиции[orderNum],ТабПозиции[[#This Row],[orderNum]])),0),"")</f>
        <v>254</v>
      </c>
      <c r="P2152" s="95">
        <f>IF(OR(ТабПозиции[[#This Row],[item]]="По штрихкоду",ТабПозиции[[#This Row],[item]]="Посылка"),ТабПозиции[[#This Row],[deliverySumm]]+ТабПозиции[[#This Row],[deliveryPost]],SUM(M2152:O2152))</f>
        <v>1950</v>
      </c>
      <c r="Q2152" s="57">
        <v>1950</v>
      </c>
      <c r="R2152" s="62">
        <f>ТабПозиции[[#This Row],[totalSumm]]-ТабПозиции[[#This Row],[payment]]</f>
        <v>0</v>
      </c>
      <c r="S2152" s="34" t="s">
        <v>955</v>
      </c>
      <c r="T2152" s="56" t="s">
        <v>3061</v>
      </c>
      <c r="U2152" s="56" t="str">
        <f>IF(AND(ТабПозиции[[#This Row],[Остаток]]=0,ТабПозиции[[#This Row],[ord]]="true"),"true","false")</f>
        <v>true</v>
      </c>
      <c r="V2152" s="56" t="s">
        <v>3062</v>
      </c>
    </row>
    <row r="2153" spans="1:22" x14ac:dyDescent="0.25">
      <c r="A2153" s="26">
        <v>573</v>
      </c>
      <c r="B2153" s="1">
        <f>IFERROR(VLOOKUP(ТабПозиции[[#This Row],[orderNum]],ТабЗаказы[#Data],MATCH(B$7,ТабЗаказы[#Headers],0),0),"")</f>
        <v>45764</v>
      </c>
      <c r="C2153" s="95" t="str">
        <f>MONTH(ТабПозиции[[#This Row],[date]])&amp;"/"&amp;YEAR(ТабПозиции[[#This Row],[date]])</f>
        <v>4/2025</v>
      </c>
      <c r="D2153" s="1" t="str">
        <f>IFERROR(VLOOKUP(ТабПозиции[[#This Row],[orderNum]],ТабЗаказы[#Data],MATCH(D$7,ТабЗаказы[#Headers],0),0),"")</f>
        <v>Михаил Куприна</v>
      </c>
      <c r="E2153" s="93" t="s">
        <v>3093</v>
      </c>
      <c r="F2153" s="56" t="s">
        <v>3062</v>
      </c>
      <c r="H2153" s="34">
        <v>45784</v>
      </c>
      <c r="I2153" s="96">
        <v>1</v>
      </c>
      <c r="J2153" s="96">
        <v>330</v>
      </c>
      <c r="K2153">
        <f>ТабПозиции[[#This Row],[discountPrice]]*ТабПозиции[[#This Row],[quantity]]</f>
        <v>330</v>
      </c>
      <c r="L2153" s="26">
        <v>342</v>
      </c>
      <c r="M2153">
        <f t="shared" si="51"/>
        <v>342</v>
      </c>
      <c r="N2153" s="96"/>
      <c r="O2153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Row],[orderNum]],ТабПозиции[orderSumm])&gt;1500),ABS(M2153*VLOOKUP(ТабПозиции[[#This Row],[orderNum]],ТабЗаказы[#Data],MATCH("Percent",ТабЗаказы[#Headers],0),0))/100,200/COUNTIF(ТабПозиции[orderNum],ТабПозиции[[#This Row],[orderNum]])),0),"")</f>
        <v>51</v>
      </c>
      <c r="P2153" s="95">
        <f>IF(OR(ТабПозиции[[#This Row],[item]]="По штрихкоду",ТабПозиции[[#This Row],[item]]="Посылка"),ТабПозиции[[#This Row],[deliverySumm]]+ТабПозиции[[#This Row],[deliveryPost]],SUM(M2153:O2153))</f>
        <v>393</v>
      </c>
      <c r="Q2153" s="57">
        <v>393</v>
      </c>
      <c r="R2153" s="62">
        <f>ТабПозиции[[#This Row],[totalSumm]]-ТабПозиции[[#This Row],[payment]]</f>
        <v>0</v>
      </c>
      <c r="S2153" s="34" t="s">
        <v>955</v>
      </c>
      <c r="T2153" s="56" t="s">
        <v>3061</v>
      </c>
      <c r="U2153" s="56" t="str">
        <f>IF(AND(ТабПозиции[[#This Row],[Остаток]]=0,ТабПозиции[[#This Row],[ord]]="true"),"true","false")</f>
        <v>true</v>
      </c>
      <c r="V2153" s="56" t="s">
        <v>3062</v>
      </c>
    </row>
    <row r="2154" spans="1:22" x14ac:dyDescent="0.25">
      <c r="A2154" s="26">
        <v>573</v>
      </c>
      <c r="B2154" s="1">
        <f>IFERROR(VLOOKUP(ТабПозиции[[#This Row],[orderNum]],ТабЗаказы[#Data],MATCH(B$7,ТабЗаказы[#Headers],0),0),"")</f>
        <v>45764</v>
      </c>
      <c r="C2154" s="95" t="str">
        <f>MONTH(ТабПозиции[[#This Row],[date]])&amp;"/"&amp;YEAR(ТабПозиции[[#This Row],[date]])</f>
        <v>4/2025</v>
      </c>
      <c r="D2154" s="1" t="str">
        <f>IFERROR(VLOOKUP(ТабПозиции[[#This Row],[orderNum]],ТабЗаказы[#Data],MATCH(D$7,ТабЗаказы[#Headers],0),0),"")</f>
        <v>Михаил Куприна</v>
      </c>
      <c r="E2154" s="93" t="s">
        <v>2166</v>
      </c>
      <c r="F2154" s="56" t="s">
        <v>3062</v>
      </c>
      <c r="H2154" s="34">
        <v>45765</v>
      </c>
      <c r="I2154" s="96">
        <v>1</v>
      </c>
      <c r="J2154" s="96">
        <v>3878</v>
      </c>
      <c r="K2154">
        <f>ТабПозиции[[#This Row],[discountPrice]]*ТабПозиции[[#This Row],[quantity]]</f>
        <v>3878</v>
      </c>
      <c r="L2154" s="26">
        <v>4116</v>
      </c>
      <c r="M2154">
        <f t="shared" si="51"/>
        <v>4116</v>
      </c>
      <c r="N2154" s="96"/>
      <c r="O2154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Row],[orderNum]],ТабПозиции[orderSumm])&gt;1500),ABS(M2154*VLOOKUP(ТабПозиции[[#This Row],[orderNum]],ТабЗаказы[#Data],MATCH("Percent",ТабЗаказы[#Headers],0),0))/100,200/COUNTIF(ТабПозиции[orderNum],ТабПозиции[[#This Row],[orderNum]])),0),"")</f>
        <v>617</v>
      </c>
      <c r="P2154" s="95">
        <f>IF(OR(ТабПозиции[[#This Row],[item]]="По штрихкоду",ТабПозиции[[#This Row],[item]]="Посылка"),ТабПозиции[[#This Row],[deliverySumm]]+ТабПозиции[[#This Row],[deliveryPost]],SUM(M2154:O2154))</f>
        <v>4733</v>
      </c>
      <c r="Q2154" s="57">
        <v>4733</v>
      </c>
      <c r="R2154" s="62">
        <f>ТабПозиции[[#This Row],[totalSumm]]-ТабПозиции[[#This Row],[payment]]</f>
        <v>0</v>
      </c>
      <c r="S2154" s="34" t="s">
        <v>955</v>
      </c>
      <c r="T2154" s="56" t="s">
        <v>3061</v>
      </c>
      <c r="U2154" s="56" t="str">
        <f>IF(AND(ТабПозиции[[#This Row],[Остаток]]=0,ТабПозиции[[#This Row],[ord]]="true"),"true","false")</f>
        <v>true</v>
      </c>
      <c r="V2154" s="56" t="s">
        <v>3062</v>
      </c>
    </row>
    <row r="2155" spans="1:22" x14ac:dyDescent="0.25">
      <c r="A2155" s="26">
        <v>574</v>
      </c>
      <c r="B2155" s="1">
        <f>IFERROR(VLOOKUP(ТабПозиции[[#This Row],[orderNum]],ТабЗаказы[#Data],MATCH(B$7,ТабЗаказы[#Headers],0),0),"")</f>
        <v>45765</v>
      </c>
      <c r="C2155" s="95" t="str">
        <f>MONTH(ТабПозиции[[#This Row],[date]])&amp;"/"&amp;YEAR(ТабПозиции[[#This Row],[date]])</f>
        <v>4/2025</v>
      </c>
      <c r="D2155" s="1" t="str">
        <f>IFERROR(VLOOKUP(ТабПозиции[[#This Row],[orderNum]],ТабЗаказы[#Data],MATCH(D$7,ТабЗаказы[#Headers],0),0),"")</f>
        <v>Алена Бондаренко</v>
      </c>
      <c r="E2155" s="26" t="s">
        <v>32</v>
      </c>
      <c r="F2155" s="56" t="s">
        <v>3061</v>
      </c>
      <c r="H2155" s="34">
        <v>45765</v>
      </c>
      <c r="I2155" s="96">
        <v>1</v>
      </c>
      <c r="J2155" s="96"/>
      <c r="K2155">
        <f>ТабПозиции[[#This Row],[discountPrice]]*ТабПозиции[[#This Row],[quantity]]</f>
        <v>0</v>
      </c>
      <c r="L2155" s="26">
        <v>4500</v>
      </c>
      <c r="M2155">
        <f t="shared" si="51"/>
        <v>4500</v>
      </c>
      <c r="N2155" s="96"/>
      <c r="O2155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Row],[orderNum]],ТабПозиции[orderSumm])&gt;1500),ABS(M2155*VLOOKUP(ТабПозиции[[#This Row],[orderNum]],ТабЗаказы[#Data],MATCH("Percent",ТабЗаказы[#Headers],0),0))/100,200/COUNTIF(ТабПозиции[orderNum],ТабПозиции[[#This Row],[orderNum]])),0),"")</f>
        <v>450</v>
      </c>
      <c r="P2155" s="95">
        <f>IF(OR(ТабПозиции[[#This Row],[item]]="По штрихкоду",ТабПозиции[[#This Row],[item]]="Посылка"),ТабПозиции[[#This Row],[deliverySumm]]+ТабПозиции[[#This Row],[deliveryPost]],SUM(M2155:O2155))</f>
        <v>450</v>
      </c>
      <c r="Q2155" s="57">
        <v>450</v>
      </c>
      <c r="R2155" s="62">
        <f>ТабПозиции[[#This Row],[totalSumm]]-ТабПозиции[[#This Row],[payment]]</f>
        <v>0</v>
      </c>
      <c r="S2155" s="34" t="s">
        <v>965</v>
      </c>
      <c r="T2155" s="56" t="s">
        <v>3061</v>
      </c>
      <c r="U2155" s="56" t="str">
        <f>IF(AND(ТабПозиции[[#This Row],[Остаток]]=0,ТабПозиции[[#This Row],[ord]]="true"),"true","false")</f>
        <v>true</v>
      </c>
      <c r="V2155" s="56" t="s">
        <v>3061</v>
      </c>
    </row>
    <row r="2156" spans="1:22" x14ac:dyDescent="0.25">
      <c r="A2156" s="26">
        <v>575</v>
      </c>
      <c r="B2156" s="1">
        <f>IFERROR(VLOOKUP(ТабПозиции[[#This Row],[orderNum]],ТабЗаказы[#Data],MATCH(B$7,ТабЗаказы[#Headers],0),0),"")</f>
        <v>45765</v>
      </c>
      <c r="C2156" s="95" t="str">
        <f>MONTH(ТабПозиции[[#This Row],[date]])&amp;"/"&amp;YEAR(ТабПозиции[[#This Row],[date]])</f>
        <v>4/2025</v>
      </c>
      <c r="D2156" s="1" t="str">
        <f>IFERROR(VLOOKUP(ТабПозиции[[#This Row],[orderNum]],ТабЗаказы[#Data],MATCH(D$7,ТабЗаказы[#Headers],0),0),"")</f>
        <v>Алена Бондаренко</v>
      </c>
      <c r="E2156" s="26" t="s">
        <v>32</v>
      </c>
      <c r="F2156" s="56" t="s">
        <v>3061</v>
      </c>
      <c r="H2156" s="34">
        <v>45765</v>
      </c>
      <c r="I2156" s="96">
        <v>1</v>
      </c>
      <c r="J2156" s="96"/>
      <c r="K2156">
        <f>ТабПозиции[[#This Row],[discountPrice]]*ТабПозиции[[#This Row],[quantity]]</f>
        <v>0</v>
      </c>
      <c r="L2156" s="26">
        <v>11000</v>
      </c>
      <c r="M2156">
        <f t="shared" si="51"/>
        <v>11000</v>
      </c>
      <c r="N2156" s="96"/>
      <c r="O2156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Row],[orderNum]],ТабПозиции[orderSumm])&gt;1500),ABS(M2156*VLOOKUP(ТабПозиции[[#This Row],[orderNum]],ТабЗаказы[#Data],MATCH("Percent",ТабЗаказы[#Headers],0),0))/100,200/COUNTIF(ТабПозиции[orderNum],ТабПозиции[[#This Row],[orderNum]])),0),"")</f>
        <v>1650</v>
      </c>
      <c r="P2156" s="95">
        <f>IF(OR(ТабПозиции[[#This Row],[item]]="По штрихкоду",ТабПозиции[[#This Row],[item]]="Посылка"),ТабПозиции[[#This Row],[deliverySumm]]+ТабПозиции[[#This Row],[deliveryPost]],SUM(M2156:O2156))</f>
        <v>1650</v>
      </c>
      <c r="Q2156" s="57">
        <v>1650</v>
      </c>
      <c r="R2156" s="62">
        <f>ТабПозиции[[#This Row],[totalSumm]]-ТабПозиции[[#This Row],[payment]]</f>
        <v>0</v>
      </c>
      <c r="S2156" s="34" t="s">
        <v>965</v>
      </c>
      <c r="T2156" s="56" t="s">
        <v>3061</v>
      </c>
      <c r="U2156" s="56" t="str">
        <f>IF(AND(ТабПозиции[[#This Row],[Остаток]]=0,ТабПозиции[[#This Row],[ord]]="true"),"true","false")</f>
        <v>true</v>
      </c>
      <c r="V2156" s="56" t="s">
        <v>3061</v>
      </c>
    </row>
    <row r="2157" spans="1:22" x14ac:dyDescent="0.25">
      <c r="A2157" s="26">
        <v>576</v>
      </c>
      <c r="B2157" s="1">
        <f>IFERROR(VLOOKUP(ТабПозиции[[#This Row],[orderNum]],ТабЗаказы[#Data],MATCH(B$7,ТабЗаказы[#Headers],0),0),"")</f>
        <v>45765</v>
      </c>
      <c r="C2157" s="95" t="str">
        <f>MONTH(ТабПозиции[[#This Row],[date]])&amp;"/"&amp;YEAR(ТабПозиции[[#This Row],[date]])</f>
        <v>4/2025</v>
      </c>
      <c r="D2157" s="1" t="str">
        <f>IFERROR(VLOOKUP(ТабПозиции[[#This Row],[orderNum]],ТабЗаказы[#Data],MATCH(D$7,ТабЗаказы[#Headers],0),0),"")</f>
        <v>Елена Гайдар</v>
      </c>
      <c r="E2157" s="93" t="s">
        <v>2424</v>
      </c>
      <c r="F2157" s="56" t="s">
        <v>3062</v>
      </c>
      <c r="H2157" s="34">
        <v>45767</v>
      </c>
      <c r="I2157" s="96">
        <v>1</v>
      </c>
      <c r="J2157" s="96">
        <v>462</v>
      </c>
      <c r="K2157">
        <f>ТабПозиции[[#This Row],[discountPrice]]*ТабПозиции[[#This Row],[quantity]]</f>
        <v>462</v>
      </c>
      <c r="L2157" s="26">
        <v>482</v>
      </c>
      <c r="M2157">
        <f t="shared" si="51"/>
        <v>482</v>
      </c>
      <c r="N2157" s="96"/>
      <c r="O2157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Row],[orderNum]],ТабПозиции[orderSumm])&gt;1500),ABS(M2157*VLOOKUP(ТабПозиции[[#This Row],[orderNum]],ТабЗаказы[#Data],MATCH("Percent",ТабЗаказы[#Headers],0),0))/100,200/COUNTIF(ТабПозиции[orderNum],ТабПозиции[[#This Row],[orderNum]])),0),"")</f>
        <v>72</v>
      </c>
      <c r="P2157" s="95">
        <f>IF(OR(ТабПозиции[[#This Row],[item]]="По штрихкоду",ТабПозиции[[#This Row],[item]]="Посылка"),ТабПозиции[[#This Row],[deliverySumm]]+ТабПозиции[[#This Row],[deliveryPost]],SUM(M2157:O2157))</f>
        <v>554</v>
      </c>
      <c r="R2157" s="62">
        <f>ТабПозиции[[#This Row],[totalSumm]]-ТабПозиции[[#This Row],[payment]]</f>
        <v>554</v>
      </c>
      <c r="S2157" s="34" t="s">
        <v>965</v>
      </c>
      <c r="T2157" s="56" t="s">
        <v>3062</v>
      </c>
      <c r="U2157" s="56" t="str">
        <f>IF(AND(ТабПозиции[[#This Row],[Остаток]]=0,ТабПозиции[[#This Row],[ord]]="true"),"true","false")</f>
        <v>false</v>
      </c>
      <c r="V2157" s="56" t="s">
        <v>3062</v>
      </c>
    </row>
    <row r="2158" spans="1:22" x14ac:dyDescent="0.25">
      <c r="A2158" s="26">
        <v>576</v>
      </c>
      <c r="B2158" s="1">
        <f>IFERROR(VLOOKUP(ТабПозиции[[#This Row],[orderNum]],ТабЗаказы[#Data],MATCH(B$7,ТабЗаказы[#Headers],0),0),"")</f>
        <v>45765</v>
      </c>
      <c r="C2158" s="95" t="str">
        <f>MONTH(ТабПозиции[[#This Row],[date]])&amp;"/"&amp;YEAR(ТабПозиции[[#This Row],[date]])</f>
        <v>4/2025</v>
      </c>
      <c r="D2158" s="1" t="str">
        <f>IFERROR(VLOOKUP(ТабПозиции[[#This Row],[orderNum]],ТабЗаказы[#Data],MATCH(D$7,ТабЗаказы[#Headers],0),0),"")</f>
        <v>Елена Гайдар</v>
      </c>
      <c r="E2158" s="93" t="s">
        <v>2360</v>
      </c>
      <c r="F2158" s="56" t="s">
        <v>3062</v>
      </c>
      <c r="H2158" s="34">
        <v>45767</v>
      </c>
      <c r="I2158" s="96">
        <v>1</v>
      </c>
      <c r="J2158" s="96">
        <v>2277</v>
      </c>
      <c r="K2158">
        <f>ТабПозиции[[#This Row],[discountPrice]]*ТабПозиции[[#This Row],[quantity]]</f>
        <v>2277</v>
      </c>
      <c r="L2158" s="26">
        <v>2372</v>
      </c>
      <c r="M2158">
        <f t="shared" si="51"/>
        <v>2372</v>
      </c>
      <c r="N2158" s="96"/>
      <c r="O2158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Row],[orderNum]],ТабПозиции[orderSumm])&gt;1500),ABS(M2158*VLOOKUP(ТабПозиции[[#This Row],[orderNum]],ТабЗаказы[#Data],MATCH("Percent",ТабЗаказы[#Headers],0),0))/100,200/COUNTIF(ТабПозиции[orderNum],ТабПозиции[[#This Row],[orderNum]])),0),"")</f>
        <v>356</v>
      </c>
      <c r="P2158" s="95">
        <f>IF(OR(ТабПозиции[[#This Row],[item]]="По штрихкоду",ТабПозиции[[#This Row],[item]]="Посылка"),ТабПозиции[[#This Row],[deliverySumm]]+ТабПозиции[[#This Row],[deliveryPost]],SUM(M2158:O2158))</f>
        <v>2728</v>
      </c>
      <c r="R2158" s="62">
        <f>ТабПозиции[[#This Row],[totalSumm]]-ТабПозиции[[#This Row],[payment]]</f>
        <v>2728</v>
      </c>
      <c r="S2158" s="34" t="s">
        <v>965</v>
      </c>
      <c r="T2158" s="56" t="s">
        <v>3062</v>
      </c>
      <c r="U2158" s="56" t="str">
        <f>IF(AND(ТабПозиции[[#This Row],[Остаток]]=0,ТабПозиции[[#This Row],[ord]]="true"),"true","false")</f>
        <v>false</v>
      </c>
      <c r="V2158" s="56" t="s">
        <v>3062</v>
      </c>
    </row>
    <row r="2159" spans="1:22" x14ac:dyDescent="0.25">
      <c r="A2159" s="26">
        <v>576</v>
      </c>
      <c r="B2159" s="1">
        <f>IFERROR(VLOOKUP(ТабПозиции[[#This Row],[orderNum]],ТабЗаказы[#Data],MATCH(B$7,ТабЗаказы[#Headers],0),0),"")</f>
        <v>45765</v>
      </c>
      <c r="C2159" s="95" t="str">
        <f>MONTH(ТабПозиции[[#This Row],[date]])&amp;"/"&amp;YEAR(ТабПозиции[[#This Row],[date]])</f>
        <v>4/2025</v>
      </c>
      <c r="D2159" s="1" t="str">
        <f>IFERROR(VLOOKUP(ТабПозиции[[#This Row],[orderNum]],ТабЗаказы[#Data],MATCH(D$7,ТабЗаказы[#Headers],0),0),"")</f>
        <v>Елена Гайдар</v>
      </c>
      <c r="E2159" s="93" t="s">
        <v>3097</v>
      </c>
      <c r="F2159" s="56" t="s">
        <v>3062</v>
      </c>
      <c r="H2159" s="34">
        <v>45767</v>
      </c>
      <c r="I2159" s="96">
        <v>1</v>
      </c>
      <c r="J2159" s="96">
        <v>293</v>
      </c>
      <c r="K2159">
        <f>ТабПозиции[[#This Row],[discountPrice]]*ТабПозиции[[#This Row],[quantity]]</f>
        <v>293</v>
      </c>
      <c r="L2159" s="26">
        <v>306</v>
      </c>
      <c r="M2159">
        <f t="shared" si="51"/>
        <v>306</v>
      </c>
      <c r="N2159" s="96"/>
      <c r="O2159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Row],[orderNum]],ТабПозиции[orderSumm])&gt;1500),ABS(M2159*VLOOKUP(ТабПозиции[[#This Row],[orderNum]],ТабЗаказы[#Data],MATCH("Percent",ТабЗаказы[#Headers],0),0))/100,200/COUNTIF(ТабПозиции[orderNum],ТабПозиции[[#This Row],[orderNum]])),0),"")</f>
        <v>46</v>
      </c>
      <c r="P2159" s="95">
        <f>IF(OR(ТабПозиции[[#This Row],[item]]="По штрихкоду",ТабПозиции[[#This Row],[item]]="Посылка"),ТабПозиции[[#This Row],[deliverySumm]]+ТабПозиции[[#This Row],[deliveryPost]],SUM(M2159:O2159))</f>
        <v>352</v>
      </c>
      <c r="R2159" s="62">
        <f>ТабПозиции[[#This Row],[totalSumm]]-ТабПозиции[[#This Row],[payment]]</f>
        <v>352</v>
      </c>
      <c r="S2159" s="34" t="s">
        <v>965</v>
      </c>
      <c r="T2159" s="56" t="s">
        <v>3062</v>
      </c>
      <c r="U2159" s="56" t="str">
        <f>IF(AND(ТабПозиции[[#This Row],[Остаток]]=0,ТабПозиции[[#This Row],[ord]]="true"),"true","false")</f>
        <v>false</v>
      </c>
      <c r="V2159" s="56" t="s">
        <v>3062</v>
      </c>
    </row>
    <row r="2160" spans="1:22" x14ac:dyDescent="0.25">
      <c r="A2160" s="26">
        <v>576</v>
      </c>
      <c r="B2160" s="1">
        <f>IFERROR(VLOOKUP(ТабПозиции[[#This Row],[orderNum]],ТабЗаказы[#Data],MATCH(B$7,ТабЗаказы[#Headers],0),0),"")</f>
        <v>45765</v>
      </c>
      <c r="C2160" s="95" t="str">
        <f>MONTH(ТабПозиции[[#This Row],[date]])&amp;"/"&amp;YEAR(ТабПозиции[[#This Row],[date]])</f>
        <v>4/2025</v>
      </c>
      <c r="D2160" s="1" t="str">
        <f>IFERROR(VLOOKUP(ТабПозиции[[#This Row],[orderNum]],ТабЗаказы[#Data],MATCH(D$7,ТабЗаказы[#Headers],0),0),"")</f>
        <v>Елена Гайдар</v>
      </c>
      <c r="E2160" s="93" t="s">
        <v>1699</v>
      </c>
      <c r="F2160" s="56" t="s">
        <v>3062</v>
      </c>
      <c r="H2160" s="34">
        <v>45768</v>
      </c>
      <c r="I2160" s="96">
        <v>1</v>
      </c>
      <c r="J2160" s="96">
        <v>403</v>
      </c>
      <c r="K2160">
        <f>ТабПозиции[[#This Row],[discountPrice]]*ТабПозиции[[#This Row],[quantity]]</f>
        <v>403</v>
      </c>
      <c r="L2160" s="26">
        <v>420</v>
      </c>
      <c r="M2160">
        <f t="shared" si="51"/>
        <v>420</v>
      </c>
      <c r="N2160" s="96"/>
      <c r="O2160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Row],[orderNum]],ТабПозиции[orderSumm])&gt;1500),ABS(M2160*VLOOKUP(ТабПозиции[[#This Row],[orderNum]],ТабЗаказы[#Data],MATCH("Percent",ТабЗаказы[#Headers],0),0))/100,200/COUNTIF(ТабПозиции[orderNum],ТабПозиции[[#This Row],[orderNum]])),0),"")</f>
        <v>63</v>
      </c>
      <c r="P2160" s="95">
        <f>IF(OR(ТабПозиции[[#This Row],[item]]="По штрихкоду",ТабПозиции[[#This Row],[item]]="Посылка"),ТабПозиции[[#This Row],[deliverySumm]]+ТабПозиции[[#This Row],[deliveryPost]],SUM(M2160:O2160))</f>
        <v>483</v>
      </c>
      <c r="R2160" s="62">
        <f>ТабПозиции[[#This Row],[totalSumm]]-ТабПозиции[[#This Row],[payment]]</f>
        <v>483</v>
      </c>
      <c r="S2160" s="34" t="s">
        <v>965</v>
      </c>
      <c r="T2160" s="56" t="s">
        <v>3062</v>
      </c>
      <c r="U2160" s="56" t="str">
        <f>IF(AND(ТабПозиции[[#This Row],[Остаток]]=0,ТабПозиции[[#This Row],[ord]]="true"),"true","false")</f>
        <v>false</v>
      </c>
      <c r="V2160" s="56" t="s">
        <v>3062</v>
      </c>
    </row>
    <row r="2161" spans="1:22" x14ac:dyDescent="0.25">
      <c r="A2161" s="26">
        <v>576</v>
      </c>
      <c r="B2161" s="1">
        <f>IFERROR(VLOOKUP(ТабПозиции[[#This Row],[orderNum]],ТабЗаказы[#Data],MATCH(B$7,ТабЗаказы[#Headers],0),0),"")</f>
        <v>45765</v>
      </c>
      <c r="C2161" s="95" t="str">
        <f>MONTH(ТабПозиции[[#This Row],[date]])&amp;"/"&amp;YEAR(ТабПозиции[[#This Row],[date]])</f>
        <v>4/2025</v>
      </c>
      <c r="D2161" s="1" t="str">
        <f>IFERROR(VLOOKUP(ТабПозиции[[#This Row],[orderNum]],ТабЗаказы[#Data],MATCH(D$7,ТабЗаказы[#Headers],0),0),"")</f>
        <v>Елена Гайдар</v>
      </c>
      <c r="E2161" s="93" t="s">
        <v>2476</v>
      </c>
      <c r="F2161" s="56" t="s">
        <v>3062</v>
      </c>
      <c r="H2161" s="34">
        <v>45766</v>
      </c>
      <c r="I2161" s="96">
        <v>1</v>
      </c>
      <c r="J2161" s="96">
        <v>1173</v>
      </c>
      <c r="K2161">
        <f>ТабПозиции[[#This Row],[discountPrice]]*ТабПозиции[[#This Row],[quantity]]</f>
        <v>1173</v>
      </c>
      <c r="L2161" s="26">
        <v>1222</v>
      </c>
      <c r="M2161">
        <f t="shared" si="51"/>
        <v>1222</v>
      </c>
      <c r="N2161" s="96"/>
      <c r="O2161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Row],[orderNum]],ТабПозиции[orderSumm])&gt;1500),ABS(M2161*VLOOKUP(ТабПозиции[[#This Row],[orderNum]],ТабЗаказы[#Data],MATCH("Percent",ТабЗаказы[#Headers],0),0))/100,200/COUNTIF(ТабПозиции[orderNum],ТабПозиции[[#This Row],[orderNum]])),0),"")</f>
        <v>183</v>
      </c>
      <c r="P2161" s="95">
        <f>IF(OR(ТабПозиции[[#This Row],[item]]="По штрихкоду",ТабПозиции[[#This Row],[item]]="Посылка"),ТабПозиции[[#This Row],[deliverySumm]]+ТабПозиции[[#This Row],[deliveryPost]],SUM(M2161:O2161))</f>
        <v>1405</v>
      </c>
      <c r="R2161" s="62">
        <f>ТабПозиции[[#This Row],[totalSumm]]-ТабПозиции[[#This Row],[payment]]</f>
        <v>1405</v>
      </c>
      <c r="S2161" s="34" t="s">
        <v>965</v>
      </c>
      <c r="T2161" s="56" t="s">
        <v>3062</v>
      </c>
      <c r="U2161" s="56" t="str">
        <f>IF(AND(ТабПозиции[[#This Row],[Остаток]]=0,ТабПозиции[[#This Row],[ord]]="true"),"true","false")</f>
        <v>false</v>
      </c>
      <c r="V2161" s="56" t="s">
        <v>3062</v>
      </c>
    </row>
    <row r="2162" spans="1:22" x14ac:dyDescent="0.25">
      <c r="A2162" s="26">
        <v>577</v>
      </c>
      <c r="B2162" s="1">
        <f>IFERROR(VLOOKUP(ТабПозиции[[#This Row],[orderNum]],ТабЗаказы[#Data],MATCH(B$7,ТабЗаказы[#Headers],0),0),"")</f>
        <v>45765</v>
      </c>
      <c r="C2162" s="95" t="str">
        <f>MONTH(ТабПозиции[[#This Row],[date]])&amp;"/"&amp;YEAR(ТабПозиции[[#This Row],[date]])</f>
        <v>4/2025</v>
      </c>
      <c r="D2162" s="1" t="str">
        <f>IFERROR(VLOOKUP(ТабПозиции[[#This Row],[orderNum]],ТабЗаказы[#Data],MATCH(D$7,ТабЗаказы[#Headers],0),0),"")</f>
        <v>Максим рюкзак</v>
      </c>
      <c r="E2162" s="93" t="s">
        <v>3098</v>
      </c>
      <c r="F2162" s="56" t="s">
        <v>3062</v>
      </c>
      <c r="H2162" s="34">
        <v>45786</v>
      </c>
      <c r="I2162" s="96">
        <v>1</v>
      </c>
      <c r="J2162" s="96">
        <v>1646</v>
      </c>
      <c r="K2162">
        <f>ТабПозиции[[#This Row],[discountPrice]]*ТабПозиции[[#This Row],[quantity]]</f>
        <v>1646</v>
      </c>
      <c r="L2162" s="26">
        <v>1792</v>
      </c>
      <c r="M2162">
        <f t="shared" si="51"/>
        <v>1792</v>
      </c>
      <c r="N2162" s="96"/>
      <c r="O2162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Row],[orderNum]],ТабПозиции[orderSumm])&gt;1500),ABS(M2162*VLOOKUP(ТабПозиции[[#This Row],[orderNum]],ТабЗаказы[#Data],MATCH("Percent",ТабЗаказы[#Headers],0),0))/100,200/COUNTIF(ТабПозиции[orderNum],ТабПозиции[[#This Row],[orderNum]])),0),"")</f>
        <v>269</v>
      </c>
      <c r="P2162" s="95">
        <f>IF(OR(ТабПозиции[[#This Row],[item]]="По штрихкоду",ТабПозиции[[#This Row],[item]]="Посылка"),ТабПозиции[[#This Row],[deliverySumm]]+ТабПозиции[[#This Row],[deliveryPost]],SUM(M2162:O2162))</f>
        <v>2061</v>
      </c>
      <c r="Q2162" s="57">
        <v>2061</v>
      </c>
      <c r="R2162" s="62">
        <f>ТабПозиции[[#This Row],[totalSumm]]-ТабПозиции[[#This Row],[payment]]</f>
        <v>0</v>
      </c>
      <c r="S2162" s="34" t="s">
        <v>955</v>
      </c>
      <c r="T2162" s="56" t="s">
        <v>3061</v>
      </c>
      <c r="U2162" s="56" t="str">
        <f>IF(AND(ТабПозиции[[#This Row],[Остаток]]=0,ТабПозиции[[#This Row],[ord]]="true"),"true","false")</f>
        <v>true</v>
      </c>
      <c r="V2162" s="56" t="s">
        <v>3062</v>
      </c>
    </row>
    <row r="2163" spans="1:22" x14ac:dyDescent="0.25">
      <c r="B2163" s="1" t="str">
        <f>IFERROR(VLOOKUP(ТабПозиции[[#This Row],[orderNum]],ТабЗаказы[#Data],MATCH(B$7,ТабЗаказы[#Headers],0),0),"")</f>
        <v/>
      </c>
      <c r="C2163" s="95" t="e">
        <f>MONTH(ТабПозиции[[#This Row],[date]])&amp;"/"&amp;YEAR(ТабПозиции[[#This Row],[date]])</f>
        <v>#VALUE!</v>
      </c>
      <c r="D2163" s="1" t="str">
        <f>IFERROR(VLOOKUP(ТабПозиции[[#This Row],[orderNum]],ТабЗаказы[#Data],MATCH(D$7,ТабЗаказы[#Headers],0),0),"")</f>
        <v/>
      </c>
      <c r="H2163" s="34"/>
      <c r="I2163" s="96"/>
      <c r="J2163" s="96"/>
      <c r="K2163">
        <f>ТабПозиции[[#This Row],[discountPrice]]*ТабПозиции[[#This Row],[quantity]]</f>
        <v>0</v>
      </c>
      <c r="M2163">
        <f t="shared" ref="M2163:M2183" si="52">L2163*I2163</f>
        <v>0</v>
      </c>
      <c r="N2163" s="96"/>
      <c r="O2163" t="str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Row],[orderNum]],ТабПозиции[orderSumm])&gt;1500),ABS(M2163*VLOOKUP(ТабПозиции[[#This Row],[orderNum]],ТабЗаказы[#Data],MATCH("Percent",ТабЗаказы[#Headers],0),0))/100,200/COUNTIF(ТабПозиции[orderNum],ТабПозиции[[#This Row],[orderNum]])),0),"")</f>
        <v/>
      </c>
      <c r="P2163" s="95">
        <f>IF(OR(ТабПозиции[[#This Row],[item]]="По штрихкоду",ТабПозиции[[#This Row],[item]]="Посылка"),ТабПозиции[[#This Row],[deliverySumm]]+ТабПозиции[[#This Row],[deliveryPost]],SUM(M2163:O2163))</f>
        <v>0</v>
      </c>
      <c r="R2163" s="62">
        <f>ТабПозиции[[#This Row],[totalSumm]]-ТабПозиции[[#This Row],[payment]]</f>
        <v>0</v>
      </c>
      <c r="S2163" s="34"/>
      <c r="T2163" s="56" t="s">
        <v>3062</v>
      </c>
      <c r="U2163" s="56" t="str">
        <f>IF(AND(ТабПозиции[[#This Row],[Остаток]]=0,ТабПозиции[[#This Row],[ord]]="true"),"true","false")</f>
        <v>false</v>
      </c>
      <c r="V2163" s="56" t="s">
        <v>3062</v>
      </c>
    </row>
    <row r="2164" spans="1:22" x14ac:dyDescent="0.25">
      <c r="B2164" s="1" t="str">
        <f>IFERROR(VLOOKUP(ТабПозиции[[#This Row],[orderNum]],ТабЗаказы[#Data],MATCH(B$7,ТабЗаказы[#Headers],0),0),"")</f>
        <v/>
      </c>
      <c r="C2164" s="95" t="e">
        <f>MONTH(ТабПозиции[[#This Row],[date]])&amp;"/"&amp;YEAR(ТабПозиции[[#This Row],[date]])</f>
        <v>#VALUE!</v>
      </c>
      <c r="D2164" s="1" t="str">
        <f>IFERROR(VLOOKUP(ТабПозиции[[#This Row],[orderNum]],ТабЗаказы[#Data],MATCH(D$7,ТабЗаказы[#Headers],0),0),"")</f>
        <v/>
      </c>
      <c r="H2164" s="34"/>
      <c r="I2164" s="96"/>
      <c r="J2164" s="96"/>
      <c r="K2164">
        <f>ТабПозиции[[#This Row],[discountPrice]]*ТабПозиции[[#This Row],[quantity]]</f>
        <v>0</v>
      </c>
      <c r="M2164">
        <f t="shared" si="52"/>
        <v>0</v>
      </c>
      <c r="N2164" s="96"/>
      <c r="O2164" t="str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Row],[orderNum]],ТабПозиции[orderSumm])&gt;1500),ABS(M2164*VLOOKUP(ТабПозиции[[#This Row],[orderNum]],ТабЗаказы[#Data],MATCH("Percent",ТабЗаказы[#Headers],0),0))/100,200/COUNTIF(ТабПозиции[orderNum],ТабПозиции[[#This Row],[orderNum]])),0),"")</f>
        <v/>
      </c>
      <c r="P2164" s="95">
        <f>IF(OR(ТабПозиции[[#This Row],[item]]="По штрихкоду",ТабПозиции[[#This Row],[item]]="Посылка"),ТабПозиции[[#This Row],[deliverySumm]]+ТабПозиции[[#This Row],[deliveryPost]],SUM(M2164:O2164))</f>
        <v>0</v>
      </c>
      <c r="R2164" s="62">
        <f>ТабПозиции[[#This Row],[totalSumm]]-ТабПозиции[[#This Row],[payment]]</f>
        <v>0</v>
      </c>
      <c r="S2164" s="34"/>
      <c r="T2164" s="56" t="s">
        <v>3062</v>
      </c>
      <c r="U2164" s="56" t="str">
        <f>IF(AND(ТабПозиции[[#This Row],[Остаток]]=0,ТабПозиции[[#This Row],[ord]]="true"),"true","false")</f>
        <v>false</v>
      </c>
      <c r="V2164" s="56" t="s">
        <v>3062</v>
      </c>
    </row>
    <row r="2165" spans="1:22" x14ac:dyDescent="0.25">
      <c r="B2165" s="1" t="str">
        <f>IFERROR(VLOOKUP(ТабПозиции[[#This Row],[orderNum]],ТабЗаказы[#Data],MATCH(B$7,ТабЗаказы[#Headers],0),0),"")</f>
        <v/>
      </c>
      <c r="C2165" s="95" t="e">
        <f>MONTH(ТабПозиции[[#This Row],[date]])&amp;"/"&amp;YEAR(ТабПозиции[[#This Row],[date]])</f>
        <v>#VALUE!</v>
      </c>
      <c r="D2165" s="1" t="str">
        <f>IFERROR(VLOOKUP(ТабПозиции[[#This Row],[orderNum]],ТабЗаказы[#Data],MATCH(D$7,ТабЗаказы[#Headers],0),0),"")</f>
        <v/>
      </c>
      <c r="H2165" s="34"/>
      <c r="I2165" s="96"/>
      <c r="J2165" s="96"/>
      <c r="K2165">
        <f>ТабПозиции[[#This Row],[discountPrice]]*ТабПозиции[[#This Row],[quantity]]</f>
        <v>0</v>
      </c>
      <c r="M2165">
        <f t="shared" si="52"/>
        <v>0</v>
      </c>
      <c r="N2165" s="96"/>
      <c r="O2165" t="str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Row],[orderNum]],ТабПозиции[orderSumm])&gt;1500),ABS(M2165*VLOOKUP(ТабПозиции[[#This Row],[orderNum]],ТабЗаказы[#Data],MATCH("Percent",ТабЗаказы[#Headers],0),0))/100,200/COUNTIF(ТабПозиции[orderNum],ТабПозиции[[#This Row],[orderNum]])),0),"")</f>
        <v/>
      </c>
      <c r="P2165" s="95">
        <f>IF(OR(ТабПозиции[[#This Row],[item]]="По штрихкоду",ТабПозиции[[#This Row],[item]]="Посылка"),ТабПозиции[[#This Row],[deliverySumm]]+ТабПозиции[[#This Row],[deliveryPost]],SUM(M2165:O2165))</f>
        <v>0</v>
      </c>
      <c r="R2165" s="62">
        <f>ТабПозиции[[#This Row],[totalSumm]]-ТабПозиции[[#This Row],[payment]]</f>
        <v>0</v>
      </c>
      <c r="S2165" s="34"/>
      <c r="T2165" s="56" t="s">
        <v>3062</v>
      </c>
      <c r="U2165" s="56" t="str">
        <f>IF(AND(ТабПозиции[[#This Row],[Остаток]]=0,ТабПозиции[[#This Row],[ord]]="true"),"true","false")</f>
        <v>false</v>
      </c>
      <c r="V2165" s="56" t="s">
        <v>3062</v>
      </c>
    </row>
    <row r="2166" spans="1:22" x14ac:dyDescent="0.25">
      <c r="B2166" s="1" t="str">
        <f>IFERROR(VLOOKUP(ТабПозиции[[#This Row],[orderNum]],ТабЗаказы[#Data],MATCH(B$7,ТабЗаказы[#Headers],0),0),"")</f>
        <v/>
      </c>
      <c r="C2166" s="95" t="e">
        <f>MONTH(ТабПозиции[[#This Row],[date]])&amp;"/"&amp;YEAR(ТабПозиции[[#This Row],[date]])</f>
        <v>#VALUE!</v>
      </c>
      <c r="D2166" s="1" t="str">
        <f>IFERROR(VLOOKUP(ТабПозиции[[#This Row],[orderNum]],ТабЗаказы[#Data],MATCH(D$7,ТабЗаказы[#Headers],0),0),"")</f>
        <v/>
      </c>
      <c r="H2166" s="34"/>
      <c r="I2166" s="96"/>
      <c r="J2166" s="96"/>
      <c r="K2166">
        <f>ТабПозиции[[#This Row],[discountPrice]]*ТабПозиции[[#This Row],[quantity]]</f>
        <v>0</v>
      </c>
      <c r="M2166">
        <f t="shared" si="52"/>
        <v>0</v>
      </c>
      <c r="N2166" s="96"/>
      <c r="O2166" t="str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Row],[orderNum]],ТабПозиции[orderSumm])&gt;1500),ABS(M2166*VLOOKUP(ТабПозиции[[#This Row],[orderNum]],ТабЗаказы[#Data],MATCH("Percent",ТабЗаказы[#Headers],0),0))/100,200/COUNTIF(ТабПозиции[orderNum],ТабПозиции[[#This Row],[orderNum]])),0),"")</f>
        <v/>
      </c>
      <c r="P2166" s="95">
        <f>IF(OR(ТабПозиции[[#This Row],[item]]="По штрихкоду",ТабПозиции[[#This Row],[item]]="Посылка"),ТабПозиции[[#This Row],[deliverySumm]]+ТабПозиции[[#This Row],[deliveryPost]],SUM(M2166:O2166))</f>
        <v>0</v>
      </c>
      <c r="R2166" s="62">
        <f>ТабПозиции[[#This Row],[totalSumm]]-ТабПозиции[[#This Row],[payment]]</f>
        <v>0</v>
      </c>
      <c r="S2166" s="34"/>
      <c r="T2166" s="56" t="s">
        <v>3062</v>
      </c>
      <c r="U2166" s="56" t="str">
        <f>IF(AND(ТабПозиции[[#This Row],[Остаток]]=0,ТабПозиции[[#This Row],[ord]]="true"),"true","false")</f>
        <v>false</v>
      </c>
      <c r="V2166" s="56" t="s">
        <v>3062</v>
      </c>
    </row>
    <row r="2167" spans="1:22" x14ac:dyDescent="0.25">
      <c r="B2167" s="1" t="str">
        <f>IFERROR(VLOOKUP(ТабПозиции[[#This Row],[orderNum]],ТабЗаказы[#Data],MATCH(B$7,ТабЗаказы[#Headers],0),0),"")</f>
        <v/>
      </c>
      <c r="C2167" s="95" t="e">
        <f>MONTH(ТабПозиции[[#This Row],[date]])&amp;"/"&amp;YEAR(ТабПозиции[[#This Row],[date]])</f>
        <v>#VALUE!</v>
      </c>
      <c r="D2167" s="1" t="str">
        <f>IFERROR(VLOOKUP(ТабПозиции[[#This Row],[orderNum]],ТабЗаказы[#Data],MATCH(D$7,ТабЗаказы[#Headers],0),0),"")</f>
        <v/>
      </c>
      <c r="H2167" s="34"/>
      <c r="I2167" s="96"/>
      <c r="J2167" s="96"/>
      <c r="K2167">
        <f>ТабПозиции[[#This Row],[discountPrice]]*ТабПозиции[[#This Row],[quantity]]</f>
        <v>0</v>
      </c>
      <c r="M2167">
        <f t="shared" si="52"/>
        <v>0</v>
      </c>
      <c r="N2167" s="96"/>
      <c r="O2167" t="str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Row],[orderNum]],ТабПозиции[orderSumm])&gt;1500),ABS(M2167*VLOOKUP(ТабПозиции[[#This Row],[orderNum]],ТабЗаказы[#Data],MATCH("Percent",ТабЗаказы[#Headers],0),0))/100,200/COUNTIF(ТабПозиции[orderNum],ТабПозиции[[#This Row],[orderNum]])),0),"")</f>
        <v/>
      </c>
      <c r="P2167" s="95">
        <f>IF(OR(ТабПозиции[[#This Row],[item]]="По штрихкоду",ТабПозиции[[#This Row],[item]]="Посылка"),ТабПозиции[[#This Row],[deliverySumm]]+ТабПозиции[[#This Row],[deliveryPost]],SUM(M2167:O2167))</f>
        <v>0</v>
      </c>
      <c r="R2167" s="62">
        <f>ТабПозиции[[#This Row],[totalSumm]]-ТабПозиции[[#This Row],[payment]]</f>
        <v>0</v>
      </c>
      <c r="S2167" s="34"/>
      <c r="T2167" s="56" t="s">
        <v>3062</v>
      </c>
      <c r="U2167" s="56" t="str">
        <f>IF(AND(ТабПозиции[[#This Row],[Остаток]]=0,ТабПозиции[[#This Row],[ord]]="true"),"true","false")</f>
        <v>false</v>
      </c>
      <c r="V2167" s="56" t="s">
        <v>3062</v>
      </c>
    </row>
    <row r="2168" spans="1:22" x14ac:dyDescent="0.25">
      <c r="B2168" s="1" t="str">
        <f>IFERROR(VLOOKUP(ТабПозиции[[#This Row],[orderNum]],ТабЗаказы[#Data],MATCH(B$7,ТабЗаказы[#Headers],0),0),"")</f>
        <v/>
      </c>
      <c r="C2168" s="95" t="e">
        <f>MONTH(ТабПозиции[[#This Row],[date]])&amp;"/"&amp;YEAR(ТабПозиции[[#This Row],[date]])</f>
        <v>#VALUE!</v>
      </c>
      <c r="D2168" s="1" t="str">
        <f>IFERROR(VLOOKUP(ТабПозиции[[#This Row],[orderNum]],ТабЗаказы[#Data],MATCH(D$7,ТабЗаказы[#Headers],0),0),"")</f>
        <v/>
      </c>
      <c r="H2168" s="34"/>
      <c r="I2168" s="96"/>
      <c r="J2168" s="96"/>
      <c r="K2168">
        <f>ТабПозиции[[#This Row],[discountPrice]]*ТабПозиции[[#This Row],[quantity]]</f>
        <v>0</v>
      </c>
      <c r="M2168">
        <f t="shared" si="52"/>
        <v>0</v>
      </c>
      <c r="N2168" s="96"/>
      <c r="O2168" t="str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Row],[orderNum]],ТабПозиции[orderSumm])&gt;1500),ABS(M2168*VLOOKUP(ТабПозиции[[#This Row],[orderNum]],ТабЗаказы[#Data],MATCH("Percent",ТабЗаказы[#Headers],0),0))/100,200/COUNTIF(ТабПозиции[orderNum],ТабПозиции[[#This Row],[orderNum]])),0),"")</f>
        <v/>
      </c>
      <c r="P2168" s="95">
        <f>IF(OR(ТабПозиции[[#This Row],[item]]="По штрихкоду",ТабПозиции[[#This Row],[item]]="Посылка"),ТабПозиции[[#This Row],[deliverySumm]]+ТабПозиции[[#This Row],[deliveryPost]],SUM(M2168:O2168))</f>
        <v>0</v>
      </c>
      <c r="R2168" s="62">
        <f>ТабПозиции[[#This Row],[totalSumm]]-ТабПозиции[[#This Row],[payment]]</f>
        <v>0</v>
      </c>
      <c r="S2168" s="34"/>
      <c r="T2168" s="56" t="s">
        <v>3062</v>
      </c>
      <c r="U2168" s="56" t="str">
        <f>IF(AND(ТабПозиции[[#This Row],[Остаток]]=0,ТабПозиции[[#This Row],[ord]]="true"),"true","false")</f>
        <v>false</v>
      </c>
      <c r="V2168" s="56" t="s">
        <v>3062</v>
      </c>
    </row>
    <row r="2169" spans="1:22" x14ac:dyDescent="0.25">
      <c r="B2169" s="1" t="str">
        <f>IFERROR(VLOOKUP(ТабПозиции[[#This Row],[orderNum]],ТабЗаказы[#Data],MATCH(B$7,ТабЗаказы[#Headers],0),0),"")</f>
        <v/>
      </c>
      <c r="C2169" s="95" t="e">
        <f>MONTH(ТабПозиции[[#This Row],[date]])&amp;"/"&amp;YEAR(ТабПозиции[[#This Row],[date]])</f>
        <v>#VALUE!</v>
      </c>
      <c r="D2169" s="1" t="str">
        <f>IFERROR(VLOOKUP(ТабПозиции[[#This Row],[orderNum]],ТабЗаказы[#Data],MATCH(D$7,ТабЗаказы[#Headers],0),0),"")</f>
        <v/>
      </c>
      <c r="H2169" s="34"/>
      <c r="I2169" s="96"/>
      <c r="J2169" s="96"/>
      <c r="K2169">
        <f>ТабПозиции[[#This Row],[discountPrice]]*ТабПозиции[[#This Row],[quantity]]</f>
        <v>0</v>
      </c>
      <c r="M2169">
        <f t="shared" si="52"/>
        <v>0</v>
      </c>
      <c r="N2169" s="96"/>
      <c r="O2169" t="str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Row],[orderNum]],ТабПозиции[orderSumm])&gt;1500),ABS(M2169*VLOOKUP(ТабПозиции[[#This Row],[orderNum]],ТабЗаказы[#Data],MATCH("Percent",ТабЗаказы[#Headers],0),0))/100,200/COUNTIF(ТабПозиции[orderNum],ТабПозиции[[#This Row],[orderNum]])),0),"")</f>
        <v/>
      </c>
      <c r="P2169" s="95">
        <f>IF(OR(ТабПозиции[[#This Row],[item]]="По штрихкоду",ТабПозиции[[#This Row],[item]]="Посылка"),ТабПозиции[[#This Row],[deliverySumm]]+ТабПозиции[[#This Row],[deliveryPost]],SUM(M2169:O2169))</f>
        <v>0</v>
      </c>
      <c r="R2169" s="62">
        <f>ТабПозиции[[#This Row],[totalSumm]]-ТабПозиции[[#This Row],[payment]]</f>
        <v>0</v>
      </c>
      <c r="S2169" s="34"/>
      <c r="T2169" s="56" t="s">
        <v>3062</v>
      </c>
      <c r="U2169" s="56" t="str">
        <f>IF(AND(ТабПозиции[[#This Row],[Остаток]]=0,ТабПозиции[[#This Row],[ord]]="true"),"true","false")</f>
        <v>false</v>
      </c>
      <c r="V2169" s="56" t="s">
        <v>3062</v>
      </c>
    </row>
    <row r="2170" spans="1:22" x14ac:dyDescent="0.25">
      <c r="B2170" s="1" t="str">
        <f>IFERROR(VLOOKUP(ТабПозиции[[#This Row],[orderNum]],ТабЗаказы[#Data],MATCH(B$7,ТабЗаказы[#Headers],0),0),"")</f>
        <v/>
      </c>
      <c r="C2170" s="95" t="e">
        <f>MONTH(ТабПозиции[[#This Row],[date]])&amp;"/"&amp;YEAR(ТабПозиции[[#This Row],[date]])</f>
        <v>#VALUE!</v>
      </c>
      <c r="D2170" s="1" t="str">
        <f>IFERROR(VLOOKUP(ТабПозиции[[#This Row],[orderNum]],ТабЗаказы[#Data],MATCH(D$7,ТабЗаказы[#Headers],0),0),"")</f>
        <v/>
      </c>
      <c r="H2170" s="34"/>
      <c r="I2170" s="96"/>
      <c r="J2170" s="96"/>
      <c r="K2170">
        <f>ТабПозиции[[#This Row],[discountPrice]]*ТабПозиции[[#This Row],[quantity]]</f>
        <v>0</v>
      </c>
      <c r="M2170">
        <f t="shared" si="52"/>
        <v>0</v>
      </c>
      <c r="N2170" s="96"/>
      <c r="O2170" t="str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Row],[orderNum]],ТабПозиции[orderSumm])&gt;1500),ABS(M2170*VLOOKUP(ТабПозиции[[#This Row],[orderNum]],ТабЗаказы[#Data],MATCH("Percent",ТабЗаказы[#Headers],0),0))/100,200/COUNTIF(ТабПозиции[orderNum],ТабПозиции[[#This Row],[orderNum]])),0),"")</f>
        <v/>
      </c>
      <c r="P2170" s="95">
        <f>IF(OR(ТабПозиции[[#This Row],[item]]="По штрихкоду",ТабПозиции[[#This Row],[item]]="Посылка"),ТабПозиции[[#This Row],[deliverySumm]]+ТабПозиции[[#This Row],[deliveryPost]],SUM(M2170:O2170))</f>
        <v>0</v>
      </c>
      <c r="R2170" s="62">
        <f>ТабПозиции[[#This Row],[totalSumm]]-ТабПозиции[[#This Row],[payment]]</f>
        <v>0</v>
      </c>
      <c r="S2170" s="34"/>
      <c r="T2170" s="56" t="s">
        <v>3062</v>
      </c>
      <c r="U2170" s="56" t="str">
        <f>IF(AND(ТабПозиции[[#This Row],[Остаток]]=0,ТабПозиции[[#This Row],[ord]]="true"),"true","false")</f>
        <v>false</v>
      </c>
      <c r="V2170" s="56" t="s">
        <v>3062</v>
      </c>
    </row>
    <row r="2171" spans="1:22" x14ac:dyDescent="0.25">
      <c r="B2171" s="1" t="str">
        <f>IFERROR(VLOOKUP(ТабПозиции[[#This Row],[orderNum]],ТабЗаказы[#Data],MATCH(B$7,ТабЗаказы[#Headers],0),0),"")</f>
        <v/>
      </c>
      <c r="C2171" s="95" t="e">
        <f>MONTH(ТабПозиции[[#This Row],[date]])&amp;"/"&amp;YEAR(ТабПозиции[[#This Row],[date]])</f>
        <v>#VALUE!</v>
      </c>
      <c r="D2171" s="1" t="str">
        <f>IFERROR(VLOOKUP(ТабПозиции[[#This Row],[orderNum]],ТабЗаказы[#Data],MATCH(D$7,ТабЗаказы[#Headers],0),0),"")</f>
        <v/>
      </c>
      <c r="H2171" s="34"/>
      <c r="I2171" s="96"/>
      <c r="J2171" s="96"/>
      <c r="K2171">
        <f>ТабПозиции[[#This Row],[discountPrice]]*ТабПозиции[[#This Row],[quantity]]</f>
        <v>0</v>
      </c>
      <c r="M2171">
        <f t="shared" si="52"/>
        <v>0</v>
      </c>
      <c r="N2171" s="96"/>
      <c r="O2171" t="str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Row],[orderNum]],ТабПозиции[orderSumm])&gt;1500),ABS(M2171*VLOOKUP(ТабПозиции[[#This Row],[orderNum]],ТабЗаказы[#Data],MATCH("Percent",ТабЗаказы[#Headers],0),0))/100,200/COUNTIF(ТабПозиции[orderNum],ТабПозиции[[#This Row],[orderNum]])),0),"")</f>
        <v/>
      </c>
      <c r="P2171" s="95">
        <f>IF(OR(ТабПозиции[[#This Row],[item]]="По штрихкоду",ТабПозиции[[#This Row],[item]]="Посылка"),ТабПозиции[[#This Row],[deliverySumm]]+ТабПозиции[[#This Row],[deliveryPost]],SUM(M2171:O2171))</f>
        <v>0</v>
      </c>
      <c r="R2171" s="62">
        <f>ТабПозиции[[#This Row],[totalSumm]]-ТабПозиции[[#This Row],[payment]]</f>
        <v>0</v>
      </c>
      <c r="S2171" s="34"/>
      <c r="T2171" s="56" t="s">
        <v>3062</v>
      </c>
      <c r="U2171" s="56" t="str">
        <f>IF(AND(ТабПозиции[[#This Row],[Остаток]]=0,ТабПозиции[[#This Row],[ord]]="true"),"true","false")</f>
        <v>false</v>
      </c>
      <c r="V2171" s="56" t="s">
        <v>3062</v>
      </c>
    </row>
    <row r="2172" spans="1:22" x14ac:dyDescent="0.25">
      <c r="B2172" s="1" t="str">
        <f>IFERROR(VLOOKUP(ТабПозиции[[#This Row],[orderNum]],ТабЗаказы[#Data],MATCH(B$7,ТабЗаказы[#Headers],0),0),"")</f>
        <v/>
      </c>
      <c r="C2172" s="95" t="e">
        <f>MONTH(ТабПозиции[[#This Row],[date]])&amp;"/"&amp;YEAR(ТабПозиции[[#This Row],[date]])</f>
        <v>#VALUE!</v>
      </c>
      <c r="D2172" s="1" t="str">
        <f>IFERROR(VLOOKUP(ТабПозиции[[#This Row],[orderNum]],ТабЗаказы[#Data],MATCH(D$7,ТабЗаказы[#Headers],0),0),"")</f>
        <v/>
      </c>
      <c r="H2172" s="34"/>
      <c r="I2172" s="96"/>
      <c r="J2172" s="96"/>
      <c r="K2172">
        <f>ТабПозиции[[#This Row],[discountPrice]]*ТабПозиции[[#This Row],[quantity]]</f>
        <v>0</v>
      </c>
      <c r="M2172">
        <f t="shared" si="52"/>
        <v>0</v>
      </c>
      <c r="N2172" s="96"/>
      <c r="O2172" t="str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Row],[orderNum]],ТабПозиции[orderSumm])&gt;1500),ABS(M2172*VLOOKUP(ТабПозиции[[#This Row],[orderNum]],ТабЗаказы[#Data],MATCH("Percent",ТабЗаказы[#Headers],0),0))/100,200/COUNTIF(ТабПозиции[orderNum],ТабПозиции[[#This Row],[orderNum]])),0),"")</f>
        <v/>
      </c>
      <c r="P2172" s="95">
        <f>IF(OR(ТабПозиции[[#This Row],[item]]="По штрихкоду",ТабПозиции[[#This Row],[item]]="Посылка"),ТабПозиции[[#This Row],[deliverySumm]]+ТабПозиции[[#This Row],[deliveryPost]],SUM(M2172:O2172))</f>
        <v>0</v>
      </c>
      <c r="R2172" s="62">
        <f>ТабПозиции[[#This Row],[totalSumm]]-ТабПозиции[[#This Row],[payment]]</f>
        <v>0</v>
      </c>
      <c r="S2172" s="34"/>
      <c r="T2172" s="56" t="s">
        <v>3062</v>
      </c>
      <c r="U2172" s="56" t="str">
        <f>IF(AND(ТабПозиции[[#This Row],[Остаток]]=0,ТабПозиции[[#This Row],[ord]]="true"),"true","false")</f>
        <v>false</v>
      </c>
      <c r="V2172" s="56" t="s">
        <v>3062</v>
      </c>
    </row>
    <row r="2173" spans="1:22" x14ac:dyDescent="0.25">
      <c r="B2173" s="1" t="str">
        <f>IFERROR(VLOOKUP(ТабПозиции[[#This Row],[orderNum]],ТабЗаказы[#Data],MATCH(B$7,ТабЗаказы[#Headers],0),0),"")</f>
        <v/>
      </c>
      <c r="C2173" s="95" t="e">
        <f>MONTH(ТабПозиции[[#This Row],[date]])&amp;"/"&amp;YEAR(ТабПозиции[[#This Row],[date]])</f>
        <v>#VALUE!</v>
      </c>
      <c r="D2173" s="1" t="str">
        <f>IFERROR(VLOOKUP(ТабПозиции[[#This Row],[orderNum]],ТабЗаказы[#Data],MATCH(D$7,ТабЗаказы[#Headers],0),0),"")</f>
        <v/>
      </c>
      <c r="H2173" s="34"/>
      <c r="I2173" s="96"/>
      <c r="J2173" s="96"/>
      <c r="K2173">
        <f>ТабПозиции[[#This Row],[discountPrice]]*ТабПозиции[[#This Row],[quantity]]</f>
        <v>0</v>
      </c>
      <c r="M2173">
        <f t="shared" si="52"/>
        <v>0</v>
      </c>
      <c r="N2173" s="96"/>
      <c r="O2173" t="str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Row],[orderNum]],ТабПозиции[orderSumm])&gt;1500),ABS(M2173*VLOOKUP(ТабПозиции[[#This Row],[orderNum]],ТабЗаказы[#Data],MATCH("Percent",ТабЗаказы[#Headers],0),0))/100,200/COUNTIF(ТабПозиции[orderNum],ТабПозиции[[#This Row],[orderNum]])),0),"")</f>
        <v/>
      </c>
      <c r="P2173" s="95">
        <f>IF(OR(ТабПозиции[[#This Row],[item]]="По штрихкоду",ТабПозиции[[#This Row],[item]]="Посылка"),ТабПозиции[[#This Row],[deliverySumm]]+ТабПозиции[[#This Row],[deliveryPost]],SUM(M2173:O2173))</f>
        <v>0</v>
      </c>
      <c r="R2173" s="62">
        <f>ТабПозиции[[#This Row],[totalSumm]]-ТабПозиции[[#This Row],[payment]]</f>
        <v>0</v>
      </c>
      <c r="S2173" s="34"/>
      <c r="T2173" s="56" t="s">
        <v>3062</v>
      </c>
      <c r="U2173" s="56" t="str">
        <f>IF(AND(ТабПозиции[[#This Row],[Остаток]]=0,ТабПозиции[[#This Row],[ord]]="true"),"true","false")</f>
        <v>false</v>
      </c>
      <c r="V2173" s="56" t="s">
        <v>3062</v>
      </c>
    </row>
    <row r="2174" spans="1:22" x14ac:dyDescent="0.25">
      <c r="B2174" s="1" t="str">
        <f>IFERROR(VLOOKUP(ТабПозиции[[#This Row],[orderNum]],ТабЗаказы[#Data],MATCH(B$7,ТабЗаказы[#Headers],0),0),"")</f>
        <v/>
      </c>
      <c r="C2174" s="95" t="e">
        <f>MONTH(ТабПозиции[[#This Row],[date]])&amp;"/"&amp;YEAR(ТабПозиции[[#This Row],[date]])</f>
        <v>#VALUE!</v>
      </c>
      <c r="D2174" s="1" t="str">
        <f>IFERROR(VLOOKUP(ТабПозиции[[#This Row],[orderNum]],ТабЗаказы[#Data],MATCH(D$7,ТабЗаказы[#Headers],0),0),"")</f>
        <v/>
      </c>
      <c r="H2174" s="34"/>
      <c r="I2174" s="96"/>
      <c r="J2174" s="96"/>
      <c r="K2174">
        <f>ТабПозиции[[#This Row],[discountPrice]]*ТабПозиции[[#This Row],[quantity]]</f>
        <v>0</v>
      </c>
      <c r="M2174">
        <f t="shared" si="52"/>
        <v>0</v>
      </c>
      <c r="N2174" s="96"/>
      <c r="O2174" t="str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Row],[orderNum]],ТабПозиции[orderSumm])&gt;1500),ABS(M2174*VLOOKUP(ТабПозиции[[#This Row],[orderNum]],ТабЗаказы[#Data],MATCH("Percent",ТабЗаказы[#Headers],0),0))/100,200/COUNTIF(ТабПозиции[orderNum],ТабПозиции[[#This Row],[orderNum]])),0),"")</f>
        <v/>
      </c>
      <c r="P2174" s="95">
        <f>IF(OR(ТабПозиции[[#This Row],[item]]="По штрихкоду",ТабПозиции[[#This Row],[item]]="Посылка"),ТабПозиции[[#This Row],[deliverySumm]]+ТабПозиции[[#This Row],[deliveryPost]],SUM(M2174:O2174))</f>
        <v>0</v>
      </c>
      <c r="R2174" s="62">
        <f>ТабПозиции[[#This Row],[totalSumm]]-ТабПозиции[[#This Row],[payment]]</f>
        <v>0</v>
      </c>
      <c r="S2174" s="34"/>
      <c r="T2174" s="56" t="s">
        <v>3062</v>
      </c>
      <c r="U2174" s="56" t="str">
        <f>IF(AND(ТабПозиции[[#This Row],[Остаток]]=0,ТабПозиции[[#This Row],[ord]]="true"),"true","false")</f>
        <v>false</v>
      </c>
      <c r="V2174" s="56" t="s">
        <v>3062</v>
      </c>
    </row>
    <row r="2175" spans="1:22" x14ac:dyDescent="0.25">
      <c r="B2175" s="1" t="str">
        <f>IFERROR(VLOOKUP(ТабПозиции[[#This Row],[orderNum]],ТабЗаказы[#Data],MATCH(B$7,ТабЗаказы[#Headers],0),0),"")</f>
        <v/>
      </c>
      <c r="C2175" s="95" t="e">
        <f>MONTH(ТабПозиции[[#This Row],[date]])&amp;"/"&amp;YEAR(ТабПозиции[[#This Row],[date]])</f>
        <v>#VALUE!</v>
      </c>
      <c r="D2175" s="1" t="str">
        <f>IFERROR(VLOOKUP(ТабПозиции[[#This Row],[orderNum]],ТабЗаказы[#Data],MATCH(D$7,ТабЗаказы[#Headers],0),0),"")</f>
        <v/>
      </c>
      <c r="H2175" s="34"/>
      <c r="I2175" s="96"/>
      <c r="J2175" s="96"/>
      <c r="K2175">
        <f>ТабПозиции[[#This Row],[discountPrice]]*ТабПозиции[[#This Row],[quantity]]</f>
        <v>0</v>
      </c>
      <c r="M2175">
        <f t="shared" si="52"/>
        <v>0</v>
      </c>
      <c r="N2175" s="96"/>
      <c r="O2175" t="str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Row],[orderNum]],ТабПозиции[orderSumm])&gt;1500),ABS(M2175*VLOOKUP(ТабПозиции[[#This Row],[orderNum]],ТабЗаказы[#Data],MATCH("Percent",ТабЗаказы[#Headers],0),0))/100,200/COUNTIF(ТабПозиции[orderNum],ТабПозиции[[#This Row],[orderNum]])),0),"")</f>
        <v/>
      </c>
      <c r="P2175" s="95">
        <f>IF(OR(ТабПозиции[[#This Row],[item]]="По штрихкоду",ТабПозиции[[#This Row],[item]]="Посылка"),ТабПозиции[[#This Row],[deliverySumm]]+ТабПозиции[[#This Row],[deliveryPost]],SUM(M2175:O2175))</f>
        <v>0</v>
      </c>
      <c r="R2175" s="62">
        <f>ТабПозиции[[#This Row],[totalSumm]]-ТабПозиции[[#This Row],[payment]]</f>
        <v>0</v>
      </c>
      <c r="S2175" s="34"/>
      <c r="T2175" s="56" t="s">
        <v>3062</v>
      </c>
      <c r="U2175" s="56" t="str">
        <f>IF(AND(ТабПозиции[[#This Row],[Остаток]]=0,ТабПозиции[[#This Row],[ord]]="true"),"true","false")</f>
        <v>false</v>
      </c>
      <c r="V2175" s="56" t="s">
        <v>3062</v>
      </c>
    </row>
    <row r="2176" spans="1:22" x14ac:dyDescent="0.25">
      <c r="B2176" s="1" t="str">
        <f>IFERROR(VLOOKUP(ТабПозиции[[#This Row],[orderNum]],ТабЗаказы[#Data],MATCH(B$7,ТабЗаказы[#Headers],0),0),"")</f>
        <v/>
      </c>
      <c r="C2176" s="95" t="e">
        <f>MONTH(ТабПозиции[[#This Row],[date]])&amp;"/"&amp;YEAR(ТабПозиции[[#This Row],[date]])</f>
        <v>#VALUE!</v>
      </c>
      <c r="D2176" s="1" t="str">
        <f>IFERROR(VLOOKUP(ТабПозиции[[#This Row],[orderNum]],ТабЗаказы[#Data],MATCH(D$7,ТабЗаказы[#Headers],0),0),"")</f>
        <v/>
      </c>
      <c r="H2176" s="34"/>
      <c r="I2176" s="96"/>
      <c r="J2176" s="96"/>
      <c r="K2176">
        <f>ТабПозиции[[#This Row],[discountPrice]]*ТабПозиции[[#This Row],[quantity]]</f>
        <v>0</v>
      </c>
      <c r="M2176">
        <f t="shared" si="52"/>
        <v>0</v>
      </c>
      <c r="N2176" s="96"/>
      <c r="O2176" t="str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Row],[orderNum]],ТабПозиции[orderSumm])&gt;1500),ABS(M2176*VLOOKUP(ТабПозиции[[#This Row],[orderNum]],ТабЗаказы[#Data],MATCH("Percent",ТабЗаказы[#Headers],0),0))/100,200/COUNTIF(ТабПозиции[orderNum],ТабПозиции[[#This Row],[orderNum]])),0),"")</f>
        <v/>
      </c>
      <c r="P2176" s="95">
        <f>IF(OR(ТабПозиции[[#This Row],[item]]="По штрихкоду",ТабПозиции[[#This Row],[item]]="Посылка"),ТабПозиции[[#This Row],[deliverySumm]]+ТабПозиции[[#This Row],[deliveryPost]],SUM(M2176:O2176))</f>
        <v>0</v>
      </c>
      <c r="R2176" s="62">
        <f>ТабПозиции[[#This Row],[totalSumm]]-ТабПозиции[[#This Row],[payment]]</f>
        <v>0</v>
      </c>
      <c r="S2176" s="34"/>
      <c r="T2176" s="56" t="s">
        <v>3062</v>
      </c>
      <c r="U2176" s="56" t="str">
        <f>IF(AND(ТабПозиции[[#This Row],[Остаток]]=0,ТабПозиции[[#This Row],[ord]]="true"),"true","false")</f>
        <v>false</v>
      </c>
      <c r="V2176" s="56" t="s">
        <v>3062</v>
      </c>
    </row>
    <row r="2177" spans="1:22" x14ac:dyDescent="0.25">
      <c r="B2177" s="1" t="str">
        <f>IFERROR(VLOOKUP(ТабПозиции[[#This Row],[orderNum]],ТабЗаказы[#Data],MATCH(B$7,ТабЗаказы[#Headers],0),0),"")</f>
        <v/>
      </c>
      <c r="C2177" s="95" t="e">
        <f>MONTH(ТабПозиции[[#This Row],[date]])&amp;"/"&amp;YEAR(ТабПозиции[[#This Row],[date]])</f>
        <v>#VALUE!</v>
      </c>
      <c r="D2177" s="1" t="str">
        <f>IFERROR(VLOOKUP(ТабПозиции[[#This Row],[orderNum]],ТабЗаказы[#Data],MATCH(D$7,ТабЗаказы[#Headers],0),0),"")</f>
        <v/>
      </c>
      <c r="H2177" s="34"/>
      <c r="I2177" s="96"/>
      <c r="J2177" s="96"/>
      <c r="K2177">
        <f>ТабПозиции[[#This Row],[discountPrice]]*ТабПозиции[[#This Row],[quantity]]</f>
        <v>0</v>
      </c>
      <c r="M2177">
        <f t="shared" si="52"/>
        <v>0</v>
      </c>
      <c r="N2177" s="96"/>
      <c r="O2177" t="str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Row],[orderNum]],ТабПозиции[orderSumm])&gt;1500),ABS(M2177*VLOOKUP(ТабПозиции[[#This Row],[orderNum]],ТабЗаказы[#Data],MATCH("Percent",ТабЗаказы[#Headers],0),0))/100,200/COUNTIF(ТабПозиции[orderNum],ТабПозиции[[#This Row],[orderNum]])),0),"")</f>
        <v/>
      </c>
      <c r="P2177" s="95">
        <f>IF(OR(ТабПозиции[[#This Row],[item]]="По штрихкоду",ТабПозиции[[#This Row],[item]]="Посылка"),ТабПозиции[[#This Row],[deliverySumm]]+ТабПозиции[[#This Row],[deliveryPost]],SUM(M2177:O2177))</f>
        <v>0</v>
      </c>
      <c r="R2177" s="62">
        <f>ТабПозиции[[#This Row],[totalSumm]]-ТабПозиции[[#This Row],[payment]]</f>
        <v>0</v>
      </c>
      <c r="S2177" s="34"/>
      <c r="T2177" s="56" t="s">
        <v>3062</v>
      </c>
      <c r="U2177" s="56" t="str">
        <f>IF(AND(ТабПозиции[[#This Row],[Остаток]]=0,ТабПозиции[[#This Row],[ord]]="true"),"true","false")</f>
        <v>false</v>
      </c>
      <c r="V2177" s="56" t="s">
        <v>3062</v>
      </c>
    </row>
    <row r="2178" spans="1:22" x14ac:dyDescent="0.25">
      <c r="B2178" s="1" t="str">
        <f>IFERROR(VLOOKUP(ТабПозиции[[#This Row],[orderNum]],ТабЗаказы[#Data],MATCH(B$7,ТабЗаказы[#Headers],0),0),"")</f>
        <v/>
      </c>
      <c r="C2178" s="95" t="e">
        <f>MONTH(ТабПозиции[[#This Row],[date]])&amp;"/"&amp;YEAR(ТабПозиции[[#This Row],[date]])</f>
        <v>#VALUE!</v>
      </c>
      <c r="D2178" s="1" t="str">
        <f>IFERROR(VLOOKUP(ТабПозиции[[#This Row],[orderNum]],ТабЗаказы[#Data],MATCH(D$7,ТабЗаказы[#Headers],0),0),"")</f>
        <v/>
      </c>
      <c r="H2178" s="34"/>
      <c r="I2178" s="96"/>
      <c r="J2178" s="96"/>
      <c r="K2178">
        <f>ТабПозиции[[#This Row],[discountPrice]]*ТабПозиции[[#This Row],[quantity]]</f>
        <v>0</v>
      </c>
      <c r="M2178">
        <f t="shared" si="52"/>
        <v>0</v>
      </c>
      <c r="N2178" s="96"/>
      <c r="O2178" t="str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Row],[orderNum]],ТабПозиции[orderSumm])&gt;1500),ABS(M2178*VLOOKUP(ТабПозиции[[#This Row],[orderNum]],ТабЗаказы[#Data],MATCH("Percent",ТабЗаказы[#Headers],0),0))/100,200/COUNTIF(ТабПозиции[orderNum],ТабПозиции[[#This Row],[orderNum]])),0),"")</f>
        <v/>
      </c>
      <c r="P2178" s="95">
        <f>IF(OR(ТабПозиции[[#This Row],[item]]="По штрихкоду",ТабПозиции[[#This Row],[item]]="Посылка"),ТабПозиции[[#This Row],[deliverySumm]]+ТабПозиции[[#This Row],[deliveryPost]],SUM(M2178:O2178))</f>
        <v>0</v>
      </c>
      <c r="R2178" s="62">
        <f>ТабПозиции[[#This Row],[totalSumm]]-ТабПозиции[[#This Row],[payment]]</f>
        <v>0</v>
      </c>
      <c r="S2178" s="34"/>
      <c r="T2178" s="56" t="s">
        <v>3062</v>
      </c>
      <c r="U2178" s="56" t="str">
        <f>IF(AND(ТабПозиции[[#This Row],[Остаток]]=0,ТабПозиции[[#This Row],[ord]]="true"),"true","false")</f>
        <v>false</v>
      </c>
      <c r="V2178" s="56" t="s">
        <v>3062</v>
      </c>
    </row>
    <row r="2179" spans="1:22" x14ac:dyDescent="0.25">
      <c r="B2179" s="1" t="str">
        <f>IFERROR(VLOOKUP(ТабПозиции[[#This Row],[orderNum]],ТабЗаказы[#Data],MATCH(B$7,ТабЗаказы[#Headers],0),0),"")</f>
        <v/>
      </c>
      <c r="C2179" s="95" t="e">
        <f>MONTH(ТабПозиции[[#This Row],[date]])&amp;"/"&amp;YEAR(ТабПозиции[[#This Row],[date]])</f>
        <v>#VALUE!</v>
      </c>
      <c r="D2179" s="1" t="str">
        <f>IFERROR(VLOOKUP(ТабПозиции[[#This Row],[orderNum]],ТабЗаказы[#Data],MATCH(D$7,ТабЗаказы[#Headers],0),0),"")</f>
        <v/>
      </c>
      <c r="H2179" s="34"/>
      <c r="I2179" s="96"/>
      <c r="J2179" s="96"/>
      <c r="K2179">
        <f>ТабПозиции[[#This Row],[discountPrice]]*ТабПозиции[[#This Row],[quantity]]</f>
        <v>0</v>
      </c>
      <c r="M2179">
        <f t="shared" si="52"/>
        <v>0</v>
      </c>
      <c r="N2179" s="96"/>
      <c r="O2179" t="str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Row],[orderNum]],ТабПозиции[orderSumm])&gt;1500),ABS(M2179*VLOOKUP(ТабПозиции[[#This Row],[orderNum]],ТабЗаказы[#Data],MATCH("Percent",ТабЗаказы[#Headers],0),0))/100,200/COUNTIF(ТабПозиции[orderNum],ТабПозиции[[#This Row],[orderNum]])),0),"")</f>
        <v/>
      </c>
      <c r="P2179" s="95">
        <f>IF(OR(ТабПозиции[[#This Row],[item]]="По штрихкоду",ТабПозиции[[#This Row],[item]]="Посылка"),ТабПозиции[[#This Row],[deliverySumm]]+ТабПозиции[[#This Row],[deliveryPost]],SUM(M2179:O2179))</f>
        <v>0</v>
      </c>
      <c r="R2179" s="62">
        <f>ТабПозиции[[#This Row],[totalSumm]]-ТабПозиции[[#This Row],[payment]]</f>
        <v>0</v>
      </c>
      <c r="S2179" s="34"/>
      <c r="T2179" s="56" t="s">
        <v>3062</v>
      </c>
      <c r="U2179" s="56" t="str">
        <f>IF(AND(ТабПозиции[[#This Row],[Остаток]]=0,ТабПозиции[[#This Row],[ord]]="true"),"true","false")</f>
        <v>false</v>
      </c>
      <c r="V2179" s="56" t="s">
        <v>3062</v>
      </c>
    </row>
    <row r="2180" spans="1:22" x14ac:dyDescent="0.25">
      <c r="B2180" s="1" t="str">
        <f>IFERROR(VLOOKUP(ТабПозиции[[#This Row],[orderNum]],ТабЗаказы[#Data],MATCH(B$7,ТабЗаказы[#Headers],0),0),"")</f>
        <v/>
      </c>
      <c r="C2180" s="95" t="e">
        <f>MONTH(ТабПозиции[[#This Row],[date]])&amp;"/"&amp;YEAR(ТабПозиции[[#This Row],[date]])</f>
        <v>#VALUE!</v>
      </c>
      <c r="D2180" s="1" t="str">
        <f>IFERROR(VLOOKUP(ТабПозиции[[#This Row],[orderNum]],ТабЗаказы[#Data],MATCH(D$7,ТабЗаказы[#Headers],0),0),"")</f>
        <v/>
      </c>
      <c r="H2180" s="34"/>
      <c r="I2180" s="96"/>
      <c r="J2180" s="96"/>
      <c r="K2180">
        <f>ТабПозиции[[#This Row],[discountPrice]]*ТабПозиции[[#This Row],[quantity]]</f>
        <v>0</v>
      </c>
      <c r="M2180">
        <f t="shared" si="52"/>
        <v>0</v>
      </c>
      <c r="N2180" s="96"/>
      <c r="O2180" t="str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Row],[orderNum]],ТабПозиции[orderSumm])&gt;1500),ABS(M2180*VLOOKUP(ТабПозиции[[#This Row],[orderNum]],ТабЗаказы[#Data],MATCH("Percent",ТабЗаказы[#Headers],0),0))/100,200/COUNTIF(ТабПозиции[orderNum],ТабПозиции[[#This Row],[orderNum]])),0),"")</f>
        <v/>
      </c>
      <c r="P2180" s="95">
        <f>IF(OR(ТабПозиции[[#This Row],[item]]="По штрихкоду",ТабПозиции[[#This Row],[item]]="Посылка"),ТабПозиции[[#This Row],[deliverySumm]]+ТабПозиции[[#This Row],[deliveryPost]],SUM(M2180:O2180))</f>
        <v>0</v>
      </c>
      <c r="R2180" s="62">
        <f>ТабПозиции[[#This Row],[totalSumm]]-ТабПозиции[[#This Row],[payment]]</f>
        <v>0</v>
      </c>
      <c r="S2180" s="34"/>
      <c r="T2180" s="56" t="s">
        <v>3062</v>
      </c>
      <c r="U2180" s="56" t="str">
        <f>IF(AND(ТабПозиции[[#This Row],[Остаток]]=0,ТабПозиции[[#This Row],[ord]]="true"),"true","false")</f>
        <v>false</v>
      </c>
      <c r="V2180" s="56" t="s">
        <v>3062</v>
      </c>
    </row>
    <row r="2181" spans="1:22" x14ac:dyDescent="0.25">
      <c r="B2181" s="1" t="str">
        <f>IFERROR(VLOOKUP(ТабПозиции[[#This Row],[orderNum]],ТабЗаказы[#Data],MATCH(B$7,ТабЗаказы[#Headers],0),0),"")</f>
        <v/>
      </c>
      <c r="C2181" s="95" t="e">
        <f>MONTH(ТабПозиции[[#This Row],[date]])&amp;"/"&amp;YEAR(ТабПозиции[[#This Row],[date]])</f>
        <v>#VALUE!</v>
      </c>
      <c r="D2181" s="1" t="str">
        <f>IFERROR(VLOOKUP(ТабПозиции[[#This Row],[orderNum]],ТабЗаказы[#Data],MATCH(D$7,ТабЗаказы[#Headers],0),0),"")</f>
        <v/>
      </c>
      <c r="H2181" s="34"/>
      <c r="I2181" s="96"/>
      <c r="J2181" s="96"/>
      <c r="K2181">
        <f>ТабПозиции[[#This Row],[discountPrice]]*ТабПозиции[[#This Row],[quantity]]</f>
        <v>0</v>
      </c>
      <c r="M2181">
        <f t="shared" si="52"/>
        <v>0</v>
      </c>
      <c r="N2181" s="96"/>
      <c r="O2181" t="str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Row],[orderNum]],ТабПозиции[orderSumm])&gt;1500),ABS(M2181*VLOOKUP(ТабПозиции[[#This Row],[orderNum]],ТабЗаказы[#Data],MATCH("Percent",ТабЗаказы[#Headers],0),0))/100,200/COUNTIF(ТабПозиции[orderNum],ТабПозиции[[#This Row],[orderNum]])),0),"")</f>
        <v/>
      </c>
      <c r="P2181" s="95">
        <f>IF(OR(ТабПозиции[[#This Row],[item]]="По штрихкоду",ТабПозиции[[#This Row],[item]]="Посылка"),ТабПозиции[[#This Row],[deliverySumm]]+ТабПозиции[[#This Row],[deliveryPost]],SUM(M2181:O2181))</f>
        <v>0</v>
      </c>
      <c r="R2181" s="62">
        <f>ТабПозиции[[#This Row],[totalSumm]]-ТабПозиции[[#This Row],[payment]]</f>
        <v>0</v>
      </c>
      <c r="S2181" s="34"/>
      <c r="T2181" s="56" t="s">
        <v>3062</v>
      </c>
      <c r="U2181" s="56" t="str">
        <f>IF(AND(ТабПозиции[[#This Row],[Остаток]]=0,ТабПозиции[[#This Row],[ord]]="true"),"true","false")</f>
        <v>false</v>
      </c>
      <c r="V2181" s="56" t="s">
        <v>3062</v>
      </c>
    </row>
    <row r="2182" spans="1:22" x14ac:dyDescent="0.25">
      <c r="B2182" s="1" t="str">
        <f>IFERROR(VLOOKUP(ТабПозиции[[#This Row],[orderNum]],ТабЗаказы[#Data],MATCH(B$7,ТабЗаказы[#Headers],0),0),"")</f>
        <v/>
      </c>
      <c r="C2182" s="95" t="e">
        <f>MONTH(ТабПозиции[[#This Row],[date]])&amp;"/"&amp;YEAR(ТабПозиции[[#This Row],[date]])</f>
        <v>#VALUE!</v>
      </c>
      <c r="D2182" s="1" t="str">
        <f>IFERROR(VLOOKUP(ТабПозиции[[#This Row],[orderNum]],ТабЗаказы[#Data],MATCH(D$7,ТабЗаказы[#Headers],0),0),"")</f>
        <v/>
      </c>
      <c r="H2182" s="34"/>
      <c r="I2182" s="96"/>
      <c r="J2182" s="96"/>
      <c r="K2182">
        <f>ТабПозиции[[#This Row],[discountPrice]]*ТабПозиции[[#This Row],[quantity]]</f>
        <v>0</v>
      </c>
      <c r="M2182">
        <f t="shared" si="52"/>
        <v>0</v>
      </c>
      <c r="N2182" s="96"/>
      <c r="O2182" t="str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Row],[orderNum]],ТабПозиции[orderSumm])&gt;1500),ABS(M2182*VLOOKUP(ТабПозиции[[#This Row],[orderNum]],ТабЗаказы[#Data],MATCH("Percent",ТабЗаказы[#Headers],0),0))/100,200/COUNTIF(ТабПозиции[orderNum],ТабПозиции[[#This Row],[orderNum]])),0),"")</f>
        <v/>
      </c>
      <c r="P2182" s="95">
        <f>IF(OR(ТабПозиции[[#This Row],[item]]="По штрихкоду",ТабПозиции[[#This Row],[item]]="Посылка"),ТабПозиции[[#This Row],[deliverySumm]]+ТабПозиции[[#This Row],[deliveryPost]],SUM(M2182:O2182))</f>
        <v>0</v>
      </c>
      <c r="R2182" s="62">
        <f>ТабПозиции[[#This Row],[totalSumm]]-ТабПозиции[[#This Row],[payment]]</f>
        <v>0</v>
      </c>
      <c r="S2182" s="34"/>
      <c r="T2182" s="56" t="s">
        <v>3062</v>
      </c>
      <c r="U2182" s="56" t="str">
        <f>IF(AND(ТабПозиции[[#This Row],[Остаток]]=0,ТабПозиции[[#This Row],[ord]]="true"),"true","false")</f>
        <v>false</v>
      </c>
      <c r="V2182" s="56" t="s">
        <v>3062</v>
      </c>
    </row>
    <row r="2183" spans="1:22" x14ac:dyDescent="0.25">
      <c r="B2183" s="1" t="str">
        <f>IFERROR(VLOOKUP(ТабПозиции[[#This Row],[orderNum]],ТабЗаказы[#Data],MATCH(B$7,ТабЗаказы[#Headers],0),0),"")</f>
        <v/>
      </c>
      <c r="C2183" s="95" t="e">
        <f>MONTH(ТабПозиции[[#This Row],[date]])&amp;"/"&amp;YEAR(ТабПозиции[[#This Row],[date]])</f>
        <v>#VALUE!</v>
      </c>
      <c r="D2183" s="1" t="str">
        <f>IFERROR(VLOOKUP(ТабПозиции[[#This Row],[orderNum]],ТабЗаказы[#Data],MATCH(D$7,ТабЗаказы[#Headers],0),0),"")</f>
        <v/>
      </c>
      <c r="H2183" s="34"/>
      <c r="I2183" s="96"/>
      <c r="J2183" s="96"/>
      <c r="K2183">
        <f>ТабПозиции[[#This Row],[discountPrice]]*ТабПозиции[[#This Row],[quantity]]</f>
        <v>0</v>
      </c>
      <c r="M2183">
        <f t="shared" si="52"/>
        <v>0</v>
      </c>
      <c r="N2183" s="96"/>
      <c r="O2183" t="str">
        <f>IFERROR(ROUND(IF(OR(SUMIF(ТабПозиции[orderNum],ТабПозиции[[#This Row],[orderNum]],ТабПозиции[orderSumm])&lt;-1500,SUMIF(ТабПозиции[orderNum],ТабПозиции[[#This Row],[orderNum]],ТабПозиции[orderSumm])&gt;1500),ABS(M2183*VLOOKUP(ТабПозиции[[#This Row],[orderNum]],ТабЗаказы[#Data],MATCH("Percent",ТабЗаказы[#Headers],0),0))/100,200/COUNTIF(ТабПозиции[orderNum],ТабПозиции[[#This Row],[orderNum]])),0),"")</f>
        <v/>
      </c>
      <c r="P2183" s="95">
        <f>IF(OR(ТабПозиции[[#This Row],[item]]="По штрихкоду",ТабПозиции[[#This Row],[item]]="Посылка"),ТабПозиции[[#This Row],[deliverySumm]]+ТабПозиции[[#This Row],[deliveryPost]],SUM(M2183:O2183))</f>
        <v>0</v>
      </c>
      <c r="R2183" s="62">
        <f>ТабПозиции[[#This Row],[totalSumm]]-ТабПозиции[[#This Row],[payment]]</f>
        <v>0</v>
      </c>
      <c r="S2183" s="34"/>
      <c r="T2183" s="56" t="s">
        <v>3062</v>
      </c>
      <c r="U2183" s="56" t="str">
        <f>IF(AND(ТабПозиции[[#This Row],[Остаток]]=0,ТабПозиции[[#This Row],[ord]]="true"),"true","false")</f>
        <v>false</v>
      </c>
      <c r="V2183" s="56" t="s">
        <v>3062</v>
      </c>
    </row>
    <row r="2184" spans="1:22" x14ac:dyDescent="0.25">
      <c r="A2184" s="26" t="s">
        <v>520</v>
      </c>
      <c r="I2184" s="26">
        <f>SUBTOTAL(103,ТабПозиции[quantity])</f>
        <v>2149</v>
      </c>
      <c r="K2184">
        <f>SUBTOTAL(109,ТабПозиции[discountSumm])</f>
        <v>3533519</v>
      </c>
      <c r="M2184">
        <f>SUBTOTAL(109,ТабПозиции[orderSumm])</f>
        <v>3893226</v>
      </c>
      <c r="N2184" s="26">
        <f>SUBTOTAL(109,ТабПозиции[deliveryPost])</f>
        <v>66152.25</v>
      </c>
      <c r="O2184">
        <f>SUBTOTAL(109,ТабПозиции[deliverySumm])</f>
        <v>470524</v>
      </c>
      <c r="P2184">
        <f>SUBTOTAL(109,ТабПозиции[totalSumm])</f>
        <v>2385181.25</v>
      </c>
      <c r="Q2184" s="57">
        <f>SUBTOTAL(109,ТабПозиции[payment])</f>
        <v>2379188.25</v>
      </c>
      <c r="R2184" s="62">
        <f>SUBTOTAL(109,ТабПозиции[Остаток])</f>
        <v>5993</v>
      </c>
      <c r="V2184" s="56"/>
    </row>
  </sheetData>
  <sheetProtection formatCells="0" formatColumns="0" formatRows="0" insertHyperlinks="0" selectLockedCells="1" sort="0" autoFilter="0"/>
  <conditionalFormatting sqref="A1:XFD1048576">
    <cfRule type="expression" dxfId="15" priority="402">
      <formula>A1="true"</formula>
    </cfRule>
  </conditionalFormatting>
  <hyperlinks>
    <hyperlink ref="E10" r:id="rId1" xr:uid="{96D0BDF3-6D66-43C0-8C27-27FC94E82C89}"/>
    <hyperlink ref="E8" r:id="rId2" xr:uid="{AA4908E4-7A67-4715-BD46-F3981CAE0235}"/>
    <hyperlink ref="E11" r:id="rId3" xr:uid="{579E6111-EF0A-4397-AE93-CD1684F180FE}"/>
    <hyperlink ref="E12" r:id="rId4" xr:uid="{48929045-4B17-4611-AD66-1DF7B6B5BD8F}"/>
    <hyperlink ref="E13" r:id="rId5" xr:uid="{FB97FC57-C03D-4D5F-9FBC-A839080F7454}"/>
    <hyperlink ref="E16" r:id="rId6" xr:uid="{11F15BF4-D597-4599-9E2C-6F4A94387309}"/>
    <hyperlink ref="E14" r:id="rId7" xr:uid="{34638CA0-6F81-4DFA-886E-B3602631208E}"/>
    <hyperlink ref="E15" r:id="rId8" xr:uid="{F1FBAF8D-D3C7-4B4D-9CC6-05F1FBB760BA}"/>
    <hyperlink ref="E17" r:id="rId9" xr:uid="{519F4831-0111-40DD-8B09-06A559B6B57B}"/>
    <hyperlink ref="E18" r:id="rId10" xr:uid="{240FEE11-DBC0-4F82-A1DB-D64300B02F7B}"/>
    <hyperlink ref="E19" r:id="rId11" xr:uid="{F605EEB2-32BF-469E-9175-44FC08967A3D}"/>
    <hyperlink ref="E20" r:id="rId12" xr:uid="{446E8296-350C-44C9-8F02-EC2075BAF965}"/>
    <hyperlink ref="E22" r:id="rId13" xr:uid="{F2F1ADE5-04C9-4161-9B05-350B615FFB32}"/>
    <hyperlink ref="E23" r:id="rId14" xr:uid="{E263380A-DADE-418A-8F03-66E98A0A0D76}"/>
    <hyperlink ref="E21" r:id="rId15" xr:uid="{0DD2B84D-6567-4212-82DD-300EC1F11A69}"/>
    <hyperlink ref="E24" r:id="rId16" xr:uid="{192F6A4E-D343-461D-A660-74DC0842A550}"/>
    <hyperlink ref="E25" r:id="rId17" xr:uid="{C5F7AE6A-0792-4F41-B6AF-FC1F2EE0C703}"/>
    <hyperlink ref="E26" r:id="rId18" xr:uid="{AB2A97DC-F0D2-47C0-BA27-A65339ECE3CD}"/>
    <hyperlink ref="E27" r:id="rId19" xr:uid="{E31CCEAB-9820-4F0B-963E-8B0DFD3F8DB5}"/>
    <hyperlink ref="E9" r:id="rId20" xr:uid="{83397DEE-CE90-4001-9DF9-C84E751304C3}"/>
    <hyperlink ref="E29" r:id="rId21" xr:uid="{717A021E-215A-4839-9B20-7AEB80FCE5C8}"/>
    <hyperlink ref="E30" r:id="rId22" xr:uid="{49909CB4-0D6B-4089-9D36-9A708892F284}"/>
    <hyperlink ref="E31" r:id="rId23" xr:uid="{B3642330-C2E4-48F0-B267-03AF221AC429}"/>
    <hyperlink ref="E32" r:id="rId24" xr:uid="{0B6A6CA6-98BC-4040-9C95-2259B7E8AC40}"/>
    <hyperlink ref="E33" r:id="rId25" display="Мартин Иден" xr:uid="{44922301-5E50-4976-9AD7-1786123BDCFB}"/>
    <hyperlink ref="E34" r:id="rId26" display="Флажки закладки" xr:uid="{FD623D85-EBEA-4774-8D0D-D7B3AD231016}"/>
    <hyperlink ref="E35" r:id="rId27" xr:uid="{EC71D6E0-1087-4FB1-9930-4F2C4521A153}"/>
    <hyperlink ref="E36" r:id="rId28" xr:uid="{B4CDB840-A8FA-4DEB-915D-83BBE4D00752}"/>
    <hyperlink ref="E37" r:id="rId29" xr:uid="{BF46B8EE-984B-434B-9853-359C9F193047}"/>
    <hyperlink ref="E38" r:id="rId30" xr:uid="{845430B0-A522-4A15-8FC7-76095C313924}"/>
    <hyperlink ref="E39" location="Наушники беспроводные APods Pro 2 копия iphone android,  https://www.wildberries.ru/catalog/170005488/detail.aspx" display="Наушники" xr:uid="{3544AC52-3A74-4F5A-BD6D-4EFA653C9B72}"/>
    <hyperlink ref="E42" r:id="rId31" xr:uid="{A7F2C0CC-ADE1-49F8-A157-EF281AD82F8A}"/>
    <hyperlink ref="E43" r:id="rId32" xr:uid="{11653187-C41F-43F9-890F-615CC43987C4}"/>
    <hyperlink ref="E44" r:id="rId33" display="Рюкзак" xr:uid="{B69264F9-51C1-4691-B83C-5C805B33A833}"/>
    <hyperlink ref="E41" r:id="rId34" xr:uid="{6B9F2379-4D1F-4C5D-9677-0B622769CCAC}"/>
    <hyperlink ref="E45" r:id="rId35" xr:uid="{B29252CB-4F4F-4ED0-A6B8-CFB5E19E9078}"/>
    <hyperlink ref="E46" r:id="rId36" xr:uid="{3D308138-BADA-40A5-AD02-735E31F1F11B}"/>
    <hyperlink ref="E48" r:id="rId37" display="Прикормка для рыбалки" xr:uid="{542B6B59-0EFB-4294-8D5D-E1D0C531EEBA}"/>
    <hyperlink ref="E49" r:id="rId38" xr:uid="{12998AA4-DFE6-4653-8FC3-337429270BFA}"/>
    <hyperlink ref="E47" r:id="rId39" xr:uid="{DB7FE197-09B0-456F-B869-BCE51B7A2DCC}"/>
    <hyperlink ref="E50" r:id="rId40" xr:uid="{BF555E95-BFCB-4002-BA7B-863479EE26C0}"/>
    <hyperlink ref="E51" r:id="rId41" xr:uid="{92A96988-8B68-4978-B5FA-0E3E4019C273}"/>
    <hyperlink ref="E52" r:id="rId42" xr:uid="{F688FAA7-B989-4B8F-9EDF-936D3324752B}"/>
    <hyperlink ref="E53" r:id="rId43" display="Discreet" xr:uid="{288E7975-CB37-48F8-B07E-658ADD84AF91}"/>
    <hyperlink ref="E54" r:id="rId44" xr:uid="{1F692DCA-277E-41D9-95AF-EB54FF8B3493}"/>
    <hyperlink ref="E55" r:id="rId45" display="Discreet 0%" xr:uid="{BBA22DFE-BAF1-448C-BBD7-37CB20482D6A}"/>
    <hyperlink ref="E56" r:id="rId46" xr:uid="{59F99374-BC21-4D5B-93D4-FC473F4AEED7}"/>
    <hyperlink ref="E57" r:id="rId47" display="Ккрепление для телека" xr:uid="{266006B2-62CA-49D2-9B3E-E9FA937DABF2}"/>
    <hyperlink ref="E58" r:id="rId48" xr:uid="{A508A1CB-1009-4ADE-AC50-964F02879910}"/>
    <hyperlink ref="E59" r:id="rId49" xr:uid="{83369E93-EA95-45D3-8585-2D885D564F1F}"/>
    <hyperlink ref="E60" r:id="rId50" xr:uid="{FEB1FCE7-4FAE-4487-9B65-0E4113847A1F}"/>
    <hyperlink ref="E61" r:id="rId51" xr:uid="{0ECD4C0C-9DA8-441B-B659-E8177A89C812}"/>
    <hyperlink ref="E62" r:id="rId52" xr:uid="{BD9C4536-D5D0-44B2-AA6F-A7A588CDC4B1}"/>
    <hyperlink ref="E63" r:id="rId53" xr:uid="{FA4900F9-A229-4628-9EC2-4810B3C8C66A}"/>
    <hyperlink ref="E64" r:id="rId54" xr:uid="{D98252C8-A4BB-4C93-987F-364480BFFC0F}"/>
    <hyperlink ref="E65" r:id="rId55" xr:uid="{15EC7A42-8BBD-4633-80C4-EE98FC67DF68}"/>
    <hyperlink ref="E66" r:id="rId56" xr:uid="{B8F88ECB-CF58-4139-B0F0-EB1319126409}"/>
    <hyperlink ref="E67" r:id="rId57" xr:uid="{2C258010-B283-437F-8545-AFA0807FB952}"/>
    <hyperlink ref="E74" r:id="rId58" xr:uid="{88103AE5-A91C-48C0-8161-8603BE52731D}"/>
    <hyperlink ref="E75" r:id="rId59" xr:uid="{50911657-9835-4B6D-8D28-00058C6D17A8}"/>
    <hyperlink ref="E76" r:id="rId60" xr:uid="{2D1D443D-6054-4B1D-B335-4A304B07B3FA}"/>
    <hyperlink ref="E77" r:id="rId61" display="Маркеры с губикой 8 шт" xr:uid="{3F1EBC40-DA5D-4A17-B707-C4D17433CF5E}"/>
    <hyperlink ref="E78" r:id="rId62" xr:uid="{7B367524-48E4-4A3C-B626-3DF5E471F6D1}"/>
    <hyperlink ref="E79" r:id="rId63" xr:uid="{4218AD72-2842-44CE-BD67-B7EBFC6B7FC2}"/>
    <hyperlink ref="E80" r:id="rId64" xr:uid="{11E39380-3260-45F6-BAC8-98830DD6F79D}"/>
    <hyperlink ref="E81" r:id="rId65" xr:uid="{8250EA5B-4779-4EF5-ACA5-FB7404AA8DC9}"/>
    <hyperlink ref="E82" r:id="rId66" xr:uid="{6E3AD4C4-7D34-42A9-A8FF-12A4F433BD73}"/>
    <hyperlink ref="E83" r:id="rId67" xr:uid="{C5F1406C-95BC-49E7-BFEC-119A17A0F54B}"/>
    <hyperlink ref="E87" r:id="rId68" xr:uid="{7082605A-CC48-4235-9888-A396279F76A7}"/>
    <hyperlink ref="E90" r:id="rId69" xr:uid="{89B8A96B-FAAC-4038-B67A-2A57E198BE03}"/>
    <hyperlink ref="E89" r:id="rId70" xr:uid="{3172A632-1244-4CE6-9776-5C30BA605229}"/>
    <hyperlink ref="E72" r:id="rId71" xr:uid="{40AACD6B-1C92-487E-B27B-E929937C9AFD}"/>
    <hyperlink ref="E73" r:id="rId72" display="Ершики зубные" xr:uid="{6389A47B-04AB-4417-9F96-FBE7F8741537}"/>
    <hyperlink ref="E92" r:id="rId73" xr:uid="{6D5B7ABA-EABD-4495-B4C8-582838F745BD}"/>
    <hyperlink ref="E99" r:id="rId74" xr:uid="{CBD79FE0-A0ED-408A-99DC-3D06D7BCFE10}"/>
    <hyperlink ref="E97" r:id="rId75" xr:uid="{6E3D3DE3-5A4A-4A78-9DD2-EAF168D55B6D}"/>
    <hyperlink ref="E98" r:id="rId76" xr:uid="{5C39EC34-05B6-4197-BB9F-BD71D85949DC}"/>
    <hyperlink ref="E100" r:id="rId77" xr:uid="{38D2ADC7-FBB1-4206-9FD0-C761C5B7BABA}"/>
    <hyperlink ref="E101" r:id="rId78" xr:uid="{A4E3CD7F-CC51-4310-BE04-F7137EFF6C7D}"/>
    <hyperlink ref="E103" r:id="rId79" xr:uid="{4D4D4615-B04B-4F90-A6F3-702505F0D524}"/>
    <hyperlink ref="E102" r:id="rId80" xr:uid="{ABD70DD2-E8B6-4EAD-A598-B14D67DD4301}"/>
    <hyperlink ref="E104" r:id="rId81" xr:uid="{3E4B58B6-4CB2-4245-B76B-D03516208844}"/>
    <hyperlink ref="E105" r:id="rId82" xr:uid="{EE0C94E4-E0FD-48FA-B73B-2FEC6207F5D3}"/>
    <hyperlink ref="E108" r:id="rId83" xr:uid="{6479C845-7CD9-4752-AFE8-A40C1572EF8F}"/>
    <hyperlink ref="E107" r:id="rId84" xr:uid="{9140C1FD-22E0-4D79-8F33-974D361DD8E6}"/>
    <hyperlink ref="E106" r:id="rId85" xr:uid="{3055B5C5-7EE4-49DC-AD75-8BCA948200DD}"/>
    <hyperlink ref="E109" r:id="rId86" xr:uid="{10DC37DB-3D01-4882-B084-BE3DCC1F6AC8}"/>
    <hyperlink ref="E110" r:id="rId87" display="Павловский платок" xr:uid="{F21132C2-11A0-44B1-B937-0DB307C3F39F}"/>
    <hyperlink ref="E111" r:id="rId88" xr:uid="{2A562DB2-8C31-4C10-8AF3-B63FC06807A5}"/>
    <hyperlink ref="E112" r:id="rId89" xr:uid="{7CBB87FE-DBC5-479E-8EB8-059FB71397A3}"/>
    <hyperlink ref="E113" r:id="rId90" xr:uid="{9ED467FC-CA37-4294-B874-6B32844CB987}"/>
    <hyperlink ref="E114" r:id="rId91" xr:uid="{4C045BC8-D28C-4211-8A9E-2372FF3E3BD3}"/>
    <hyperlink ref="E115" r:id="rId92" xr:uid="{69E8E75D-A840-4609-9E94-D780E7916F98}"/>
    <hyperlink ref="E116" r:id="rId93" xr:uid="{CBF9D3F1-F6FB-4E76-AE9C-9D40C1064943}"/>
    <hyperlink ref="E117" r:id="rId94" xr:uid="{D8576B7A-17F3-415A-9A2F-BD3DCC8245B1}"/>
    <hyperlink ref="E118" r:id="rId95" xr:uid="{BA6263AA-9B1F-4D66-8FE1-A57059C0ADA8}"/>
    <hyperlink ref="E119" r:id="rId96" xr:uid="{6AB44C05-F066-417B-A5AE-655D7AB826AB}"/>
    <hyperlink ref="E120" r:id="rId97" xr:uid="{06655796-0498-4DB1-BB94-D5853564C4A0}"/>
    <hyperlink ref="E121" r:id="rId98" xr:uid="{80D93A5C-4E3B-45FE-9635-C48DFD7E08E7}"/>
    <hyperlink ref="E122" r:id="rId99" xr:uid="{C0537CF6-853D-4891-B250-5D3E7C60A8AD}"/>
    <hyperlink ref="E124" r:id="rId100" xr:uid="{DD366725-A940-4564-A76E-BF418DF58EDD}"/>
    <hyperlink ref="E123" r:id="rId101" xr:uid="{2B916540-B9E8-48A7-85E9-CD5D7E920753}"/>
    <hyperlink ref="E125" r:id="rId102" xr:uid="{78ED7F43-F9F9-4238-811F-CAFC43A5FF93}"/>
    <hyperlink ref="E126" r:id="rId103" xr:uid="{67D86CCD-75C3-4A35-9BDA-A4CC68DBF722}"/>
    <hyperlink ref="E127" r:id="rId104" xr:uid="{B0161D17-7CA7-437C-B644-F59B9D4C3F3F}"/>
    <hyperlink ref="E128" r:id="rId105" xr:uid="{CD2FD527-C11C-4AF0-B6D4-2B71B2DBE1DB}"/>
    <hyperlink ref="E129" r:id="rId106" xr:uid="{55B8EFFE-FEC8-446E-82C4-A8503D7525B9}"/>
    <hyperlink ref="E130" r:id="rId107" xr:uid="{38C953DC-1BFA-4FE0-8F73-BACD68975A23}"/>
    <hyperlink ref="E131" r:id="rId108" xr:uid="{A2A9424C-E8A7-454B-AEEE-16EDF9F178EF}"/>
    <hyperlink ref="E132" r:id="rId109" xr:uid="{5DBA2334-E901-42FB-9FFE-D77820EA2872}"/>
    <hyperlink ref="E133" r:id="rId110" xr:uid="{0345BA2A-49D1-47AD-9BD6-613A67F01A8E}"/>
    <hyperlink ref="E134" r:id="rId111" xr:uid="{87700629-581B-4FFA-8C64-A80403F75B38}"/>
    <hyperlink ref="E145" r:id="rId112" xr:uid="{EF01C723-97CE-408A-A9B0-EDC477366DFB}"/>
    <hyperlink ref="E151" r:id="rId113" xr:uid="{FB544D9D-9FBA-474B-9C9B-63AE7EC90CD1}"/>
    <hyperlink ref="E150" r:id="rId114" xr:uid="{C479AF81-8C85-4F64-8190-DFDC14728567}"/>
    <hyperlink ref="E148" r:id="rId115" xr:uid="{81A25D26-9509-4246-A7EB-ECA73DA6DA35}"/>
    <hyperlink ref="E147" r:id="rId116" xr:uid="{DB4C7489-C128-4C35-87A0-247931315DCA}"/>
    <hyperlink ref="E146" r:id="rId117" xr:uid="{E7791C24-9F84-4387-BDA8-96100B191C83}"/>
    <hyperlink ref="E152" r:id="rId118" xr:uid="{55F5EB68-AC8E-4D2D-A1EB-BA946396756D}"/>
    <hyperlink ref="E153" r:id="rId119" xr:uid="{9DF9E67F-478A-4844-A997-6A1FE42F8D53}"/>
    <hyperlink ref="E154" r:id="rId120" xr:uid="{D7247AF9-3D71-4B33-B285-B2B7D0FCBD3D}"/>
    <hyperlink ref="E149" r:id="rId121" xr:uid="{826A8191-D6DD-4C13-A2B7-6956FFFF3E19}"/>
    <hyperlink ref="E155" r:id="rId122" xr:uid="{584458DE-7CAD-417C-8C52-B962A99707C4}"/>
    <hyperlink ref="E156" r:id="rId123" xr:uid="{40F40989-38DD-4B18-A4C7-85129B38B5AC}"/>
    <hyperlink ref="E157" r:id="rId124" xr:uid="{110B2E6D-ADF9-421F-BB6A-D5F6A860C641}"/>
    <hyperlink ref="E158" r:id="rId125" xr:uid="{B3AD6D2F-B88E-46FD-B27D-390C6A87D16D}"/>
    <hyperlink ref="E159" r:id="rId126" xr:uid="{3091AF0F-F54A-41AF-8781-BC0F9A21D6BD}"/>
    <hyperlink ref="E160" r:id="rId127" xr:uid="{9B7EC764-FDC2-43BA-8672-3E8BA6A3883F}"/>
    <hyperlink ref="E163" r:id="rId128" xr:uid="{B327B535-F8EB-4EC0-A749-5933BE423B6D}"/>
    <hyperlink ref="E164" r:id="rId129" xr:uid="{07251F5A-A5F9-497C-BE60-178016F9E773}"/>
    <hyperlink ref="E165" r:id="rId130" xr:uid="{C161EA50-D461-4C79-B340-F397356B2F5A}"/>
    <hyperlink ref="E166" r:id="rId131" xr:uid="{B973C4A9-7993-4D93-AB4A-D4BC4F19D3CE}"/>
    <hyperlink ref="E167" r:id="rId132" xr:uid="{7026895C-6E01-4D1C-98BA-7D8A22104728}"/>
    <hyperlink ref="E168" r:id="rId133" xr:uid="{89884E53-F15D-491F-9085-C09DD7B0D583}"/>
    <hyperlink ref="E169" r:id="rId134" xr:uid="{5981A23F-08E4-41EA-AA5D-7E3F62247318}"/>
    <hyperlink ref="E170" r:id="rId135" xr:uid="{C0B708FA-F8EB-4CEA-8E1D-540AA9CA0CDC}"/>
    <hyperlink ref="E171" r:id="rId136" xr:uid="{88E09A4D-BF25-4F28-B928-A81D1A3921C6}"/>
    <hyperlink ref="E172" r:id="rId137" xr:uid="{8259254E-006D-4BF4-8E0A-260AD4750E9C}"/>
    <hyperlink ref="E174" r:id="rId138" xr:uid="{9E6E7A6B-8467-4E18-BE40-B710017A0703}"/>
    <hyperlink ref="E175" r:id="rId139" xr:uid="{EC772827-B7DC-4339-8426-591DFF2F4C3F}"/>
    <hyperlink ref="E176" r:id="rId140" xr:uid="{58FF2D37-231D-4258-A56D-DED582D6D96E}"/>
    <hyperlink ref="E177" r:id="rId141" xr:uid="{0C9A3781-F1EF-48AD-A852-923975BA222F}"/>
    <hyperlink ref="E178" r:id="rId142" xr:uid="{7ACB3297-DA0B-45A5-A1E5-8ADCF4FCDB0A}"/>
    <hyperlink ref="E179" r:id="rId143" xr:uid="{82045E55-4AD4-4742-A6DB-1E8F63525F95}"/>
    <hyperlink ref="E180" r:id="rId144" xr:uid="{2EC8B016-3029-4643-AD72-0FB4A07E2D7E}"/>
    <hyperlink ref="E181" r:id="rId145" xr:uid="{67D666BB-C099-4798-9835-1054B9B4866B}"/>
    <hyperlink ref="E182" r:id="rId146" xr:uid="{A95A341D-CD98-4A03-9346-4AABFD32FDD1}"/>
    <hyperlink ref="E183" r:id="rId147" xr:uid="{0626563A-8297-40A1-A148-880C58B4F86D}"/>
    <hyperlink ref="E184" r:id="rId148" xr:uid="{7A91DB47-C585-4E98-83DF-A06533E0F0FD}"/>
    <hyperlink ref="E185" r:id="rId149" xr:uid="{1A08B5A0-5683-4822-A00B-6986F9190A2D}"/>
    <hyperlink ref="E186" r:id="rId150" xr:uid="{1A411AB4-8963-42F5-9DDD-F2B4708B0A04}"/>
    <hyperlink ref="E187" r:id="rId151" xr:uid="{4F4AF923-A87F-4391-B1B1-20A1FF2B12A7}"/>
    <hyperlink ref="E188" r:id="rId152" xr:uid="{ED5A9E0F-0B83-40B9-A3BC-7167B236753F}"/>
    <hyperlink ref="E189" r:id="rId153" xr:uid="{647A0409-C894-46C5-B076-B1D5AC0682E5}"/>
    <hyperlink ref="E190" r:id="rId154" xr:uid="{D604AFE0-10BA-4CB5-927A-FD5EC0E0263D}"/>
    <hyperlink ref="E191" r:id="rId155" xr:uid="{AE81B07D-9E86-4C7F-AEF5-5EBF0A99E687}"/>
    <hyperlink ref="E193" r:id="rId156" xr:uid="{D9E97DBD-8365-4B75-B10B-403B7E3E0A2B}"/>
    <hyperlink ref="E192" r:id="rId157" xr:uid="{E6DB48F2-BCC3-43F7-A3CB-A38D6A24CFD5}"/>
    <hyperlink ref="E194" r:id="rId158" xr:uid="{919FB86A-2679-4210-88A4-842862C28982}"/>
    <hyperlink ref="E195" r:id="rId159" xr:uid="{83E343E2-F02D-440A-B063-6081D96A9ABE}"/>
    <hyperlink ref="E196" r:id="rId160" xr:uid="{0C9A35CE-4A4D-48C7-8CAD-9E210D25FBAD}"/>
    <hyperlink ref="E197" r:id="rId161" xr:uid="{BA4009DF-5722-4074-86C1-C3CC80FDBEF6}"/>
    <hyperlink ref="E200" r:id="rId162" display="Пряжа Пехорка Детская" xr:uid="{8B50B2E5-1FE6-4E8E-9536-04C3B64DF1CB}"/>
    <hyperlink ref="E201" r:id="rId163" xr:uid="{7FC77189-FB43-43D2-8897-3620BC819200}"/>
    <hyperlink ref="E204" r:id="rId164" xr:uid="{631E30C7-88EF-4758-8EF6-EB8AD1C30147}"/>
    <hyperlink ref="E203" r:id="rId165" xr:uid="{F1C8D8B0-8CED-4525-9C79-364962C27A73}"/>
    <hyperlink ref="E205" r:id="rId166" xr:uid="{3B7C704E-DD98-405B-BF90-8501FC10D0B9}"/>
    <hyperlink ref="E206" r:id="rId167" xr:uid="{08170223-BC1F-4082-AD27-A608806703E8}"/>
    <hyperlink ref="E207" r:id="rId168" xr:uid="{0F344C59-5BD5-4E8E-B7D5-B389E2F2EF04}"/>
    <hyperlink ref="E208" r:id="rId169" xr:uid="{8CDFDF8E-8206-43C3-8581-934562EE63B3}"/>
    <hyperlink ref="E209" r:id="rId170" xr:uid="{502503E7-FA34-444B-99FD-53CA7036D534}"/>
    <hyperlink ref="E210" r:id="rId171" xr:uid="{14BE7AEC-D6D2-4BFF-9705-3A7205089CEA}"/>
    <hyperlink ref="E211" r:id="rId172" xr:uid="{3B2855B7-A18F-45CE-8ED8-EB852710C130}"/>
    <hyperlink ref="E212" r:id="rId173" xr:uid="{C195B9EF-F60C-4821-A7D7-432F16D123E9}"/>
    <hyperlink ref="E213" r:id="rId174" xr:uid="{A3B4F1B3-8B4A-4F8D-ACD6-4A631960F820}"/>
    <hyperlink ref="E214" r:id="rId175" xr:uid="{0BEF193F-0522-44B6-964F-AC845CD2C500}"/>
    <hyperlink ref="E215" r:id="rId176" xr:uid="{D7A69DE2-EA21-48EB-A02C-5A987B19E7DB}"/>
    <hyperlink ref="E216" r:id="rId177" xr:uid="{B4F60F12-48F7-4E71-99D9-5E48291A8E94}"/>
    <hyperlink ref="E217" r:id="rId178" display="Чехол iPhone зеленый" xr:uid="{B898B270-3136-43EB-B699-543357C4420E}"/>
    <hyperlink ref="E218" r:id="rId179" xr:uid="{7718AC2F-3B4B-4B3C-A351-E9F005DE10AD}"/>
    <hyperlink ref="E219" r:id="rId180" display="Крем тональный" xr:uid="{DE9CE682-5F59-485C-8CA5-F4CBD57F779A}"/>
    <hyperlink ref="E220" r:id="rId181" xr:uid="{39AC1FE9-75D3-4CFF-971D-A7F5DFC0C02D}"/>
    <hyperlink ref="E221" r:id="rId182" xr:uid="{1FF81A47-62AC-475E-8096-D7D44E38BB6A}"/>
    <hyperlink ref="E222" r:id="rId183" xr:uid="{A74E5BF2-C52A-4CF0-8F4C-F9617D438050}"/>
    <hyperlink ref="E223" r:id="rId184" xr:uid="{46447C98-2003-4E79-A5C1-053D667793F1}"/>
    <hyperlink ref="E224" r:id="rId185" xr:uid="{D52D671E-020E-4FA8-B3BB-76CB2E7679D3}"/>
    <hyperlink ref="E225" r:id="rId186" display="Крабики заколка" xr:uid="{6204C843-BCF4-4B46-9230-B828DBA88846}"/>
    <hyperlink ref="E226" r:id="rId187" xr:uid="{D407BAFC-FFDF-4386-A935-A54A669F6BDF}"/>
    <hyperlink ref="E227" r:id="rId188" xr:uid="{9D240BCE-A38D-477B-A254-69F2D1FE146B}"/>
    <hyperlink ref="E228" r:id="rId189" xr:uid="{90E9612F-0275-44AB-B34D-6C6E8EB2E6CB}"/>
    <hyperlink ref="E229" r:id="rId190" xr:uid="{91ED7593-D376-41ED-ABF6-C8868731C8FB}"/>
    <hyperlink ref="E230" r:id="rId191" xr:uid="{485BDDCE-11D9-49FD-ACD8-5EA95BBA26ED}"/>
    <hyperlink ref="E233" r:id="rId192" xr:uid="{168EA0FD-DDA7-4536-84DF-2DBFBC88EC7F}"/>
    <hyperlink ref="E232" r:id="rId193" xr:uid="{903A83AC-FB3A-40A3-A141-BDB6DBCC43D9}"/>
    <hyperlink ref="E231" r:id="rId194" xr:uid="{3A9F2186-CAA0-4DCF-AFC4-23C5E71C220E}"/>
    <hyperlink ref="E234" r:id="rId195" xr:uid="{5B9061B5-8118-45D6-984D-87C036D887C5}"/>
    <hyperlink ref="E235" r:id="rId196" xr:uid="{03D44474-BFAA-45A8-87BA-10A20EA4C2AD}"/>
    <hyperlink ref="E236" r:id="rId197" xr:uid="{1C73A6F1-2FCF-4057-921D-9294D8BDDAFC}"/>
    <hyperlink ref="E237" r:id="rId198" xr:uid="{E175628D-8231-4BA2-96BD-5A6A5B2896AB}"/>
    <hyperlink ref="E238" r:id="rId199" xr:uid="{24FBCF5E-ECEC-47C3-8D13-82612EC60DD0}"/>
    <hyperlink ref="E239" r:id="rId200" xr:uid="{2B6A26EA-6C0D-409F-9631-B329C049B619}"/>
    <hyperlink ref="E240" r:id="rId201" xr:uid="{21572553-8EBB-46CB-8C1B-1D4871A0B351}"/>
    <hyperlink ref="E254" r:id="rId202" xr:uid="{AEC88525-D144-4ABB-8696-9BD464FF9151}"/>
    <hyperlink ref="E255" r:id="rId203" xr:uid="{D392B52A-9252-4079-8A6B-4669139993A7}"/>
    <hyperlink ref="E256" r:id="rId204" xr:uid="{7FF711CF-121C-4802-8593-6E7ABA1D419A}"/>
    <hyperlink ref="E257" r:id="rId205" xr:uid="{526434C0-8B7A-4328-982F-3BDC432B9D55}"/>
    <hyperlink ref="E258" r:id="rId206" xr:uid="{41A350F8-75A5-4D25-8483-260FE6C3A746}"/>
    <hyperlink ref="E259" r:id="rId207" xr:uid="{E39753B8-EB03-40B7-A08C-7E591A928835}"/>
    <hyperlink ref="E260" r:id="rId208" xr:uid="{54B0F0B9-3773-4252-A883-129C676D1753}"/>
    <hyperlink ref="E262" r:id="rId209" xr:uid="{F39F2F79-7EE2-45E2-BD36-A1A011149560}"/>
    <hyperlink ref="E263" r:id="rId210" xr:uid="{2E63A843-6E39-45A0-B567-5FE80CF58608}"/>
    <hyperlink ref="E264" r:id="rId211" xr:uid="{D1810360-2065-4A10-85F3-542D6DE30C63}"/>
    <hyperlink ref="E261" r:id="rId212" xr:uid="{2F99D7DF-D03A-4F90-8E16-419C5E157F1B}"/>
    <hyperlink ref="E265" r:id="rId213" xr:uid="{83B53D33-1C2E-4EF0-8DBC-0C365C405E99}"/>
    <hyperlink ref="E266" r:id="rId214" xr:uid="{8425725A-F229-45C7-8CED-2DD36897481D}"/>
    <hyperlink ref="E267" r:id="rId215" xr:uid="{05C3AC83-B92B-43AB-8681-2FD95B655D0B}"/>
    <hyperlink ref="E268" r:id="rId216" xr:uid="{E0A6B51B-AFD8-4E8B-980C-143C29A18163}"/>
    <hyperlink ref="E269" r:id="rId217" xr:uid="{DA922C67-1EBA-4387-816C-0EDDBBF35E52}"/>
    <hyperlink ref="E270" r:id="rId218" xr:uid="{C075E626-BA7B-4899-8674-550B64894016}"/>
    <hyperlink ref="E271" r:id="rId219" xr:uid="{A24ABDE0-ACDA-48EE-9576-A8A48805C131}"/>
    <hyperlink ref="E272" r:id="rId220" xr:uid="{3F47819F-D976-457B-B5D5-589C42D2D000}"/>
    <hyperlink ref="E273" r:id="rId221" display="Коючки слесарные" xr:uid="{3049F753-DA7A-4BF9-B2DE-5F33AE5E7FDF}"/>
    <hyperlink ref="E274" r:id="rId222" xr:uid="{C11D4D6D-B36A-4C64-9D84-703F5070C9CA}"/>
    <hyperlink ref="E275" r:id="rId223" xr:uid="{BF946DED-EB84-43F9-A44F-B456D5C439CE}"/>
    <hyperlink ref="E276" r:id="rId224" xr:uid="{A7B5C361-F876-4E43-A354-FFC6C1E8131B}"/>
    <hyperlink ref="E277" location="Лазерный уровень 4D со штативом 16 лучей, Лазерный уровень 4D https://www.wildberries.ru/catalog/208316859/detail.aspx" display="Лазерный уровень" xr:uid="{98A3CCA8-4252-4314-BABA-3D41BAAC4A21}"/>
    <hyperlink ref="E278" location="Запертая гробница Книга 2 Харроу из Девятого дома, Эксмо https://www.wildberries.ru/catalog/166494224/detail.aspx" display="Книга запретная гробница" xr:uid="{668A208E-E589-456E-B3D3-6DE030310044}"/>
    <hyperlink ref="E279" location="Первому игроку приготовиться, Издательство АСТ https://www.wildberries.ru/catalog/197297119/detail.aspx" display="Книга первому игроку приготовиться" xr:uid="{4F03E9EA-E501-4FAA-AF29-CB127519DCC6}"/>
    <hyperlink ref="E280" location="Набор Царство греха+Царство проклятых+Царство страха, Издательство АСТ https://www.wildberries.ru/catalog/166888086/detail.aspx" display="Книга царство греха" xr:uid="{B391214E-E242-4498-BE57-9DA1F01B314B}"/>
    <hyperlink ref="E281" r:id="rId225" xr:uid="{B5FB65AA-71CC-47FB-A9C9-560137AC8254}"/>
    <hyperlink ref="E282" r:id="rId226" display="Платье трикотажное" xr:uid="{5E7F1194-6379-4CB3-975D-4918039E547E}"/>
    <hyperlink ref="E283" r:id="rId227" xr:uid="{7345C668-CA0D-4E1C-95C5-0063537DCCD3}"/>
    <hyperlink ref="E284" r:id="rId228" xr:uid="{F913BDF6-E204-4992-B7BF-B46BB884895D}"/>
    <hyperlink ref="E285" r:id="rId229" xr:uid="{99DB4F6B-0F0B-4429-8DB4-4FE8E690F6E4}"/>
    <hyperlink ref="E286" r:id="rId230" xr:uid="{0C20B17A-0C46-4A49-AE60-72BFF6811D4D}"/>
    <hyperlink ref="E287" r:id="rId231" xr:uid="{F165CEAD-1ECC-418D-AAC8-2CBE8B8C385D}"/>
    <hyperlink ref="E288" r:id="rId232" xr:uid="{A16626F1-A0B9-474A-878E-8E64B09FFC0C}"/>
    <hyperlink ref="E289" r:id="rId233" xr:uid="{726D2DCA-708A-49EC-94F7-AD3CA8A4FC02}"/>
    <hyperlink ref="E290" r:id="rId234" xr:uid="{80A05F5F-A5C4-446D-95D6-A430EE6EA6A5}"/>
    <hyperlink ref="E291" r:id="rId235" xr:uid="{FD0B957D-4768-4F69-AF2E-C109182F0883}"/>
    <hyperlink ref="E294" r:id="rId236" xr:uid="{42ACEF01-BA63-4C10-86A5-D22BC6F5C841}"/>
    <hyperlink ref="E295" r:id="rId237" display="Миксер уцхонный" xr:uid="{7E326FBB-B42A-4463-9C7A-27D1381DCF67}"/>
    <hyperlink ref="E296" r:id="rId238" xr:uid="{78262429-2B46-4CEF-896D-455E7706AE11}"/>
    <hyperlink ref="E297" r:id="rId239" xr:uid="{45F22A2F-1D58-4FB0-A9AB-A800ED16CD0D}"/>
    <hyperlink ref="E298" r:id="rId240" xr:uid="{7661542E-743F-4140-A679-189F66FE7577}"/>
    <hyperlink ref="E299" r:id="rId241" xr:uid="{8CDA01F9-80D6-4DE1-B8B1-BCAC9D711426}"/>
    <hyperlink ref="E300" r:id="rId242" display="Чехол для Teclast T50" xr:uid="{EBB08951-C7DF-44DE-8BBD-4B6122201860}"/>
    <hyperlink ref="E301" r:id="rId243" xr:uid="{104EF018-277F-427E-B81A-9BE3CE3C8B2A}"/>
    <hyperlink ref="E302" r:id="rId244" xr:uid="{C2D891EE-CF7B-4EB4-9E77-027873A73FFB}"/>
    <hyperlink ref="E303" r:id="rId245" xr:uid="{C471DE5E-5ED8-4370-854A-8529CD3DBA1A}"/>
    <hyperlink ref="E310" r:id="rId246" display="Набо шестигранников" xr:uid="{FAFDAC59-7214-47BE-AA44-6A2C9047CB39}"/>
    <hyperlink ref="E311" r:id="rId247" xr:uid="{166E4431-D477-47AA-AF57-CA188E9F2F5F}"/>
    <hyperlink ref="E312" r:id="rId248" xr:uid="{F7B97003-EBC8-4B43-BDFD-5A45E5E9C2B7}"/>
    <hyperlink ref="E313" r:id="rId249" xr:uid="{26E961AE-A9D4-4EBD-86B6-F6D667AC99FF}"/>
    <hyperlink ref="E314" r:id="rId250" xr:uid="{FE95866A-9831-4F61-AC4A-7346ED9420B8}"/>
    <hyperlink ref="E315" r:id="rId251" xr:uid="{E4CA30D8-8409-4DF0-BD39-9A2BAB051452}"/>
    <hyperlink ref="E316" r:id="rId252" xr:uid="{9BF0D9CD-330E-4A97-8EAC-E87DEBD8FF87}"/>
    <hyperlink ref="E317" r:id="rId253" xr:uid="{E52C55A2-99D4-41F4-97F5-06FB54E63FA0}"/>
    <hyperlink ref="E318" r:id="rId254" xr:uid="{E403ED3F-5CF6-4066-81BC-43B1B8C17684}"/>
    <hyperlink ref="E320" r:id="rId255" xr:uid="{231F184A-7644-422A-8381-77EBC8CCB205}"/>
    <hyperlink ref="E321" r:id="rId256" xr:uid="{D88A0E77-767B-49E4-B142-619246ABEE09}"/>
    <hyperlink ref="E322" r:id="rId257" xr:uid="{5BDFF19F-9C2D-4808-89BA-1765CE759861}"/>
    <hyperlink ref="E323" r:id="rId258" xr:uid="{7CFC02CC-EA49-4F11-9B5F-622C79207BD7}"/>
    <hyperlink ref="E319" r:id="rId259" xr:uid="{95F820A1-F511-4F92-8CB8-DCFE160B92EB}"/>
    <hyperlink ref="E327" r:id="rId260" xr:uid="{0F956EAA-2C16-4914-ABB3-B8AD6BA6E979}"/>
    <hyperlink ref="E328" r:id="rId261" xr:uid="{4148E179-2F6F-4FAE-8003-388EED81294A}"/>
    <hyperlink ref="E329" r:id="rId262" display="Пряжа плюшевая" xr:uid="{55DE974D-E7A7-47E0-A32B-CCD75F7979CB}"/>
    <hyperlink ref="E330" r:id="rId263" xr:uid="{7257555F-C6A3-46A3-8972-644175DEE395}"/>
    <hyperlink ref="E332" r:id="rId264" xr:uid="{3A0008DE-36EF-4CF4-A13D-FBD2783A3FBA}"/>
    <hyperlink ref="E333" r:id="rId265" display="помада стойкая 10 тон" xr:uid="{EB47F2BE-4374-4551-8EF3-F81F6CBFE2C0}"/>
    <hyperlink ref="E334" r:id="rId266" xr:uid="{79646861-874A-43D2-A23E-3349FD179F00}"/>
    <hyperlink ref="E335" r:id="rId267" xr:uid="{6507A6BE-937E-4AF4-8BD5-F71FC4EAE214}"/>
    <hyperlink ref="E336" r:id="rId268" xr:uid="{60E0E98F-8288-4E11-AFA7-FA7954B4C7DE}"/>
    <hyperlink ref="E337" r:id="rId269" xr:uid="{193E1373-F91E-4EBE-9091-2E422735BA4F}"/>
    <hyperlink ref="E338" r:id="rId270" xr:uid="{BDBB1C42-EBDB-47BD-947B-8EF161053745}"/>
    <hyperlink ref="E339" r:id="rId271" xr:uid="{DD396A11-6C46-49D3-A103-7A2B1304B4CF}"/>
    <hyperlink ref="E341" r:id="rId272" xr:uid="{13D93653-4D3B-4B34-8C83-EE3FA79B42C8}"/>
    <hyperlink ref="E342" r:id="rId273" xr:uid="{0A73503B-E652-492D-9FA3-07132D4EBF04}"/>
    <hyperlink ref="E343" r:id="rId274" xr:uid="{43BB7AD2-7B42-4E9E-9D4A-A89ABEC2ADDA}"/>
    <hyperlink ref="E344" r:id="rId275" xr:uid="{1CABA84A-0190-4C57-ADBC-1FAE1B12E3E5}"/>
    <hyperlink ref="E345" r:id="rId276" xr:uid="{604215F4-032E-4C82-A5D1-A024524B2FD9}"/>
    <hyperlink ref="E346" r:id="rId277" xr:uid="{E4157939-DFC0-4FFC-8D58-45392C7D7BD0}"/>
    <hyperlink ref="E340" r:id="rId278" display="Есть сила богатырская" xr:uid="{6B49D8A4-8465-4BBD-9C04-55B8FFF43F8F}"/>
    <hyperlink ref="E347" r:id="rId279" xr:uid="{2D29B894-35EF-4A23-AF82-F9BCAEC5F1F9}"/>
    <hyperlink ref="E348" r:id="rId280" xr:uid="{B2A9AE52-5CED-42F2-9F32-B3BB3E5189B8}"/>
    <hyperlink ref="E349" r:id="rId281" xr:uid="{E825FC0F-F692-4DD0-8C9E-A7617009DB63}"/>
    <hyperlink ref="E350" r:id="rId282" display="Книжка на елочку …" xr:uid="{D8325719-844F-4184-AB86-B689D17A62B7}"/>
    <hyperlink ref="E351" r:id="rId283" xr:uid="{422AB1E9-CCFD-4556-815F-09C405194025}"/>
    <hyperlink ref="E352" r:id="rId284" xr:uid="{812A197B-6085-40F7-838B-8225D275A9FD}"/>
    <hyperlink ref="E353" r:id="rId285" xr:uid="{928577FD-C323-483B-A96C-CFA6AD8B4C57}"/>
    <hyperlink ref="E354" r:id="rId286" xr:uid="{F7528745-4837-4281-BF72-13B6EF0C606D}"/>
    <hyperlink ref="E355" r:id="rId287" xr:uid="{B3354044-0776-489F-B706-D63036084EEF}"/>
    <hyperlink ref="E357" r:id="rId288" xr:uid="{DC5C5FA1-B7CB-44B0-91D6-775253B43B2E}"/>
    <hyperlink ref="E358" r:id="rId289" xr:uid="{94516EFE-C1FB-4558-B1F7-4FB26084B281}"/>
    <hyperlink ref="E359" r:id="rId290" xr:uid="{1E58B262-2303-4ECF-93B3-EE392031C002}"/>
    <hyperlink ref="E360" r:id="rId291" xr:uid="{C24C99D3-46B9-4FD3-8460-599D61EFA2F0}"/>
    <hyperlink ref="E361" r:id="rId292" xr:uid="{8C7FE0EA-C9EC-4EFB-A189-53ED553FD741}"/>
    <hyperlink ref="E362" r:id="rId293" xr:uid="{212013D6-4CF6-4BC1-9C17-F95EAA012520}"/>
    <hyperlink ref="E363" r:id="rId294" xr:uid="{3ABAACDE-3793-4A8D-B09A-943196CEDA0E}"/>
    <hyperlink ref="E365" r:id="rId295" xr:uid="{3B5D28B4-B0F1-402A-BFE8-2E09DAD52280}"/>
    <hyperlink ref="E364" r:id="rId296" xr:uid="{6400909C-741A-4CB1-B7A1-3D4742C4947D}"/>
    <hyperlink ref="E366" r:id="rId297" xr:uid="{3BBC5DAE-9E3B-4148-8298-E443D2802C10}"/>
    <hyperlink ref="E367" r:id="rId298" xr:uid="{F1287FB3-1E5A-4CDE-BFAB-444E6CEBDFF5}"/>
    <hyperlink ref="E368" r:id="rId299" xr:uid="{4B7C6B72-77DD-483C-98C9-87B045EFCA95}"/>
    <hyperlink ref="E369" r:id="rId300" xr:uid="{A8DAE4E3-9885-4809-BF0A-49DCE04DA3E8}"/>
    <hyperlink ref="E370" r:id="rId301" xr:uid="{EC968403-134A-485D-B4C3-1A337B20DD43}"/>
    <hyperlink ref="E372" r:id="rId302" xr:uid="{96D3363E-5F68-4D8E-AF9F-7A73B4AC6960}"/>
    <hyperlink ref="E371" r:id="rId303" xr:uid="{7BB839EA-BAC5-4D37-95B7-459DFACBDB9B}"/>
    <hyperlink ref="E373" r:id="rId304" xr:uid="{03661320-3C96-4263-AC4C-CDE2D3229F5B}"/>
    <hyperlink ref="E374" r:id="rId305" xr:uid="{E2374A0C-5E9D-4F20-9018-B758E7E26A50}"/>
    <hyperlink ref="E377" r:id="rId306" xr:uid="{72E35F15-65F4-4905-B3DA-479EA12405CE}"/>
    <hyperlink ref="E378" r:id="rId307" display="Диафильм Светлячок" xr:uid="{0D5E5EC6-A8E8-4F05-9DB6-E89F71B19FDA}"/>
    <hyperlink ref="E379" r:id="rId308" xr:uid="{5551DC35-4398-4B8C-B1E5-6DF6FC611F87}"/>
    <hyperlink ref="E380" r:id="rId309" xr:uid="{F8D549DE-8C32-4F44-8BB3-498E9FF442F7}"/>
    <hyperlink ref="E381" r:id="rId310" xr:uid="{B79BB133-B54B-410D-9E52-9842A0DF539F}"/>
    <hyperlink ref="E382" r:id="rId311" xr:uid="{5EA60097-9E67-426A-86E8-F401D00AE95F}"/>
    <hyperlink ref="E383" r:id="rId312" xr:uid="{02C58FA6-BFF5-4516-BDD7-F5558A824A21}"/>
    <hyperlink ref="E384" r:id="rId313" xr:uid="{EFC0F5AD-45CE-4A17-AE81-FA1CE5044BF4}"/>
    <hyperlink ref="E385" r:id="rId314" xr:uid="{C0A1212E-7ECD-4578-8B33-44450AC6AC5B}"/>
    <hyperlink ref="E386" r:id="rId315" xr:uid="{300F2E18-F95D-4296-BEEE-3677560D1C5F}"/>
    <hyperlink ref="E387" r:id="rId316" xr:uid="{5FF7E68D-1CFD-46D6-9B85-EAA5050BA51F}"/>
    <hyperlink ref="E388" r:id="rId317" xr:uid="{89D7711D-5970-4501-A373-E410ADE805D4}"/>
    <hyperlink ref="E389" r:id="rId318" xr:uid="{7F325058-6B6C-41E5-9C1E-4200C0022F71}"/>
    <hyperlink ref="E391" r:id="rId319" xr:uid="{7DD88785-DDF0-4A07-9B63-B447FFFFA769}"/>
    <hyperlink ref="E392" r:id="rId320" xr:uid="{DFBD6A1A-2045-466C-B928-D50B8EDC0202}"/>
    <hyperlink ref="E400" r:id="rId321" xr:uid="{E8742C27-3621-45CB-82B9-7D9AA4A509C8}"/>
    <hyperlink ref="E399" r:id="rId322" xr:uid="{A9C9AB56-9D67-44F6-88A0-14102AA6AFD8}"/>
    <hyperlink ref="E398" r:id="rId323" xr:uid="{16F99166-11AC-4713-BA3B-FB6A521183E1}"/>
    <hyperlink ref="E397" r:id="rId324" xr:uid="{68FE7DAD-6016-4EBC-8E96-8CE9D1C4C45D}"/>
    <hyperlink ref="E396" r:id="rId325" xr:uid="{F1923E41-9150-457F-BAFF-C3E7912A329B}"/>
    <hyperlink ref="E395" r:id="rId326" xr:uid="{BF9173FC-4DE6-4BB4-9328-5C5D8ABC1528}"/>
    <hyperlink ref="E394" r:id="rId327" xr:uid="{AACCBA2F-485A-44CE-94AA-CC7659E8B539}"/>
    <hyperlink ref="E393" r:id="rId328" xr:uid="{0AF96393-BA34-4D46-90AC-704D08E8F914}"/>
    <hyperlink ref="E401" r:id="rId329" xr:uid="{E163D7F4-4D26-47A0-A7D5-A73AA968EA37}"/>
    <hyperlink ref="E402" r:id="rId330" xr:uid="{3A4FE8D0-DF10-44F5-A51D-ADC024E15A2A}"/>
    <hyperlink ref="E403" r:id="rId331" xr:uid="{1962B0F4-33CA-45FB-9482-6E6B803BC02B}"/>
    <hyperlink ref="E404" r:id="rId332" xr:uid="{7FFB5490-8EE4-463C-A4AB-C806901614C8}"/>
    <hyperlink ref="E405" r:id="rId333" xr:uid="{06F30907-87E5-4755-8B16-D311C4F0E108}"/>
    <hyperlink ref="E406" r:id="rId334" xr:uid="{DAAFF970-0B10-4493-B116-D7CBC3CCB02C}"/>
    <hyperlink ref="E410" r:id="rId335" xr:uid="{F52B223C-0AE9-41AB-AF82-8C2D9ACF4ABA}"/>
    <hyperlink ref="E411" r:id="rId336" xr:uid="{3B7A8FC1-D51F-4AC8-BE15-0730858A1C1F}"/>
    <hyperlink ref="E412" r:id="rId337" xr:uid="{EE39CBD7-58D6-4187-BA35-908A8FDA50F8}"/>
    <hyperlink ref="E413" r:id="rId338" xr:uid="{4CC5A141-CD8F-4134-8D5F-EF258B589566}"/>
    <hyperlink ref="E414" r:id="rId339" xr:uid="{B33F35F9-8C93-4F91-8559-C0CE2E2050DC}"/>
    <hyperlink ref="E415" r:id="rId340" xr:uid="{D494993A-5B2A-4291-8CF6-9C426D613F95}"/>
    <hyperlink ref="E416" r:id="rId341" xr:uid="{0BE43BD5-D394-41DA-BB63-538803906570}"/>
    <hyperlink ref="E417" r:id="rId342" xr:uid="{09F54FF2-4685-4637-803E-07ACE410428B}"/>
    <hyperlink ref="E418" r:id="rId343" xr:uid="{CAFBA5E5-760C-465A-B7F9-773A819A7FE2}"/>
    <hyperlink ref="E419" r:id="rId344" xr:uid="{6240F34F-6FD6-495C-B470-75FFFD163C5D}"/>
    <hyperlink ref="E420" r:id="rId345" xr:uid="{D3DC943D-67BB-4A46-B9F9-AA5DEFF4A2D8}"/>
    <hyperlink ref="E421" r:id="rId346" xr:uid="{01C2CF7E-2CCF-4804-BDE3-4730330BB35B}"/>
    <hyperlink ref="E422" r:id="rId347" display="Шубка-кофта" xr:uid="{F04AFF86-3F40-476C-AB2A-7F94156E6B2B}"/>
    <hyperlink ref="E423" r:id="rId348" xr:uid="{1F1A5E5E-85F9-4CA6-9888-DFE275905A73}"/>
    <hyperlink ref="E426" r:id="rId349" xr:uid="{B1C5DB17-DAA6-48D4-AF3F-8DBC69AF7630}"/>
    <hyperlink ref="E425" r:id="rId350" xr:uid="{F5F17889-D342-4EDE-911D-401A30A35F4E}"/>
    <hyperlink ref="E424" r:id="rId351" xr:uid="{0E9491B2-FFCB-4A7F-948E-DC47000AE26D}"/>
    <hyperlink ref="E427" r:id="rId352" xr:uid="{803D52DE-4D24-464E-BD24-C579D300504F}"/>
    <hyperlink ref="E428" r:id="rId353" xr:uid="{D841283F-A29D-49E7-A87C-578648688481}"/>
    <hyperlink ref="E429" r:id="rId354" xr:uid="{D70EAB60-63D8-4D31-B2A4-D48B5C5CE70D}"/>
    <hyperlink ref="E430" r:id="rId355" xr:uid="{8837533C-BF54-4C4E-9E7A-EF5864422D87}"/>
    <hyperlink ref="E431" r:id="rId356" xr:uid="{86934D00-0953-47EC-AA05-CB65279DEB08}"/>
    <hyperlink ref="E432" r:id="rId357" xr:uid="{438EDF0C-E41E-40B3-ADF1-B821CEAA054B}"/>
    <hyperlink ref="E433" r:id="rId358" xr:uid="{9FA0A52F-C553-45C1-8028-72F9AC3DA2B7}"/>
    <hyperlink ref="E434" r:id="rId359" xr:uid="{8F0A70AD-8828-42DB-BC44-E7C288252AA5}"/>
    <hyperlink ref="E435" r:id="rId360" xr:uid="{FA098184-2AE6-4AEF-A97C-A308980A0242}"/>
    <hyperlink ref="E436" r:id="rId361" display="Наклейка статическая двухсторонняя" xr:uid="{45C053D4-7F40-4FB1-9BA1-A2CE9D5222AE}"/>
    <hyperlink ref="E437" r:id="rId362" xr:uid="{B9A5CDBD-4825-4E62-9568-DDADC14F46AE}"/>
    <hyperlink ref="E438" r:id="rId363" xr:uid="{78FEA321-1188-4124-AA55-6DD488FF6D4A}"/>
    <hyperlink ref="E439" r:id="rId364" xr:uid="{10A027F0-6C37-408C-A78B-28E134442B5B}"/>
    <hyperlink ref="E440" r:id="rId365" xr:uid="{65F428C6-DD96-49DF-BA49-96DDDEF2472B}"/>
    <hyperlink ref="E441" r:id="rId366" xr:uid="{57BE9FD4-FC66-4CA8-9AA0-89CB217D254A}"/>
    <hyperlink ref="E442" r:id="rId367" xr:uid="{A71FD370-BE9C-4C24-89D7-AD153A0BABE8}"/>
    <hyperlink ref="E443" r:id="rId368" xr:uid="{CB8BE1A6-481B-4A7E-930E-D8907D6C431F}"/>
    <hyperlink ref="E444" r:id="rId369" xr:uid="{D08700E0-C3A1-4A5F-99E5-0D57CD7D51F7}"/>
    <hyperlink ref="E446" r:id="rId370" xr:uid="{1D75250A-7BF5-4147-8F90-32C89043A916}"/>
    <hyperlink ref="E448" r:id="rId371" display="Глазки для игрушек" xr:uid="{DEBB4B1F-3B98-46E0-A274-B3014DA205BC}"/>
    <hyperlink ref="E449" r:id="rId372" xr:uid="{D149F089-47A2-4521-97FE-6E2D5E1BC6E7}"/>
    <hyperlink ref="E450" r:id="rId373" xr:uid="{A00E969C-B62D-45FE-9CF0-61B049F6414C}"/>
    <hyperlink ref="E451" r:id="rId374" xr:uid="{4A9FAA79-0564-413B-BF00-9D3E4E52D679}"/>
    <hyperlink ref="E452" r:id="rId375" xr:uid="{78339BE6-6CB8-43D8-8F54-7D8B2931CA12}"/>
    <hyperlink ref="E453" r:id="rId376" xr:uid="{01BFDB55-D52D-491C-9DFC-46AB45CFDE62}"/>
    <hyperlink ref="E454" r:id="rId377" xr:uid="{267E17E6-12DF-44AB-8700-29A1BB1AF989}"/>
    <hyperlink ref="E455" r:id="rId378" xr:uid="{4D62290D-BBB9-4867-84A1-84836B11FCD4}"/>
    <hyperlink ref="E456" r:id="rId379" xr:uid="{A663D385-2510-4581-B7AF-D7758BF503FB}"/>
    <hyperlink ref="E457" r:id="rId380" xr:uid="{4406D2B0-A432-4AFC-A823-6F2B2E787808}"/>
    <hyperlink ref="E458" r:id="rId381" xr:uid="{98E2554B-FD24-4D0A-A749-10EFDA4430A3}"/>
    <hyperlink ref="E460" r:id="rId382" xr:uid="{2EF7FBF5-8911-4428-9A87-4DB2BD2CCF77}"/>
    <hyperlink ref="E461" r:id="rId383" xr:uid="{A7EE0AC8-AE0A-406B-8BB9-FDFEA0F3C7B1}"/>
    <hyperlink ref="E462" r:id="rId384" xr:uid="{3C727131-12B3-4CF2-91E8-CC00F8017D67}"/>
    <hyperlink ref="E465" r:id="rId385" xr:uid="{CB772716-9F63-4F97-8B75-C90E50381481}"/>
    <hyperlink ref="E463" r:id="rId386" xr:uid="{C3A75B96-4947-47F6-BB62-807875FF4A25}"/>
    <hyperlink ref="E464" r:id="rId387" xr:uid="{D209BB4B-9565-4C5A-898E-7CFD9E0F9D95}"/>
    <hyperlink ref="E445" r:id="rId388" xr:uid="{32F070D5-AD20-41AE-89C4-2D5A9DAA8831}"/>
    <hyperlink ref="E466" r:id="rId389" xr:uid="{B7214275-F25B-4AA3-B40A-443D9F5B4AEE}"/>
    <hyperlink ref="E468" r:id="rId390" xr:uid="{6EB8CA15-F39C-49D0-A7BA-9AA69AFFFB17}"/>
    <hyperlink ref="E469" r:id="rId391" xr:uid="{5ED70A10-5C03-4EFA-88D4-A7A6E8FE08E9}"/>
    <hyperlink ref="E470" r:id="rId392" display="Жалюзи самоклеющиеся" xr:uid="{5AF3336D-A804-4EBE-A722-9A3FD2B781D3}"/>
    <hyperlink ref="E471" r:id="rId393" xr:uid="{4C7DF076-AFF4-43CD-B254-4978E2DDA4CF}"/>
    <hyperlink ref="E472" r:id="rId394" xr:uid="{49F023A5-493E-4E1B-8986-3DB090B77232}"/>
    <hyperlink ref="E473" r:id="rId395" xr:uid="{920E3A91-E240-40DF-8505-B12DBCAFE731}"/>
    <hyperlink ref="E459" r:id="rId396" xr:uid="{2DD11A0C-1409-4A72-BE03-32168496ACCD}"/>
    <hyperlink ref="E474" r:id="rId397" xr:uid="{80C1E7FA-3D37-476E-916E-8324A80EACB7}"/>
    <hyperlink ref="E475" r:id="rId398" xr:uid="{EFBAF6F6-5976-49C7-9FD9-BE21B60BF5BD}"/>
    <hyperlink ref="E476" r:id="rId399" xr:uid="{B6603D59-6275-4032-8114-AF536ACB7701}"/>
    <hyperlink ref="E477" r:id="rId400" xr:uid="{BB4685F7-CECE-4FCA-B9B3-A86FBFC1D9B8}"/>
    <hyperlink ref="E478" r:id="rId401" xr:uid="{9023C530-F5DE-4842-A487-A5A6D9A63D56}"/>
    <hyperlink ref="E479" r:id="rId402" xr:uid="{DCA9FC36-DDB7-45FA-B5E8-7C10C74F4BED}"/>
    <hyperlink ref="E480" r:id="rId403" xr:uid="{B9BAA813-F42E-46F1-8C46-E3DF997E725A}"/>
    <hyperlink ref="E481" r:id="rId404" xr:uid="{E8FBB39C-6925-46E2-9388-06E4D8E7CDB4}"/>
    <hyperlink ref="E482" r:id="rId405" xr:uid="{936D84A5-20DE-4F1F-8110-BE48D3FA8FB4}"/>
    <hyperlink ref="E483" r:id="rId406" xr:uid="{22AA8A0E-9C70-42A7-8158-A627BEF14B1E}"/>
    <hyperlink ref="E484" r:id="rId407" xr:uid="{6DA8CC3F-F6A5-4F3A-A4CC-F8AB65790855}"/>
    <hyperlink ref="E485" r:id="rId408" display="Карандаш для отбеливания зубов" xr:uid="{EA1C04A6-82B4-4CBC-8CA9-0BED046BA1FC}"/>
    <hyperlink ref="E486" r:id="rId409" xr:uid="{B1FB2066-0215-4C48-B99E-262906F2F9BB}"/>
    <hyperlink ref="E487" r:id="rId410" xr:uid="{CB26F3C0-AE6E-4D44-9C98-5F8B41718875}"/>
    <hyperlink ref="E488" r:id="rId411" xr:uid="{65CA5643-9829-4F7E-B5A2-108C89C3DFA2}"/>
    <hyperlink ref="E489" r:id="rId412" xr:uid="{BA5F9D08-578E-47ED-BCB5-032A064606C5}"/>
    <hyperlink ref="E490" r:id="rId413" xr:uid="{46923345-5B76-4425-863E-69655C1B07C3}"/>
    <hyperlink ref="E491" r:id="rId414" xr:uid="{A4E1BC51-9F46-4860-B591-D856F31A8337}"/>
    <hyperlink ref="E492" r:id="rId415" display="Полотенце кухонное" xr:uid="{65EF5998-7527-4DC6-B901-B3A22E954815}"/>
    <hyperlink ref="E493" r:id="rId416" xr:uid="{1C94730A-960F-4243-BE41-A5C02E5D9C1E}"/>
    <hyperlink ref="E494" r:id="rId417" xr:uid="{BFD00791-2A6D-4352-83C9-1EB743725A4B}"/>
    <hyperlink ref="E495" r:id="rId418" xr:uid="{FF570037-5B93-4560-9DC5-9FE42AB0CB6D}"/>
    <hyperlink ref="E496" r:id="rId419" xr:uid="{E440A99B-DF9E-4E03-8E05-E764F5BD624B}"/>
    <hyperlink ref="E497" r:id="rId420" xr:uid="{AAC3BEFF-7679-4832-BBFB-BA69C77E088B}"/>
    <hyperlink ref="E498" r:id="rId421" xr:uid="{4AE03A6A-CB51-496B-9EFE-3D17D7FB79CB}"/>
    <hyperlink ref="E499" r:id="rId422" xr:uid="{2AAC0598-8890-452F-A266-AD4E9CE0ABB5}"/>
    <hyperlink ref="E500" r:id="rId423" xr:uid="{6317359C-CDA3-4BD4-8194-5C7DCDEE177E}"/>
    <hyperlink ref="E501" r:id="rId424" xr:uid="{EB119564-3611-43D8-8E16-9B07C6D2BA9E}"/>
    <hyperlink ref="E502" r:id="rId425" xr:uid="{29E2305E-15E4-4862-9DDF-968120784D16}"/>
    <hyperlink ref="E503" r:id="rId426" xr:uid="{01F77E26-E21D-4958-8394-F93E6FB996AB}"/>
    <hyperlink ref="E512" r:id="rId427" xr:uid="{48B8A5C4-862F-494C-8D45-36493551E33A}"/>
    <hyperlink ref="E513" r:id="rId428" xr:uid="{07FA7D83-896D-4DEA-88A0-0026E2E7FB81}"/>
    <hyperlink ref="E511" r:id="rId429" xr:uid="{6DC19096-F838-4B89-B994-2F15D2593D91}"/>
    <hyperlink ref="E514" r:id="rId430" display="3D коврик для ванной" xr:uid="{EBF5D273-5AFC-4D7B-9BB2-E7482F359723}"/>
    <hyperlink ref="E515" r:id="rId431" xr:uid="{EBD921DB-A9E2-4CC5-9972-6003DB4E23C7}"/>
    <hyperlink ref="E516" r:id="rId432" xr:uid="{5BAAC3B7-254F-4D2E-8816-A4A02C14F80E}"/>
    <hyperlink ref="E517" r:id="rId433" xr:uid="{543C5F60-FFEC-42F1-A814-3B1CDFA9C559}"/>
    <hyperlink ref="E518" r:id="rId434" xr:uid="{4F5DB48F-E7DD-4422-BFB0-EE964733F779}"/>
    <hyperlink ref="E519" r:id="rId435" xr:uid="{8D0FA601-7B50-46BB-A37C-08F9C567C19E}"/>
    <hyperlink ref="E520" r:id="rId436" xr:uid="{15BDEBF1-9932-4ABD-94A1-DD3EF724366F}"/>
    <hyperlink ref="E521" r:id="rId437" xr:uid="{3FFA9866-7F15-4137-BEFD-5CF6479CD7DD}"/>
    <hyperlink ref="E526" r:id="rId438" xr:uid="{F855AEAA-6C18-4ABC-AE4B-A18EB70A0EEF}"/>
    <hyperlink ref="E528" r:id="rId439" xr:uid="{EAA8E9D3-5872-4AD2-AFB3-4DE7E4124E96}"/>
    <hyperlink ref="E529" r:id="rId440" xr:uid="{3FB92568-717D-41CA-B9F0-E6C997FF4F7B}"/>
    <hyperlink ref="E533" r:id="rId441" xr:uid="{51B473A3-4CF2-48BD-AED9-ACF72271AB7C}"/>
    <hyperlink ref="E534" r:id="rId442" xr:uid="{8EDCA634-711E-40BE-AA9E-7320092E1FA0}"/>
    <hyperlink ref="E535" r:id="rId443" xr:uid="{DC7108F7-EE37-4CFD-BC41-33B7748F76FA}"/>
    <hyperlink ref="E536" r:id="rId444" xr:uid="{A0AB77BA-B5D2-4DD6-B4C9-0222E27E7914}"/>
    <hyperlink ref="E537" r:id="rId445" xr:uid="{55DF70BD-956C-4377-8160-9002E3F08F62}"/>
    <hyperlink ref="E538" r:id="rId446" xr:uid="{A16E5E79-23E3-4DEE-B0CA-49D42E846A86}"/>
    <hyperlink ref="E539" r:id="rId447" xr:uid="{366B44A5-68DE-4451-B6D8-5B4372DF3C1D}"/>
    <hyperlink ref="E540" r:id="rId448" xr:uid="{889D5DA7-3F78-42F0-8441-4593AF91A63D}"/>
    <hyperlink ref="E541" r:id="rId449" xr:uid="{EBA132B4-50AB-4418-9C95-00F70E8073D1}"/>
    <hyperlink ref="E543" r:id="rId450" xr:uid="{3341BBFA-B9CB-4ED5-8CF4-F4F6B6593699}"/>
    <hyperlink ref="E544" r:id="rId451" xr:uid="{A56ABDDF-A30C-45C2-9AFC-6A3AFF8CF3C0}"/>
    <hyperlink ref="E545" r:id="rId452" xr:uid="{A00F0E93-DFE2-46FD-A834-49A364A665AE}"/>
    <hyperlink ref="E542" r:id="rId453" xr:uid="{51652884-24D1-40C2-B95B-7D50298F02C1}"/>
    <hyperlink ref="E548" r:id="rId454" xr:uid="{590C8314-F90F-41E2-9E4E-E927EFCEA1A8}"/>
    <hyperlink ref="E549" r:id="rId455" xr:uid="{9BF62699-B503-4418-93BE-78CBA48B9078}"/>
    <hyperlink ref="E550" r:id="rId456" xr:uid="{3E75DC99-EA7A-4BBB-9529-4C7D85119BEC}"/>
    <hyperlink ref="E551" r:id="rId457" xr:uid="{DA920543-3A74-4BDE-A59C-B8244BEE07A0}"/>
    <hyperlink ref="E552" r:id="rId458" xr:uid="{63A8B149-3626-43C8-9188-90EB3AAC94AC}"/>
    <hyperlink ref="E553" r:id="rId459" xr:uid="{DF4B0961-88D6-480C-87C2-196686E22486}"/>
    <hyperlink ref="E554" r:id="rId460" xr:uid="{4DDB8059-00F8-4AA3-8840-8F2776E9053E}"/>
    <hyperlink ref="E555" r:id="rId461" xr:uid="{9F9F8FDB-AE62-400E-BB15-035BF94366C7}"/>
    <hyperlink ref="E556" r:id="rId462" xr:uid="{5CACEBCF-4B2C-4F79-AFD8-4E0DB3A7A5F8}"/>
    <hyperlink ref="E557" r:id="rId463" xr:uid="{36529346-D6B6-42DD-904C-198825A93074}"/>
    <hyperlink ref="E558" r:id="rId464" xr:uid="{F44D5DA6-C600-4139-9C45-8CE5845D72EE}"/>
    <hyperlink ref="E559" r:id="rId465" xr:uid="{370CB26E-2C3D-4259-8862-D42F1501BBE3}"/>
    <hyperlink ref="E572" r:id="rId466" xr:uid="{39CBE88C-1697-45FD-A274-0933C4E008E2}"/>
    <hyperlink ref="E573" r:id="rId467" xr:uid="{E29C8ED7-8B65-4324-83E6-D648BD05FF83}"/>
    <hyperlink ref="E574" r:id="rId468" xr:uid="{FC71A62D-5748-4C60-95DD-3F3A3F695E3F}"/>
    <hyperlink ref="E575" r:id="rId469" xr:uid="{D5DFAFFC-7978-4EE9-BDB6-1D3B8C8B539F}"/>
    <hyperlink ref="E576" r:id="rId470" xr:uid="{CD225117-DDD4-47FD-91A5-00A2C349871D}"/>
    <hyperlink ref="E577" r:id="rId471" xr:uid="{F649BEAD-B8FA-4C0E-9FE4-C70D92188A5C}"/>
    <hyperlink ref="E578" r:id="rId472" xr:uid="{F4851543-6D0B-49F4-91DD-4063836BF783}"/>
    <hyperlink ref="E579" r:id="rId473" xr:uid="{76C323D3-90F9-46E9-8A1B-AF3240305FAE}"/>
    <hyperlink ref="E580" r:id="rId474" xr:uid="{F3B9AF0A-8E25-4086-BC41-332825AAD8C8}"/>
    <hyperlink ref="E581" r:id="rId475" xr:uid="{3269AA5F-51BE-4919-9C75-919AEBD1092C}"/>
    <hyperlink ref="E560" r:id="rId476" xr:uid="{39C95A4B-9124-4488-B3BC-A29FE99CFBCE}"/>
    <hyperlink ref="E561" r:id="rId477" xr:uid="{650C4B25-5470-424E-807A-FD5476240360}"/>
    <hyperlink ref="E562" r:id="rId478" xr:uid="{D29F69D4-C29E-4252-9552-C0E4F609E552}"/>
    <hyperlink ref="E563" r:id="rId479" xr:uid="{C1063B82-E758-4E41-BB25-ED1426169871}"/>
    <hyperlink ref="E564" r:id="rId480" xr:uid="{BAF8255E-2940-4212-A6F3-A7F61545D626}"/>
    <hyperlink ref="E565" r:id="rId481" xr:uid="{A7311B2D-866F-4EA1-A608-F648F331CEE2}"/>
    <hyperlink ref="E566" r:id="rId482" xr:uid="{6D906539-1C6F-42CA-8B33-4F68AD963437}"/>
    <hyperlink ref="E567" r:id="rId483" xr:uid="{A68DC3F3-5591-454B-961F-92DA2CCC45A5}"/>
    <hyperlink ref="E568" r:id="rId484" xr:uid="{2F92ECAE-243A-40EA-B7C7-651D60B8C7DC}"/>
    <hyperlink ref="E569" r:id="rId485" xr:uid="{EF11EFA8-65AD-498B-B242-E997CB695728}"/>
    <hyperlink ref="E570" r:id="rId486" xr:uid="{193E21D2-63B4-41B8-955F-32B7448223ED}"/>
    <hyperlink ref="E571" r:id="rId487" xr:uid="{528FDD0C-836C-491B-8754-0B63366ADCA6}"/>
    <hyperlink ref="E582" r:id="rId488" xr:uid="{ED6B614D-533E-462D-8FDD-1D873151F0BB}"/>
    <hyperlink ref="E583" r:id="rId489" xr:uid="{6C01509B-C70D-4300-B8B3-CBAEAA12B590}"/>
    <hyperlink ref="E584" r:id="rId490" xr:uid="{BA9AAD69-0A5C-46B7-AF66-BE67394260DE}"/>
    <hyperlink ref="E585" r:id="rId491" xr:uid="{E04F87C0-2C89-45CF-893C-8B750B3772BD}"/>
    <hyperlink ref="E586" r:id="rId492" xr:uid="{17883D9D-75C4-4C60-9DB8-0C42FB108E9E}"/>
    <hyperlink ref="E587" r:id="rId493" xr:uid="{BE62CF2C-D144-44AB-86D2-F3F8EE5421FE}"/>
    <hyperlink ref="E588" r:id="rId494" xr:uid="{A47F4C15-BAE6-4EAA-BBD9-E798C1856706}"/>
    <hyperlink ref="E589" r:id="rId495" xr:uid="{3C70251A-5F58-405C-81D0-0B56D9677DFA}"/>
    <hyperlink ref="E590" r:id="rId496" xr:uid="{9D3B0B7D-AF08-49C4-A390-17EB75142984}"/>
    <hyperlink ref="E591" r:id="rId497" xr:uid="{9221AD9A-FA51-4558-A775-2CCDF64CFBC8}"/>
    <hyperlink ref="E592" r:id="rId498" xr:uid="{584F8A38-D37B-4543-98FE-642372EDBA85}"/>
    <hyperlink ref="E593" r:id="rId499" xr:uid="{46DD228F-AA18-4835-817C-4A364C6BDE56}"/>
    <hyperlink ref="E594" r:id="rId500" xr:uid="{FD68BD25-B899-483D-960A-FEB29CE31AED}"/>
    <hyperlink ref="E595" r:id="rId501" xr:uid="{AB07C2C8-EC77-4E30-9A9D-954695B650C8}"/>
    <hyperlink ref="E596" r:id="rId502" xr:uid="{C0890FB8-CB0C-4C3A-A5F8-3057D546E5C3}"/>
    <hyperlink ref="E597" r:id="rId503" xr:uid="{B86D449C-15A7-41D5-B65B-2CFFDCA333D2}"/>
    <hyperlink ref="E598" r:id="rId504" xr:uid="{8CF876B8-09AB-4159-A509-F4F136AA5F52}"/>
    <hyperlink ref="E599" r:id="rId505" xr:uid="{71CBB273-F7C6-48C7-A9EF-8E29990D42CC}"/>
    <hyperlink ref="E600" r:id="rId506" xr:uid="{14243995-68C5-43E6-925C-60D5DAB7A224}"/>
    <hyperlink ref="E601" r:id="rId507" xr:uid="{70CDD583-0580-4C4E-A969-CCDA7F5CE54B}"/>
    <hyperlink ref="E602" r:id="rId508" xr:uid="{ECE2E744-0D1E-4E6B-AED5-EE4E190D6B12}"/>
    <hyperlink ref="E603" r:id="rId509" xr:uid="{F4C03201-2516-4104-A9F3-965249FC0D72}"/>
    <hyperlink ref="E604" r:id="rId510" xr:uid="{584A54D0-C458-46B5-839A-72827E18D346}"/>
    <hyperlink ref="E605" r:id="rId511" xr:uid="{0FC3C0A9-12AF-499A-92FD-0F36736DDF9D}"/>
    <hyperlink ref="E606" r:id="rId512" display="Маска для теста" xr:uid="{C06CCD86-54B3-45BB-B2DC-8328B00ADD55}"/>
    <hyperlink ref="E607" r:id="rId513" xr:uid="{8AEC61D6-DD29-47AC-B475-5FDF188CB500}"/>
    <hyperlink ref="E608" r:id="rId514" xr:uid="{C5696285-8C0B-49DC-8164-535C6338E9EE}"/>
    <hyperlink ref="E609" r:id="rId515" xr:uid="{2879C41A-12EC-4306-9728-D8F8A46EBC59}"/>
    <hyperlink ref="E610" r:id="rId516" xr:uid="{918112A5-D6C8-4C9D-96C2-14EBBFF213B9}"/>
    <hyperlink ref="E611" r:id="rId517" display="Чехол для кресла" xr:uid="{70D7939D-E0D8-4115-A226-6AF14DEAD1BD}"/>
    <hyperlink ref="E612" r:id="rId518" xr:uid="{CDF4BFC3-4C99-4D6B-B3F9-F79AAEDBCBBA}"/>
    <hyperlink ref="E613" r:id="rId519" xr:uid="{D43E02ED-C132-4A61-9372-C72E62B0FCAB}"/>
    <hyperlink ref="E614" r:id="rId520" xr:uid="{7365DF98-738A-4FBB-B633-1FAF3C981FE1}"/>
    <hyperlink ref="E615" r:id="rId521" xr:uid="{6F1A5D9B-6709-44B4-9D77-6592BC5AE975}"/>
    <hyperlink ref="E616" r:id="rId522" xr:uid="{914D5AEF-DB6C-46A5-A4D9-42F662751D8F}"/>
    <hyperlink ref="E618" r:id="rId523" xr:uid="{5A60EB0C-7B39-4ED9-AB88-BE6B2190DF39}"/>
    <hyperlink ref="E619" r:id="rId524" xr:uid="{B27CBBD3-22F3-4FF2-AA55-70DDDAF3349B}"/>
    <hyperlink ref="E620" r:id="rId525" xr:uid="{221E52E8-16C1-44CC-920C-64082109D10A}"/>
    <hyperlink ref="E621" r:id="rId526" xr:uid="{D0BF4CA4-C985-4D19-A912-8E4E59DF8CA2}"/>
    <hyperlink ref="E622" r:id="rId527" xr:uid="{D998D656-1D0F-4102-A253-36A39E85FF9E}"/>
    <hyperlink ref="E623" r:id="rId528" xr:uid="{133731B0-5CD9-4F31-861E-936A8C931F09}"/>
    <hyperlink ref="E624" r:id="rId529" xr:uid="{CB7F414D-340E-4157-B0DF-8D97C9258C66}"/>
    <hyperlink ref="E625" r:id="rId530" xr:uid="{9BBBB79C-3B86-4241-839C-41587B34CDF4}"/>
    <hyperlink ref="E626" r:id="rId531" xr:uid="{01B8B830-C93A-4090-A302-3DAA4CC6F6AC}"/>
    <hyperlink ref="E627" r:id="rId532" xr:uid="{FEEB4D9E-0CC6-49E2-99D3-D482C00F735B}"/>
    <hyperlink ref="E628" r:id="rId533" xr:uid="{703E1209-BBFB-4271-906C-1E3BF6232ABC}"/>
    <hyperlink ref="E631" r:id="rId534" xr:uid="{05D2A672-E7EA-45E1-B6BD-279390A6F005}"/>
    <hyperlink ref="E632" r:id="rId535" xr:uid="{A6C44329-A4C6-4BF3-8075-E0291165B916}"/>
    <hyperlink ref="E633" r:id="rId536" xr:uid="{B4105F15-B804-4970-AFF8-E88DD7DF9595}"/>
    <hyperlink ref="E634" r:id="rId537" xr:uid="{56B1B894-DEFD-4453-837E-D96109C8E9E2}"/>
    <hyperlink ref="E635" r:id="rId538" xr:uid="{106B334E-2D8C-4113-BA1C-45F65AC18C0D}"/>
    <hyperlink ref="E636" r:id="rId539" xr:uid="{741F45DB-A5CE-41FB-A9C0-413423247921}"/>
    <hyperlink ref="E637" r:id="rId540" xr:uid="{B6C60C03-92FB-4B42-B49D-6FA06DBC4BBD}"/>
    <hyperlink ref="E638" r:id="rId541" xr:uid="{064C88FC-FE63-443E-837A-59379D578663}"/>
    <hyperlink ref="E639" r:id="rId542" xr:uid="{6A72BD6F-2F3A-44AA-9073-3073172B47E5}"/>
    <hyperlink ref="E640" r:id="rId543" xr:uid="{2401DE7B-04EC-4CA1-BA81-70668F630D6C}"/>
    <hyperlink ref="E641" r:id="rId544" xr:uid="{887F9320-142A-4038-99EA-AEF78EAA80FB}"/>
    <hyperlink ref="E642" r:id="rId545" xr:uid="{6D4BDFA1-C46C-4FDC-BE5F-72578479E7F2}"/>
    <hyperlink ref="E643" r:id="rId546" xr:uid="{3197CD04-A536-45AC-AF5B-71E38AF79FDD}"/>
    <hyperlink ref="E644" r:id="rId547" xr:uid="{F48E1149-2CAA-4954-A7F0-7730BC8D66C8}"/>
    <hyperlink ref="E646" r:id="rId548" xr:uid="{7B37DFD8-43AC-4DEA-88E9-A3DD7D87D8B0}"/>
    <hyperlink ref="E647" r:id="rId549" xr:uid="{DD375865-2089-4F80-9E4F-3E20B26E4E3D}"/>
    <hyperlink ref="E648" r:id="rId550" xr:uid="{4C5DFE66-4246-46D4-A389-01F5BB9D7EFB}"/>
    <hyperlink ref="E649" r:id="rId551" xr:uid="{FAD06F62-3771-4C64-9170-775559586AB9}"/>
    <hyperlink ref="E650" r:id="rId552" xr:uid="{4A92718F-12B0-4533-8C9E-57902A5BB111}"/>
    <hyperlink ref="E651" r:id="rId553" xr:uid="{556BFBFC-3117-483E-979F-303E7AF536EE}"/>
    <hyperlink ref="E652" r:id="rId554" xr:uid="{B7B59476-50BF-45A2-96BE-347ACAA5BDA2}"/>
    <hyperlink ref="E653" r:id="rId555" xr:uid="{9C0476C7-CF8A-42E6-B9EE-E0AE8C1DBC74}"/>
    <hyperlink ref="E654" r:id="rId556" xr:uid="{F1BEB3D6-7F7B-4708-A1EF-885AE060C161}"/>
    <hyperlink ref="E656" r:id="rId557" xr:uid="{BBC8F3AD-D805-4405-BBBF-1593CA0E8C22}"/>
    <hyperlink ref="E657" r:id="rId558" xr:uid="{E9F90113-3D88-4E93-9E65-E2CA84D924FD}"/>
    <hyperlink ref="E658" r:id="rId559" xr:uid="{F26D734C-2167-41FE-AB4D-7C264936D12B}"/>
    <hyperlink ref="E659" r:id="rId560" xr:uid="{F469D3AB-66C4-4679-8474-36F55BFA0375}"/>
    <hyperlink ref="E660" r:id="rId561" xr:uid="{6A8BD9E6-BAB7-4FF3-A908-4F4B97F47639}"/>
    <hyperlink ref="E661" r:id="rId562" xr:uid="{457AC182-7087-45FB-A154-B3BD4F9CBD25}"/>
    <hyperlink ref="E662" r:id="rId563" xr:uid="{54D5C688-818A-4518-B083-0514F0515748}"/>
    <hyperlink ref="E663" r:id="rId564" xr:uid="{8CE35D73-0288-45C0-B439-91924EC69CBA}"/>
    <hyperlink ref="E664" r:id="rId565" xr:uid="{4241D421-8C73-484F-956C-0FB1862CA34A}"/>
    <hyperlink ref="E665" r:id="rId566" xr:uid="{8F825C42-4C04-4F4C-9972-FFD082BB6DFF}"/>
    <hyperlink ref="E666" r:id="rId567" xr:uid="{AEF9B8EE-A8FE-48C9-8115-176561CB592A}"/>
    <hyperlink ref="E667" r:id="rId568" xr:uid="{98D3C5DF-B58B-44B6-A755-228EF305422E}"/>
    <hyperlink ref="E668" r:id="rId569" xr:uid="{936AF90B-4F8D-45A1-99B0-B63EF5AD4866}"/>
    <hyperlink ref="E669" r:id="rId570" xr:uid="{F955F427-6F00-4E97-A50F-1DA04BBD1403}"/>
    <hyperlink ref="E670" r:id="rId571" xr:uid="{9BF29416-7AFC-4C25-AE79-8A0BB0FFC8FC}"/>
    <hyperlink ref="E671" r:id="rId572" xr:uid="{BCB570C7-6C5B-4B88-A0BD-09D4CCA9D248}"/>
    <hyperlink ref="E672" r:id="rId573" xr:uid="{07A1AF1E-EE6E-46B1-AF7A-580C4A8783C3}"/>
    <hyperlink ref="E673" r:id="rId574" xr:uid="{91B68058-958A-47B5-BB16-B3023E5A9957}"/>
    <hyperlink ref="E674" r:id="rId575" xr:uid="{BF2727C5-1F39-402E-8971-14E29E623B62}"/>
    <hyperlink ref="E675" r:id="rId576" xr:uid="{BDE5B2AC-CA50-4C3D-8079-F1141F4819D9}"/>
    <hyperlink ref="E676" r:id="rId577" xr:uid="{E7DB51A5-B7D4-48B0-A2C7-74E98553A305}"/>
    <hyperlink ref="E677" r:id="rId578" xr:uid="{C03BB2C5-6EE9-4B56-B946-F53C0D63FEC1}"/>
    <hyperlink ref="E678" r:id="rId579" xr:uid="{3C3FE307-DAE3-4785-9ADB-67EF96B9A61F}"/>
    <hyperlink ref="E679" r:id="rId580" xr:uid="{319AAF77-3CF0-4AD9-90FD-36D0FC26BD53}"/>
    <hyperlink ref="E680" r:id="rId581" xr:uid="{C7DA976E-2E19-4DD1-AE92-5834A7A31ADB}"/>
    <hyperlink ref="E682" r:id="rId582" xr:uid="{770E8657-FB7C-4C64-9928-18C9E0C089CA}"/>
    <hyperlink ref="E683" r:id="rId583" xr:uid="{57EFC84E-B766-4F66-829B-901B3EE92840}"/>
    <hyperlink ref="E684" r:id="rId584" xr:uid="{7F9E1F66-7739-4C0A-B7D9-CFF740E4B387}"/>
    <hyperlink ref="E685" r:id="rId585" xr:uid="{65A3C235-358E-4EE6-A812-489828D6C6BE}"/>
    <hyperlink ref="E686" r:id="rId586" xr:uid="{8053D12D-3DAC-45F7-87DE-75E3388EA9E9}"/>
    <hyperlink ref="E687" r:id="rId587" xr:uid="{837F1C4A-E4C5-4D51-9446-4F69D5AAAE7D}"/>
    <hyperlink ref="E691" r:id="rId588" xr:uid="{0B1A4161-DF7B-4970-9E97-15C90DACE232}"/>
    <hyperlink ref="E692" r:id="rId589" xr:uid="{D51216DD-BC69-43FD-9EFB-41B21338A430}"/>
    <hyperlink ref="E693" r:id="rId590" xr:uid="{561D2C98-CB11-43BB-B729-3F64AAFA3062}"/>
    <hyperlink ref="E694" r:id="rId591" xr:uid="{FA0AE5C4-DF53-4516-99FA-9332F0D0C56B}"/>
    <hyperlink ref="E695" r:id="rId592" xr:uid="{9AAC7D39-D97F-4E62-B17E-79A2846201EE}"/>
    <hyperlink ref="E696" r:id="rId593" xr:uid="{0053F0E5-5197-4E6A-B061-7A0D633D8876}"/>
    <hyperlink ref="E697" r:id="rId594" xr:uid="{98C9EF48-C7F5-49CA-9229-4E0814EF6349}"/>
    <hyperlink ref="E698" r:id="rId595" xr:uid="{FE7F44A3-F4FF-4D2C-AA07-A9657E15D3D7}"/>
    <hyperlink ref="E699" r:id="rId596" xr:uid="{05E30979-7F1E-4F5A-AB0D-FB2B2A445AC4}"/>
    <hyperlink ref="E700" r:id="rId597" xr:uid="{5442A7A4-A20D-4893-BF39-B5644A8BC05B}"/>
    <hyperlink ref="E701" r:id="rId598" xr:uid="{0DF26F06-D36A-4B59-BE65-772694810EDC}"/>
    <hyperlink ref="E702" r:id="rId599" xr:uid="{46CEE11E-A55B-4FB8-9225-88BF5DA737E3}"/>
    <hyperlink ref="E705" r:id="rId600" xr:uid="{1EE15FC6-1800-4455-819F-13A090158F99}"/>
    <hyperlink ref="E706" r:id="rId601" xr:uid="{0BA7D917-7118-4DDF-82B0-0503A0D6C88C}"/>
    <hyperlink ref="E707" r:id="rId602" xr:uid="{4E259EC9-9D4C-4B3C-B33F-811421B22FAB}"/>
    <hyperlink ref="E708" r:id="rId603" xr:uid="{679E7E1A-FD20-41F3-9C70-59829C476048}"/>
    <hyperlink ref="E709" r:id="rId604" xr:uid="{14F03541-84A3-4494-AB2B-0F76309A3B3B}"/>
    <hyperlink ref="E710" r:id="rId605" xr:uid="{98988CAF-8F89-41B2-9C62-F11BB285D657}"/>
    <hyperlink ref="E711" r:id="rId606" xr:uid="{152E6138-D838-4267-BC60-3FE0D30AAEA0}"/>
    <hyperlink ref="E712" r:id="rId607" xr:uid="{875FF029-8FD3-42FE-9EC4-614997FA1365}"/>
    <hyperlink ref="E713" r:id="rId608" xr:uid="{63E58669-E740-474F-969A-369D0F5F58A7}"/>
    <hyperlink ref="E714" r:id="rId609" xr:uid="{99711003-D23E-45AB-8E16-9C48F06551C5}"/>
    <hyperlink ref="E717" r:id="rId610" xr:uid="{9F730995-7CB2-4665-9EAB-3C40507A706B}"/>
    <hyperlink ref="E715" r:id="rId611" xr:uid="{66BBA614-1D42-4477-B4DD-B44D949B3484}"/>
    <hyperlink ref="E716" r:id="rId612" xr:uid="{8A5AC865-FF0B-477E-AD0B-E2DD30C95700}"/>
    <hyperlink ref="E728" r:id="rId613" xr:uid="{F6B48838-2C7F-440A-9611-DE01D2D2ADBE}"/>
    <hyperlink ref="E729" r:id="rId614" xr:uid="{286145CD-14C1-4940-9493-C77B26D052B2}"/>
    <hyperlink ref="E730" r:id="rId615" xr:uid="{E5B3CF13-2A93-42D3-A946-75118309697E}"/>
    <hyperlink ref="E731" r:id="rId616" xr:uid="{A299A223-AD75-4CDC-9603-DE7FDF337C46}"/>
    <hyperlink ref="E732" r:id="rId617" xr:uid="{866AC658-5FAB-4DEC-A335-EC42DEC40337}"/>
    <hyperlink ref="E733" r:id="rId618" xr:uid="{E456449C-4964-47FA-8290-3CFD3D1AE64B}"/>
    <hyperlink ref="E734" r:id="rId619" xr:uid="{E35AEEB1-670D-4806-AF78-7CFF7F225C20}"/>
    <hyperlink ref="E735" r:id="rId620" xr:uid="{2980F860-3817-4DBD-BAAF-8E3CF0210645}"/>
    <hyperlink ref="E739" r:id="rId621" xr:uid="{93DE35EF-1BC0-4FD5-BEDC-C6B0710FA660}"/>
    <hyperlink ref="E740" r:id="rId622" xr:uid="{2BF0978E-0535-44C6-BBB3-C41BC90BD992}"/>
    <hyperlink ref="E741" r:id="rId623" xr:uid="{8145B5F8-1BEC-4D5E-B868-07975714A6A0}"/>
    <hyperlink ref="E742" r:id="rId624" xr:uid="{D1B05F6B-5C2C-447E-B429-36D2301F3EA1}"/>
    <hyperlink ref="E745" r:id="rId625" xr:uid="{E3CCEC7E-C25B-4593-B354-55F18E2C4648}"/>
    <hyperlink ref="E746" r:id="rId626" xr:uid="{E4E25EF1-E0D0-48EE-8C58-9F5A1100FBB9}"/>
    <hyperlink ref="E747" r:id="rId627" xr:uid="{FF15E442-EC8D-489F-981B-6B6657EA8710}"/>
    <hyperlink ref="E748" r:id="rId628" display="Rрем краска для волос" xr:uid="{3408A65D-85CC-4D26-899F-E476820EC6E2}"/>
    <hyperlink ref="E749" r:id="rId629" xr:uid="{4DF9048A-52BE-412A-B3DA-D91A0A743C5E}"/>
    <hyperlink ref="E750" r:id="rId630" xr:uid="{62D9648C-86CA-49EA-AF49-1245C1BEC160}"/>
    <hyperlink ref="E751" r:id="rId631" xr:uid="{ACEEA1C6-CB48-4953-A0EE-6DEA8F2EE28A}"/>
    <hyperlink ref="E752" r:id="rId632" xr:uid="{4571D273-ECBD-4055-999B-47E2D18F4D4D}"/>
    <hyperlink ref="E753" r:id="rId633" xr:uid="{77748CC8-DAE2-4B23-A84E-D8CE7B21F620}"/>
    <hyperlink ref="E754" r:id="rId634" display="Краска для волос" xr:uid="{C9C39B57-5CB6-4DDF-9A8D-129796B60322}"/>
    <hyperlink ref="E755" r:id="rId635" xr:uid="{E0C65CCF-9532-47F3-AB0C-64A08F0F611B}"/>
    <hyperlink ref="E756" r:id="rId636" xr:uid="{2089713A-81D7-42D4-8227-D3F21535F54B}"/>
    <hyperlink ref="E757" r:id="rId637" xr:uid="{3ECBC465-8538-4275-9467-852C0E96D019}"/>
    <hyperlink ref="E761" r:id="rId638" xr:uid="{E8E05855-D5CC-4342-8C52-DB08AB45B971}"/>
    <hyperlink ref="E762" r:id="rId639" xr:uid="{BD9C7DB4-4150-45A4-BB11-983AEFD71845}"/>
    <hyperlink ref="E763" r:id="rId640" xr:uid="{01452DBD-097B-452E-B391-94FFF62FB536}"/>
    <hyperlink ref="E764" r:id="rId641" xr:uid="{03D94353-DFA1-4072-BE73-F621E337E221}"/>
    <hyperlink ref="E765" r:id="rId642" xr:uid="{E9BD2917-CEB7-47A0-8CB8-D1EC1C9020EE}"/>
    <hyperlink ref="E767" r:id="rId643" xr:uid="{3C5D2B96-2B8C-457B-B8C5-920825CBACBC}"/>
    <hyperlink ref="E766" r:id="rId644" xr:uid="{44D433E9-06DF-49B3-91DF-EA35FF9D1581}"/>
    <hyperlink ref="E768" r:id="rId645" xr:uid="{4D78DDD0-168A-496A-8C22-D6C299617ABA}"/>
    <hyperlink ref="E769" r:id="rId646" xr:uid="{C36F2F33-6656-481B-B04C-319A09C59D04}"/>
    <hyperlink ref="E770" r:id="rId647" xr:uid="{7C376E21-7F75-45CC-AB76-58090B0C30C7}"/>
    <hyperlink ref="E771" r:id="rId648" xr:uid="{A2BCE133-DB71-46FA-8573-D3DFA5C4F9A5}"/>
    <hyperlink ref="E778" r:id="rId649" xr:uid="{A6D858CD-F4EE-48C1-A0F5-20DFF7529F5B}"/>
    <hyperlink ref="E779" r:id="rId650" xr:uid="{EDE26B79-C298-4830-8F66-9FE731CFBC4E}"/>
    <hyperlink ref="E780" r:id="rId651" xr:uid="{CAA86EB3-936C-4C1C-9969-0498014AAB1B}"/>
    <hyperlink ref="E781" r:id="rId652" xr:uid="{4A669E6F-D8BE-43E9-8B9C-BFB0B04BDC38}"/>
    <hyperlink ref="E782" r:id="rId653" xr:uid="{5879BB71-3EB5-47CA-9B43-5F3F18F38F19}"/>
    <hyperlink ref="E785" r:id="rId654" xr:uid="{7F9BDD39-5ED9-439C-9CEB-052F7CB46599}"/>
    <hyperlink ref="E786" r:id="rId655" xr:uid="{237E3B14-2F35-4A0A-8AAC-C21B4EB8121A}"/>
    <hyperlink ref="E787" r:id="rId656" xr:uid="{32FF84AB-8A5B-4A35-A791-95D5DEB0BFA3}"/>
    <hyperlink ref="E788" r:id="rId657" xr:uid="{54F69269-008B-492C-BDB6-DDB0F775C441}"/>
    <hyperlink ref="E789" r:id="rId658" xr:uid="{F59E2BBF-6B64-4E08-8245-02D6C1DB3D7D}"/>
    <hyperlink ref="E790" r:id="rId659" xr:uid="{B51705C1-69D4-4EA6-A9DF-81EB3B0014F8}"/>
    <hyperlink ref="E791" r:id="rId660" xr:uid="{DEE30F92-E4C6-428E-9460-1070BF4D2539}"/>
    <hyperlink ref="E792" r:id="rId661" xr:uid="{875067C8-0865-4543-822B-36FCD8D6A5F9}"/>
    <hyperlink ref="E793" r:id="rId662" xr:uid="{8749669F-9BEF-469B-90EC-946276C54907}"/>
    <hyperlink ref="E794" r:id="rId663" xr:uid="{AB676757-3C98-4E95-BF8D-805B2774E4DA}"/>
    <hyperlink ref="E795" r:id="rId664" xr:uid="{C18802EA-3FF3-4E51-B0E2-639E7DB5B8DA}"/>
    <hyperlink ref="E798" r:id="rId665" display="Наклейка для ногтей" xr:uid="{FAAA0D53-68E7-4607-940E-D82537C249AF}"/>
    <hyperlink ref="E799" r:id="rId666" xr:uid="{9CE8BF3B-7946-4B87-872D-21579652D088}"/>
    <hyperlink ref="E800" r:id="rId667" xr:uid="{38C25477-D079-4C2D-AFBC-B685BE74B6BA}"/>
    <hyperlink ref="E801" r:id="rId668" display="Наклейка для ногтей водные цветы" xr:uid="{45457307-FC72-4199-8BE8-7C2C55EE9D43}"/>
    <hyperlink ref="E802" r:id="rId669" xr:uid="{727D1166-3C80-498F-B3A8-B453E5083D38}"/>
    <hyperlink ref="E803" r:id="rId670" xr:uid="{C435CA13-22B7-4793-B927-2A69C3CB2541}"/>
    <hyperlink ref="E804" r:id="rId671" xr:uid="{34B9F85E-8B4A-46D3-96C2-3B0C63ECA9B0}"/>
    <hyperlink ref="E805" r:id="rId672" xr:uid="{D9B1EC82-398E-448F-86BE-3B43FF72D4C3}"/>
    <hyperlink ref="E806" r:id="rId673" xr:uid="{4EEF71F2-B848-4225-8A25-AFBB1EDF500D}"/>
    <hyperlink ref="E807" r:id="rId674" xr:uid="{5D34B78E-31B3-4D8B-9977-D2BC35F0863C}"/>
    <hyperlink ref="E810" r:id="rId675" xr:uid="{F83685D8-A95D-4745-B250-AB2DB85B57D3}"/>
    <hyperlink ref="E811" r:id="rId676" xr:uid="{595BA7EC-15F9-4F59-A84F-BCD907376F52}"/>
    <hyperlink ref="E812" r:id="rId677" xr:uid="{AFE8DEB5-0EFD-47C8-AD9D-A7B4D622EFFD}"/>
    <hyperlink ref="E813" r:id="rId678" xr:uid="{BEF60E03-CC61-4130-B202-E0D303ABE47E}"/>
    <hyperlink ref="E814" r:id="rId679" xr:uid="{54F235B2-6672-4B69-B108-50ACAF989A47}"/>
    <hyperlink ref="E815" r:id="rId680" xr:uid="{1598DE1E-FA09-4B2E-8449-AD42C2D6CC8E}"/>
    <hyperlink ref="E816" r:id="rId681" xr:uid="{C59F1578-7943-4FDA-96DC-F446814A4696}"/>
    <hyperlink ref="E817" r:id="rId682" xr:uid="{087AAA90-29B4-488C-A17A-9D971CD1D505}"/>
    <hyperlink ref="E818" r:id="rId683" display="Избранные обработки народных печен" xr:uid="{26141F91-9B13-4121-991E-B57F38FA8D7B}"/>
    <hyperlink ref="E823" r:id="rId684" xr:uid="{0A9E95FD-7EC4-4658-A4D3-75DDAB42AF75}"/>
    <hyperlink ref="E824" r:id="rId685" xr:uid="{710BAB57-66FC-4F1F-8884-CC2970B71743}"/>
    <hyperlink ref="E825" r:id="rId686" xr:uid="{EB7AE7DD-3833-4F52-B70C-7598051D81E2}"/>
    <hyperlink ref="E826" r:id="rId687" xr:uid="{E080B4CB-C8FC-436D-A48F-2F7F0F9CFE52}"/>
    <hyperlink ref="E827" r:id="rId688" xr:uid="{EA8FAFCB-4B03-4B0F-B0A9-5A091B31F49F}"/>
    <hyperlink ref="E828" r:id="rId689" xr:uid="{24A13C47-461A-427A-B2B9-F8F0302B947D}"/>
    <hyperlink ref="E829" r:id="rId690" xr:uid="{87AF7D2D-F52D-422E-8FCA-8B2F7B3096D4}"/>
    <hyperlink ref="E830" r:id="rId691" xr:uid="{69389ED6-B18E-4FCC-9C10-28C986630A86}"/>
    <hyperlink ref="E831" r:id="rId692" xr:uid="{2F2CCF82-DCE1-40BF-A267-F3891D6F5503}"/>
    <hyperlink ref="E832" r:id="rId693" xr:uid="{F0BF427C-3B52-4395-91B2-97508F06A348}"/>
    <hyperlink ref="E833" r:id="rId694" xr:uid="{C413F99C-2686-466E-89A6-8182FB49A650}"/>
    <hyperlink ref="E834" r:id="rId695" xr:uid="{57133F03-960D-4E3D-83E7-32DE7B8D648B}"/>
    <hyperlink ref="E835" r:id="rId696" xr:uid="{3C8F59EA-5CF0-4ECB-9705-C5B1949119A2}"/>
    <hyperlink ref="E836" r:id="rId697" xr:uid="{6CD50C70-9B23-4C8D-B1DE-1463B8C5B4A4}"/>
    <hyperlink ref="E837" r:id="rId698" xr:uid="{6BC72B0E-0EF5-41CB-9B45-193794A4327D}"/>
    <hyperlink ref="E846" r:id="rId699" xr:uid="{7FD65BD9-1A74-4AF1-A47D-5EC0253127FA}"/>
    <hyperlink ref="E847" r:id="rId700" xr:uid="{83B57C34-24B3-4FA7-B1AB-8BD4C0995AAA}"/>
    <hyperlink ref="E844" r:id="rId701" xr:uid="{EF926AE4-AB77-4E33-BF2E-D861E298AB13}"/>
    <hyperlink ref="E845" r:id="rId702" xr:uid="{EF3AE2AA-283A-4E37-AF3B-99A2053096B7}"/>
    <hyperlink ref="E848" r:id="rId703" xr:uid="{A5189B89-7046-44F0-9842-66047EEF6688}"/>
    <hyperlink ref="E849" r:id="rId704" xr:uid="{FC513F2C-8AE4-492C-84B2-F6F0B58EF794}"/>
    <hyperlink ref="E850" r:id="rId705" xr:uid="{17D3EBEB-7FF2-485B-BAFA-769037B308D1}"/>
    <hyperlink ref="E851" r:id="rId706" xr:uid="{726832AF-6E43-445F-9111-2C91056C6BEA}"/>
    <hyperlink ref="E852" r:id="rId707" xr:uid="{D470B8DC-F97D-4E49-992E-0AB5F556A69F}"/>
    <hyperlink ref="E853" r:id="rId708" xr:uid="{79A578FB-3E2C-4C79-BAA4-0E05CCDF880A}"/>
    <hyperlink ref="E854" r:id="rId709" xr:uid="{82870CD9-E797-482E-80C7-3624D7FF1231}"/>
    <hyperlink ref="E855" r:id="rId710" xr:uid="{20239CAE-D884-4AF4-86A8-1F5F7B955561}"/>
    <hyperlink ref="E856" r:id="rId711" xr:uid="{B12A7CA3-4563-44DA-9905-AE464A0630B6}"/>
    <hyperlink ref="E857" r:id="rId712" xr:uid="{B408BCA5-B27C-48D0-955B-2FC55D591BE3}"/>
    <hyperlink ref="E858" r:id="rId713" xr:uid="{D76E7ECC-5067-42D6-8C52-4A94632C1284}"/>
    <hyperlink ref="E859" r:id="rId714" xr:uid="{7D324CC3-38C2-4EEA-8CFE-AAEC2F1D00A3}"/>
    <hyperlink ref="E860" r:id="rId715" xr:uid="{ED1356C3-5D10-4720-BEEA-8C0A1134F3E2}"/>
    <hyperlink ref="E862" r:id="rId716" xr:uid="{D285D986-4288-47F6-A787-9C0E5AFD888D}"/>
    <hyperlink ref="E861" r:id="rId717" xr:uid="{955CF903-6125-4905-B671-1C3B18D4FB7B}"/>
    <hyperlink ref="E869" r:id="rId718" xr:uid="{9FB86813-1D98-42CA-A92B-59EF44D2D2F9}"/>
    <hyperlink ref="E870" r:id="rId719" xr:uid="{4E5D9559-E44C-4295-811A-5E77DFA12DDA}"/>
    <hyperlink ref="E871" r:id="rId720" xr:uid="{4F93EA40-4CD3-47B7-AB09-2861570E1F89}"/>
    <hyperlink ref="E874" r:id="rId721" xr:uid="{26CA7AC7-E1BC-4A63-A813-01C772E632D3}"/>
    <hyperlink ref="E875" r:id="rId722" xr:uid="{B82964F4-A186-4A9B-BAEB-F1C03BAFBE7E}"/>
    <hyperlink ref="E876" r:id="rId723" xr:uid="{12D8D764-40FB-424C-BEFD-4C3184B61D3F}"/>
    <hyperlink ref="E877" r:id="rId724" xr:uid="{C0DA5E67-97B8-4F79-9700-572A21A8D105}"/>
    <hyperlink ref="E878" r:id="rId725" xr:uid="{E37BB555-C581-41A6-BB3B-9F52FA2FEF85}"/>
    <hyperlink ref="E879" r:id="rId726" xr:uid="{FF76B8DD-FA9C-451B-87F4-745177CB802D}"/>
    <hyperlink ref="E880" r:id="rId727" xr:uid="{AF5696B7-98A1-45E2-8FD5-23B8E497AF60}"/>
    <hyperlink ref="E881" r:id="rId728" xr:uid="{0A6182A3-F7F4-43CD-8E6E-ADACA64EE7E6}"/>
    <hyperlink ref="E882" r:id="rId729" xr:uid="{B293F07F-20BF-408F-A03F-5FCC9C43FC82}"/>
    <hyperlink ref="E883" r:id="rId730" xr:uid="{3AE1F470-1627-49E0-A727-35CD72D711D2}"/>
    <hyperlink ref="E884" r:id="rId731" xr:uid="{D8ABBA3C-0F66-42D5-8DEA-60A50BC75A8A}"/>
    <hyperlink ref="E885" r:id="rId732" xr:uid="{BFBEA758-CD14-48FC-B5BA-469EBA2DC7D3}"/>
    <hyperlink ref="E886" r:id="rId733" xr:uid="{6BB7FC1E-DB7D-4850-9919-85509CDFB2EF}"/>
    <hyperlink ref="E887" r:id="rId734" xr:uid="{89E6E8FC-9DF0-4D1B-8251-4CC0DA5657FA}"/>
    <hyperlink ref="E888" r:id="rId735" xr:uid="{DF2EFB5B-FCE7-4B3D-8A13-A25ECF7ECFC7}"/>
    <hyperlink ref="E889" r:id="rId736" xr:uid="{E7749835-2AAC-4BA2-BC1D-87C513009434}"/>
    <hyperlink ref="E890" r:id="rId737" xr:uid="{D3EB64F9-F889-46A5-9243-11A278C72684}"/>
    <hyperlink ref="E891" r:id="rId738" xr:uid="{8D8A235C-CA9E-4116-8B01-B62C527FE43E}"/>
    <hyperlink ref="E892" r:id="rId739" xr:uid="{4835098B-2BAC-42E7-947B-65D742158AF6}"/>
    <hyperlink ref="E893" r:id="rId740" xr:uid="{E9435751-5F3A-4CB8-942C-FCEE01078183}"/>
    <hyperlink ref="E894" r:id="rId741" xr:uid="{70C0F376-DFF5-4E95-8757-A907B249B840}"/>
    <hyperlink ref="E895" r:id="rId742" xr:uid="{063EC1C8-80E3-4A70-B153-FD44B2FFF999}"/>
    <hyperlink ref="E896" r:id="rId743" xr:uid="{BEDD5B44-0912-4D62-ABC4-E38E93868697}"/>
    <hyperlink ref="E908" r:id="rId744" xr:uid="{E5389C74-A61D-484E-9331-05BDB780A804}"/>
    <hyperlink ref="E909" r:id="rId745" xr:uid="{D9FFE8E7-3D1F-4BFC-887D-E2069FE9F547}"/>
    <hyperlink ref="E910" r:id="rId746" xr:uid="{12AFEBE3-F04A-45EC-93FE-DCA7FEB5CA5A}"/>
    <hyperlink ref="E911" r:id="rId747" xr:uid="{72D00448-41F0-4824-8A8B-7AF040483060}"/>
    <hyperlink ref="E912" r:id="rId748" xr:uid="{97515E6B-16D4-4D8E-B6B5-31930A99032A}"/>
    <hyperlink ref="E918" r:id="rId749" xr:uid="{B5C8A7E6-1B1F-4E77-956E-E59D7FD8A0D4}"/>
    <hyperlink ref="E919" r:id="rId750" xr:uid="{EBAFD054-730F-4474-95D2-A1E856DF9825}"/>
    <hyperlink ref="E920" r:id="rId751" xr:uid="{436D729F-481C-4480-BB5E-DB28ACFA7270}"/>
    <hyperlink ref="E921" r:id="rId752" xr:uid="{0573AC7B-C3C1-42A1-815B-9EEFAE490D03}"/>
    <hyperlink ref="E922" r:id="rId753" xr:uid="{E3B75699-DE9C-434F-980D-BB0D1545619E}"/>
    <hyperlink ref="E923" r:id="rId754" xr:uid="{C75D6390-2F78-4D58-90AC-EDAC99CA7CC2}"/>
    <hyperlink ref="E924" r:id="rId755" xr:uid="{20F5CC5D-B65A-4B39-A808-7DE5E7E01CC5}"/>
    <hyperlink ref="E925" r:id="rId756" xr:uid="{BDAC1BC6-9ABF-4885-93DF-D93E161960E9}"/>
    <hyperlink ref="E926" r:id="rId757" xr:uid="{A059CCA7-4D1E-48B3-8856-02A4914FE529}"/>
    <hyperlink ref="E927" r:id="rId758" xr:uid="{E923D0EB-BC92-441D-9AC8-02860CF68B18}"/>
    <hyperlink ref="E928" r:id="rId759" xr:uid="{BA0A18A7-5E1F-4CC2-83FE-F213647CB8BD}"/>
    <hyperlink ref="E929" r:id="rId760" xr:uid="{6309392F-D987-4BC7-8D9A-DD443E363FCD}"/>
    <hyperlink ref="E937" r:id="rId761" xr:uid="{7207FF0E-A9A0-492A-A278-4C40D74D9DF6}"/>
    <hyperlink ref="E938" r:id="rId762" xr:uid="{5F40837C-0A0B-488D-A0BA-1D9AA7091398}"/>
    <hyperlink ref="E939" r:id="rId763" xr:uid="{B2AF264E-ED93-4B0D-8557-A9C9F0B6537E}"/>
    <hyperlink ref="E940" r:id="rId764" xr:uid="{EFB6D7AF-6A47-42C1-B962-4EC105378DC7}"/>
    <hyperlink ref="E941" r:id="rId765" xr:uid="{A9BA45FA-F34D-49A9-89D5-EDC23521F0C1}"/>
    <hyperlink ref="E942" r:id="rId766" xr:uid="{C6D2B0B3-692F-4943-B583-A4D42CEA9305}"/>
    <hyperlink ref="E943" r:id="rId767" xr:uid="{9FF606DC-55AD-4EF1-A485-957A648FA2A8}"/>
    <hyperlink ref="E944" r:id="rId768" display="Гель для стирки" xr:uid="{33D6E817-FD76-4BEB-A084-310A13E0B36B}"/>
    <hyperlink ref="E945" r:id="rId769" xr:uid="{24049197-F32D-4522-9294-D5E4FA6E1C33}"/>
    <hyperlink ref="E946" r:id="rId770" xr:uid="{13119818-65FF-4E16-BB71-F8E43E0E4B0A}"/>
    <hyperlink ref="E950" r:id="rId771" xr:uid="{2F937D87-9760-4883-B909-847DC89B5956}"/>
    <hyperlink ref="E951" r:id="rId772" xr:uid="{3D91B343-A72B-4118-BD28-3FDAE44278F3}"/>
    <hyperlink ref="E954" r:id="rId773" xr:uid="{53596A53-05B6-47C3-A70E-055BDE790136}"/>
    <hyperlink ref="E955" r:id="rId774" xr:uid="{543343C8-D1C1-4DB1-9B9F-F20324484E74}"/>
    <hyperlink ref="E967" r:id="rId775" xr:uid="{53D4826A-CC9B-47E3-8285-52A4CDFB706B}"/>
    <hyperlink ref="E956" r:id="rId776" xr:uid="{7D645D2E-325B-4C98-AF06-E845D5DA01A9}"/>
    <hyperlink ref="E957" r:id="rId777" xr:uid="{312068C0-4D65-49DB-9696-F6EA18B4E1E0}"/>
    <hyperlink ref="E952" r:id="rId778" xr:uid="{F0DE27E5-1017-4462-8670-18B89284D0E1}"/>
    <hyperlink ref="E947" r:id="rId779" xr:uid="{C28AC79E-4AA2-4571-8002-CFA7854E6572}"/>
    <hyperlink ref="E973" r:id="rId780" xr:uid="{A322FCFF-41A8-4AD0-8F83-D39100F9B41B}"/>
    <hyperlink ref="E966" r:id="rId781" xr:uid="{7451B2C1-DBAE-40E8-87C6-CCD7B1D17C83}"/>
    <hyperlink ref="E953" r:id="rId782" xr:uid="{87220EAE-B058-421E-A57C-87154D9E061A}"/>
    <hyperlink ref="E958" r:id="rId783" xr:uid="{19AD4F8E-7BBA-4A49-9E75-0D9B3D42A21C}"/>
    <hyperlink ref="E948" r:id="rId784" xr:uid="{4F41F7B6-9954-4728-A807-F40B6EF9C553}"/>
    <hyperlink ref="E949" r:id="rId785" xr:uid="{9C1F68A7-A3D4-4A34-B809-2ABCF8CC5DAF}"/>
    <hyperlink ref="E959" r:id="rId786" xr:uid="{597254BD-A6DA-4693-A507-68B9B9E939A5}"/>
    <hyperlink ref="E960" r:id="rId787" xr:uid="{BD452218-A7FF-4E8E-B16F-5831CEDAA92B}"/>
    <hyperlink ref="E968" r:id="rId788" xr:uid="{B9ED05DB-33A7-41BD-882E-73273E59BC9B}"/>
    <hyperlink ref="E969" r:id="rId789" xr:uid="{F469FDCF-BE25-4FE8-AC3A-5FE30A8E18B3}"/>
    <hyperlink ref="E970" r:id="rId790" xr:uid="{B0E021DB-A68F-4E71-A857-B4F3A7C11F8F}"/>
    <hyperlink ref="E961" r:id="rId791" xr:uid="{07FA6D59-1476-4FDB-9357-05B642A448C6}"/>
    <hyperlink ref="E962" r:id="rId792" xr:uid="{BE40B746-A7A7-481E-AF88-BA582C92546A}"/>
    <hyperlink ref="E971" r:id="rId793" xr:uid="{9F7AC561-86CE-4C41-9E96-2292EF823EE5}"/>
    <hyperlink ref="E972" r:id="rId794" xr:uid="{A8451489-13FE-4099-B63B-BACC4DD54A64}"/>
    <hyperlink ref="E963" r:id="rId795" xr:uid="{A1E72131-E907-4443-9163-D38A64B6F49F}"/>
    <hyperlink ref="E964" r:id="rId796" display="Книга Арифметика" xr:uid="{03E7F866-4ABA-469E-8BE6-B5815BDEE9CB}"/>
    <hyperlink ref="E965" r:id="rId797" xr:uid="{C805D424-4777-49F8-AEA3-B44AAD7F5943}"/>
    <hyperlink ref="E974" r:id="rId798" xr:uid="{9BE166A5-258F-4DBA-9BB9-07716CD12493}"/>
    <hyperlink ref="E975" r:id="rId799" xr:uid="{F2B785D7-B4EE-4EBE-B474-F9E2394FE639}"/>
    <hyperlink ref="E976" r:id="rId800" xr:uid="{765947ED-47D5-4BEB-90FD-74D6C08554D2}"/>
    <hyperlink ref="E977" r:id="rId801" xr:uid="{E785DDF3-A98D-45FF-97BF-3AC716D0C44E}"/>
    <hyperlink ref="E978" r:id="rId802" xr:uid="{EE024242-C527-44BE-8469-10E202F590BD}"/>
    <hyperlink ref="E979" r:id="rId803" xr:uid="{99FEF3DA-139B-4CC1-88B9-AB3D428FD767}"/>
    <hyperlink ref="E980" r:id="rId804" xr:uid="{EC2AEEEC-CF91-4557-86C1-AB2D6BF79032}"/>
    <hyperlink ref="E981" r:id="rId805" xr:uid="{53313AAD-55BC-4989-BC07-CC9CF669DB4C}"/>
    <hyperlink ref="E982" r:id="rId806" xr:uid="{81C07A86-A2D9-476E-95C7-03E02514C01D}"/>
    <hyperlink ref="E983" r:id="rId807" xr:uid="{BFF7462B-65D6-42B1-A649-49C183542076}"/>
    <hyperlink ref="E984" r:id="rId808" xr:uid="{BBAB1649-A623-478F-9235-055F458ED7C3}"/>
    <hyperlink ref="E985" r:id="rId809" xr:uid="{A0A8BADE-1F5B-4BE8-A843-172D173FDB5E}"/>
    <hyperlink ref="E986" r:id="rId810" xr:uid="{865CEFCE-7D76-4013-9183-0A08005F8931}"/>
    <hyperlink ref="E987" r:id="rId811" xr:uid="{3D056D5D-13FE-4D9F-BFC3-E85B7D9E435B}"/>
    <hyperlink ref="E988" r:id="rId812" xr:uid="{5DBA3E9F-D29B-4E81-AAF9-82F31F1F4C09}"/>
    <hyperlink ref="E989" r:id="rId813" display="Органайзер универсальный" xr:uid="{9FD5B039-3E73-45B2-9139-B1DA1C7F1668}"/>
    <hyperlink ref="E990" r:id="rId814" xr:uid="{5C61D4F6-71E8-4925-9D38-C7291785631C}"/>
    <hyperlink ref="E991" r:id="rId815" xr:uid="{596C71AE-A147-4060-AA3B-12DB891682EE}"/>
    <hyperlink ref="E992" r:id="rId816" xr:uid="{E7A029AF-7A53-45B0-8BE0-6F6A42A3D525}"/>
    <hyperlink ref="E993" r:id="rId817" display="Набор полотенце из микрофибры" xr:uid="{7084C06E-8F22-4D0C-A78B-BFE2DAE6AF58}"/>
    <hyperlink ref="E994" r:id="rId818" display="Макси для лица тканевые" xr:uid="{3466CDCC-C8D2-4F2D-96B7-FDB02E7554DB}"/>
    <hyperlink ref="E995" r:id="rId819" xr:uid="{8D3212EB-C8EB-49DB-983A-CD472788B158}"/>
    <hyperlink ref="E996" r:id="rId820" xr:uid="{03400E65-4CAA-4AFE-ACC3-589321D2704E}"/>
    <hyperlink ref="E1000" r:id="rId821" xr:uid="{000DB702-FB64-42C0-93E7-0E7CECCA65CE}"/>
    <hyperlink ref="E1001" r:id="rId822" xr:uid="{C968C353-C486-425E-BDC5-6154D8B8DD71}"/>
    <hyperlink ref="E1002" r:id="rId823" xr:uid="{51CD6CC6-1850-4078-B654-2C2724D77336}"/>
    <hyperlink ref="E1003" r:id="rId824" xr:uid="{33A29839-4D75-4151-B282-B0EB0EA412A2}"/>
    <hyperlink ref="E1004" r:id="rId825" xr:uid="{0534A65B-ED18-492E-8D3F-D1E8C060F5DE}"/>
    <hyperlink ref="E1005" r:id="rId826" xr:uid="{19BC5FDD-5033-4FB8-9E0E-9E38D65D3DA4}"/>
    <hyperlink ref="E1006" r:id="rId827" xr:uid="{AD67205A-8E12-4FCF-8A74-A35DB350B8B7}"/>
    <hyperlink ref="E1007" r:id="rId828" xr:uid="{385A21C4-E389-4955-BCB1-0A0DC685B2A3}"/>
    <hyperlink ref="E1008" r:id="rId829" xr:uid="{7CEBFCBE-89F7-448A-BB70-4B9B159F57D9}"/>
    <hyperlink ref="E1009" r:id="rId830" xr:uid="{A227C4A4-C44D-4454-B389-FF370FB57B38}"/>
    <hyperlink ref="E1010" r:id="rId831" xr:uid="{109F504F-B787-48A3-8283-431393FDD3B8}"/>
    <hyperlink ref="E1011" r:id="rId832" xr:uid="{3A13AA0A-1BD3-42DF-BE89-FC670A61F57E}"/>
    <hyperlink ref="E1012" r:id="rId833" xr:uid="{5845DD17-9FC2-4324-A7E8-FB52E39C3FB1}"/>
    <hyperlink ref="E1013" r:id="rId834" xr:uid="{5324D1B5-38FA-4A88-A247-45192C866313}"/>
    <hyperlink ref="E1014" r:id="rId835" xr:uid="{26162630-D34F-44F4-973F-22E4323C2519}"/>
    <hyperlink ref="E1015" r:id="rId836" xr:uid="{1FD47872-309C-4D2C-8E77-5CB73F1EB6AB}"/>
    <hyperlink ref="E1016" r:id="rId837" xr:uid="{15B9EB54-9873-42E7-9942-8772AE8FAED3}"/>
    <hyperlink ref="E1017" r:id="rId838" xr:uid="{93F407E2-2E19-45CD-8BC5-6A5C6181E443}"/>
    <hyperlink ref="E1018" r:id="rId839" xr:uid="{839637A3-915F-4844-AB65-19C44A0488EA}"/>
    <hyperlink ref="E1019" r:id="rId840" xr:uid="{3492832B-24E7-41C5-A00F-94273D1F7340}"/>
    <hyperlink ref="E1020" r:id="rId841" xr:uid="{5FDEBB56-4676-4F49-9F70-6E08616CF450}"/>
    <hyperlink ref="E1021" r:id="rId842" xr:uid="{D345483E-C2C2-4A87-AD5D-99BAB3406DC3}"/>
    <hyperlink ref="E1022" r:id="rId843" xr:uid="{7447B143-F0A7-4BAB-BE32-AFC186A061C1}"/>
    <hyperlink ref="E1023" r:id="rId844" xr:uid="{2108EFA1-2775-43A5-8234-5ECE4BB7ACED}"/>
    <hyperlink ref="E1024" r:id="rId845" xr:uid="{1A4A63ED-3060-4E7D-B1F6-66325FC4FCA0}"/>
    <hyperlink ref="E1026" r:id="rId846" xr:uid="{7A54EAF9-A1F3-4D05-9B1D-B6639CFA5116}"/>
    <hyperlink ref="E1043" r:id="rId847" xr:uid="{6FDE33AD-619D-4E9D-8E16-4AFD167A0413}"/>
    <hyperlink ref="E1044" r:id="rId848" xr:uid="{A7B3FCCD-ECC4-4356-A325-04A296A80781}"/>
    <hyperlink ref="E1045" r:id="rId849" xr:uid="{F39E5D0E-1CEB-4E98-AA7D-2C81A63ECF0D}"/>
    <hyperlink ref="E1046" r:id="rId850" xr:uid="{2DBDEC8F-AFE3-41C7-BE79-2C6B1773149D}"/>
    <hyperlink ref="E1047" r:id="rId851" xr:uid="{06F1812E-DDFE-406F-B6B9-1D50729A1E87}"/>
    <hyperlink ref="E1048" r:id="rId852" xr:uid="{D987F5A7-0ACC-4716-A353-6EEA58E88DD2}"/>
    <hyperlink ref="E1049" r:id="rId853" xr:uid="{0DA878BC-F6C2-4A80-BFF3-3ADD44E6B2E2}"/>
    <hyperlink ref="E1050" r:id="rId854" xr:uid="{7A4FF5FB-C768-4D14-B49E-CD7A69F64DAD}"/>
    <hyperlink ref="E1051" r:id="rId855" xr:uid="{2E470A9A-C5C5-41F7-8481-A09E0EA8AA24}"/>
    <hyperlink ref="E1041" r:id="rId856" xr:uid="{9532D46D-4EB6-4F6C-9A37-81512E47E9A7}"/>
    <hyperlink ref="E1042" r:id="rId857" xr:uid="{58029311-D05A-429F-9F9B-DFFECAB9B5AE}"/>
    <hyperlink ref="E1052" r:id="rId858" xr:uid="{10B1DC3A-0580-494E-A2FA-E7CD3E9A6ECF}"/>
    <hyperlink ref="E1053" r:id="rId859" xr:uid="{6D306D70-59DC-4F10-B4E4-D300F132E546}"/>
    <hyperlink ref="E1054" r:id="rId860" xr:uid="{A5D4ECFB-79AD-48F7-A98F-F620E0DCA4CC}"/>
    <hyperlink ref="E1055" r:id="rId861" xr:uid="{577EEB91-0834-498A-97BF-B1E4E89E0A52}"/>
    <hyperlink ref="E1056" r:id="rId862" xr:uid="{3411EA5E-2DD9-4A05-B2C2-E5AC2FE07AF1}"/>
    <hyperlink ref="E1057" r:id="rId863" xr:uid="{776D4428-736F-4CE8-9929-CB25932A7034}"/>
    <hyperlink ref="E1058" r:id="rId864" xr:uid="{A959A7F0-AD78-4BD4-BF25-0E590ADC83B4}"/>
    <hyperlink ref="E1059" r:id="rId865" xr:uid="{98F7901A-9024-47B1-8883-593ED567B38E}"/>
    <hyperlink ref="E1060" r:id="rId866" xr:uid="{41540B74-AC06-4AAC-8A1F-A285CB1EA9B4}"/>
    <hyperlink ref="E1061" r:id="rId867" xr:uid="{49E58B4B-B970-414C-AF85-64274DBE8C75}"/>
    <hyperlink ref="E1062" r:id="rId868" xr:uid="{971C7C98-9A44-48A3-8448-6BDA0DB362B3}"/>
    <hyperlink ref="E1063" r:id="rId869" xr:uid="{C8AB41E9-24C3-42C8-AC24-ABF5C41EA8C8}"/>
    <hyperlink ref="E1064" r:id="rId870" xr:uid="{1C887CE6-BC78-45CB-91ED-6ABFB0451A75}"/>
    <hyperlink ref="E1065" r:id="rId871" xr:uid="{28D0B432-B541-4877-AE29-B4A3B67042EC}"/>
    <hyperlink ref="E1066" r:id="rId872" xr:uid="{8270575E-9723-48BE-811D-B910A24676A0}"/>
    <hyperlink ref="E1067" r:id="rId873" xr:uid="{48BF2FC3-AAC3-4137-85A0-3059EEC14480}"/>
    <hyperlink ref="E1068" r:id="rId874" xr:uid="{062AF61E-FA44-4C46-8CA4-F3EB4F6BBB45}"/>
    <hyperlink ref="E1069" r:id="rId875" xr:uid="{AB61E173-EC48-4374-99A5-80F335464475}"/>
    <hyperlink ref="E1070" r:id="rId876" xr:uid="{FD48B343-98F9-437E-BCD9-FB72CAC16516}"/>
    <hyperlink ref="E1071" r:id="rId877" xr:uid="{77B7B839-9BF7-4154-858C-3023803A7645}"/>
    <hyperlink ref="E1072" r:id="rId878" xr:uid="{54CE3C0C-FFEE-4EBD-A24C-BBA535E34F18}"/>
    <hyperlink ref="E1073" r:id="rId879" xr:uid="{2EB1C0C3-161D-428E-907B-4870679058DF}"/>
    <hyperlink ref="E1074" r:id="rId880" xr:uid="{F0419B94-0B40-452E-9A5D-A64E0EF3394B}"/>
    <hyperlink ref="E1076" r:id="rId881" xr:uid="{44E1A04E-BF64-4FD6-8A38-E03734B403F6}"/>
    <hyperlink ref="E1077" r:id="rId882" xr:uid="{9C3DA19E-0829-48CE-9548-C19454171B55}"/>
    <hyperlink ref="E1078" r:id="rId883" xr:uid="{1F2EF1CF-EC66-41C8-B857-C4F4E52CE74B}"/>
    <hyperlink ref="E1079" r:id="rId884" xr:uid="{EAA89A72-4C46-4192-A1AC-6D47A1642633}"/>
    <hyperlink ref="E1080" r:id="rId885" xr:uid="{79A6D03F-D4B3-4D5D-9D23-EDCC58A87EEF}"/>
    <hyperlink ref="E1081" r:id="rId886" xr:uid="{0F194952-A52E-435C-874D-D371933C265F}"/>
    <hyperlink ref="E1085" r:id="rId887" xr:uid="{8556C75A-740E-4717-B278-0349ACB2FA3C}"/>
    <hyperlink ref="E1087" r:id="rId888" xr:uid="{68D952EB-A29B-4F73-B354-54E83E1E3D82}"/>
    <hyperlink ref="E1088" r:id="rId889" xr:uid="{D0FF042C-ADE8-483F-A512-B180E41D4386}"/>
    <hyperlink ref="E1089" r:id="rId890" xr:uid="{EAF6FEB2-69E3-4C65-A294-742A991FCF88}"/>
    <hyperlink ref="E1086" r:id="rId891" xr:uid="{35148F9D-C761-426C-9043-42FB2DCAFC28}"/>
    <hyperlink ref="E1090" r:id="rId892" xr:uid="{5821C445-1062-4150-9E5E-01155EAB3810}"/>
    <hyperlink ref="E1091" r:id="rId893" xr:uid="{0DE60075-8E42-439C-BD02-C724F48CB87C}"/>
    <hyperlink ref="E1092" r:id="rId894" xr:uid="{7543BB62-EAFB-4812-9C3A-DEFD75063EAD}"/>
    <hyperlink ref="E1093" r:id="rId895" xr:uid="{8D4B6E32-8619-4414-98CF-0961B3346079}"/>
    <hyperlink ref="E1094" r:id="rId896" display="Нитки капроновые" xr:uid="{C343E25E-5526-4ADF-825B-684CA5A68965}"/>
    <hyperlink ref="E1095" r:id="rId897" xr:uid="{5B148269-D50D-4FCF-9612-19A5C9F68ADD}"/>
    <hyperlink ref="E1096" r:id="rId898" xr:uid="{17B62A18-E18E-46DC-BDAB-11B731F93610}"/>
    <hyperlink ref="E1097" r:id="rId899" xr:uid="{B009CF18-AB36-4B84-A15C-D2C958B633F7}"/>
    <hyperlink ref="E1098" r:id="rId900" xr:uid="{0E3DA2A3-8782-4E3B-97B5-7428265C77AC}"/>
    <hyperlink ref="E1099" r:id="rId901" xr:uid="{76799C67-FD10-495D-A25F-ADAB2DE2C437}"/>
    <hyperlink ref="E1100" r:id="rId902" xr:uid="{1A3CBCB9-B4EC-4EDB-AF32-93B864F12CD1}"/>
    <hyperlink ref="E1101" r:id="rId903" xr:uid="{B4361834-9091-4656-BAC5-A7A0E13FE803}"/>
    <hyperlink ref="E1102" r:id="rId904" xr:uid="{C8229159-0FBD-430B-990F-C552488BC134}"/>
    <hyperlink ref="E1103" r:id="rId905" xr:uid="{C55A01C0-ADDA-46D3-8D71-FEA04A4F5F60}"/>
    <hyperlink ref="E1104" r:id="rId906" xr:uid="{25534748-E145-4E66-9936-193CD5229029}"/>
    <hyperlink ref="E1105" r:id="rId907" xr:uid="{AEF75643-308F-41EB-A5A1-F7E2977D95AE}"/>
    <hyperlink ref="E1106" r:id="rId908" xr:uid="{6E4F7B1C-01F5-4556-9C94-1AA91416B7AB}"/>
    <hyperlink ref="E1107" r:id="rId909" xr:uid="{184A61A1-B530-4B70-B41F-8384460CD76C}"/>
    <hyperlink ref="E1108" r:id="rId910" xr:uid="{2DC1C4AE-795C-4A89-AACC-E1D98D4FBD39}"/>
    <hyperlink ref="E1111" r:id="rId911" xr:uid="{972F48FF-D069-4327-A06C-70A68D722BAA}"/>
    <hyperlink ref="E1113" r:id="rId912" xr:uid="{16573510-CC8A-4275-B1B8-E759CDEAB90A}"/>
    <hyperlink ref="E1114" r:id="rId913" xr:uid="{41569AB7-D850-4BEA-9D2C-D485735D8823}"/>
    <hyperlink ref="E1115" r:id="rId914" xr:uid="{9B395350-7126-45E4-8D92-110A14B171E4}"/>
    <hyperlink ref="E1116" r:id="rId915" display="Ароматизаор Ваниль, Сандал, Роза" xr:uid="{5BCA0D30-0303-475C-A489-8CBD806F04BF}"/>
    <hyperlink ref="E1117" r:id="rId916" display="Ароматизаор Ваниль, Амбра, Лабданум" xr:uid="{E71F0592-F1BF-4833-AECD-1C9AA654FA43}"/>
    <hyperlink ref="E1118" r:id="rId917" xr:uid="{B4AFB9CC-B04B-4F43-A55B-34509289F19B}"/>
    <hyperlink ref="E1119" r:id="rId918" xr:uid="{563C06A3-3AE7-42E1-9A2D-5C5D88879502}"/>
    <hyperlink ref="E1120" r:id="rId919" xr:uid="{772AF5D1-0138-4BC7-9E49-798359AC885F}"/>
    <hyperlink ref="E1121" r:id="rId920" xr:uid="{C24C7D03-7AE5-4676-854C-4F1065CABCFD}"/>
    <hyperlink ref="E1122" r:id="rId921" xr:uid="{32AADB60-DF42-49B7-9E53-4A1AF4506B98}"/>
    <hyperlink ref="E1123" r:id="rId922" xr:uid="{740E2696-F07F-4DDC-9CC3-A033A1D7235F}"/>
    <hyperlink ref="E1124" r:id="rId923" xr:uid="{79A54AFC-888A-4920-AFD6-69243FF41BBD}"/>
    <hyperlink ref="E1125" r:id="rId924" xr:uid="{DFC3F8A0-156E-489E-9E96-A4B0E84F5C93}"/>
    <hyperlink ref="E1126" r:id="rId925" xr:uid="{333E7A38-89FF-4469-9CF1-27E1ABC32B50}"/>
    <hyperlink ref="E1127" r:id="rId926" xr:uid="{F2641153-F730-4298-B096-E3A58AA6AD6C}"/>
    <hyperlink ref="E1128" r:id="rId927" xr:uid="{2D7D327D-477F-49A0-9ABE-1C9989E39002}"/>
    <hyperlink ref="E1129" r:id="rId928" xr:uid="{933EA86F-B635-4C4C-BA21-272607153EB4}"/>
    <hyperlink ref="E1130" r:id="rId929" xr:uid="{2F984F4C-DF6A-4FD8-9840-E18C9B844AE5}"/>
    <hyperlink ref="E1131" r:id="rId930" xr:uid="{675DFE38-74E7-4ECA-A659-740C3E5C4569}"/>
    <hyperlink ref="E1132" r:id="rId931" xr:uid="{33E845AC-8507-4BE2-AA65-84AE1BA7D709}"/>
    <hyperlink ref="E1133" r:id="rId932" xr:uid="{D4F8B877-90AB-46CE-80D2-A01A4EDD7BAC}"/>
    <hyperlink ref="E1134" r:id="rId933" xr:uid="{F9DDF2FF-E8C6-49A6-8B57-D1DBAC0C1FEA}"/>
    <hyperlink ref="E1135" r:id="rId934" xr:uid="{BEFA64FD-EC03-4C3F-8401-14C0605257F0}"/>
    <hyperlink ref="E1109" r:id="rId935" xr:uid="{9C32560E-F93D-496D-A9BB-ED3EAA84F861}"/>
    <hyperlink ref="E1110" r:id="rId936" xr:uid="{8DD4F16E-71FA-4FCD-A56E-45F0427130DB}"/>
    <hyperlink ref="E1112" r:id="rId937" xr:uid="{D430A7AF-4FEF-4C4A-94C4-FAD5BE7745C6}"/>
    <hyperlink ref="E1136" r:id="rId938" xr:uid="{6FFF26A6-B050-49C3-9C37-2C1A298AE060}"/>
    <hyperlink ref="E1137" r:id="rId939" xr:uid="{08C55A30-5DC1-44EF-AACC-86F382D58D4A}"/>
    <hyperlink ref="E1140" r:id="rId940" xr:uid="{1CAE528E-3028-48A7-9F04-5B4B67E3CC7A}"/>
    <hyperlink ref="E1141" r:id="rId941" xr:uid="{C207FE76-6992-4C14-B300-99D00317DAA8}"/>
    <hyperlink ref="E1142" r:id="rId942" xr:uid="{CBB32CF5-7F99-4A24-BCA4-FF8D4CE4F115}"/>
    <hyperlink ref="E1143" r:id="rId943" xr:uid="{4ED2ED3A-B4BF-4CBD-9BF1-3686D80E36C5}"/>
    <hyperlink ref="E1144" r:id="rId944" xr:uid="{7E245DE9-D112-4094-A14C-6E80C23E7A30}"/>
    <hyperlink ref="E1145" r:id="rId945" xr:uid="{FFD910CA-1CFD-40C1-8D08-93709777F578}"/>
    <hyperlink ref="E1146" r:id="rId946" xr:uid="{257BE160-6CF1-4F1E-BF87-14956DF3B18A}"/>
    <hyperlink ref="E1147" r:id="rId947" xr:uid="{6313B1AE-EAE2-4FB0-8080-6D8590BE6F68}"/>
    <hyperlink ref="E1148" r:id="rId948" xr:uid="{5F21F88B-E516-4CE0-A83A-0895390498F4}"/>
    <hyperlink ref="E1149" r:id="rId949" xr:uid="{DB498E96-E5F0-4E80-B89A-67C5789ED2E4}"/>
    <hyperlink ref="E1150" r:id="rId950" xr:uid="{83E9F74E-C9B3-4BAC-A3BE-CD62B469C687}"/>
    <hyperlink ref="E1151" r:id="rId951" xr:uid="{81D272CA-1A2D-4BB3-A822-E361606D40FA}"/>
    <hyperlink ref="E1152" r:id="rId952" xr:uid="{F42E2D5F-5FC0-447B-B612-D71FB7D2F756}"/>
    <hyperlink ref="E1153" r:id="rId953" xr:uid="{2D550D1B-123C-474E-8BAE-629A44936D59}"/>
    <hyperlink ref="E1154" r:id="rId954" xr:uid="{82205A6D-F782-4649-96D2-29FA9846F288}"/>
    <hyperlink ref="E1155" r:id="rId955" xr:uid="{FE6C9A0B-C656-494B-8CA9-E361EEB1507B}"/>
    <hyperlink ref="E1156" r:id="rId956" xr:uid="{12842D73-9583-454E-A386-F4CCDB1C23AC}"/>
    <hyperlink ref="E1158" r:id="rId957" xr:uid="{06658345-064D-461E-8115-78926B1EB112}"/>
    <hyperlink ref="E1159" r:id="rId958" xr:uid="{2568855F-8836-4809-88FA-B803B10A124F}"/>
    <hyperlink ref="E1160" r:id="rId959" xr:uid="{455590A1-4737-4FC6-B005-5FBC627BB371}"/>
    <hyperlink ref="E1161" r:id="rId960" xr:uid="{12ACFA8A-9762-4C25-8557-F3405D17B50B}"/>
    <hyperlink ref="E1162" r:id="rId961" xr:uid="{57B17462-AC74-4BA9-8B2A-B344AC66CB4F}"/>
    <hyperlink ref="E1163" r:id="rId962" xr:uid="{82FBAF82-1212-4214-BA1C-EB582BA66C99}"/>
    <hyperlink ref="E1164" r:id="rId963" xr:uid="{BACC231C-64BE-405A-84F6-E0B09626DDBE}"/>
    <hyperlink ref="E1165" r:id="rId964" xr:uid="{2E325CF2-CC8F-4D45-BCD2-9D6DD4F36AC5}"/>
    <hyperlink ref="E1166" r:id="rId965" xr:uid="{7F7D8D0E-C409-4174-AFD9-E5F7FEB990C9}"/>
    <hyperlink ref="E1167" r:id="rId966" xr:uid="{14C56793-82E1-489F-9131-4B98DD537C44}"/>
    <hyperlink ref="E1168" r:id="rId967" xr:uid="{5D30EFD9-93FE-43E2-B0DC-F3286E163E97}"/>
    <hyperlink ref="E1169" r:id="rId968" xr:uid="{253B806A-2428-4812-8603-5030BCDB109E}"/>
    <hyperlink ref="E1170" r:id="rId969" xr:uid="{62DAA3FE-661F-4C25-A0A6-A2246D584A54}"/>
    <hyperlink ref="E1172" r:id="rId970" xr:uid="{C0FF981A-5807-427D-9FEA-925EF5220F04}"/>
    <hyperlink ref="E1173" r:id="rId971" xr:uid="{670BE71C-12D4-4EB7-B3A9-05A38CC5A8C3}"/>
    <hyperlink ref="E1174" r:id="rId972" xr:uid="{074E1ECC-C1AB-425F-B289-66D622FBB6C4}"/>
    <hyperlink ref="E1175" r:id="rId973" xr:uid="{C8C86C7B-818F-4D8C-B09A-723AE227421A}"/>
    <hyperlink ref="E1176" r:id="rId974" xr:uid="{7DA1EA26-4098-4320-8FA9-14FD409B9820}"/>
    <hyperlink ref="E1177" r:id="rId975" xr:uid="{7ED97441-0B22-4270-AB5C-CEFC9C8D400D}"/>
    <hyperlink ref="E1178" r:id="rId976" xr:uid="{827FCD4F-FC83-4875-965B-3FE756ED078E}"/>
    <hyperlink ref="E1179" r:id="rId977" xr:uid="{1F02AB46-CA1F-41AC-8E86-4DAD3769ADE0}"/>
    <hyperlink ref="E1180" r:id="rId978" xr:uid="{FEE53BC9-C0E1-40C8-8414-78334B95FA57}"/>
    <hyperlink ref="E1181" r:id="rId979" xr:uid="{B80165F2-57E4-4361-8295-7C26F4383344}"/>
    <hyperlink ref="E1182" r:id="rId980" xr:uid="{653E5F9F-35AC-4B01-BB7C-E4679B791E79}"/>
    <hyperlink ref="E1183" r:id="rId981" xr:uid="{B58EBF1F-8CAC-4327-B396-D43779C93C17}"/>
    <hyperlink ref="E1189" r:id="rId982" xr:uid="{5A01AA75-E34C-414C-B702-2BC26065CFB7}"/>
    <hyperlink ref="E1190" r:id="rId983" xr:uid="{DCE4D3FE-3212-4A91-8FDC-5F7917116CA2}"/>
    <hyperlink ref="E1191" r:id="rId984" xr:uid="{7AD2EACF-6DC9-4626-BBC6-03775928AF24}"/>
    <hyperlink ref="E1192" r:id="rId985" xr:uid="{18560C00-6C79-4D94-A3EB-27882F552C40}"/>
    <hyperlink ref="E1193" r:id="rId986" xr:uid="{3451E7D5-1A04-486C-B891-EBCC0680D7D2}"/>
    <hyperlink ref="E1194" r:id="rId987" xr:uid="{12BBA6C7-57C1-41ED-B47E-05AC837D78DE}"/>
    <hyperlink ref="E1195" r:id="rId988" xr:uid="{E9F89B27-B9FF-42B0-A342-7C4B1FB40D95}"/>
    <hyperlink ref="E1196" r:id="rId989" xr:uid="{8D6AD974-A5DE-40CA-A4C6-457EDA1BD367}"/>
    <hyperlink ref="E1186" r:id="rId990" xr:uid="{F8D18B89-6144-45B3-BD56-1BEAE5B97352}"/>
    <hyperlink ref="E1197" r:id="rId991" xr:uid="{A8C9D64A-3C7F-4DDD-BB03-3701703E099E}"/>
    <hyperlink ref="E1199" r:id="rId992" xr:uid="{07D8A41F-93D7-41BC-B897-2CC2ECA81C85}"/>
    <hyperlink ref="E1200" r:id="rId993" xr:uid="{E81273AC-DBBC-42CB-A0F3-EEFED2A69053}"/>
    <hyperlink ref="E1201" r:id="rId994" xr:uid="{4771FDD2-16A9-4DFC-8E61-E570D78D833C}"/>
    <hyperlink ref="E1202" r:id="rId995" xr:uid="{B578E957-96E9-44BF-AB72-DF848EFEB911}"/>
    <hyperlink ref="E1203" r:id="rId996" xr:uid="{B40AA487-E182-4598-84D9-68DDBB0AF812}"/>
    <hyperlink ref="E1204" r:id="rId997" xr:uid="{FD696CD8-6711-42CF-AE6C-F666AD8D5A68}"/>
    <hyperlink ref="E1205" r:id="rId998" xr:uid="{1D141893-A8C1-41AB-A521-70A9798C1D78}"/>
    <hyperlink ref="E1206" r:id="rId999" xr:uid="{31556559-9503-4BCE-B86B-7CD895D4A99C}"/>
    <hyperlink ref="E1207" r:id="rId1000" display="Кольца для штор" xr:uid="{7F10296F-9E5F-470B-88DA-82950482F9B4}"/>
    <hyperlink ref="E1198" r:id="rId1001" xr:uid="{6A5FC450-4275-4427-8141-258EE86A4F57}"/>
    <hyperlink ref="E1208" r:id="rId1002" xr:uid="{89079FDD-4CBF-4D77-9A56-4A41FE6C8D40}"/>
    <hyperlink ref="E1209" r:id="rId1003" xr:uid="{AA6FAEA9-D8F6-4054-A0E4-5B25FC1546FC}"/>
    <hyperlink ref="E1210" r:id="rId1004" xr:uid="{3397E706-B956-4EA9-97A3-BA041B7E7873}"/>
    <hyperlink ref="E1211" r:id="rId1005" xr:uid="{3A20AA5B-B839-4587-A2E0-2500D567E234}"/>
    <hyperlink ref="E1212" r:id="rId1006" xr:uid="{DE53B17E-7783-44EC-9B1E-FA335502D844}"/>
    <hyperlink ref="E1213" r:id="rId1007" xr:uid="{527D05CD-1D20-4DB7-A3FD-03B77905E738}"/>
    <hyperlink ref="E1214" r:id="rId1008" xr:uid="{85DA3081-9F08-4360-8284-2314A14F465B}"/>
    <hyperlink ref="E1157" r:id="rId1009" xr:uid="{A583F60D-443E-4323-9F2F-3DCE0CFBBAEA}"/>
    <hyperlink ref="E1220" r:id="rId1010" xr:uid="{B0B7591A-5E69-46F4-A842-D797DE37B9BF}"/>
    <hyperlink ref="E1221" r:id="rId1011" xr:uid="{D3658413-82AA-4853-B733-25B10C8117BB}"/>
    <hyperlink ref="E1224" r:id="rId1012" xr:uid="{BC19EE5E-BCE3-4F5A-846E-ACE07A97232C}"/>
    <hyperlink ref="E1225" r:id="rId1013" xr:uid="{5C7EDDFB-0FBD-4389-B796-608F422EE79C}"/>
    <hyperlink ref="E1226" r:id="rId1014" xr:uid="{9105418E-DE14-4D5D-9B58-626C9FF54253}"/>
    <hyperlink ref="E1227" r:id="rId1015" xr:uid="{E7B381E5-FF46-4B13-9641-421865943FAD}"/>
    <hyperlink ref="E1228" r:id="rId1016" xr:uid="{BB68B51B-2898-4A58-B14D-A3692C987159}"/>
    <hyperlink ref="E1229" r:id="rId1017" xr:uid="{65E1A9AA-BFCE-4565-9100-6F68AC1FE014}"/>
    <hyperlink ref="E1230" r:id="rId1018" xr:uid="{DCCD92A6-1469-4524-9259-60B586669D81}"/>
    <hyperlink ref="E1231" r:id="rId1019" xr:uid="{E145B899-0085-4650-9760-6D33E24BA616}"/>
    <hyperlink ref="E1232" r:id="rId1020" xr:uid="{933F761B-FF83-4467-81D6-FB0FB65480C4}"/>
    <hyperlink ref="E1233" r:id="rId1021" xr:uid="{7D09CAB5-85E1-4D0E-9C54-AAF4BAC08735}"/>
    <hyperlink ref="E1234" r:id="rId1022" xr:uid="{7AE22DE3-D335-4AA7-83B6-9A55153BC7A9}"/>
    <hyperlink ref="E1236" r:id="rId1023" xr:uid="{BFACD641-7133-4354-BE88-8992D64B4CD3}"/>
    <hyperlink ref="E1235" r:id="rId1024" xr:uid="{F06319CD-CBD6-446D-B41E-CDB54EA83A56}"/>
    <hyperlink ref="E1237" r:id="rId1025" xr:uid="{03366BAA-9FFA-4D72-903F-5CEAA8B551D5}"/>
    <hyperlink ref="E1238" r:id="rId1026" xr:uid="{5755E561-6B28-4387-916E-EC9941D7195B}"/>
    <hyperlink ref="E1239" r:id="rId1027" xr:uid="{03F5683C-3EDE-439D-A0DE-F191B50BB11F}"/>
    <hyperlink ref="E1240" r:id="rId1028" xr:uid="{88F90D02-E230-41B6-8793-F329D71F678A}"/>
    <hyperlink ref="E1241" r:id="rId1029" xr:uid="{FC08F3E1-F863-434D-B2C1-D28536F0D2CE}"/>
    <hyperlink ref="E1242" r:id="rId1030" xr:uid="{C47B7F19-F71F-40DC-BB9D-EC1C4F31764E}"/>
    <hyperlink ref="E1243" r:id="rId1031" display="Диффузор для дома" xr:uid="{9A579B6E-B0BC-431D-B7E2-8C4836D59B73}"/>
    <hyperlink ref="E1244" r:id="rId1032" xr:uid="{0B258160-BBF0-4291-961F-2AFE8CC3DE56}"/>
    <hyperlink ref="E1245" r:id="rId1033" xr:uid="{C3BDF83E-948B-4BD7-AD2F-1E6EFDEB9E84}"/>
    <hyperlink ref="E1246" r:id="rId1034" xr:uid="{838A91EA-DD15-4062-A6CF-03D699FBF175}"/>
    <hyperlink ref="E1247" r:id="rId1035" xr:uid="{9CF75BCC-AE79-4ABF-AE81-F2EC0B6C80DB}"/>
    <hyperlink ref="E1248" r:id="rId1036" xr:uid="{FB09CCFF-46E6-4049-B305-DB7CC1C4DFBF}"/>
    <hyperlink ref="E1249" r:id="rId1037" xr:uid="{18CCC185-E141-436F-9C6A-A90A6FF882AC}"/>
    <hyperlink ref="E1250" r:id="rId1038" xr:uid="{1512241B-3DB6-4F4E-9A56-7C6D409F1871}"/>
    <hyperlink ref="E1251" r:id="rId1039" xr:uid="{58CF9F60-8550-49A9-8955-4E8C224B2941}"/>
    <hyperlink ref="E1252" r:id="rId1040" xr:uid="{87626991-109C-4DC7-B406-FC39112D3B2B}"/>
    <hyperlink ref="E1253" r:id="rId1041" xr:uid="{CA316F7A-8AB7-43A0-8802-2DD9799E841F}"/>
    <hyperlink ref="E1254" r:id="rId1042" xr:uid="{F5229798-3D47-4A07-A87A-4029532080E0}"/>
    <hyperlink ref="E1255" r:id="rId1043" xr:uid="{2FEF904F-484E-47EE-8D1D-F1492717A0DA}"/>
    <hyperlink ref="E1256" r:id="rId1044" xr:uid="{7E1A42A1-AA60-44A1-8329-8A57579E5240}"/>
    <hyperlink ref="E1257" r:id="rId1045" xr:uid="{AE2C3A6C-E40F-4010-8CC9-A561AE014A46}"/>
    <hyperlink ref="E1258" r:id="rId1046" xr:uid="{CA600483-AA92-47C6-9475-8F90A38C0545}"/>
    <hyperlink ref="E1259" r:id="rId1047" xr:uid="{E62193A7-84A6-459A-A637-079100424118}"/>
    <hyperlink ref="E1260" r:id="rId1048" xr:uid="{F98FDE68-38FE-447F-AD87-986985742F6A}"/>
    <hyperlink ref="E1261" r:id="rId1049" xr:uid="{E9629689-6E14-4759-8315-CAD430E84384}"/>
    <hyperlink ref="E1262" r:id="rId1050" xr:uid="{4CA3DF57-C5C9-4068-9176-D504288045C2}"/>
    <hyperlink ref="E1263" r:id="rId1051" xr:uid="{6C7D28C8-5930-44A9-BFAB-DFD842A6EF65}"/>
    <hyperlink ref="E1264" r:id="rId1052" xr:uid="{95207E53-4154-4F07-8756-DAACAEBD75B3}"/>
    <hyperlink ref="E1265" r:id="rId1053" xr:uid="{C3453157-BB74-499C-8006-69D157D6D625}"/>
    <hyperlink ref="E1266" r:id="rId1054" xr:uid="{4CA6F87D-AA0E-4EE1-AFF5-6E8EF7F6B3EB}"/>
    <hyperlink ref="E1267" r:id="rId1055" xr:uid="{4A261A84-637E-47D4-8D7A-57D0CF2B9641}"/>
    <hyperlink ref="E1268" r:id="rId1056" xr:uid="{35BABBD3-D57A-4237-A4C0-4B7D722CEAED}"/>
    <hyperlink ref="E1269" r:id="rId1057" xr:uid="{2C436E51-A783-4430-9513-790AF05F0CB5}"/>
    <hyperlink ref="E1270" r:id="rId1058" xr:uid="{D8EA8DCE-431F-4171-B940-5DB7C23FFFA2}"/>
    <hyperlink ref="E1275" r:id="rId1059" xr:uid="{26777C6E-9425-48B4-9388-F4FF2B9A8ACB}"/>
    <hyperlink ref="E1279" r:id="rId1060" xr:uid="{8DCD905A-7B6E-4193-A53E-DE786192C31B}"/>
    <hyperlink ref="E1280" r:id="rId1061" xr:uid="{A6696D40-70D0-466A-B5C2-3DD5D22FF19D}"/>
    <hyperlink ref="E1281" r:id="rId1062" xr:uid="{CB93FBB0-A188-4F11-9576-0C9927CBE892}"/>
    <hyperlink ref="E1282" r:id="rId1063" xr:uid="{FB1A6A98-072B-4E1F-963C-9782AD7D5190}"/>
    <hyperlink ref="E1283" r:id="rId1064" xr:uid="{02049757-A4F4-473A-B892-9B91B50EF169}"/>
    <hyperlink ref="E1284" r:id="rId1065" xr:uid="{EBE2D4BA-AE66-4FCE-BAD5-E3CB6C59652C}"/>
    <hyperlink ref="E1285" r:id="rId1066" xr:uid="{A4AC9295-491E-4D27-A7B3-31F2BD331444}"/>
    <hyperlink ref="E1286" r:id="rId1067" xr:uid="{9EADDD0C-B701-4E07-BD59-F426848BBBEB}"/>
    <hyperlink ref="E1287" r:id="rId1068" xr:uid="{9C60D4C0-0952-4B16-B382-0389908AD6F9}"/>
    <hyperlink ref="E1288" r:id="rId1069" xr:uid="{3684455F-A18A-4396-85A8-1451056A9838}"/>
    <hyperlink ref="E1289" r:id="rId1070" xr:uid="{460DB499-6776-4C5A-8516-2044596EBFCE}"/>
    <hyperlink ref="E1290" r:id="rId1071" xr:uid="{404E2D4E-E94B-4C6B-9665-578DA09F5113}"/>
    <hyperlink ref="E1291" r:id="rId1072" xr:uid="{52594194-0D51-415B-AC6E-4FBB095F3370}"/>
    <hyperlink ref="E1292" r:id="rId1073" xr:uid="{A6F9A3C7-1220-4C28-B6B5-026F0D0DDA1E}"/>
    <hyperlink ref="E1293" r:id="rId1074" xr:uid="{DF7ABEAE-7FC0-4A7A-B272-96973CCFD30D}"/>
    <hyperlink ref="E1294" r:id="rId1075" xr:uid="{BF047BCD-77F0-4125-9604-8A8465F53CAB}"/>
    <hyperlink ref="E1295" r:id="rId1076" xr:uid="{C756DF51-2F45-4FE4-B20C-B3D2B30DDA42}"/>
    <hyperlink ref="E1296" r:id="rId1077" xr:uid="{F96704AE-B6A7-4DF8-8A7F-6A853DAD4A1C}"/>
    <hyperlink ref="E1297" r:id="rId1078" xr:uid="{6924A3CE-C3D8-4C4B-B1DB-86AEE1822AF8}"/>
    <hyperlink ref="E1298" r:id="rId1079" xr:uid="{88BB90D6-F9F5-47CF-AADC-E55626DC1A77}"/>
    <hyperlink ref="E1299" r:id="rId1080" xr:uid="{43F47BF0-23A7-4ACB-B14D-18A09C45FECD}"/>
    <hyperlink ref="E1300" r:id="rId1081" xr:uid="{6A761DA9-ED32-44EC-8374-F0EC714857FA}"/>
    <hyperlink ref="E1301" r:id="rId1082" xr:uid="{9621E38C-5E21-4C04-BF29-3B2BB14956FB}"/>
    <hyperlink ref="E1302" r:id="rId1083" xr:uid="{810063C1-7363-4FB6-B1B6-F8BCB4292729}"/>
    <hyperlink ref="E1303" r:id="rId1084" xr:uid="{11D5E21E-54C2-42C5-9F4F-8B253205CDB5}"/>
    <hyperlink ref="E1304" r:id="rId1085" xr:uid="{DC696637-D6B3-462F-9574-1244F588E5DB}"/>
    <hyperlink ref="E1305" r:id="rId1086" xr:uid="{9CF1ECFC-A942-4878-BA89-B330FB291786}"/>
    <hyperlink ref="E1306" r:id="rId1087" xr:uid="{443E22F7-61F3-4590-89B4-AA43B4334432}"/>
    <hyperlink ref="E1309" r:id="rId1088" xr:uid="{1893E0B1-A2C2-402E-9C91-BDFAB390FF11}"/>
    <hyperlink ref="E1314" r:id="rId1089" xr:uid="{3B7E88B1-C8F1-42FC-8A19-728A2E271F93}"/>
    <hyperlink ref="E1315" r:id="rId1090" xr:uid="{AB1D99C4-0662-45AC-9208-3F0ED59E2EDC}"/>
    <hyperlink ref="E1316" r:id="rId1091" xr:uid="{A0FD4092-9B0F-45E4-8392-239D34A58EC8}"/>
    <hyperlink ref="E1317" r:id="rId1092" xr:uid="{B30EE394-00C0-4C44-8559-63A10333255E}"/>
    <hyperlink ref="E1318" r:id="rId1093" xr:uid="{811E3146-1FC4-499B-A5C8-6DFCD8E5C053}"/>
    <hyperlink ref="E1319" r:id="rId1094" xr:uid="{FD27FB40-64AC-4D77-A273-3B8C66D958F0}"/>
    <hyperlink ref="E1320" r:id="rId1095" xr:uid="{18E7005D-3BB3-413F-89FF-E0FB0D9042DE}"/>
    <hyperlink ref="E1321" r:id="rId1096" xr:uid="{4F04DAA9-D3C2-4796-AA53-55CD0C0B5FA9}"/>
    <hyperlink ref="E1322" r:id="rId1097" xr:uid="{5F3FE436-77B1-437B-9B01-3B09AE7B3E57}"/>
    <hyperlink ref="E1323" r:id="rId1098" xr:uid="{9656383A-BBB9-485F-A5DB-AD0EE9664183}"/>
    <hyperlink ref="E1324" r:id="rId1099" xr:uid="{75EA5B38-341F-4B60-AC69-E3B549408A16}"/>
    <hyperlink ref="E1325" r:id="rId1100" xr:uid="{22ED1240-EDE4-40A3-BB8C-1349D448F378}"/>
    <hyperlink ref="E1326" r:id="rId1101" xr:uid="{7918DAC6-2BDA-4454-A3BD-1F8AE20F93B3}"/>
    <hyperlink ref="E1327" r:id="rId1102" xr:uid="{3A94AC4C-5655-44B1-AF9D-DDA817ECF6CF}"/>
    <hyperlink ref="E1328" r:id="rId1103" xr:uid="{459DE836-5E83-4F4C-9546-FAB56DB8352F}"/>
    <hyperlink ref="E1329" r:id="rId1104" xr:uid="{70CCC2DD-C293-4738-B4CE-8468CDAD35BE}"/>
    <hyperlink ref="E1330" r:id="rId1105" xr:uid="{B1D6AB25-5532-498A-BD01-0F432A69BA26}"/>
    <hyperlink ref="E1331" r:id="rId1106" xr:uid="{60BE6233-5460-4D39-92FD-FC3E70FC9A31}"/>
    <hyperlink ref="E1332" r:id="rId1107" xr:uid="{577F3C7D-AE78-46CC-AB40-114525315274}"/>
    <hyperlink ref="E1333" r:id="rId1108" xr:uid="{55418290-8451-498A-9D81-7D649BD16957}"/>
    <hyperlink ref="E1334" r:id="rId1109" xr:uid="{FECB8934-E4BA-4CF6-9730-604FFB8ADC4F}"/>
    <hyperlink ref="E1335" r:id="rId1110" xr:uid="{ACF5C2A0-A5F7-49F2-8E8C-FDB9C6CE249A}"/>
    <hyperlink ref="E1336" r:id="rId1111" xr:uid="{32AB903A-A9E8-4858-8293-3B1C8BC92AA5}"/>
    <hyperlink ref="E1337" r:id="rId1112" xr:uid="{041B1157-E015-419E-B3CA-1F16BD065E31}"/>
    <hyperlink ref="E1338" r:id="rId1113" xr:uid="{E67464B4-A41A-4D18-9ADC-3E053D226609}"/>
    <hyperlink ref="E1339" r:id="rId1114" xr:uid="{8C5D4F6C-A27F-4BA5-8E12-72FB84D191EF}"/>
    <hyperlink ref="E1340" r:id="rId1115" xr:uid="{CA3463D8-8A7A-46D1-B5F5-D6A527FFAA6A}"/>
    <hyperlink ref="E1341" r:id="rId1116" xr:uid="{2B842B70-9B5E-4435-BF34-EB8F07161E07}"/>
    <hyperlink ref="E1342" r:id="rId1117" xr:uid="{3AB80869-5862-4867-BBD9-24699B39097D}"/>
    <hyperlink ref="E1343" r:id="rId1118" xr:uid="{4B984B67-CAB9-48EF-A5C0-52CC24D6521D}"/>
    <hyperlink ref="E1344" r:id="rId1119" xr:uid="{A34ACF6E-48D1-4863-961D-3BF66AD0CA78}"/>
    <hyperlink ref="E1345" r:id="rId1120" xr:uid="{D2C807A0-4EE8-4F3D-984B-55C8646589EF}"/>
    <hyperlink ref="E1346" r:id="rId1121" xr:uid="{7E0A1157-9EE4-42BB-95EA-202158F34D91}"/>
    <hyperlink ref="E1347" r:id="rId1122" xr:uid="{517C6A15-D505-48A5-915A-762CD97C15AE}"/>
    <hyperlink ref="E1348" r:id="rId1123" xr:uid="{744647B1-DD19-4891-BC19-6BE6B5EB5D8D}"/>
    <hyperlink ref="E1349" r:id="rId1124" xr:uid="{7262E1C1-974F-4546-AAA2-E355334935EC}"/>
    <hyperlink ref="E1350" r:id="rId1125" xr:uid="{92625031-9518-4E0A-8CD0-FE44FD588309}"/>
    <hyperlink ref="E1355" r:id="rId1126" xr:uid="{9766C7C1-77BF-4460-9D7B-A153DA7E0E80}"/>
    <hyperlink ref="E1356" r:id="rId1127" display="Наконечник втулочный" xr:uid="{9A4653DD-A345-403B-B60D-AC754E670018}"/>
    <hyperlink ref="E1357" r:id="rId1128" xr:uid="{A3E05AD5-4296-4BC5-992B-10DEF77A28E9}"/>
    <hyperlink ref="E1358" r:id="rId1129" xr:uid="{AB19FA05-A0E1-4C15-98A4-353F739AF4C4}"/>
    <hyperlink ref="E1359" r:id="rId1130" xr:uid="{77FB6B65-C2EB-465B-87DD-9688557954D5}"/>
    <hyperlink ref="E1360" r:id="rId1131" xr:uid="{B5329BA9-7AD3-4579-952D-006BCF986735}"/>
    <hyperlink ref="E1361" r:id="rId1132" xr:uid="{F9FBD09B-8B01-4992-823A-AD84438CA35E}"/>
    <hyperlink ref="E1362" r:id="rId1133" xr:uid="{F3A1E907-A6C7-48A4-9AC6-7F4FFC51CDB4}"/>
    <hyperlink ref="E1363" r:id="rId1134" xr:uid="{79A788EF-4359-435A-8D03-69422E594801}"/>
    <hyperlink ref="E1364" r:id="rId1135" xr:uid="{4BFF7B16-DCCF-4508-B26E-BFADA566527E}"/>
    <hyperlink ref="E1365" r:id="rId1136" xr:uid="{3E03701C-A461-49B6-B430-699256B8D025}"/>
    <hyperlink ref="E1366" r:id="rId1137" xr:uid="{F4B58177-934C-4D20-9AF4-9D741AE392FC}"/>
    <hyperlink ref="E1367" r:id="rId1138" xr:uid="{5EDA6E7D-4270-45E7-B0D8-710D0AFE4FD0}"/>
    <hyperlink ref="E1368" r:id="rId1139" xr:uid="{CF3043B0-1BC9-4B05-8E2C-D2346453BCD3}"/>
    <hyperlink ref="E1369" r:id="rId1140" xr:uid="{5831B9BA-21F5-4F5D-8656-51339F59671D}"/>
    <hyperlink ref="E1370" r:id="rId1141" xr:uid="{CBA0C322-4DD0-48AB-B443-3990861A6307}"/>
    <hyperlink ref="E1371" r:id="rId1142" xr:uid="{E10E4690-BB4F-46FE-A87D-C3380080AD7F}"/>
    <hyperlink ref="E1372" r:id="rId1143" xr:uid="{B44FDF15-8EAD-4B4E-8AB4-1FE48811CBDB}"/>
    <hyperlink ref="E1373" r:id="rId1144" xr:uid="{92064308-1427-4BCA-B74B-E545F570195C}"/>
    <hyperlink ref="E1374" r:id="rId1145" xr:uid="{B1650B1A-D2FE-4928-8C90-009DD9F05E75}"/>
    <hyperlink ref="E1375" r:id="rId1146" xr:uid="{C8B31A78-513D-48CE-B4E5-EACA468EAFF5}"/>
    <hyperlink ref="E1376" r:id="rId1147" xr:uid="{5BDB7F1B-CB47-4A10-B2AF-0359A3052472}"/>
    <hyperlink ref="E1377" r:id="rId1148" xr:uid="{62B9A80C-B250-49C5-B8C2-AC279852038B}"/>
    <hyperlink ref="E1378" r:id="rId1149" xr:uid="{DEDA75AD-C537-495D-ABA5-9D48D216D7B8}"/>
    <hyperlink ref="E1379" r:id="rId1150" xr:uid="{3A2EECBB-1927-4B9B-8DF0-038D4A29E97C}"/>
    <hyperlink ref="E1380" r:id="rId1151" xr:uid="{D3950FBF-14F6-46F9-9EDF-F8BA57C00F2D}"/>
    <hyperlink ref="E1381" r:id="rId1152" xr:uid="{29ADBE52-25B8-4DB2-8E07-1D37FDFB541D}"/>
    <hyperlink ref="E1382" r:id="rId1153" xr:uid="{BDB35ED8-A6FF-4F6B-B7DB-F57D057CB287}"/>
    <hyperlink ref="E1383" r:id="rId1154" xr:uid="{B3F091F2-7D7F-4EC9-97C7-5826C45F56AA}"/>
    <hyperlink ref="E1384" r:id="rId1155" xr:uid="{4FC2BE1A-6E24-4F99-A942-98ACFE42B522}"/>
    <hyperlink ref="E1385" r:id="rId1156" xr:uid="{98EFC19D-8E22-4C1D-8248-07AE63FB06B6}"/>
    <hyperlink ref="E1386" r:id="rId1157" xr:uid="{5FF9A01B-D84F-40E3-99C6-8FD292EB1548}"/>
    <hyperlink ref="E1387" r:id="rId1158" xr:uid="{E6D8B523-11C0-40D1-A55D-119AEB08D3CA}"/>
    <hyperlink ref="E1388" r:id="rId1159" xr:uid="{028D785D-6732-43A1-BB34-6C4DC99169B6}"/>
    <hyperlink ref="E1389" r:id="rId1160" xr:uid="{3C6221BA-FA03-4431-AA22-C6D0CD6B93A4}"/>
    <hyperlink ref="E1390" r:id="rId1161" xr:uid="{2DC5479B-AA5A-4CAF-8B3A-54764CAD7F5B}"/>
    <hyperlink ref="E1391" r:id="rId1162" xr:uid="{D9665C8F-9C30-4CDA-BC66-03F4A1CA9D47}"/>
    <hyperlink ref="E1392" r:id="rId1163" xr:uid="{6E1CB8C4-A1F0-4FD0-AE32-ACF9828A146B}"/>
    <hyperlink ref="E1393" r:id="rId1164" xr:uid="{561A7D6D-DBD9-4DAB-B0C7-B669447AD239}"/>
    <hyperlink ref="E1394" r:id="rId1165" xr:uid="{8869DA67-20EF-41EF-A986-8536D838B020}"/>
    <hyperlink ref="E1395" r:id="rId1166" xr:uid="{9BFB90B7-1197-44ED-931C-CFDD5946B651}"/>
    <hyperlink ref="E1396" r:id="rId1167" xr:uid="{A271B843-756A-49B0-BE20-EFDA7EE8F279}"/>
    <hyperlink ref="E1397" r:id="rId1168" xr:uid="{0224DF9B-5460-4BAC-9A81-CC46204E6E9C}"/>
    <hyperlink ref="E1398" r:id="rId1169" xr:uid="{2978841B-4419-40C4-8FB3-6E440FD378E4}"/>
    <hyperlink ref="E1399" r:id="rId1170" xr:uid="{5617FB8B-1F27-4BD3-87BF-693D01EDAFC2}"/>
    <hyperlink ref="E1400" r:id="rId1171" xr:uid="{9024951F-3C6C-4D4A-9E76-0D312674AD8D}"/>
    <hyperlink ref="E1401" r:id="rId1172" xr:uid="{A3523ABF-BAA3-4194-8FFF-A262D025C40A}"/>
    <hyperlink ref="E1402" r:id="rId1173" xr:uid="{8EE5440F-07B7-403E-8F3D-80B98BDA797E}"/>
    <hyperlink ref="E1403" r:id="rId1174" xr:uid="{592F99AB-3BA0-4807-AC1F-3F70CDE03758}"/>
    <hyperlink ref="E1404" r:id="rId1175" xr:uid="{A266D1D6-50FD-4628-BE85-993CCBA5BB44}"/>
    <hyperlink ref="E1405" r:id="rId1176" xr:uid="{75079596-84FA-4BF3-8FF1-99DE2F7737D4}"/>
    <hyperlink ref="E1410" r:id="rId1177" xr:uid="{3F876545-82B6-4E3C-BA49-AE07A3F87650}"/>
    <hyperlink ref="E1411" r:id="rId1178" xr:uid="{9D91D564-4EE9-41ED-BA74-1F33CD6F7BFA}"/>
    <hyperlink ref="E1412" r:id="rId1179" xr:uid="{7F93D61E-08DC-4F1E-B139-EC8EACFD8E1E}"/>
    <hyperlink ref="E1413" r:id="rId1180" xr:uid="{5FB88B5B-348A-4447-BEC7-031B0A39409C}"/>
    <hyperlink ref="E1414" r:id="rId1181" xr:uid="{7D8C1DCD-036F-4303-913C-27C535D2BB6E}"/>
    <hyperlink ref="E1415" r:id="rId1182" xr:uid="{561AD7D6-D453-4C17-9951-3C2AD545EF85}"/>
    <hyperlink ref="E1416" r:id="rId1183" xr:uid="{A34B3304-39E9-4BD2-958F-C06C1206296C}"/>
    <hyperlink ref="E1417" r:id="rId1184" xr:uid="{F55C0E42-11CD-42E3-8121-700463948BAA}"/>
    <hyperlink ref="E1418" r:id="rId1185" xr:uid="{2DF42E50-4A8A-4216-874B-108D43392FFA}"/>
    <hyperlink ref="E1419" r:id="rId1186" display="Прокладки Seni" xr:uid="{0444B6C5-0314-4C4B-94CA-EE16E55A9A68}"/>
    <hyperlink ref="E1420" r:id="rId1187" display="Прокладки урологические" xr:uid="{9B0410E3-A935-4719-B826-AC44A22163D8}"/>
    <hyperlink ref="E1421" r:id="rId1188" xr:uid="{3CBE4602-3A33-4802-B53C-4213AC584FB1}"/>
    <hyperlink ref="E1422" r:id="rId1189" xr:uid="{3C88C1F8-4605-4429-920C-4FE4C616964E}"/>
    <hyperlink ref="E1423" r:id="rId1190" xr:uid="{4EFF9560-8E53-4949-A681-DAFDD12FF0C0}"/>
    <hyperlink ref="E1424" r:id="rId1191" xr:uid="{4891D0E3-7A66-4D72-9AB5-C7208787D8A6}"/>
    <hyperlink ref="E1425" r:id="rId1192" xr:uid="{097A5462-5227-4651-A284-86F9A4123CEA}"/>
    <hyperlink ref="E1426" r:id="rId1193" xr:uid="{25A934C5-53BD-47F8-812C-4AEB0EF7AE57}"/>
    <hyperlink ref="E1427" r:id="rId1194" xr:uid="{56147543-68B5-4D7D-B189-F94307DC3AEB}"/>
    <hyperlink ref="E1428" r:id="rId1195" xr:uid="{E762B365-18B4-4B7B-BEEA-B6031E70BB96}"/>
    <hyperlink ref="E1429" r:id="rId1196" xr:uid="{FF70AC05-9209-4B4E-A6D3-2D1D6DADA999}"/>
    <hyperlink ref="E1430" r:id="rId1197" xr:uid="{76954A53-27F4-4842-A365-9EEFE5EEF95F}"/>
    <hyperlink ref="E1431" r:id="rId1198" xr:uid="{E0C2F884-21CD-42DC-A7E8-E6227BB53297}"/>
    <hyperlink ref="E1432" r:id="rId1199" xr:uid="{B0F5AD09-D4A1-4D3E-8C6A-11C5CFDBD71B}"/>
    <hyperlink ref="E1433" r:id="rId1200" xr:uid="{9228CAAE-D382-4B7D-B5FE-76E26C64418D}"/>
    <hyperlink ref="E1434" r:id="rId1201" xr:uid="{38B84568-E96E-4444-AC24-B1D671E4BE1F}"/>
    <hyperlink ref="E1435" r:id="rId1202" xr:uid="{394AAA95-05EA-41A0-97B8-B03AA50DC90B}"/>
    <hyperlink ref="E1436" r:id="rId1203" xr:uid="{DAC5B4CD-700A-44ED-A99C-1515A6B2B70C}"/>
    <hyperlink ref="E1437" r:id="rId1204" xr:uid="{ADBF4B46-09C6-45C7-9C48-1DE36ACB895B}"/>
    <hyperlink ref="E1438" r:id="rId1205" xr:uid="{430A67E3-CAC2-43F4-B9BE-9951F298697F}"/>
    <hyperlink ref="E1439" r:id="rId1206" xr:uid="{53746B53-25AB-475A-B855-93649AF0CA9D}"/>
    <hyperlink ref="E1440" r:id="rId1207" xr:uid="{79DDD24B-3DB5-4F88-B9C6-D960F1615BE0}"/>
    <hyperlink ref="E1441" r:id="rId1208" xr:uid="{C5600DF1-54E1-4B1C-983A-6241911B0FCE}"/>
    <hyperlink ref="E1442" r:id="rId1209" xr:uid="{59896387-A60C-4519-9E62-0EC1C2EE69FA}"/>
    <hyperlink ref="E1443" r:id="rId1210" xr:uid="{9FE03B8E-2D28-41A9-81DD-0020CD850307}"/>
    <hyperlink ref="E1444" r:id="rId1211" xr:uid="{346637F2-C50F-4D3A-981E-7729F437D4A7}"/>
    <hyperlink ref="E1445" r:id="rId1212" xr:uid="{850A9BFC-0D8E-457F-8510-D77A418D10A0}"/>
    <hyperlink ref="E1446" r:id="rId1213" xr:uid="{7A9EB80A-64B6-4B94-87D5-F5589CB1DFA6}"/>
    <hyperlink ref="E1447" r:id="rId1214" xr:uid="{61D57E7C-0504-46AE-97D6-26FCC00443CB}"/>
    <hyperlink ref="E1448" r:id="rId1215" xr:uid="{21CBEF7E-FF3D-4BC2-8730-5E8EA10EC1A5}"/>
    <hyperlink ref="E1449" r:id="rId1216" xr:uid="{00860524-C9CF-4CDD-8255-39FA060C6C98}"/>
    <hyperlink ref="E1450" r:id="rId1217" xr:uid="{244B1AF1-813A-41EB-9875-748388714E05}"/>
    <hyperlink ref="E1451" r:id="rId1218" xr:uid="{4978231F-9C44-4C48-8292-C16CD6BA5408}"/>
    <hyperlink ref="E1452" r:id="rId1219" display="Мазь про мастопатии" xr:uid="{E48ED661-BD7A-4632-9869-6C5589FB6823}"/>
    <hyperlink ref="E1453" r:id="rId1220" xr:uid="{E21ADDB8-CD5E-4DDC-9AD3-B65506F76769}"/>
    <hyperlink ref="E1454" r:id="rId1221" xr:uid="{0C979BE3-5686-46B8-93D0-83726EDBF259}"/>
    <hyperlink ref="E1455" r:id="rId1222" display="100 уроков сольфеджио" xr:uid="{B9FEEC29-88C3-4C57-A709-152B4248EB4D}"/>
    <hyperlink ref="E1456" r:id="rId1223" display="Кабель Type-C 3 метра" xr:uid="{26880D6B-E2FE-4A0C-AEB1-9D8BCFA2DFF1}"/>
    <hyperlink ref="E1457" r:id="rId1224" xr:uid="{A1136702-E1D1-4EAF-8437-845055895ECA}"/>
    <hyperlink ref="E1458" r:id="rId1225" xr:uid="{380652BB-3FFA-479E-88AD-6CA3B560BDE8}"/>
    <hyperlink ref="E1459" r:id="rId1226" xr:uid="{6EA2D75C-EA10-4F03-A1B3-67004FAE917A}"/>
    <hyperlink ref="E1460" r:id="rId1227" xr:uid="{183A83D1-2769-4641-A72B-310DA664D2EE}"/>
    <hyperlink ref="E1461" r:id="rId1228" xr:uid="{028A8FAC-C6C4-47DA-A2FB-E4961D4E0AF9}"/>
    <hyperlink ref="E1462" r:id="rId1229" xr:uid="{E5069AFB-03F3-478B-BFC3-ACF807BC4D3F}"/>
    <hyperlink ref="E1463" r:id="rId1230" xr:uid="{496D3CD6-022B-41D9-AB7F-EAE572DEDE40}"/>
    <hyperlink ref="E1464" r:id="rId1231" xr:uid="{7877A73E-415B-41A0-8C47-E4BE20D2FC98}"/>
    <hyperlink ref="E1465" r:id="rId1232" xr:uid="{FFD85C3B-3CD4-4FD1-B994-4E9439FECEA6}"/>
    <hyperlink ref="E1466" r:id="rId1233" xr:uid="{9651A6F3-BF0A-4310-960C-57689D305BFA}"/>
    <hyperlink ref="E1467" r:id="rId1234" xr:uid="{B0161669-5B5C-4822-9E14-21E999296D5F}"/>
    <hyperlink ref="E1468" r:id="rId1235" xr:uid="{8E7F389B-B10C-4F56-824E-3B5C5E2DCED3}"/>
    <hyperlink ref="E1469" r:id="rId1236" xr:uid="{DCF3454B-081D-4A98-AD5F-2A15259428C1}"/>
    <hyperlink ref="E1470" r:id="rId1237" xr:uid="{3DCE0A80-4872-4A66-ADBE-AF144E66C03B}"/>
    <hyperlink ref="E1471" r:id="rId1238" xr:uid="{539C885F-C3E7-48F4-941B-28F2EE6CEFDB}"/>
    <hyperlink ref="E1472" r:id="rId1239" xr:uid="{801B4FC4-6965-485C-9844-579708C4B464}"/>
    <hyperlink ref="E1473" r:id="rId1240" xr:uid="{B7626E6D-78FF-4DEE-972E-0BBE9C6AFC48}"/>
    <hyperlink ref="E1474" r:id="rId1241" display="Пазлы для детей" xr:uid="{4F5D8FCD-B621-4D48-8215-BF9C00850B59}"/>
    <hyperlink ref="E1475" r:id="rId1242" display="Пазлы для детей" xr:uid="{A7A8D1E4-4582-4050-9D04-842D61E6509B}"/>
    <hyperlink ref="E1476" r:id="rId1243" xr:uid="{DBFCF6C3-013E-4FFE-9494-6F90D217306B}"/>
    <hyperlink ref="E1477" r:id="rId1244" xr:uid="{CF7B61B1-11C8-4CEB-ADDE-56F581EDE52E}"/>
    <hyperlink ref="E1478" r:id="rId1245" xr:uid="{EE13F824-DC11-4068-B28C-AB9D8C3AB1C5}"/>
    <hyperlink ref="E1479" r:id="rId1246" xr:uid="{F4350191-4DF5-4CB4-8A57-235E78E5DE3E}"/>
    <hyperlink ref="E1480" r:id="rId1247" xr:uid="{EC8A9FCA-87E8-4D2A-B251-8DC5AC1AFEE7}"/>
    <hyperlink ref="E1481" r:id="rId1248" xr:uid="{7A58FAE0-4AD6-43DC-96D8-38541BAD3A1E}"/>
    <hyperlink ref="E1482" r:id="rId1249" xr:uid="{9B2CA572-C0D5-4056-ACEC-06B5CA1DB51B}"/>
    <hyperlink ref="E1489" r:id="rId1250" xr:uid="{0689AF45-C4D0-40C6-927A-FF15368A9E12}"/>
    <hyperlink ref="E1490" r:id="rId1251" xr:uid="{04C33367-AC81-4FC1-8112-D72F7E100090}"/>
    <hyperlink ref="E1491" r:id="rId1252" xr:uid="{E1B70262-9CDD-46F8-81BB-D8C10E98791A}"/>
    <hyperlink ref="E1492" r:id="rId1253" xr:uid="{97A17867-0412-4DC1-BDA6-21ACBF00F5A1}"/>
    <hyperlink ref="E1493" r:id="rId1254" xr:uid="{9A7750D7-2844-453A-97E7-47EA495A63DD}"/>
    <hyperlink ref="E1494" r:id="rId1255" xr:uid="{D96C1C94-12C1-48B2-BDC7-44EFC1550A3F}"/>
    <hyperlink ref="E1495" r:id="rId1256" xr:uid="{FFA5FA28-1B02-46F8-9990-58DF213729E2}"/>
    <hyperlink ref="E1496" r:id="rId1257" xr:uid="{EC86C1DB-13E5-4AC3-96D8-B518DFE546B1}"/>
    <hyperlink ref="E1497" r:id="rId1258" xr:uid="{BA6E9DBD-7A97-4A8F-BA98-2A1AA239B415}"/>
    <hyperlink ref="E1498" r:id="rId1259" xr:uid="{FC98810D-A99C-4DCF-94FA-3A2CC78F263B}"/>
    <hyperlink ref="E1499" r:id="rId1260" xr:uid="{9900E61F-0E24-410F-9B68-3CE776D04D42}"/>
    <hyperlink ref="E1500" r:id="rId1261" xr:uid="{AA69C1E6-C289-4FAD-BF4B-7DDD75FDFC15}"/>
    <hyperlink ref="E1501" r:id="rId1262" xr:uid="{A5F52008-C20C-482B-8E96-F8E87E4B257A}"/>
    <hyperlink ref="E1502" r:id="rId1263" xr:uid="{8747D07F-B247-482D-B20D-4C82C3CD5353}"/>
    <hyperlink ref="E1503" r:id="rId1264" xr:uid="{FA7B4B24-F6E8-4CAF-9073-E4E2D6B4CBFA}"/>
    <hyperlink ref="E1504" r:id="rId1265" xr:uid="{187DEAD9-D3FC-4EDE-B804-BABD1E50BEFB}"/>
    <hyperlink ref="E1505" r:id="rId1266" xr:uid="{85E4F51D-103A-4D4D-B625-B67FBE5F7DBD}"/>
    <hyperlink ref="E1506" r:id="rId1267" xr:uid="{D88D8A66-DB12-4253-BD75-E53E02C162EF}"/>
    <hyperlink ref="E1507" r:id="rId1268" xr:uid="{CD4A589E-C5CD-47BD-AF72-707010A5E25E}"/>
    <hyperlink ref="E1508" r:id="rId1269" xr:uid="{A7B40B22-DE95-4FA8-B1AB-32DB43C0843E}"/>
    <hyperlink ref="E1509" r:id="rId1270" xr:uid="{84D9A61B-9945-438C-8A05-E54DA5D021B8}"/>
    <hyperlink ref="E1510" r:id="rId1271" xr:uid="{4A418DAC-7B6F-4285-965F-E1C21FC7D86B}"/>
    <hyperlink ref="E1511" r:id="rId1272" xr:uid="{507654A9-F5AC-48C4-9570-BBF04B06D82C}"/>
    <hyperlink ref="E1512" r:id="rId1273" xr:uid="{66DE80D6-CE9F-43BF-AFAC-787EDBA12F1B}"/>
    <hyperlink ref="E1513" r:id="rId1274" xr:uid="{CF8F6B64-A61B-4892-990C-719D842F7B44}"/>
    <hyperlink ref="E1514" r:id="rId1275" xr:uid="{44465DEA-21FD-4289-B140-0B3DDA26BA71}"/>
    <hyperlink ref="E1515" r:id="rId1276" xr:uid="{8E6C008F-D438-441C-BAE6-D8586E8E6A70}"/>
    <hyperlink ref="E1516" r:id="rId1277" xr:uid="{027CA393-694F-4ABC-B92C-DBDB3E92E081}"/>
    <hyperlink ref="E1517" r:id="rId1278" xr:uid="{50134A0B-5B2F-439B-B999-A8BD5A84F4F0}"/>
    <hyperlink ref="E1518" r:id="rId1279" xr:uid="{B62D6302-8674-4583-AD87-E8A43959E5B2}"/>
    <hyperlink ref="E1523" r:id="rId1280" xr:uid="{2A8104AB-A7E8-495D-BA9C-B79B7BE4F258}"/>
    <hyperlink ref="E1524" r:id="rId1281" xr:uid="{1A607C21-5A4D-4B6C-9D4F-44CD41D9472A}"/>
    <hyperlink ref="E1525" r:id="rId1282" xr:uid="{9689CFA2-5E57-458E-8ACE-D3D6F1B24702}"/>
    <hyperlink ref="E1526" r:id="rId1283" display="Ночник" xr:uid="{481251CB-BE4C-49C0-B79B-18F5EA59D578}"/>
    <hyperlink ref="E1527" r:id="rId1284" xr:uid="{16121AF6-88EB-4E56-9415-04A499BC4C7F}"/>
    <hyperlink ref="E1528" r:id="rId1285" xr:uid="{BDFE0853-D25C-4102-94DE-AA02944CFBB6}"/>
    <hyperlink ref="E1531" r:id="rId1286" xr:uid="{56AA3D59-3D8B-46CC-9F43-D9DD6AE7D366}"/>
    <hyperlink ref="E1530" r:id="rId1287" xr:uid="{173A016A-17B9-478D-A60E-87A36B96416F}"/>
    <hyperlink ref="E1532" r:id="rId1288" xr:uid="{2A07D4B7-EF10-45A7-9E59-84A8EC1E407C}"/>
    <hyperlink ref="E1533" r:id="rId1289" xr:uid="{AF4ED02E-9EB9-48E7-A76A-0C9338E8DF6C}"/>
    <hyperlink ref="E1535" r:id="rId1290" xr:uid="{7DA38DD8-66A7-4651-8A4D-48C1342F1147}"/>
    <hyperlink ref="E1536" r:id="rId1291" xr:uid="{9C5A7965-6E29-4D09-B89F-045F7C631C9E}"/>
    <hyperlink ref="E1537" r:id="rId1292" xr:uid="{E3D9EB01-B2DA-4DAB-8DFD-CB8AC84ED13D}"/>
    <hyperlink ref="E1538" r:id="rId1293" xr:uid="{9F7F93B1-8653-4927-B1B5-313346AE7153}"/>
    <hyperlink ref="E1539" r:id="rId1294" xr:uid="{4F15657F-77D7-4D02-AB2A-F7FD3C7B6363}"/>
    <hyperlink ref="E1540" r:id="rId1295" xr:uid="{CA7B8441-DF96-4558-A002-D4917FEC39B6}"/>
    <hyperlink ref="E1541" r:id="rId1296" xr:uid="{19DC7034-545D-4FCD-9E18-9B2FD0AC7809}"/>
    <hyperlink ref="E1542" r:id="rId1297" xr:uid="{F9FEEA6C-FD86-42F7-92F0-B105EBB66F8A}"/>
    <hyperlink ref="E1534" r:id="rId1298" xr:uid="{C6A92F60-C0C7-4CF7-ABCA-E08B83183CF0}"/>
    <hyperlink ref="E1543" r:id="rId1299" xr:uid="{AF7FABA1-D5FC-4F8C-95E9-0BC9CA3569D2}"/>
    <hyperlink ref="E1544" r:id="rId1300" xr:uid="{7BAF0FE2-B62E-423D-9128-C9C823477F0F}"/>
    <hyperlink ref="E1545" r:id="rId1301" xr:uid="{15023F90-373B-46E0-B358-4B5DA4AC4B8B}"/>
    <hyperlink ref="E1546" r:id="rId1302" xr:uid="{5DC07096-DE99-4F19-886B-FB860830E0A9}"/>
    <hyperlink ref="E1547" r:id="rId1303" xr:uid="{389F4855-EA60-4D2C-9318-5471EBB21654}"/>
    <hyperlink ref="E1548" r:id="rId1304" xr:uid="{1A63551B-5D1E-470A-98D4-75D2526BFB4E}"/>
    <hyperlink ref="E1550" r:id="rId1305" xr:uid="{55A0D4CB-1D77-4B9D-AF97-9BA78EAC24CF}"/>
    <hyperlink ref="E1549" r:id="rId1306" xr:uid="{09792940-6268-40C2-8DD4-0C0063F41352}"/>
    <hyperlink ref="E1551" r:id="rId1307" xr:uid="{72B4CE1F-251F-45F7-B6A3-9AD938A1B397}"/>
    <hyperlink ref="E1552" r:id="rId1308" xr:uid="{01144902-9C47-4BA8-8BF7-1172B65191F7}"/>
    <hyperlink ref="E1553" r:id="rId1309" xr:uid="{83F96C38-C8B2-4871-8D8A-07519FA046B0}"/>
    <hyperlink ref="E1554" r:id="rId1310" xr:uid="{3038E174-DE4E-4DB7-8A49-378DA0FAFD25}"/>
    <hyperlink ref="E1555" r:id="rId1311" xr:uid="{02DDA022-D8A1-4680-8416-F1BB9071B4C2}"/>
    <hyperlink ref="E1556" r:id="rId1312" xr:uid="{22E009DD-983F-4B0F-BF44-3106C853FBD7}"/>
    <hyperlink ref="E1557" r:id="rId1313" xr:uid="{81C62260-4AD4-4DAB-8DA6-E6E2386995FA}"/>
    <hyperlink ref="E1558" r:id="rId1314" xr:uid="{D4B83B6C-CBF2-4C1F-A405-DEF8AED60BD4}"/>
    <hyperlink ref="E1529" r:id="rId1315" xr:uid="{3932DF4D-142D-4F22-90F1-433A172C348B}"/>
    <hyperlink ref="E1559" r:id="rId1316" xr:uid="{00D9B4AD-E33A-4D3F-A252-CBC9747DFEF3}"/>
    <hyperlink ref="E1560" r:id="rId1317" xr:uid="{272FF1E3-DB5E-4E66-BA19-871AA8D25AA4}"/>
    <hyperlink ref="E1567" r:id="rId1318" xr:uid="{082A76EA-1CC5-4DEB-909F-275D9011C56B}"/>
    <hyperlink ref="E1568" r:id="rId1319" xr:uid="{653B6EB6-B087-434B-8E91-FC0DE363C283}"/>
    <hyperlink ref="E1569" r:id="rId1320" xr:uid="{29E63B31-C102-4B44-8140-4AA19CD48C14}"/>
    <hyperlink ref="E1570" r:id="rId1321" xr:uid="{A4A31CD8-24F5-40A9-9187-88CA1FED546C}"/>
    <hyperlink ref="E1571" r:id="rId1322" xr:uid="{A14684EC-B705-4FEA-A412-58D9462617B1}"/>
    <hyperlink ref="E1572" r:id="rId1323" xr:uid="{3D7B439D-BAA4-437B-AD2E-B92F70DB8BB0}"/>
    <hyperlink ref="E1576" r:id="rId1324" xr:uid="{2A7AFF22-C070-4825-87BC-31B4CC564AE4}"/>
    <hyperlink ref="E1577" r:id="rId1325" xr:uid="{449A74E7-37D1-4306-A4E2-68EA483441DE}"/>
    <hyperlink ref="E1578" r:id="rId1326" xr:uid="{5B282C71-0C2C-45EB-8AA7-3EDA3C64A581}"/>
    <hyperlink ref="E1579" r:id="rId1327" xr:uid="{D2BEB977-A4B7-430B-944B-D30540233C8E}"/>
    <hyperlink ref="E1580" r:id="rId1328" xr:uid="{58357E3A-DB24-4AD0-9798-64052814646B}"/>
    <hyperlink ref="E1581" r:id="rId1329" display="Рвбочистка" xr:uid="{D8C0ED39-B2F0-40E9-8116-CA968CFFBE2E}"/>
    <hyperlink ref="E1582" r:id="rId1330" xr:uid="{6030A5B2-FEF5-4029-B668-65BD837CC3BE}"/>
    <hyperlink ref="E1583" r:id="rId1331" xr:uid="{518F33F1-1EA1-4253-9ED0-5114E77B886A}"/>
    <hyperlink ref="E1584" r:id="rId1332" display="Ниливер лазерный" xr:uid="{84407CE7-2239-4E51-A455-1C2ED6EA86EB}"/>
    <hyperlink ref="E1585" r:id="rId1333" xr:uid="{7EF5FD70-1D6C-4A74-BF47-5AE85DF12A87}"/>
    <hyperlink ref="E1586" r:id="rId1334" xr:uid="{BD3BA476-D9CC-434D-9A78-E2DB91206484}"/>
    <hyperlink ref="E1587" r:id="rId1335" xr:uid="{9C1BDF68-352F-4637-89C5-ADE1EDFD1BAF}"/>
    <hyperlink ref="E1588" r:id="rId1336" xr:uid="{079D3160-6712-4678-8643-F56B87205255}"/>
    <hyperlink ref="E1589" r:id="rId1337" xr:uid="{0509BC6E-D310-4721-98CE-C3AB0E904EF2}"/>
    <hyperlink ref="E1590" r:id="rId1338" xr:uid="{3C07B254-1982-484A-B18F-E3EDEBE3486E}"/>
    <hyperlink ref="E1591" r:id="rId1339" xr:uid="{2DC78940-45DE-44C3-9E84-7848F78BE69C}"/>
    <hyperlink ref="E1592" r:id="rId1340" xr:uid="{0CCA7DE4-AECB-4518-ADE8-6D8B2AC9522C}"/>
    <hyperlink ref="E1593" r:id="rId1341" xr:uid="{4B19D2D9-003C-40D8-9332-0A160C9F7A93}"/>
    <hyperlink ref="E1594" r:id="rId1342" xr:uid="{7B3F7E74-5C55-4725-B3CD-41488F11E8D8}"/>
    <hyperlink ref="E1595" r:id="rId1343" xr:uid="{A867A026-90B9-4E4B-838F-3A81F5AD44D3}"/>
    <hyperlink ref="E1596" r:id="rId1344" xr:uid="{6E973165-4EF5-4331-9725-BFA6622442BB}"/>
    <hyperlink ref="E1597" r:id="rId1345" xr:uid="{886A3705-3FE1-45CA-8596-DD3C53CB9048}"/>
    <hyperlink ref="E1598" r:id="rId1346" xr:uid="{A7CAE93D-1143-436A-BE75-A637700333BF}"/>
    <hyperlink ref="E1599" r:id="rId1347" xr:uid="{F29A7538-3834-4929-AB91-EBC35C3A9B51}"/>
    <hyperlink ref="E1600" r:id="rId1348" xr:uid="{F40C768B-C740-44AA-BD5E-4694A21B50E3}"/>
    <hyperlink ref="E1601" r:id="rId1349" xr:uid="{ACDD4A05-1AC9-4EDB-A33D-AE603013F766}"/>
    <hyperlink ref="E1602" r:id="rId1350" xr:uid="{8B070FCF-CCAF-4653-879D-305ECC125688}"/>
    <hyperlink ref="E1603" r:id="rId1351" xr:uid="{344B004C-B4F9-46C7-A23F-7688DCF1015C}"/>
    <hyperlink ref="E1605" r:id="rId1352" xr:uid="{02A2834B-F010-4C7B-9DF4-FD4699455871}"/>
    <hyperlink ref="E1610" r:id="rId1353" xr:uid="{F2C4B80A-55BA-4072-88FA-5C76EEEC7C96}"/>
    <hyperlink ref="E1611" r:id="rId1354" xr:uid="{4A68BCDB-5FB4-43E6-8CE9-36B948CCD9D2}"/>
    <hyperlink ref="E1612" r:id="rId1355" xr:uid="{A1A77F95-BA57-475E-A6A0-8F858BD41A76}"/>
    <hyperlink ref="E1613" r:id="rId1356" display="Гирлянда с эффектом водопад" xr:uid="{FAFB9923-7C4F-4334-A356-5AFD9097E789}"/>
    <hyperlink ref="E1614" r:id="rId1357" xr:uid="{3412E0C0-99B6-4C31-BD9A-E5E61EDD4225}"/>
    <hyperlink ref="E1615" r:id="rId1358" xr:uid="{23909820-A1DF-48DE-BBBA-5C51EAE003F8}"/>
    <hyperlink ref="E1616" r:id="rId1359" xr:uid="{5C9D6401-102C-4BEA-A7D9-84B3FCC62FC3}"/>
    <hyperlink ref="E1617" r:id="rId1360" xr:uid="{CD70980B-6681-498B-987D-0FB3F172CCEC}"/>
    <hyperlink ref="E1618" r:id="rId1361" xr:uid="{D158F55E-CC90-46B1-923E-337FA8730871}"/>
    <hyperlink ref="E1619" r:id="rId1362" xr:uid="{4E5B0928-6825-4F51-B74F-DAC86A0030B3}"/>
    <hyperlink ref="E1620" r:id="rId1363" xr:uid="{AEF806E9-3149-49CE-9371-3CA2739C1FCD}"/>
    <hyperlink ref="E1621" r:id="rId1364" xr:uid="{46FED5B0-DAE8-4738-8985-401B94F4BC8A}"/>
    <hyperlink ref="E1622" r:id="rId1365" xr:uid="{F7C026BE-A7F1-48E7-9F8C-FAE48D82B70D}"/>
    <hyperlink ref="E1623" r:id="rId1366" xr:uid="{8800DEEF-99B0-46DA-AE34-8686CF8C2328}"/>
    <hyperlink ref="E1624" r:id="rId1367" xr:uid="{AACBD9E8-DA83-47A4-A3B3-28D041DA800F}"/>
    <hyperlink ref="E1625" r:id="rId1368" xr:uid="{8A50B679-14F5-441A-A787-2415CDB02846}"/>
    <hyperlink ref="E1626" r:id="rId1369" xr:uid="{BC325F13-885A-482C-AD2B-156FF42AE5D9}"/>
    <hyperlink ref="E1627" r:id="rId1370" xr:uid="{790DA202-B94A-433D-9FA4-24F5DBC9C691}"/>
    <hyperlink ref="E1628" r:id="rId1371" xr:uid="{0A10F686-40BB-42ED-84A5-74E12238AA89}"/>
    <hyperlink ref="E1629" r:id="rId1372" xr:uid="{46F06B30-DE0E-4447-B4EB-CA8B1567BFC7}"/>
    <hyperlink ref="E1630" r:id="rId1373" xr:uid="{3902351F-3FBF-4438-8A96-D64E89B62B4F}"/>
    <hyperlink ref="E1632" r:id="rId1374" xr:uid="{169E7157-E55B-43BF-BFDD-3D63EEAA5F8C}"/>
    <hyperlink ref="E1633" r:id="rId1375" xr:uid="{FA88D466-6B1F-4E40-A01E-47B6787D00F5}"/>
    <hyperlink ref="E1634" r:id="rId1376" xr:uid="{E9124549-0BE8-4EAA-A255-7755D33BA1AF}"/>
    <hyperlink ref="E1635" r:id="rId1377" xr:uid="{0A8942A8-C007-45DD-9047-A8FFB9CBAF99}"/>
    <hyperlink ref="E1636" r:id="rId1378" xr:uid="{79FACBF3-1456-41FB-A982-CEFA9F1FB7B4}"/>
    <hyperlink ref="E1637" r:id="rId1379" xr:uid="{DC784397-CBEE-428F-8A0E-CBB95F2F2351}"/>
    <hyperlink ref="E1638" r:id="rId1380" xr:uid="{95EC0868-C84B-4988-8FC7-9612D76D8AC2}"/>
    <hyperlink ref="E1639" r:id="rId1381" xr:uid="{034BC3A7-DF26-469B-8B61-B1FD2A57D037}"/>
    <hyperlink ref="E1640" r:id="rId1382" xr:uid="{16D35415-598A-4FC7-B32A-D47AB1A39475}"/>
    <hyperlink ref="E1641" r:id="rId1383" display="Набо патчей" xr:uid="{CF7B10DA-0230-4D6D-A9F4-6DEF91F4C8AC}"/>
    <hyperlink ref="E1642" r:id="rId1384" xr:uid="{9820EAC7-317A-4FF1-811B-10B404466BF5}"/>
    <hyperlink ref="E1652" r:id="rId1385" xr:uid="{18FB63D7-4FA6-49FB-941F-F2F1498C5CBC}"/>
    <hyperlink ref="E1653" r:id="rId1386" xr:uid="{93C572C6-78E4-40D2-A834-681FD091D53A}"/>
    <hyperlink ref="E1654" r:id="rId1387" xr:uid="{47C342D2-9438-4A56-AEFB-0BB941FD97EC}"/>
    <hyperlink ref="E1655" r:id="rId1388" xr:uid="{7A97DE32-D547-46EB-BE49-1034E9D8306D}"/>
    <hyperlink ref="E1656" r:id="rId1389" xr:uid="{06EDD631-5478-4274-B2C4-CAFEE66B6F45}"/>
    <hyperlink ref="E1657" r:id="rId1390" xr:uid="{7FA006E7-E25F-4CA1-90DA-5E6540775B3C}"/>
    <hyperlink ref="E1658" r:id="rId1391" xr:uid="{BA3B26FF-4E5E-4F79-A9FC-36BE15A6187E}"/>
    <hyperlink ref="E1659" r:id="rId1392" xr:uid="{B58F3681-7B23-4618-83AB-2637FA4A2EB3}"/>
    <hyperlink ref="E1661" r:id="rId1393" xr:uid="{6B6CA8C9-FA07-46DB-B7AA-F5EF1D94AFF8}"/>
    <hyperlink ref="E1662" r:id="rId1394" xr:uid="{CCAB5617-BEEB-4480-B514-07C4BC2AFE24}"/>
    <hyperlink ref="E1663" r:id="rId1395" xr:uid="{35CF0987-7776-49D8-A9B5-EA3C8F0525F3}"/>
    <hyperlink ref="E1664" r:id="rId1396" xr:uid="{5D3821FD-34C4-43DA-95D2-66ADF9658C21}"/>
    <hyperlink ref="E1665" r:id="rId1397" xr:uid="{7558F65D-EF97-4078-ABD6-F3436B024F8A}"/>
    <hyperlink ref="E1666" r:id="rId1398" xr:uid="{0A94B709-D3FA-4747-8F77-8693FD723283}"/>
    <hyperlink ref="E1667" r:id="rId1399" xr:uid="{129A8572-DEBB-4423-B35C-C427E9458D13}"/>
    <hyperlink ref="E1668" r:id="rId1400" xr:uid="{7B06D011-062B-41D4-B8D6-E267903EFFFA}"/>
    <hyperlink ref="E1660" r:id="rId1401" xr:uid="{FC1F662D-524F-4CF0-9DFB-5168C17FD57F}"/>
    <hyperlink ref="E1669" r:id="rId1402" xr:uid="{13628DC5-F300-4B92-8D80-4307F6A37D03}"/>
    <hyperlink ref="E1670" r:id="rId1403" xr:uid="{096111D7-C417-47CD-836C-FE549D67DE06}"/>
    <hyperlink ref="E1682" r:id="rId1404" xr:uid="{33A0C5A7-D559-4E90-9831-20E783E2DCC1}"/>
    <hyperlink ref="E1683" r:id="rId1405" xr:uid="{2ADBDDAF-E3D5-4C4B-8521-2218FE8F9A58}"/>
    <hyperlink ref="E1684" r:id="rId1406" xr:uid="{A207026F-0097-40CA-9CAC-FE44CED681D0}"/>
    <hyperlink ref="E1685" r:id="rId1407" xr:uid="{AD458422-8210-48C0-8703-2D2733C45ACB}"/>
    <hyperlink ref="E1686" r:id="rId1408" xr:uid="{FA05AAE8-FD87-4D77-856B-4313BFB272A3}"/>
    <hyperlink ref="E1687" r:id="rId1409" xr:uid="{A905347D-83BF-4DC0-A648-A56CE3D981D0}"/>
    <hyperlink ref="E1688" r:id="rId1410" xr:uid="{5CD3BB5E-A722-4F12-93B1-AD1ADE8382E8}"/>
    <hyperlink ref="E1689" r:id="rId1411" xr:uid="{A39AB50C-3862-4234-9B8C-569D66A92B19}"/>
    <hyperlink ref="E1690" r:id="rId1412" xr:uid="{B58411CE-2DE3-4B68-96EB-8E008C9769E5}"/>
    <hyperlink ref="E1691" r:id="rId1413" xr:uid="{497AC71C-9E7E-4E80-9B49-AF86AB95BDF2}"/>
    <hyperlink ref="E1692" r:id="rId1414" xr:uid="{1FF89189-41C8-4C22-A3ED-0A68EFCB9E52}"/>
    <hyperlink ref="E1693" r:id="rId1415" xr:uid="{162C8C27-12C0-49C2-8318-863971121C1B}"/>
    <hyperlink ref="E1694" r:id="rId1416" xr:uid="{44F2210D-611F-484B-B413-F1CD8B2F0EF0}"/>
    <hyperlink ref="E1695" r:id="rId1417" xr:uid="{14EF3660-E3B5-4DA7-9479-B35C8E12B987}"/>
    <hyperlink ref="E1696" r:id="rId1418" xr:uid="{E6A7110B-945F-47C3-962A-FDABDDA6AB71}"/>
    <hyperlink ref="E1697" r:id="rId1419" xr:uid="{79A529E1-FA8E-4BA0-99F2-3992048E67D2}"/>
    <hyperlink ref="E1698" r:id="rId1420" xr:uid="{18B26AB9-6AC6-4C37-B406-804DB6E633D9}"/>
    <hyperlink ref="E1699" r:id="rId1421" xr:uid="{DC86333F-85E4-4710-947E-D62A0F0F0FE9}"/>
    <hyperlink ref="E1700" r:id="rId1422" xr:uid="{CBC098BB-21C9-4623-92E8-3216E57A3C0D}"/>
    <hyperlink ref="E1704" r:id="rId1423" xr:uid="{4B60914E-F47F-4812-80EE-71DAD0730205}"/>
    <hyperlink ref="E1703" r:id="rId1424" xr:uid="{862E6FD3-4696-440F-9071-FB8116107F73}"/>
    <hyperlink ref="E1705" r:id="rId1425" xr:uid="{5FFBF73D-31B3-4234-8903-FB66E1435A74}"/>
    <hyperlink ref="E1706" r:id="rId1426" xr:uid="{CBFD8A0E-39D5-4D16-B361-9412AC1EB3AB}"/>
    <hyperlink ref="E1707" r:id="rId1427" xr:uid="{253719F6-1452-4B4F-9D08-96655D9778F5}"/>
    <hyperlink ref="E1708" r:id="rId1428" xr:uid="{9D77C961-9976-4C69-9D62-0321EF0BA3FF}"/>
    <hyperlink ref="E1709" r:id="rId1429" xr:uid="{F62D9246-76A8-4599-8052-C9EA4C1A29D1}"/>
    <hyperlink ref="E1710" r:id="rId1430" xr:uid="{417F335D-D03E-4AA1-B7A2-9A94C4A922DA}"/>
    <hyperlink ref="E1711" r:id="rId1431" xr:uid="{B71F0497-4684-4013-B7AC-4AAC5AC86F5F}"/>
    <hyperlink ref="E1714" r:id="rId1432" xr:uid="{0999A1D0-1699-4D58-9373-33446B315B28}"/>
    <hyperlink ref="E1715" r:id="rId1433" xr:uid="{9522E5FF-29E3-4940-9850-A1AFD4E1757A}"/>
    <hyperlink ref="E1716" r:id="rId1434" xr:uid="{9B960FF9-8F86-472F-B8E5-3F984DEB9E79}"/>
    <hyperlink ref="E1717" r:id="rId1435" xr:uid="{94EF8520-C106-4507-A87B-98C5F3360C34}"/>
    <hyperlink ref="E1718" r:id="rId1436" xr:uid="{0B97D11D-B9AB-4FF7-88F6-A57BDD1F72C4}"/>
    <hyperlink ref="E1719" r:id="rId1437" xr:uid="{454B14A2-9F38-411C-8E48-54F0BC0B8F3F}"/>
    <hyperlink ref="E1720" r:id="rId1438" display="Набор ложек именной" xr:uid="{8FCB046C-C65D-4210-B9BB-E5D11B19CD00}"/>
    <hyperlink ref="E1721" r:id="rId1439" xr:uid="{01DF8C3D-468D-4802-AFFD-AF16A4DF0F4D}"/>
    <hyperlink ref="E1722" r:id="rId1440" display="Набор ложек именной" xr:uid="{0A89C839-5437-4C5A-9A90-15670636F7DF}"/>
    <hyperlink ref="E1723" r:id="rId1441" display="Набор ложек именной" xr:uid="{35CC9D29-FAD0-4314-89D5-C1E8D21C65E3}"/>
    <hyperlink ref="E1724" r:id="rId1442" xr:uid="{2D7AFC52-E646-4163-A3AE-7C5CD2BDBCEB}"/>
    <hyperlink ref="E1725" r:id="rId1443" xr:uid="{AC61280C-A10A-422E-8C77-F720C2467AD8}"/>
    <hyperlink ref="E1726" r:id="rId1444" xr:uid="{E2265570-6D13-4DD4-908F-00BCD2E4C060}"/>
    <hyperlink ref="E1727" r:id="rId1445" xr:uid="{2E071D2B-56EB-4CE1-96D0-F54D9172CD73}"/>
    <hyperlink ref="E1728" r:id="rId1446" xr:uid="{847B6571-FB5A-477D-AE8F-44DDFF613FE2}"/>
    <hyperlink ref="E1729" r:id="rId1447" xr:uid="{BD92EE41-8C06-402B-8CFC-B329482521BC}"/>
    <hyperlink ref="E1730" r:id="rId1448" display="Автошампунь" xr:uid="{50936E16-A4F7-449B-A119-1D1646558591}"/>
    <hyperlink ref="E1731" r:id="rId1449" xr:uid="{4E8EB2BB-8492-4323-801A-3647E3482E48}"/>
    <hyperlink ref="E1732" r:id="rId1450" xr:uid="{BF85685B-352B-47C5-8601-EB7E0930CF5B}"/>
    <hyperlink ref="E1733" r:id="rId1451" xr:uid="{C817F414-4C3D-4487-B9A5-A4233E6744B7}"/>
    <hyperlink ref="E1734" r:id="rId1452" xr:uid="{5D0B70F5-800E-4E33-ACCA-44DE0E11A350}"/>
    <hyperlink ref="E1735" r:id="rId1453" xr:uid="{A9E4FFFD-4CE7-42C3-8BC3-9A90E5790F20}"/>
    <hyperlink ref="E1736" r:id="rId1454" xr:uid="{FE8B4D36-61B8-45E2-B91E-77F7C513DB27}"/>
    <hyperlink ref="E1737" r:id="rId1455" xr:uid="{62444BAD-5235-4BAD-A5E9-437CE0C8D65A}"/>
    <hyperlink ref="E1738" r:id="rId1456" xr:uid="{6E6F4C40-38FA-43C4-A71C-7889F79DF88F}"/>
    <hyperlink ref="E1739" r:id="rId1457" xr:uid="{9F29F1CF-AB06-4428-B3F5-435B57DB5927}"/>
    <hyperlink ref="E1740" r:id="rId1458" xr:uid="{94D3BE96-2759-43C2-813F-CC8EAC10420B}"/>
    <hyperlink ref="E1741" r:id="rId1459" xr:uid="{8350CF61-1A4E-4F15-B41C-1031EDC18C6B}"/>
    <hyperlink ref="E1742" r:id="rId1460" xr:uid="{68FAD004-C1DA-4818-920D-A796F81A907B}"/>
    <hyperlink ref="E1743" r:id="rId1461" display="Футболка" xr:uid="{518783E2-738E-4B46-B27F-3C47A49B67D6}"/>
    <hyperlink ref="E1744" r:id="rId1462" xr:uid="{E4E8DD87-0B27-44C0-B2D4-7777E5C1DC51}"/>
    <hyperlink ref="E1745" r:id="rId1463" xr:uid="{F3665262-7351-487D-82B3-7837B942769D}"/>
    <hyperlink ref="E1746" r:id="rId1464" xr:uid="{AE363CCD-FFF7-46A1-A0A0-13C3D513820D}"/>
    <hyperlink ref="E1747" r:id="rId1465" xr:uid="{3A2C19E4-42BA-4554-8345-FDFC5CFFF9E9}"/>
    <hyperlink ref="E1748" r:id="rId1466" xr:uid="{8B9B76D4-24EA-4B08-8F01-D14BA2B3EFD7}"/>
    <hyperlink ref="E1749" r:id="rId1467" xr:uid="{A98AAB51-A451-4643-8301-52866A625F2D}"/>
    <hyperlink ref="E1750" r:id="rId1468" xr:uid="{E13ED4BA-A0B1-4469-8DC0-010A5B60C9C0}"/>
    <hyperlink ref="E1751" r:id="rId1469" xr:uid="{48D585CC-183E-45BE-A14B-AAE88E602D71}"/>
    <hyperlink ref="E1752" r:id="rId1470" xr:uid="{FD8C1971-91A5-4F5B-BBDA-671DC3FEECAE}"/>
    <hyperlink ref="E1753" r:id="rId1471" xr:uid="{1FA06E8F-A84E-4F8E-AFF2-7B0C9CA61552}"/>
    <hyperlink ref="E1755" r:id="rId1472" xr:uid="{CED24015-68FE-473E-8BDF-8E9F13315961}"/>
    <hyperlink ref="E1756" r:id="rId1473" xr:uid="{AE4709BA-B328-4BFF-922C-3ABBFD2EF4E7}"/>
    <hyperlink ref="E1754" r:id="rId1474" xr:uid="{F5B881F7-7ABA-47D1-B6C8-3A7984878F05}"/>
    <hyperlink ref="E1757" r:id="rId1475" xr:uid="{E1B79F80-AA09-47C9-929F-FE3B4D091556}"/>
    <hyperlink ref="E1758" r:id="rId1476" xr:uid="{615B7809-4C7D-4171-B08F-30175681A32E}"/>
    <hyperlink ref="E1759" r:id="rId1477" xr:uid="{161A7EDB-0F33-4449-B14E-8FADFB814DE9}"/>
    <hyperlink ref="E1760" r:id="rId1478" xr:uid="{F9CEFF40-2C41-4E58-B5A7-53575F2F7B47}"/>
    <hyperlink ref="E1761" r:id="rId1479" display="Маска тонирующая" xr:uid="{25A17075-0C79-4BF3-907D-B8A80613D2D0}"/>
    <hyperlink ref="E1762" r:id="rId1480" xr:uid="{0ECD46FE-C4DD-4EF1-8D52-C8C5BBE82B80}"/>
    <hyperlink ref="E1763" r:id="rId1481" xr:uid="{3EBAD807-2D90-424A-88B3-D5C233606737}"/>
    <hyperlink ref="E1764" r:id="rId1482" xr:uid="{BF564873-6AC1-40B1-A05E-1BBDCE6D6D6E}"/>
    <hyperlink ref="E1765" r:id="rId1483" xr:uid="{4F66263A-EB9E-43EB-AB68-9B1A3759EE34}"/>
    <hyperlink ref="E1712" r:id="rId1484" xr:uid="{ED1EBDCD-111D-46C3-987B-4063F2A680C3}"/>
    <hyperlink ref="E1770" r:id="rId1485" xr:uid="{50285CBD-647A-46A1-AE76-416637681B7D}"/>
    <hyperlink ref="E1772" r:id="rId1486" xr:uid="{D91E5D6B-D5C8-4347-AB60-666890F88C0A}"/>
    <hyperlink ref="E1771" r:id="rId1487" xr:uid="{8F6CDE86-4133-4017-9754-60EF09D2697B}"/>
    <hyperlink ref="E1773" r:id="rId1488" xr:uid="{BE84ACB1-32FD-4C03-AD77-74300CF1985D}"/>
    <hyperlink ref="E1774" r:id="rId1489" xr:uid="{A9851147-7289-49C5-8B00-1F98404987F0}"/>
    <hyperlink ref="E1775" r:id="rId1490" xr:uid="{ABF67C25-3274-49C0-90F3-22E73BC98437}"/>
    <hyperlink ref="E1777" r:id="rId1491" display="Футболка" xr:uid="{BC797B23-119D-43DC-8216-00E4FB5754F4}"/>
    <hyperlink ref="E1778" r:id="rId1492" xr:uid="{CE05D476-64FF-4B8E-A23B-38DBC5166548}"/>
    <hyperlink ref="E1779" r:id="rId1493" xr:uid="{52EE4AA6-39D1-4A38-A363-3CB960EB75F9}"/>
    <hyperlink ref="E1780" r:id="rId1494" xr:uid="{F444AC3C-AEE8-4A0F-AB89-7E8592E6A96C}"/>
    <hyperlink ref="E1781" r:id="rId1495" xr:uid="{371E202A-F9C9-4D73-A999-0C45054D548D}"/>
    <hyperlink ref="E1782" r:id="rId1496" xr:uid="{7D32C8FD-E2BB-4A5B-8CD5-D7D3930B74FF}"/>
    <hyperlink ref="E1785" r:id="rId1497" xr:uid="{727FF52D-DE96-41A5-BB44-61931AAC03B1}"/>
    <hyperlink ref="E1784" r:id="rId1498" xr:uid="{9668129F-1D1C-451B-9C90-7974EFBF7D01}"/>
    <hyperlink ref="E1786" r:id="rId1499" xr:uid="{084EB386-CD8C-4BC0-B9A6-F528882A8E63}"/>
    <hyperlink ref="E1787" r:id="rId1500" xr:uid="{73CC8530-9796-42D5-8FF6-002600E0760F}"/>
    <hyperlink ref="E1788" r:id="rId1501" xr:uid="{782E56C3-CE7B-40E7-8362-03EFF52430A5}"/>
    <hyperlink ref="E1789" r:id="rId1502" xr:uid="{67D59D0B-A764-473B-92F2-3163625EA565}"/>
    <hyperlink ref="E1790" r:id="rId1503" xr:uid="{38782860-11E1-4A96-A6E8-14BD0CB6BDA6}"/>
    <hyperlink ref="E1791" r:id="rId1504" xr:uid="{2B560DA8-02B7-4C3A-86E9-C787E3E8D97F}"/>
    <hyperlink ref="E1792" r:id="rId1505" xr:uid="{8A81D988-A8FF-47F2-ABB4-5A65E79FA4FF}"/>
    <hyperlink ref="E1793" r:id="rId1506" xr:uid="{ABE26B2C-A88D-4CC8-BE58-5623F165273F}"/>
    <hyperlink ref="E1794" r:id="rId1507" xr:uid="{9A97C145-9479-408F-A97F-A8108531B8A4}"/>
    <hyperlink ref="E1795" r:id="rId1508" xr:uid="{27E53ECB-63E7-43AD-BBE5-6ECE35A54B96}"/>
    <hyperlink ref="E1796" r:id="rId1509" xr:uid="{F3280E2B-D8FE-4A57-85C5-F28E41B4CBD3}"/>
    <hyperlink ref="E1797" r:id="rId1510" xr:uid="{18F9A3A5-7869-434D-9357-38041D9A507C}"/>
    <hyperlink ref="E1798" r:id="rId1511" xr:uid="{7ADDCC90-1086-4BB7-9389-14A6F9A59E69}"/>
    <hyperlink ref="E1799" r:id="rId1512" xr:uid="{3C4F2232-5725-4B57-946E-86E5F72AD12B}"/>
    <hyperlink ref="E1800" r:id="rId1513" xr:uid="{02310DE6-0728-4375-B35C-C4D7B62BADC8}"/>
    <hyperlink ref="E1801" r:id="rId1514" xr:uid="{C63337D5-D2DF-42AB-8FE9-A8776C1B7F57}"/>
    <hyperlink ref="E1802" r:id="rId1515" xr:uid="{B499E0F4-CA06-481E-B4D8-67C42076A152}"/>
    <hyperlink ref="E1803" r:id="rId1516" xr:uid="{226C50F4-8C09-4335-A9CF-4E9E9D9F4CD8}"/>
    <hyperlink ref="E1804" r:id="rId1517" xr:uid="{4A2464F0-9C28-4984-8C6E-46BED1D4DCE4}"/>
    <hyperlink ref="E1805" r:id="rId1518" xr:uid="{AD8BFAD1-8582-423E-8E6E-1E4CD0923963}"/>
    <hyperlink ref="E1806" r:id="rId1519" xr:uid="{3C3E0666-36C9-40B4-8725-C07DF237A960}"/>
    <hyperlink ref="E1807" r:id="rId1520" xr:uid="{52DED1B7-8C3A-4C68-A0A2-F8FC7F16E35C}"/>
    <hyperlink ref="E1808" r:id="rId1521" xr:uid="{96CD86C8-5150-48C8-B719-1A85D0FCAA69}"/>
    <hyperlink ref="E1809" r:id="rId1522" xr:uid="{41593F91-6017-4299-9488-850238D4B2DE}"/>
    <hyperlink ref="E1810" r:id="rId1523" xr:uid="{B34443AC-EB2F-4A9B-B7FB-9EDE32235F76}"/>
    <hyperlink ref="E1811" r:id="rId1524" xr:uid="{A5808BD0-BAD9-4814-BC00-72683E15C6D4}"/>
    <hyperlink ref="E1812" r:id="rId1525" xr:uid="{CE7E5C7A-1E9D-4090-A5B6-7F0D173F543E}"/>
    <hyperlink ref="E1813" r:id="rId1526" xr:uid="{B4240A6F-A27B-454B-B23E-B57F2E22C743}"/>
    <hyperlink ref="E1814" r:id="rId1527" xr:uid="{17A87FDB-DB3C-44DF-8317-59024468C192}"/>
    <hyperlink ref="E1815" r:id="rId1528" xr:uid="{DD6A90E7-E73E-4FC0-97D7-1C865EAD90D5}"/>
    <hyperlink ref="E1816" r:id="rId1529" xr:uid="{170328E0-C22A-4B91-8130-EFE36DE05CA3}"/>
    <hyperlink ref="E1817" r:id="rId1530" xr:uid="{73CCD0E9-C54E-4074-8D22-5F25E6C6B3F6}"/>
    <hyperlink ref="E1818" r:id="rId1531" xr:uid="{C45902DE-071C-4744-8653-5F4EDB45E241}"/>
    <hyperlink ref="E1819" r:id="rId1532" xr:uid="{94C0C18B-1383-4511-AC78-E2C85297A6CF}"/>
    <hyperlink ref="E1820" r:id="rId1533" xr:uid="{3A63A36F-718B-4176-BD0A-B63FBE3FA0AD}"/>
    <hyperlink ref="E1821" r:id="rId1534" xr:uid="{1EAAFC74-C6F0-4BDD-9218-7BC4B5389E1F}"/>
    <hyperlink ref="E1822" r:id="rId1535" xr:uid="{ADE30018-E022-4540-9AF3-303A7AC271C4}"/>
    <hyperlink ref="E1823" r:id="rId1536" xr:uid="{9803B4A7-F86C-45AB-9D0D-6B662B558801}"/>
    <hyperlink ref="E1824" r:id="rId1537" xr:uid="{E0B6F16B-E0FC-4FAF-8E57-F2A94B4A419F}"/>
    <hyperlink ref="E1825" r:id="rId1538" xr:uid="{C311B751-0F02-4052-A09A-CE42FCF982B9}"/>
    <hyperlink ref="E1826" r:id="rId1539" xr:uid="{AF0101FF-1204-4581-BE48-896F2CDEBB58}"/>
    <hyperlink ref="E1827" r:id="rId1540" xr:uid="{57DE1AAD-D8C4-4A21-9F14-957E242BE6D1}"/>
    <hyperlink ref="E1828" r:id="rId1541" xr:uid="{0B69137B-0AA9-43B9-AD01-8E6BBFF47AEA}"/>
    <hyperlink ref="E1829" r:id="rId1542" xr:uid="{656FB039-60E4-43C1-8AF4-A34F05AEC5CF}"/>
    <hyperlink ref="E1830" r:id="rId1543" xr:uid="{B4F87387-0D0C-4BCF-99CE-1D060CCF19F3}"/>
    <hyperlink ref="E1831" r:id="rId1544" xr:uid="{FFDCBECD-2F01-45B4-9BAC-FF260EBE9820}"/>
    <hyperlink ref="E1839" r:id="rId1545" display="Двуспальная кровать" xr:uid="{3D714906-A093-4951-AA58-5A1B32ED12B0}"/>
    <hyperlink ref="E1840" r:id="rId1546" xr:uid="{43395993-618C-4DCC-B746-82C3191D972C}"/>
    <hyperlink ref="E1844" r:id="rId1547" xr:uid="{F5D2A372-6B80-4DD3-941A-ED9473702F3E}"/>
    <hyperlink ref="E1845" r:id="rId1548" xr:uid="{0183EFB2-3965-417B-A77C-74D1F3115FAF}"/>
    <hyperlink ref="E1846" r:id="rId1549" xr:uid="{97486C43-565C-44DE-9626-0A953AADB1DB}"/>
    <hyperlink ref="E1847" r:id="rId1550" xr:uid="{69ACC97D-5F4A-4046-B021-927E45338450}"/>
    <hyperlink ref="E1848" r:id="rId1551" xr:uid="{D09A9D11-FB9C-44D0-90C6-25523C7AF8EF}"/>
    <hyperlink ref="E1849" r:id="rId1552" xr:uid="{FB5482DC-E0C9-45B1-9F25-7BF936FFF637}"/>
    <hyperlink ref="E1850" r:id="rId1553" xr:uid="{4A45FA43-7EFD-473C-B26B-406FEFB9AEAF}"/>
    <hyperlink ref="E1851" r:id="rId1554" xr:uid="{223A33E6-4758-4A2F-ADCC-DD6D651B9C21}"/>
    <hyperlink ref="E1852" r:id="rId1555" display="Фоамин 50 листов" xr:uid="{A2AF676D-118D-485F-B1EF-B1259486B491}"/>
    <hyperlink ref="E1853" r:id="rId1556" xr:uid="{F91B3DB7-7AAB-4B91-91C8-A07A7973AD3D}"/>
    <hyperlink ref="E1854" r:id="rId1557" xr:uid="{89BE4467-8C93-41DB-9731-9786B0EF480F}"/>
    <hyperlink ref="E1855" r:id="rId1558" xr:uid="{022182BF-588E-4195-A913-AF8D7BB7D708}"/>
    <hyperlink ref="E1856" r:id="rId1559" xr:uid="{6B786918-AFA2-42DB-9C4C-20706CC2AE44}"/>
    <hyperlink ref="E1857" r:id="rId1560" xr:uid="{B64EE275-3DF6-44CE-BE1A-2D51953E5085}"/>
    <hyperlink ref="E1858" r:id="rId1561" xr:uid="{391D6BBD-8257-4655-A7A0-F65514A919AB}"/>
    <hyperlink ref="E1859" r:id="rId1562" xr:uid="{AC2C8303-A827-467A-999E-0BD39DD9BAA7}"/>
    <hyperlink ref="E1860" r:id="rId1563" xr:uid="{339537FD-DC87-447B-9758-E59B1AC04056}"/>
    <hyperlink ref="E1861" r:id="rId1564" xr:uid="{26A2E76B-3E8F-4039-80BA-E8D50475BD2A}"/>
    <hyperlink ref="E1862" r:id="rId1565" xr:uid="{E5F36A61-BD05-49D6-9329-D9CB9A69FE5F}"/>
    <hyperlink ref="E1863" r:id="rId1566" xr:uid="{F20A0038-F621-4E82-A002-7A29026BC6D7}"/>
    <hyperlink ref="E1864" r:id="rId1567" xr:uid="{7B4612F7-058D-4B50-9F51-81958EEA557E}"/>
    <hyperlink ref="E1865" r:id="rId1568" xr:uid="{8EA1AB62-BF74-4785-B6D0-810CC6CCF6CD}"/>
    <hyperlink ref="E1866" r:id="rId1569" xr:uid="{1EBB49FE-0C8C-4809-B195-2C4C70DA0621}"/>
    <hyperlink ref="E1867" r:id="rId1570" xr:uid="{BB1993BF-ACD1-45D4-B02A-170CA2BCBAC6}"/>
    <hyperlink ref="E1868" r:id="rId1571" xr:uid="{4EB7367B-C64A-4559-B1E6-C6BDDF0CA1F2}"/>
    <hyperlink ref="E1869" r:id="rId1572" xr:uid="{4C4830D0-A4CE-42D5-8EB9-39CE3A1DFD6A}"/>
    <hyperlink ref="E1870" r:id="rId1573" xr:uid="{BDC0E226-D523-4177-ADD1-7B078459AFB6}"/>
    <hyperlink ref="E1871" r:id="rId1574" display="Шнурки-резинки" xr:uid="{3DB1EA60-4119-4887-B762-AFFA682B6719}"/>
    <hyperlink ref="E1872" r:id="rId1575" xr:uid="{CB861B84-CC02-409B-A411-1CE60325921F}"/>
    <hyperlink ref="E1873" r:id="rId1576" xr:uid="{8E2A0625-2600-4780-94B6-5E477D7AB5DF}"/>
    <hyperlink ref="E1874" r:id="rId1577" xr:uid="{0A6F2B36-669C-4E50-9A03-A6B3B8603731}"/>
    <hyperlink ref="E1875" r:id="rId1578" xr:uid="{00656CA1-93F7-4E1A-A9D8-4AA98A453DEC}"/>
    <hyperlink ref="E1876" r:id="rId1579" xr:uid="{D2ACEF79-8726-4311-95FB-73BED9838B1D}"/>
    <hyperlink ref="E1877" r:id="rId1580" xr:uid="{AA5F39BB-2D65-4240-B84A-466691588F91}"/>
    <hyperlink ref="E1878" r:id="rId1581" xr:uid="{80822CD6-C73E-409D-A972-5FF24BA9A99F}"/>
    <hyperlink ref="E1879" r:id="rId1582" xr:uid="{2366E160-67D9-48AD-A4C1-49AA7CE682CE}"/>
    <hyperlink ref="E1880" r:id="rId1583" xr:uid="{026BA8FB-22E6-48A3-B040-C929125C10C2}"/>
    <hyperlink ref="E1881" r:id="rId1584" xr:uid="{87AD6EB2-EF26-4771-A1EB-46F297A32322}"/>
    <hyperlink ref="E1882" r:id="rId1585" display="Тендерайзер длямяса" xr:uid="{AF789E5B-991A-48A0-B5D1-B9E3E1B1185C}"/>
    <hyperlink ref="E1883" r:id="rId1586" xr:uid="{D562E3F5-1783-415D-88A8-0DBC98AD9D69}"/>
    <hyperlink ref="E1884" r:id="rId1587" xr:uid="{8A4B22FD-DE79-419C-BD99-F5CF71F5EBE9}"/>
    <hyperlink ref="E1887" r:id="rId1588" xr:uid="{E7A8D924-6574-43EF-8CB2-0972DDADA4E6}"/>
    <hyperlink ref="E1888" r:id="rId1589" xr:uid="{A5338401-FCE8-46EA-96D8-169C8BBEAD0B}"/>
    <hyperlink ref="E1889" r:id="rId1590" xr:uid="{10B7D6C8-74AC-4F49-9427-A17E1F9FFF94}"/>
    <hyperlink ref="E1890" r:id="rId1591" xr:uid="{C68560F5-FDFD-419B-ADF1-71768F3F5B17}"/>
    <hyperlink ref="E1891" r:id="rId1592" xr:uid="{3959308C-44AA-4663-BEAF-D8E77C180976}"/>
    <hyperlink ref="E1892" r:id="rId1593" xr:uid="{0963E63B-2143-45AB-A1B2-22A52DA9DADB}"/>
    <hyperlink ref="E1893" r:id="rId1594" xr:uid="{0EFF75B0-F90A-4DD7-8DD0-54FEFC23C9A6}"/>
    <hyperlink ref="E1894" r:id="rId1595" xr:uid="{88BBEEDE-940F-4387-A2B0-005DD8143206}"/>
    <hyperlink ref="E1895" r:id="rId1596" xr:uid="{FEF4B97A-E5DD-45BC-BBE8-51D7E99F183D}"/>
    <hyperlink ref="E1896" r:id="rId1597" xr:uid="{1A3DF624-BB4E-470A-A0E3-502417E490BB}"/>
    <hyperlink ref="E1897" r:id="rId1598" xr:uid="{D0DBD949-2CB9-4D7F-B81D-1A7DD68DE1B6}"/>
    <hyperlink ref="E1898" r:id="rId1599" xr:uid="{67427748-3579-4914-B512-A341F1AB8A7B}"/>
    <hyperlink ref="E1899" r:id="rId1600" xr:uid="{9387CD91-CE36-42C9-8545-39AE20849C33}"/>
    <hyperlink ref="E1900" r:id="rId1601" xr:uid="{693A7D27-4367-435A-8E00-1A570201737D}"/>
    <hyperlink ref="E1901" r:id="rId1602" xr:uid="{90D7311E-ADAF-4444-BB44-CDCB2DF27EDB}"/>
    <hyperlink ref="E1902" r:id="rId1603" xr:uid="{5046140F-403D-4B86-A152-36A7EC50D51C}"/>
    <hyperlink ref="E1903" r:id="rId1604" xr:uid="{DAB55F3D-C626-49C5-A276-57C5243478EE}"/>
    <hyperlink ref="E1904" r:id="rId1605" xr:uid="{6F0F681F-377E-4618-9881-316CB1531C50}"/>
    <hyperlink ref="E1905" r:id="rId1606" xr:uid="{E482A27A-9629-4C44-AAC9-556F929A21F0}"/>
    <hyperlink ref="E1906" r:id="rId1607" xr:uid="{90B47BBB-4818-44AA-B396-F85CF2B13C71}"/>
    <hyperlink ref="E1907" r:id="rId1608" xr:uid="{3856BB70-1D60-4DAF-98B4-1A049B719152}"/>
    <hyperlink ref="E1909" r:id="rId1609" xr:uid="{3FDA683C-14DC-4B3D-BEA4-9290233009B3}"/>
    <hyperlink ref="E1910" r:id="rId1610" xr:uid="{1E182A5C-C86D-468D-81E2-5E42D266D338}"/>
    <hyperlink ref="E1911" r:id="rId1611" xr:uid="{CD4DCCED-9163-4DE8-B020-D087A384633C}"/>
    <hyperlink ref="E1912" r:id="rId1612" xr:uid="{26BB0799-59E7-46B2-A432-F5F6917E84A0}"/>
    <hyperlink ref="E1913" r:id="rId1613" xr:uid="{815E87FC-5DE4-46FB-9538-39ADB83E8B9D}"/>
    <hyperlink ref="E1914" r:id="rId1614" xr:uid="{C106F186-4C81-4B77-96BD-8EFEFE4B2EEC}"/>
    <hyperlink ref="E1915" r:id="rId1615" xr:uid="{35C710AF-1FCA-4861-B408-2464958D3132}"/>
    <hyperlink ref="E1916" r:id="rId1616" xr:uid="{B830903D-94CC-4688-8A70-A5B0D055B270}"/>
    <hyperlink ref="E1917" r:id="rId1617" xr:uid="{A5B67F7F-EEAC-4579-A124-2D503BBBFA95}"/>
    <hyperlink ref="E1918" r:id="rId1618" xr:uid="{A03DD1D5-5DE2-480F-B569-995B768166D2}"/>
    <hyperlink ref="E1920" r:id="rId1619" xr:uid="{1F75D0F0-9080-4EEE-8E74-C1447F8DE25B}"/>
    <hyperlink ref="E1919" r:id="rId1620" xr:uid="{3CBB3132-84D7-40EB-928B-8F8998B364BE}"/>
    <hyperlink ref="E1921" r:id="rId1621" xr:uid="{EB5C1923-2B81-4741-809E-4EF9AEFF4B3B}"/>
    <hyperlink ref="E1922" r:id="rId1622" xr:uid="{3337BBAE-6B36-49E0-8185-65905964A0B6}"/>
    <hyperlink ref="E1925" r:id="rId1623" xr:uid="{7CDEA25F-CA5A-4E4A-A889-D6B898402BEA}"/>
    <hyperlink ref="E1926" r:id="rId1624" xr:uid="{CA5E5C56-864F-464D-8639-56900DB45DDA}"/>
    <hyperlink ref="E1927" r:id="rId1625" xr:uid="{50B7F8ED-70BC-475B-8D3A-AC259FAD1B4E}"/>
    <hyperlink ref="E1928" r:id="rId1626" xr:uid="{848FA7EE-DCC4-4CA4-9F08-840C2D72814D}"/>
    <hyperlink ref="E1929" r:id="rId1627" xr:uid="{FE909829-9D45-419C-9789-7A6EBF006D6F}"/>
    <hyperlink ref="E1930" r:id="rId1628" xr:uid="{7F82FB12-45FE-455C-91E6-032CD0E1DE91}"/>
    <hyperlink ref="E1931" r:id="rId1629" xr:uid="{1365215F-B948-4C56-9BC3-07BF3ABF5735}"/>
    <hyperlink ref="E1932" r:id="rId1630" xr:uid="{E658F353-859A-4CBF-A796-365E2A50E9B0}"/>
    <hyperlink ref="E1933" r:id="rId1631" xr:uid="{069D7111-FDBD-4901-965D-5946DDABAFD2}"/>
    <hyperlink ref="E1934" r:id="rId1632" xr:uid="{45C1E5C8-A72A-4D99-8742-B3F72B682FAA}"/>
    <hyperlink ref="E1935" r:id="rId1633" xr:uid="{E8998693-3698-4B9F-8433-EC47F7310B19}"/>
    <hyperlink ref="E1936" r:id="rId1634" xr:uid="{00AC9885-CD19-46C4-9FD3-691520EA4982}"/>
    <hyperlink ref="E1937" r:id="rId1635" xr:uid="{CDB092EE-09E8-4A48-B795-45EE4280FFC7}"/>
    <hyperlink ref="E1938" r:id="rId1636" xr:uid="{C70BA504-54F7-49C3-8B5B-DB07021B2A57}"/>
    <hyperlink ref="E1939" r:id="rId1637" xr:uid="{B7A6135F-31A4-4F57-8096-F0B649CACBC4}"/>
    <hyperlink ref="E1940" r:id="rId1638" xr:uid="{7294DAD5-E8D9-4961-A8A2-603CE8DE0B94}"/>
    <hyperlink ref="E1941" r:id="rId1639" xr:uid="{DA3B8569-39B7-4022-80F0-203D0DE3FC56}"/>
    <hyperlink ref="E1942" r:id="rId1640" xr:uid="{67301088-4249-4EC5-8800-047968B491B9}"/>
    <hyperlink ref="E1943" r:id="rId1641" xr:uid="{848DDCD7-489D-42A7-8A8C-E1B53C88FE9C}"/>
    <hyperlink ref="E1944" r:id="rId1642" xr:uid="{477CB9BD-E6A0-4D2C-B2E5-01E00AE65578}"/>
    <hyperlink ref="E1945" r:id="rId1643" xr:uid="{F102832B-2D65-4B7A-AC45-491E1CA6546E}"/>
    <hyperlink ref="E1946" r:id="rId1644" xr:uid="{8332C636-91EE-4E66-A3BD-652936B55221}"/>
    <hyperlink ref="E1947" r:id="rId1645" xr:uid="{39068E3B-D123-46E0-9731-5EF9B64AD581}"/>
    <hyperlink ref="E1948" r:id="rId1646" xr:uid="{584C4DA8-393B-4573-A656-9ADF4A56E6FF}"/>
    <hyperlink ref="E1949" r:id="rId1647" xr:uid="{E6BDBE87-CB88-41EB-A410-563B3BE8DD82}"/>
    <hyperlink ref="E1950" r:id="rId1648" xr:uid="{76E38E3D-4CEF-4208-A0E6-E7B3C31C3D79}"/>
    <hyperlink ref="E1951" r:id="rId1649" xr:uid="{915D808F-DFAB-45BF-8B09-3E8A093D6732}"/>
    <hyperlink ref="E1952" r:id="rId1650" xr:uid="{BA23CC2E-26B1-418B-9082-4D4CFABE3C16}"/>
    <hyperlink ref="E1953" r:id="rId1651" xr:uid="{A18A8513-17C7-420C-838D-F22BDE812B14}"/>
    <hyperlink ref="E1954" r:id="rId1652" xr:uid="{7D5E2432-B018-40E3-84F6-A3D524FD3604}"/>
    <hyperlink ref="E1955" r:id="rId1653" xr:uid="{0C51E0CD-7D3C-42D4-B5B9-E8BD575F111E}"/>
    <hyperlink ref="E1956" r:id="rId1654" xr:uid="{1B06C480-7EC2-44BE-AECE-AA9B658F1F81}"/>
    <hyperlink ref="E1957" r:id="rId1655" xr:uid="{67FA19E3-25EC-47A6-9D2B-1D5C0FAEEEAB}"/>
    <hyperlink ref="E1958" r:id="rId1656" xr:uid="{B3D8BAC1-93ED-4107-B759-81B20B6008F6}"/>
    <hyperlink ref="E1959" r:id="rId1657" xr:uid="{7959C100-CA3E-4E05-B6EC-005BD0E0DC13}"/>
    <hyperlink ref="E1960" r:id="rId1658" xr:uid="{4ABBBDAB-627E-435A-9FD9-F767611C32D1}"/>
    <hyperlink ref="E1961" r:id="rId1659" display="Гейнер " xr:uid="{FAF12F27-2284-4C22-BF1D-2040AF40403C}"/>
    <hyperlink ref="E1962" r:id="rId1660" xr:uid="{CB05846E-D8D2-431B-A9D1-294DF13A46A7}"/>
    <hyperlink ref="E1963" r:id="rId1661" xr:uid="{98275C0A-5286-430A-94B6-BF40710C99FF}"/>
    <hyperlink ref="E1964" r:id="rId1662" xr:uid="{BD9A3951-AE9D-429D-9C1F-470B575EDBE1}"/>
    <hyperlink ref="E1965" r:id="rId1663" xr:uid="{0BAB29A1-2E7C-47DB-8501-AE0F9C709603}"/>
    <hyperlink ref="E1966" r:id="rId1664" xr:uid="{8203598B-EFE0-47D3-9438-278791335CAB}"/>
    <hyperlink ref="E1967" r:id="rId1665" xr:uid="{AB85D27F-A793-4D3D-B8BC-A4C5D74A64CB}"/>
    <hyperlink ref="E1968" r:id="rId1666" xr:uid="{A3F357B9-6992-4167-8E29-BF8068F795B3}"/>
    <hyperlink ref="E1969" r:id="rId1667" xr:uid="{BD871726-9F2D-43A1-9A80-59E96431B953}"/>
    <hyperlink ref="E1970" r:id="rId1668" xr:uid="{8886D4D7-18D8-4924-83BF-440C4E05D9CE}"/>
    <hyperlink ref="E1979" r:id="rId1669" xr:uid="{CB43DA7D-1523-404E-A915-E2F04BEAF430}"/>
    <hyperlink ref="E1983" r:id="rId1670" xr:uid="{A9F89868-E3CD-4E65-9BEC-1A76194DFD69}"/>
    <hyperlink ref="E1984" r:id="rId1671" xr:uid="{D2A575AF-E20F-4FDF-A771-C76F147CB727}"/>
    <hyperlink ref="E1985" r:id="rId1672" xr:uid="{688387C9-1EC8-4BAF-880B-0DFABE7875A5}"/>
    <hyperlink ref="E1986" r:id="rId1673" xr:uid="{EDCF2212-6BA2-4DEB-B8C1-E833BAC454A5}"/>
    <hyperlink ref="E1987" r:id="rId1674" xr:uid="{A8E79A42-5D7D-472E-BE98-110B93EF46E9}"/>
    <hyperlink ref="E1989" r:id="rId1675" xr:uid="{7CDFEE50-0B72-461E-8C6D-BB13D6F1D5FD}"/>
    <hyperlink ref="E1990" r:id="rId1676" xr:uid="{B8DB0E57-FAD4-415C-8493-C644F27B9759}"/>
    <hyperlink ref="E1991" r:id="rId1677" xr:uid="{84809954-CC57-4026-A786-7A779B824A7A}"/>
    <hyperlink ref="E1992" r:id="rId1678" xr:uid="{C44D8340-9CCD-45CB-BF36-D3FD88BABCA6}"/>
    <hyperlink ref="E1993" r:id="rId1679" xr:uid="{D0776216-F00D-4359-B16E-EACC70B24FDD}"/>
    <hyperlink ref="E1994" r:id="rId1680" xr:uid="{85969AA6-2F33-4D4D-9FDC-7A0701F00841}"/>
    <hyperlink ref="E1995" r:id="rId1681" xr:uid="{105EAE93-27E0-405F-B617-D1CE42A015E6}"/>
    <hyperlink ref="E1996" r:id="rId1682" xr:uid="{3E450F0A-A291-43C3-B6A9-9BB556295B27}"/>
    <hyperlink ref="E1997" r:id="rId1683" xr:uid="{5AA0F433-5C20-4D88-BF8F-509DB8B115A0}"/>
    <hyperlink ref="E1998" r:id="rId1684" xr:uid="{61B62A05-D4E4-4BEE-9598-22FB3C7E8105}"/>
    <hyperlink ref="E1999" r:id="rId1685" xr:uid="{5C0FE717-C765-4797-8E25-53612A7E083C}"/>
    <hyperlink ref="E2000" r:id="rId1686" xr:uid="{08DEF765-BD05-4915-B0A6-970F9A1A6E94}"/>
    <hyperlink ref="E2001" r:id="rId1687" xr:uid="{A74801DC-E995-430D-8E7C-E8F11C9E727B}"/>
    <hyperlink ref="E2002" r:id="rId1688" xr:uid="{163608F0-8A6B-4E08-BD67-829B1D832032}"/>
    <hyperlink ref="E2003" r:id="rId1689" xr:uid="{5E791E9D-C83C-4BF2-8F80-36CDE3451DA0}"/>
    <hyperlink ref="E2004" r:id="rId1690" xr:uid="{68EE380D-6449-4E35-A362-F552F613DA0D}"/>
    <hyperlink ref="E2005" r:id="rId1691" xr:uid="{20D3889E-EFCB-4820-A572-B5FCBA771F12}"/>
    <hyperlink ref="E2006" r:id="rId1692" xr:uid="{816B1C9E-9445-472E-A7BF-DD8E6528A8F2}"/>
    <hyperlink ref="E2007" r:id="rId1693" xr:uid="{D142CC8B-4F48-4827-BAB1-37EF1F3A1772}"/>
    <hyperlink ref="E2008" r:id="rId1694" xr:uid="{1305EA0C-1078-4C89-90AC-A101319DE2AB}"/>
    <hyperlink ref="E2009" r:id="rId1695" xr:uid="{AF9175C8-3445-4D16-967B-3873F8105A52}"/>
    <hyperlink ref="E2010" r:id="rId1696" xr:uid="{AB72D639-0D41-4623-8913-913A9AC5D873}"/>
    <hyperlink ref="E2011" r:id="rId1697" xr:uid="{04DCD9C2-DB5F-438D-BE7E-C66349534CC5}"/>
    <hyperlink ref="E2012" r:id="rId1698" xr:uid="{3F8582F8-830A-49FF-B784-565C9C14C8D2}"/>
    <hyperlink ref="E2013" r:id="rId1699" location="extended" xr:uid="{BBA2BBCB-D2A9-4B6D-A58E-B045D0CCE34D}"/>
    <hyperlink ref="E2014" r:id="rId1700" xr:uid="{80436DED-752A-4FCE-AFC3-34D86F38D621}"/>
    <hyperlink ref="E2015" r:id="rId1701" xr:uid="{30990B4A-2DDA-4398-90D8-01BB90A9C935}"/>
    <hyperlink ref="E2016" r:id="rId1702" xr:uid="{1A2597A7-F1C9-471C-91C2-B1144EFB0A95}"/>
    <hyperlink ref="E2017" r:id="rId1703" xr:uid="{9CFAD9B9-BFE0-45D4-B29A-4142C6BFF4BE}"/>
    <hyperlink ref="E2018" r:id="rId1704" xr:uid="{0073053D-FCB6-4C95-9010-59AE7D971E2B}"/>
    <hyperlink ref="E2019" r:id="rId1705" xr:uid="{2F3DCDCB-91F7-4321-9077-A59AF00F0F5A}"/>
    <hyperlink ref="E2020" r:id="rId1706" xr:uid="{3BB6FA8D-AD76-4038-B8D7-8149B1404DC5}"/>
    <hyperlink ref="E2021" r:id="rId1707" xr:uid="{CB31AE61-270B-496A-AF92-8D3BCB60F8A3}"/>
    <hyperlink ref="E2022" r:id="rId1708" xr:uid="{7F447885-896B-44A7-8305-9F752236EF62}"/>
    <hyperlink ref="E2023" r:id="rId1709" xr:uid="{29BF892F-805E-4F62-82D1-B018B9C32CA8}"/>
    <hyperlink ref="E2024" r:id="rId1710" xr:uid="{870FF65C-7431-42F9-8B80-882F42185AFB}"/>
    <hyperlink ref="E2025" r:id="rId1711" xr:uid="{1E01C7F3-479C-4F74-A30F-0704466FE506}"/>
    <hyperlink ref="E2026" r:id="rId1712" xr:uid="{FBC2B27A-EE3D-4F58-A9C9-A6D99F3EF92E}"/>
    <hyperlink ref="E2027" r:id="rId1713" xr:uid="{2CFDA8ED-06FF-4475-A3AE-A65C1FA89003}"/>
    <hyperlink ref="E2028" r:id="rId1714" xr:uid="{A9869D43-2A32-4ECA-BFDB-9F59640281B0}"/>
    <hyperlink ref="E2029" r:id="rId1715" xr:uid="{0845B23A-F2B4-4600-8231-EC3AE243428D}"/>
    <hyperlink ref="E2030" r:id="rId1716" xr:uid="{CEB395EC-676A-4FB2-BDF8-9A1038085CB0}"/>
    <hyperlink ref="E2032" r:id="rId1717" xr:uid="{9D629ABB-B227-45DA-AF79-67A4FCBCA2E0}"/>
    <hyperlink ref="E2031" r:id="rId1718" xr:uid="{9CC5C250-E493-4028-ACE9-DFC22FB909B6}"/>
    <hyperlink ref="E2033" r:id="rId1719" xr:uid="{1A0EA25C-D565-4CCF-A6E7-DFF1DF58A93B}"/>
    <hyperlink ref="E1988" r:id="rId1720" xr:uid="{75D266C6-6353-4B34-8EFF-DA810FA37024}"/>
    <hyperlink ref="E2035" r:id="rId1721" xr:uid="{A8EBE08A-A880-480C-B0E3-4C0F220294C6}"/>
    <hyperlink ref="E2036" r:id="rId1722" xr:uid="{9F708CFF-4292-4660-BB3C-A1DBC7AAF144}"/>
    <hyperlink ref="E2041" r:id="rId1723" xr:uid="{1F5330CE-5B1C-409D-B44B-C9077CB81004}"/>
    <hyperlink ref="E2042" r:id="rId1724" xr:uid="{7FA058AC-7053-48FA-9586-32FF146F1BA1}"/>
    <hyperlink ref="E2043" r:id="rId1725" xr:uid="{54948D50-846A-4684-8F5E-69D145EADCE9}"/>
    <hyperlink ref="E2044" r:id="rId1726" xr:uid="{8D58B90F-C305-4EB5-988C-ECFBD51A7E52}"/>
    <hyperlink ref="E2045" r:id="rId1727" xr:uid="{BE54856A-E9BC-433A-AE35-B5156A5CC60E}"/>
    <hyperlink ref="E2046" r:id="rId1728" xr:uid="{D662005E-52B5-44F5-898F-2C9A446DF678}"/>
    <hyperlink ref="E2047" r:id="rId1729" xr:uid="{22C2140E-C50A-438A-AB66-1B7425ABD5CA}"/>
    <hyperlink ref="E2048" r:id="rId1730" xr:uid="{D6BD4D2D-BB69-4626-8A3B-84AAC1254A38}"/>
    <hyperlink ref="E2049" r:id="rId1731" xr:uid="{3CDB540A-D799-487B-97B5-A33E4A610D70}"/>
    <hyperlink ref="E2050" r:id="rId1732" xr:uid="{8E8898AB-CD61-4BCD-BF4A-05685D42D958}"/>
    <hyperlink ref="E2051" r:id="rId1733" xr:uid="{A75B63A5-D445-468F-8C86-9044AED9946B}"/>
    <hyperlink ref="E2052" r:id="rId1734" xr:uid="{F51F3C16-2699-45C8-B38D-E3EBCBC70259}"/>
    <hyperlink ref="E2053" r:id="rId1735" xr:uid="{2FB3E720-B8BF-4FFF-939D-B0589EC33ABE}"/>
    <hyperlink ref="E2054" r:id="rId1736" xr:uid="{9CC9DE18-3FEF-49CC-847C-85C1732A1D6E}"/>
    <hyperlink ref="E2055" r:id="rId1737" xr:uid="{50AE71B1-04BB-4FA1-AA0F-9CC09630DB93}"/>
    <hyperlink ref="E2056" r:id="rId1738" xr:uid="{46EF81B3-A017-4085-A226-2F797BD487E9}"/>
    <hyperlink ref="E2057" r:id="rId1739" xr:uid="{110EDBD3-699B-4827-830B-A5F0DC13C746}"/>
    <hyperlink ref="E2060" r:id="rId1740" xr:uid="{3E6C6298-0BCA-4589-AC70-EB22FD887A1D}"/>
    <hyperlink ref="E2059" r:id="rId1741" xr:uid="{E2B76215-D34A-40A8-A20B-F2FFEBBC99E2}"/>
    <hyperlink ref="E2061" r:id="rId1742" xr:uid="{83EF2C6D-983C-41D9-BACC-7BB135EB1054}"/>
    <hyperlink ref="E2062" r:id="rId1743" xr:uid="{EA6286A5-E140-4FA2-BF3B-6B748ADF0AC2}"/>
    <hyperlink ref="E2063" r:id="rId1744" xr:uid="{D5822EAA-1AEF-4464-AAA0-8A073285DDE0}"/>
    <hyperlink ref="E2064" r:id="rId1745" xr:uid="{19AB7AFF-BBB0-44F5-A697-00F3D40EDF82}"/>
    <hyperlink ref="E2065" r:id="rId1746" xr:uid="{018B4968-3ABB-46B3-9CA0-F5D31E6D4796}"/>
    <hyperlink ref="E2058" r:id="rId1747" xr:uid="{F16F8B60-E357-428A-927F-E0FC22ADF84D}"/>
    <hyperlink ref="E2066" r:id="rId1748" xr:uid="{38741346-63B5-4AAF-BA71-6A009179E261}"/>
    <hyperlink ref="E2067" r:id="rId1749" xr:uid="{8EA82025-FB99-48B7-A4EB-D02A6080C4FF}"/>
    <hyperlink ref="E2068" r:id="rId1750" xr:uid="{AB278A11-A7B1-46F6-A73F-94FB34233FEC}"/>
    <hyperlink ref="E2069" r:id="rId1751" xr:uid="{32782733-EEFE-4329-87D6-FA151950BEE4}"/>
    <hyperlink ref="E2070" r:id="rId1752" xr:uid="{DAEAFF19-CF3E-4C7A-8B99-F1346FAE5EB4}"/>
    <hyperlink ref="E2071" r:id="rId1753" xr:uid="{505D9ED2-D7E2-401A-AAE7-C929BC826995}"/>
    <hyperlink ref="E2072" r:id="rId1754" xr:uid="{D6D358FC-A8BC-4314-BFDB-5C4A840EF058}"/>
    <hyperlink ref="E2073" r:id="rId1755" xr:uid="{0410F9AC-0E73-4821-AC4C-014DF86C2291}"/>
    <hyperlink ref="E2074" r:id="rId1756" xr:uid="{01C6A6B8-D8D1-49C2-869F-6F0B357D1E6A}"/>
    <hyperlink ref="E2075" r:id="rId1757" xr:uid="{FBC5A731-44FB-4850-804B-23BDD996C57C}"/>
    <hyperlink ref="E2076" r:id="rId1758" xr:uid="{CD8EF3F0-11B5-4369-A592-A0E8B2AEFE4F}"/>
    <hyperlink ref="E2077" r:id="rId1759" xr:uid="{7DFC2E5B-1711-4C18-A984-E7E1BA0BBAC3}"/>
    <hyperlink ref="E2078" r:id="rId1760" xr:uid="{E15806B7-FDC9-41E2-B0B4-2E35859EF967}"/>
    <hyperlink ref="E2079" r:id="rId1761" xr:uid="{B549599E-943D-4F1E-A1A0-8723FB2686EE}"/>
    <hyperlink ref="E2080" r:id="rId1762" xr:uid="{EEB07977-1BCE-4BEA-A236-35C862636373}"/>
    <hyperlink ref="E2081" r:id="rId1763" xr:uid="{0F9CC79D-8C4F-452F-A7CA-03DB5E8D1972}"/>
    <hyperlink ref="E2082" r:id="rId1764" xr:uid="{430E8839-BC2D-47B4-810F-C615AAAD9D50}"/>
    <hyperlink ref="E2083" r:id="rId1765" xr:uid="{151ECBAF-99C5-4519-9FE9-3486874C0F80}"/>
    <hyperlink ref="E2084" r:id="rId1766" display="Носки 10шт" xr:uid="{A2F54B2D-1C20-48C2-97CA-49ACDEAE9A2C}"/>
    <hyperlink ref="E2085" r:id="rId1767" xr:uid="{078EAAE5-D93E-4A9D-8886-8790E8D09CD3}"/>
    <hyperlink ref="E2086" r:id="rId1768" xr:uid="{0098B06F-B58F-411C-8A0B-2C9358074437}"/>
    <hyperlink ref="E2087" r:id="rId1769" xr:uid="{37235BCC-9E47-4956-A370-007D3F10DAE3}"/>
    <hyperlink ref="E2089" r:id="rId1770" xr:uid="{DE467D99-9665-4C37-8983-097DC8E13BFC}"/>
    <hyperlink ref="E2090" r:id="rId1771" display="Топ" xr:uid="{AD63BB8F-1AD6-424C-9F51-27E100119551}"/>
    <hyperlink ref="E2091" r:id="rId1772" display="Рубашка" xr:uid="{9F719C71-4C4A-418F-9927-B3FB4B0A91CC}"/>
    <hyperlink ref="E2092" r:id="rId1773" display="Джинсы" xr:uid="{86472B3C-B05F-42DA-9914-F48B04B84566}"/>
    <hyperlink ref="E2093" r:id="rId1774" display="Рубашка" xr:uid="{997415A1-AE91-403B-A598-DC0BC6CB2CCE}"/>
    <hyperlink ref="E2094" r:id="rId1775" display="Джинсы" xr:uid="{BBA3BA13-2A83-4405-961B-50AD8699E845}"/>
    <hyperlink ref="E2095" r:id="rId1776" xr:uid="{3110DD58-D567-410B-B1A2-DCFB00953647}"/>
    <hyperlink ref="E2096" r:id="rId1777" xr:uid="{90F5044D-E868-4C0D-81B3-2A2B7D0175DF}"/>
    <hyperlink ref="E2097" r:id="rId1778" xr:uid="{AFDF6562-0C6C-461C-93CB-44200F051E60}"/>
    <hyperlink ref="E2098" r:id="rId1779" xr:uid="{2C94529E-7AF1-452F-97B4-011510D6E729}"/>
    <hyperlink ref="E2100" r:id="rId1780" xr:uid="{FD26E8C6-7927-457F-A521-FD0EB2653DD1}"/>
    <hyperlink ref="E2101" r:id="rId1781" xr:uid="{1C9BB098-BF8D-4252-A4F3-907501098113}"/>
    <hyperlink ref="E2102" r:id="rId1782" xr:uid="{431E84FA-5E08-4F94-8888-025E1D127853}"/>
    <hyperlink ref="E2103" r:id="rId1783" xr:uid="{3D6B5CE6-94BA-4900-B169-8B431250DCF7}"/>
    <hyperlink ref="E2114" r:id="rId1784" xr:uid="{E5FC49BA-5B14-46E2-A268-98E21FA8706E}"/>
    <hyperlink ref="E2115" r:id="rId1785" xr:uid="{CBB4FB32-1047-4D7C-A3DA-FADFB7442D66}"/>
    <hyperlink ref="E2116" r:id="rId1786" xr:uid="{D4E9AE0C-324A-4AE6-8B50-41B1CB3C5078}"/>
    <hyperlink ref="E2117" r:id="rId1787" xr:uid="{8B4CB056-39A3-4471-A101-A4F486C9081A}"/>
    <hyperlink ref="E2118" r:id="rId1788" xr:uid="{637F5E60-D793-46CA-B2EE-7F418337D272}"/>
    <hyperlink ref="E2119" r:id="rId1789" xr:uid="{E0BA6A13-450D-4C81-97DB-149F81F7B57B}"/>
    <hyperlink ref="E2120" r:id="rId1790" xr:uid="{99503DBE-7367-41CB-AECC-39F64B972F21}"/>
    <hyperlink ref="E2121" r:id="rId1791" xr:uid="{90E39C07-013B-4C3C-B239-1EE6563F81C7}"/>
    <hyperlink ref="E2122" r:id="rId1792" xr:uid="{94FB296A-5D41-4F55-8B6D-3FB45A481AE0}"/>
    <hyperlink ref="E2123" r:id="rId1793" xr:uid="{7E331D07-AD21-4F83-BE03-60132B8086BF}"/>
    <hyperlink ref="E2124" r:id="rId1794" xr:uid="{8141BEAD-556D-4190-B4D7-E0602A6D2447}"/>
    <hyperlink ref="E2125" r:id="rId1795" xr:uid="{15C5344C-A925-441D-A63B-FFFB0BAD8AC6}"/>
    <hyperlink ref="E2126" r:id="rId1796" xr:uid="{0C2F09C4-CEE3-4C5A-85AF-3A43B44280D8}"/>
    <hyperlink ref="E2127" r:id="rId1797" xr:uid="{86A7D5C3-D8D1-49E8-BC14-C6C7542EC9EC}"/>
    <hyperlink ref="E2128" r:id="rId1798" xr:uid="{255364AF-E309-4D9C-81AB-6FB3E1BC599F}"/>
    <hyperlink ref="E2129" r:id="rId1799" xr:uid="{320CCF56-8A62-4E09-A3EA-E3822C495E8F}"/>
    <hyperlink ref="E2130" r:id="rId1800" xr:uid="{48236A83-8E45-4C22-8BBC-D2308F02676A}"/>
    <hyperlink ref="E2131" r:id="rId1801" xr:uid="{C3B0F8E9-C45D-406A-A74D-C55192D6B160}"/>
    <hyperlink ref="E2133" r:id="rId1802" xr:uid="{86271ABF-961E-4639-B1CE-D22C5BA96C43}"/>
    <hyperlink ref="E2134" r:id="rId1803" display="Дюбель" xr:uid="{10D36452-819C-4DF8-8E09-6287187DA53A}"/>
    <hyperlink ref="E2135" r:id="rId1804" xr:uid="{3A9CEAC5-26D9-41C2-A159-8329B3388209}"/>
    <hyperlink ref="E2136" r:id="rId1805" xr:uid="{22C9B5DC-478B-4B74-B675-D5C4B1F5274D}"/>
    <hyperlink ref="E2137" r:id="rId1806" xr:uid="{96E6ABB3-CCC7-4215-AF0C-3E544F1325D1}"/>
    <hyperlink ref="E2138" r:id="rId1807" xr:uid="{960B7E6E-C052-495C-AAAB-7604577E677D}"/>
    <hyperlink ref="E2139" r:id="rId1808" xr:uid="{18F2FF31-40A7-4E08-940A-6B49266326D0}"/>
    <hyperlink ref="E2140" r:id="rId1809" xr:uid="{F4D98C7E-BFDD-4734-B504-FFFF8D256D1B}"/>
    <hyperlink ref="E2141" r:id="rId1810" xr:uid="{82C002E8-C9C1-4FC8-A87F-478445470248}"/>
    <hyperlink ref="E2142" r:id="rId1811" xr:uid="{3CB30BF7-FCC5-4FD4-A2DE-00963E491C43}"/>
    <hyperlink ref="E2143" r:id="rId1812" xr:uid="{8F68B7F1-1756-49AE-9566-E80801D5A9B3}"/>
    <hyperlink ref="E2146" r:id="rId1813" xr:uid="{84E02AA7-2673-49A3-95BE-333D2C7A8772}"/>
    <hyperlink ref="E2147" r:id="rId1814" xr:uid="{B2A7373D-9909-415A-B693-34B203FD2A5B}"/>
    <hyperlink ref="E2148" r:id="rId1815" xr:uid="{CF9B94CF-E4F5-4AB3-8A47-A9E66DEFD305}"/>
    <hyperlink ref="E2149" r:id="rId1816" xr:uid="{1417CAE0-93E1-449F-9189-D26B1A1C66A1}"/>
    <hyperlink ref="E2151" r:id="rId1817" xr:uid="{2D2621B1-3FB9-432C-B7A4-0EB2BA51C6B6}"/>
    <hyperlink ref="E2152" r:id="rId1818" xr:uid="{B4773AAE-F9FB-4C88-904C-41892612EABE}"/>
    <hyperlink ref="E2153" r:id="rId1819" xr:uid="{FAF40A09-0277-4769-B149-B1A101B260D3}"/>
    <hyperlink ref="E2154" r:id="rId1820" xr:uid="{3D4A27FC-F96E-4E5F-82A4-1B47C16E7DCC}"/>
    <hyperlink ref="E2157" r:id="rId1821" xr:uid="{48C361A9-A3AA-47DC-B37E-4DABFCAEB187}"/>
    <hyperlink ref="E2158" r:id="rId1822" xr:uid="{7635A77C-3022-420B-9695-948B041EC531}"/>
    <hyperlink ref="E2159" r:id="rId1823" xr:uid="{070ABA68-6E56-4FBF-9D9E-1A359D820C06}"/>
    <hyperlink ref="E2160" r:id="rId1824" xr:uid="{D7659F6B-F4A3-4834-82F4-5EB4A72C2783}"/>
    <hyperlink ref="E2161" r:id="rId1825" xr:uid="{572E06B1-87A2-4B66-AC68-55B56CB488BD}"/>
    <hyperlink ref="E2162" r:id="rId1826" xr:uid="{ED070CFB-9E29-44F1-BC22-33CC778C9399}"/>
  </hyperlinks>
  <pageMargins left="0.7" right="0.7" top="0.75" bottom="0.75" header="0.3" footer="0.3"/>
  <pageSetup paperSize="9" orientation="portrait" r:id="rId1827"/>
  <legacyDrawing r:id="rId1828"/>
  <tableParts count="1">
    <tablePart r:id="rId182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163D6-97C1-4F62-97FA-775559E44315}">
  <sheetPr codeName="Лист6"/>
  <dimension ref="A2:D18"/>
  <sheetViews>
    <sheetView workbookViewId="0">
      <selection activeCell="E21" sqref="E21"/>
    </sheetView>
  </sheetViews>
  <sheetFormatPr defaultRowHeight="15" x14ac:dyDescent="0.25"/>
  <cols>
    <col min="4" max="4" width="9.140625" style="70"/>
  </cols>
  <sheetData>
    <row r="2" spans="1:4" x14ac:dyDescent="0.25">
      <c r="A2" t="s">
        <v>1765</v>
      </c>
      <c r="B2" t="s">
        <v>629</v>
      </c>
      <c r="C2" t="s">
        <v>1766</v>
      </c>
    </row>
    <row r="3" spans="1:4" x14ac:dyDescent="0.25">
      <c r="A3" s="79" t="str">
        <f>"12/2023"</f>
        <v>12/2023</v>
      </c>
      <c r="B3">
        <f>SUMIFS(ТабПозиции[orderSumm],ТабПозиции[Месяц],Итоги!$A3)</f>
        <v>0</v>
      </c>
      <c r="C3">
        <f>SUMIFS(ТабПозиции[deliverySumm],ТабПозиции[Месяц],Итоги!$A3)</f>
        <v>0</v>
      </c>
      <c r="D3" s="71" t="e">
        <f>C3/B3</f>
        <v>#DIV/0!</v>
      </c>
    </row>
    <row r="4" spans="1:4" x14ac:dyDescent="0.25">
      <c r="A4" s="79" t="str">
        <f>"1/2024"</f>
        <v>1/2024</v>
      </c>
      <c r="B4">
        <f>SUMIFS(ТабПозиции[orderSumm],ТабПозиции[Месяц],Итоги!$A4)</f>
        <v>0</v>
      </c>
      <c r="C4">
        <f>SUMIFS(ТабПозиции[deliverySumm],ТабПозиции[Месяц],Итоги!$A4)</f>
        <v>0</v>
      </c>
      <c r="D4" s="71" t="e">
        <f>C4/B4</f>
        <v>#DIV/0!</v>
      </c>
    </row>
    <row r="5" spans="1:4" x14ac:dyDescent="0.25">
      <c r="A5" s="79" t="str">
        <f>"2/2024"</f>
        <v>2/2024</v>
      </c>
      <c r="B5">
        <f>SUMIFS(ТабПозиции[orderSumm],ТабПозиции[Месяц],Итоги!$A5)</f>
        <v>0</v>
      </c>
      <c r="C5">
        <f>SUMIFS(ТабПозиции[deliverySumm],ТабПозиции[Месяц],Итоги!$A5)</f>
        <v>0</v>
      </c>
      <c r="D5" s="71" t="e">
        <f>C5/B5</f>
        <v>#DIV/0!</v>
      </c>
    </row>
    <row r="6" spans="1:4" x14ac:dyDescent="0.25">
      <c r="A6" s="79" t="str">
        <f>"3/2024"</f>
        <v>3/2024</v>
      </c>
      <c r="B6">
        <f>SUMIFS(ТабПозиции[orderSumm],ТабПозиции[Месяц],Итоги!$A6)</f>
        <v>159780</v>
      </c>
      <c r="C6">
        <f>SUMIFS(ТабПозиции[deliverySumm],ТабПозиции[Месяц],Итоги!$A6)</f>
        <v>21927</v>
      </c>
      <c r="D6" s="71">
        <f>C6/B6</f>
        <v>0.1372324446113406</v>
      </c>
    </row>
    <row r="7" spans="1:4" x14ac:dyDescent="0.25">
      <c r="A7" s="79" t="str">
        <f>"4/2024"</f>
        <v>4/2024</v>
      </c>
      <c r="B7">
        <f>SUMIFS(ТабПозиции[orderSumm],ТабПозиции[Месяц],Итоги!$A7)</f>
        <v>211472</v>
      </c>
      <c r="C7">
        <f>SUMIFS(ТабПозиции[deliverySumm],ТабПозиции[Месяц],Итоги!$A7)</f>
        <v>26869</v>
      </c>
      <c r="D7" s="71">
        <f t="shared" ref="D7:D15" si="0">C7/B7</f>
        <v>0.12705700991147764</v>
      </c>
    </row>
    <row r="8" spans="1:4" x14ac:dyDescent="0.25">
      <c r="A8" s="79" t="str">
        <f>"5/2024"</f>
        <v>5/2024</v>
      </c>
      <c r="B8">
        <f>SUMIFS(ТабПозиции[orderSumm],ТабПозиции[Месяц],Итоги!$A8)</f>
        <v>256695</v>
      </c>
      <c r="C8">
        <f>SUMIFS(ТабПозиции[deliverySumm],ТабПозиции[Месяц],Итоги!$A8)</f>
        <v>32045</v>
      </c>
      <c r="D8" s="71">
        <f t="shared" si="0"/>
        <v>0.12483686865735601</v>
      </c>
    </row>
    <row r="9" spans="1:4" x14ac:dyDescent="0.25">
      <c r="A9" s="79" t="str">
        <f>"6/2024"</f>
        <v>6/2024</v>
      </c>
      <c r="B9">
        <f>SUMIFS(ТабПозиции[orderSumm],ТабПозиции[Месяц],Итоги!$A9)</f>
        <v>188721</v>
      </c>
      <c r="C9">
        <f>SUMIFS(ТабПозиции[deliverySumm],ТабПозиции[Месяц],Итоги!$A9)</f>
        <v>26449</v>
      </c>
      <c r="D9" s="71">
        <f t="shared" si="0"/>
        <v>0.14014868509598827</v>
      </c>
    </row>
    <row r="10" spans="1:4" x14ac:dyDescent="0.25">
      <c r="A10" s="79" t="str">
        <f>"7/2024"</f>
        <v>7/2024</v>
      </c>
      <c r="B10">
        <f>SUMIFS(ТабПозиции[orderSumm],ТабПозиции[Месяц],Итоги!$A10)</f>
        <v>224108</v>
      </c>
      <c r="C10">
        <f>SUMIFS(ТабПозиции[deliverySumm],ТабПозиции[Месяц],Итоги!$A10)</f>
        <v>26397</v>
      </c>
      <c r="D10" s="71">
        <f t="shared" si="0"/>
        <v>0.11778695985863959</v>
      </c>
    </row>
    <row r="11" spans="1:4" x14ac:dyDescent="0.25">
      <c r="A11" s="79" t="str">
        <f>"8/2024"</f>
        <v>8/2024</v>
      </c>
      <c r="B11">
        <f>SUMIFS(ТабПозиции[orderSumm],ТабПозиции[Месяц],Итоги!$A11)</f>
        <v>531598</v>
      </c>
      <c r="C11">
        <f>SUMIFS(ТабПозиции[deliverySumm],ТабПозиции[Месяц],Итоги!$A11)</f>
        <v>58976</v>
      </c>
      <c r="D11" s="71">
        <f t="shared" si="0"/>
        <v>0.11094097419478628</v>
      </c>
    </row>
    <row r="12" spans="1:4" x14ac:dyDescent="0.25">
      <c r="A12" s="79" t="str">
        <f>"9/2024"</f>
        <v>9/2024</v>
      </c>
      <c r="B12">
        <f>SUMIFS(ТабПозиции[orderSumm],ТабПозиции[Месяц],Итоги!$A12)</f>
        <v>324898</v>
      </c>
      <c r="C12">
        <f>SUMIFS(ТабПозиции[deliverySumm],ТабПозиции[Месяц],Итоги!$A12)</f>
        <v>38943</v>
      </c>
      <c r="D12" s="71">
        <f t="shared" si="0"/>
        <v>0.11986223368564904</v>
      </c>
    </row>
    <row r="13" spans="1:4" x14ac:dyDescent="0.25">
      <c r="A13" s="79" t="str">
        <f>"10/2024"</f>
        <v>10/2024</v>
      </c>
      <c r="B13">
        <f>SUMIFS(ТабПозиции[orderSumm],ТабПозиции[Месяц],Итоги!$A13)</f>
        <v>299444</v>
      </c>
      <c r="C13">
        <f>SUMIFS(ТабПозиции[deliverySumm],ТабПозиции[Месяц],Итоги!$A13)</f>
        <v>36516</v>
      </c>
      <c r="D13" s="71">
        <f t="shared" si="0"/>
        <v>0.12194600659889662</v>
      </c>
    </row>
    <row r="14" spans="1:4" x14ac:dyDescent="0.25">
      <c r="A14" s="79" t="str">
        <f>"11/2024"</f>
        <v>11/2024</v>
      </c>
      <c r="B14">
        <f>SUMIFS(ТабПозиции[orderSumm],ТабПозиции[Месяц],Итоги!$A14)</f>
        <v>431316</v>
      </c>
      <c r="C14">
        <f>SUMIFS(ТабПозиции[deliverySumm],ТабПозиции[Месяц],Итоги!$A14)</f>
        <v>49255</v>
      </c>
      <c r="D14" s="71">
        <f t="shared" si="0"/>
        <v>0.11419701564514184</v>
      </c>
    </row>
    <row r="15" spans="1:4" x14ac:dyDescent="0.25">
      <c r="A15" s="79" t="str">
        <f>"12/2024"</f>
        <v>12/2024</v>
      </c>
      <c r="B15">
        <f>SUMIFS(ТабПозиции[orderSumm],ТабПозиции[Месяц],Итоги!$A15)</f>
        <v>323169</v>
      </c>
      <c r="C15">
        <f>SUMIFS(ТабПозиции[deliverySumm],ТабПозиции[Месяц],Итоги!$A15)</f>
        <v>39213</v>
      </c>
      <c r="D15" s="71">
        <f t="shared" si="0"/>
        <v>0.12133898981647373</v>
      </c>
    </row>
    <row r="16" spans="1:4" x14ac:dyDescent="0.25">
      <c r="A16" s="79" t="str">
        <f>"01/2025"</f>
        <v>01/2025</v>
      </c>
      <c r="B16">
        <f>SUMIFS(ТабПозиции[orderSumm],ТабПозиции[Месяц],Итоги!$A16)</f>
        <v>313590</v>
      </c>
      <c r="C16">
        <f>SUMIFS(ТабПозиции[deliverySumm],ТабПозиции[Месяц],Итоги!$A16)</f>
        <v>37698</v>
      </c>
      <c r="D16" s="71">
        <f t="shared" ref="D16" si="1">C16/B16</f>
        <v>0.120214292547594</v>
      </c>
    </row>
    <row r="17" spans="1:4" x14ac:dyDescent="0.25">
      <c r="A17" s="79" t="str">
        <f>"02/2025"</f>
        <v>02/2025</v>
      </c>
      <c r="B17">
        <f>SUMIFS(ТабПозиции[orderSumm],ТабПозиции[Месяц],Итоги!$A17)</f>
        <v>162631</v>
      </c>
      <c r="C17">
        <f>SUMIFS(ТабПозиции[deliverySumm],ТабПозиции[Месяц],Итоги!$A17)</f>
        <v>22682</v>
      </c>
      <c r="D17" s="71">
        <f t="shared" ref="D17:D18" si="2">C17/B17</f>
        <v>0.13946910490619868</v>
      </c>
    </row>
    <row r="18" spans="1:4" x14ac:dyDescent="0.25">
      <c r="A18" s="79" t="str">
        <f>"03/2025"</f>
        <v>03/2025</v>
      </c>
      <c r="B18">
        <f>SUMIFS(ТабПозиции[orderSumm],ТабПозиции[Месяц],Итоги!$A18)</f>
        <v>343424</v>
      </c>
      <c r="C18">
        <f>SUMIFS(ТабПозиции[deliverySumm],ТабПозиции[Месяц],Итоги!$A18)</f>
        <v>37281</v>
      </c>
      <c r="D18" s="71">
        <f t="shared" si="2"/>
        <v>0.10855676947446888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4335-AB25-4784-959E-517502C9BFD4}">
  <sheetPr codeName="Лист8" filterMode="1"/>
  <dimension ref="A1:K902"/>
  <sheetViews>
    <sheetView workbookViewId="0">
      <pane ySplit="1" topLeftCell="A2" activePane="bottomLeft" state="frozen"/>
      <selection activeCell="E1" sqref="E1"/>
      <selection pane="bottomLeft" activeCell="E898" sqref="E898"/>
    </sheetView>
  </sheetViews>
  <sheetFormatPr defaultRowHeight="15" x14ac:dyDescent="0.25"/>
  <cols>
    <col min="1" max="1" width="5.5703125" customWidth="1"/>
    <col min="2" max="2" width="10.140625" style="1" bestFit="1" customWidth="1"/>
    <col min="3" max="3" width="26.7109375" bestFit="1" customWidth="1"/>
    <col min="4" max="4" width="13.140625" style="95" bestFit="1" customWidth="1"/>
    <col min="5" max="5" width="38.140625" bestFit="1" customWidth="1"/>
    <col min="6" max="6" width="8" customWidth="1"/>
    <col min="7" max="7" width="15.28515625" style="2" bestFit="1" customWidth="1"/>
    <col min="8" max="8" width="7.85546875" style="2" customWidth="1"/>
    <col min="9" max="9" width="12.85546875" style="13" bestFit="1" customWidth="1"/>
    <col min="10" max="10" width="8.42578125" style="13" bestFit="1" customWidth="1"/>
  </cols>
  <sheetData>
    <row r="1" spans="1:11" x14ac:dyDescent="0.25">
      <c r="B1" s="1" t="s">
        <v>1264</v>
      </c>
      <c r="C1" t="s">
        <v>0</v>
      </c>
      <c r="D1" s="95" t="s">
        <v>1</v>
      </c>
      <c r="E1" t="s">
        <v>2</v>
      </c>
      <c r="F1" t="s">
        <v>2048</v>
      </c>
      <c r="G1" s="2" t="s">
        <v>3</v>
      </c>
      <c r="H1" s="2" t="s">
        <v>1265</v>
      </c>
      <c r="I1" s="13" t="s">
        <v>1266</v>
      </c>
      <c r="J1" s="13" t="s">
        <v>1267</v>
      </c>
      <c r="K1" t="s">
        <v>1268</v>
      </c>
    </row>
    <row r="2" spans="1:11" hidden="1" x14ac:dyDescent="0.25">
      <c r="A2">
        <v>1</v>
      </c>
      <c r="B2" s="1">
        <v>45391</v>
      </c>
      <c r="C2" s="15" t="s">
        <v>237</v>
      </c>
      <c r="D2" t="str">
        <f>VLOOKUP($C2,ТабКлиенты[#Data],MATCH(D$1,ТабКлиенты[#Headers],0),0)</f>
        <v>+79497190408</v>
      </c>
      <c r="E2" t="str">
        <f>VLOOKUP($C2,ТабКлиенты[#Data],MATCH(E$1,ТабКлиенты[#Headers],0),0)</f>
        <v>Проектная 10</v>
      </c>
      <c r="G2" s="14" t="str">
        <f>VLOOKUP($C2,ТабКлиенты[#Data],MATCH(G$1,ТабКлиенты[#Headers],0),0)</f>
        <v>47.1281, 37.5732</v>
      </c>
      <c r="H2" s="14">
        <v>3400</v>
      </c>
      <c r="K2" t="str">
        <f t="shared" ref="K2:K41" si="0">A2&amp;". "&amp;C2&amp;CHAR(10)&amp;"Тел.: "&amp;D2&amp;CHAR(10)&amp;"Адрес: "&amp;E2&amp;" ("&amp;I2&amp;")"&amp;CHAR(10)&amp;"https://yandex.ru/maps/?text="&amp;REPLACE(G2,SEARCH(",",G2),2,"%2C")&amp;CHAR(10)&amp;"https://maps.google.com/?daddr="&amp;REPLACE(G2,SEARCH(",",G2),2,"%2C")&amp;CHAR(10)&amp;"К оплате: "&amp;H2&amp;CHAR(10)&amp;"----------------------------------------------------------"</f>
        <v>1. Елена пер. Фруктовый
Тел.: +79497190408
Адрес: Проектная 10 ()
https://yandex.ru/maps/?text=47.1281%2C37.5732
https://maps.google.com/?daddr=47.1281%2C37.5732
К оплате: 3400
----------------------------------------------------------</v>
      </c>
    </row>
    <row r="3" spans="1:11" hidden="1" x14ac:dyDescent="0.25">
      <c r="A3">
        <v>2</v>
      </c>
      <c r="B3" s="1">
        <v>45391</v>
      </c>
      <c r="C3" t="s">
        <v>231</v>
      </c>
      <c r="D3" t="str">
        <f>VLOOKUP($C3,ТабКлиенты[#Data],MATCH(D$1,ТабКлиенты[#Headers],0),0)</f>
        <v>+79497266403</v>
      </c>
      <c r="E3" t="str">
        <f>VLOOKUP($C3,ТабКлиенты[#Data],MATCH(E$1,ТабКлиенты[#Headers],0),0)</f>
        <v>Металлургов 102 1 подъезд 8 этаж</v>
      </c>
      <c r="G3" s="14" t="str">
        <f>VLOOKUP($C3,ТабКлиенты[#Data],MATCH(G$1,ТабКлиенты[#Headers],0),0)</f>
        <v>47.1099, 37.5543</v>
      </c>
      <c r="H3" s="14">
        <v>0</v>
      </c>
      <c r="K3" t="str">
        <f t="shared" si="0"/>
        <v>2. Лариса Кирова
Тел.: +79497266403
Адрес: Металлургов 102 1 подъезд 8 этаж ()
https://yandex.ru/maps/?text=47.1099%2C37.5543
https://maps.google.com/?daddr=47.1099%2C37.5543
К оплате: 0
----------------------------------------------------------</v>
      </c>
    </row>
    <row r="4" spans="1:11" hidden="1" x14ac:dyDescent="0.25">
      <c r="A4">
        <v>3</v>
      </c>
      <c r="B4" s="1">
        <v>45391</v>
      </c>
      <c r="C4" t="s">
        <v>33</v>
      </c>
      <c r="D4" t="str">
        <f>VLOOKUP($C4,ТабКлиенты[#Data],MATCH(D$1,ТабКлиенты[#Headers],0),0)</f>
        <v>+79496069479</v>
      </c>
      <c r="E4" t="str">
        <f>VLOOKUP($C4,ТабКлиенты[#Data],MATCH(E$1,ТабКлиенты[#Headers],0),0)</f>
        <v>Марьинская 145 Новоселовка Церковь</v>
      </c>
      <c r="G4" s="14" t="str">
        <f>VLOOKUP($C4,ТабКлиенты[#Data],MATCH(G$1,ТабКлиенты[#Headers],0),0)</f>
        <v>47.1126, 37.5473</v>
      </c>
      <c r="H4" s="14">
        <v>6196</v>
      </c>
      <c r="K4" t="str">
        <f t="shared" si="0"/>
        <v>3. Галина Агабекова(церковь)
Тел.: +79496069479
Адрес: Марьинская 145 Новоселовка Церковь ()
https://yandex.ru/maps/?text=47.1126%2C37.5473
https://maps.google.com/?daddr=47.1126%2C37.5473
К оплате: 6196
----------------------------------------------------------</v>
      </c>
    </row>
    <row r="5" spans="1:11" hidden="1" x14ac:dyDescent="0.25">
      <c r="A5">
        <v>4</v>
      </c>
      <c r="B5" s="1">
        <v>45391</v>
      </c>
      <c r="C5" t="s">
        <v>116</v>
      </c>
      <c r="D5" t="str">
        <f>VLOOKUP($C5,ТабКлиенты[#Data],MATCH(D$1,ТабКлиенты[#Headers],0),0)</f>
        <v>+79497091373</v>
      </c>
      <c r="E5" t="str">
        <f>VLOOKUP($C5,ТабКлиенты[#Data],MATCH(E$1,ТабКлиенты[#Headers],0),0)</f>
        <v>уютная 60(Чапаева )</v>
      </c>
      <c r="G5" s="14" t="str">
        <f>VLOOKUP($C5,ТабКлиенты[#Data],MATCH(G$1,ТабКлиенты[#Headers],0),0)</f>
        <v>47.1157, 37.5424</v>
      </c>
      <c r="H5" s="14">
        <v>0</v>
      </c>
      <c r="K5" t="str">
        <f t="shared" si="0"/>
        <v>4. Алексей перфоратор
Тел.: +79497091373
Адрес: уютная 60(Чапаева ) ()
https://yandex.ru/maps/?text=47.1157%2C37.5424
https://maps.google.com/?daddr=47.1157%2C37.5424
К оплате: 0
----------------------------------------------------------</v>
      </c>
    </row>
    <row r="6" spans="1:11" hidden="1" x14ac:dyDescent="0.25">
      <c r="A6">
        <v>5</v>
      </c>
      <c r="B6" s="1">
        <v>45391</v>
      </c>
      <c r="C6" t="s">
        <v>241</v>
      </c>
      <c r="D6" t="str">
        <f>VLOOKUP($C6,ТабКлиенты[#Data],MATCH(D$1,ТабКлиенты[#Headers],0),0)</f>
        <v>+79496096498</v>
      </c>
      <c r="E6" t="str">
        <f>VLOOKUP($C6,ТабКлиенты[#Data],MATCH(E$1,ТабКлиенты[#Headers],0),0)</f>
        <v>Урицкого 104</v>
      </c>
      <c r="G6" s="14" t="str">
        <f>VLOOKUP($C6,ТабКлиенты[#Data],MATCH(G$1,ТабКлиенты[#Headers],0),0)</f>
        <v>47.1212, 37.5172</v>
      </c>
      <c r="H6" s="14">
        <v>3000</v>
      </c>
      <c r="K6" t="str">
        <f t="shared" si="0"/>
        <v>5. Кирилл Урицкого 104
Тел.: +79496096498
Адрес: Урицкого 104 ()
https://yandex.ru/maps/?text=47.1212%2C37.5172
https://maps.google.com/?daddr=47.1212%2C37.5172
К оплате: 3000
----------------------------------------------------------</v>
      </c>
    </row>
    <row r="7" spans="1:11" hidden="1" x14ac:dyDescent="0.25">
      <c r="A7">
        <v>6</v>
      </c>
      <c r="B7" s="1">
        <v>45391</v>
      </c>
      <c r="C7" t="s">
        <v>127</v>
      </c>
      <c r="D7" t="str">
        <f>VLOOKUP($C7,ТабКлиенты[#Data],MATCH(D$1,ТабКлиенты[#Headers],0),0)</f>
        <v>+79497176548</v>
      </c>
      <c r="E7" t="str">
        <f>VLOOKUP($C7,ТабКлиенты[#Data],MATCH(E$1,ТабКлиенты[#Headers],0),0)</f>
        <v>База</v>
      </c>
      <c r="G7" s="14" t="str">
        <f>VLOOKUP($C7,ТабКлиенты[#Data],MATCH(G$1,ТабКлиенты[#Headers],0),0)</f>
        <v>47.1256, 37.5073</v>
      </c>
      <c r="H7" s="14">
        <v>2260</v>
      </c>
      <c r="K7" t="str">
        <f t="shared" si="0"/>
        <v>6. Александр 3 База
Тел.: +79497176548
Адрес: База ()
https://yandex.ru/maps/?text=47.1256%2C37.5073
https://maps.google.com/?daddr=47.1256%2C37.5073
К оплате: 2260
----------------------------------------------------------</v>
      </c>
    </row>
    <row r="8" spans="1:11" hidden="1" x14ac:dyDescent="0.25">
      <c r="A8">
        <v>7</v>
      </c>
      <c r="B8" s="1">
        <v>45391</v>
      </c>
      <c r="C8" t="s">
        <v>245</v>
      </c>
      <c r="D8" t="str">
        <f>VLOOKUP($C8,ТабКлиенты[#Data],MATCH(D$1,ТабКлиенты[#Headers],0),0)</f>
        <v>+79497385016</v>
      </c>
      <c r="E8" t="str">
        <f>VLOOKUP($C8,ТабКлиенты[#Data],MATCH(E$1,ТабКлиенты[#Headers],0),0)</f>
        <v>Шевченко 285А</v>
      </c>
      <c r="G8" s="14" t="str">
        <f>VLOOKUP($C8,ТабКлиенты[#Data],MATCH(G$1,ТабКлиенты[#Headers],0),0)</f>
        <v>47.1169, 37.5258</v>
      </c>
      <c r="H8" s="14">
        <v>1800</v>
      </c>
      <c r="K8" t="str">
        <f t="shared" si="0"/>
        <v>7. Наталья Вельвет
Тел.: +79497385016
Адрес: Шевченко 285А ()
https://yandex.ru/maps/?text=47.1169%2C37.5258
https://maps.google.com/?daddr=47.1169%2C37.5258
К оплате: 1800
----------------------------------------------------------</v>
      </c>
    </row>
    <row r="9" spans="1:11" hidden="1" x14ac:dyDescent="0.25">
      <c r="A9">
        <v>1</v>
      </c>
      <c r="B9" s="1">
        <v>45402</v>
      </c>
      <c r="C9" t="s">
        <v>112</v>
      </c>
      <c r="D9" t="str">
        <f>VLOOKUP($C9,ТабКлиенты[#Data],MATCH(D$1,ТабКлиенты[#Headers],0),0)</f>
        <v>+79497340681</v>
      </c>
      <c r="E9" t="str">
        <f>VLOOKUP($C9,ТабКлиенты[#Data],MATCH(E$1,ТабКлиенты[#Headers],0),0)</f>
        <v>Покрышкина 99</v>
      </c>
      <c r="G9" s="14" t="str">
        <f>VLOOKUP($C9,ТабКлиенты[#Data],MATCH(G$1,ТабКлиенты[#Headers],0),0)</f>
        <v>47.1259, 37.5629</v>
      </c>
      <c r="H9" s="14">
        <v>6067</v>
      </c>
      <c r="I9" s="13">
        <v>50</v>
      </c>
      <c r="K9" t="str">
        <f t="shared" si="0"/>
        <v>1. Митрофанов Евгений
Тел.: +79497340681
Адрес: Покрышкина 99 (50)
https://yandex.ru/maps/?text=47.1259%2C37.5629
https://maps.google.com/?daddr=47.1259%2C37.5629
К оплате: 6067
----------------------------------------------------------</v>
      </c>
    </row>
    <row r="10" spans="1:11" hidden="1" x14ac:dyDescent="0.25">
      <c r="A10">
        <v>2</v>
      </c>
      <c r="B10" s="1">
        <v>45402</v>
      </c>
      <c r="C10" t="s">
        <v>123</v>
      </c>
      <c r="D10" t="str">
        <f>VLOOKUP($C10,ТабКлиенты[#Data],MATCH(D$1,ТабКлиенты[#Headers],0),0)</f>
        <v>+79497176548</v>
      </c>
      <c r="E10" t="s">
        <v>125</v>
      </c>
      <c r="G10" s="14" t="str">
        <f>VLOOKUP($C10,ТабКлиенты[#Data],MATCH(G$1,ТабКлиенты[#Headers],0),0)</f>
        <v>47.1248, 37.5657</v>
      </c>
      <c r="H10" s="14">
        <v>0</v>
      </c>
      <c r="I10" s="13">
        <v>52</v>
      </c>
      <c r="K10" t="str">
        <f t="shared" si="0"/>
        <v>2. Александр 3 Металлургов
Тел.: +79497176548
Адрес: металлургов 179 (52)
https://yandex.ru/maps/?text=47.1248%2C37.5657
https://maps.google.com/?daddr=47.1248%2C37.5657
К оплате: 0
----------------------------------------------------------</v>
      </c>
    </row>
    <row r="11" spans="1:11" hidden="1" x14ac:dyDescent="0.25">
      <c r="A11">
        <v>3</v>
      </c>
      <c r="B11" s="1">
        <v>45402</v>
      </c>
      <c r="C11" t="s">
        <v>1269</v>
      </c>
      <c r="D11" t="e">
        <f>VLOOKUP($C11,ТабКлиенты[#Data],MATCH(D$1,ТабКлиенты[#Headers],0),0)</f>
        <v>#N/A</v>
      </c>
      <c r="E11" t="s">
        <v>331</v>
      </c>
      <c r="G11" s="14" t="s">
        <v>1270</v>
      </c>
      <c r="H11" s="14">
        <v>3000</v>
      </c>
      <c r="I11" s="13" t="s">
        <v>1271</v>
      </c>
      <c r="K11" t="e">
        <f t="shared" si="0"/>
        <v>#N/A</v>
      </c>
    </row>
    <row r="12" spans="1:11" hidden="1" x14ac:dyDescent="0.25">
      <c r="A12">
        <v>4</v>
      </c>
      <c r="B12" s="1">
        <v>45402</v>
      </c>
      <c r="C12" t="s">
        <v>33</v>
      </c>
      <c r="D12" t="str">
        <f>VLOOKUP($C12,ТабКлиенты[#Data],MATCH(D$1,ТабКлиенты[#Headers],0),0)</f>
        <v>+79496069479</v>
      </c>
      <c r="E12" t="str">
        <f>VLOOKUP($C12,ТабКлиенты[#Data],MATCH(E$1,ТабКлиенты[#Headers],0),0)</f>
        <v>Марьинская 145 Новоселовка Церковь</v>
      </c>
      <c r="G12" s="14" t="str">
        <f>VLOOKUP($C12,ТабКлиенты[#Data],MATCH(G$1,ТабКлиенты[#Headers],0),0)</f>
        <v>47.1126, 37.5473</v>
      </c>
      <c r="H12" s="14">
        <v>5887</v>
      </c>
      <c r="I12" s="13">
        <v>53.56</v>
      </c>
      <c r="K12" t="str">
        <f t="shared" si="0"/>
        <v>4. Галина Агабекова(церковь)
Тел.: +79496069479
Адрес: Марьинская 145 Новоселовка Церковь (53,56)
https://yandex.ru/maps/?text=47.1126%2C37.5473
https://maps.google.com/?daddr=47.1126%2C37.5473
К оплате: 5887
----------------------------------------------------------</v>
      </c>
    </row>
    <row r="13" spans="1:11" hidden="1" x14ac:dyDescent="0.25">
      <c r="A13">
        <v>5</v>
      </c>
      <c r="B13" s="1">
        <v>45402</v>
      </c>
      <c r="C13" t="s">
        <v>267</v>
      </c>
      <c r="D13" t="str">
        <f>VLOOKUP($C13,ТабКлиенты[#Data],MATCH(D$1,ТабКлиенты[#Headers],0),0)</f>
        <v>+79497449616</v>
      </c>
      <c r="E13" t="str">
        <f>VLOOKUP($C13,ТабКлиенты[#Data],MATCH(E$1,ТабКлиенты[#Headers],0),0)</f>
        <v>Шевченко 248</v>
      </c>
      <c r="G13" s="14" t="str">
        <f>VLOOKUP($C13,ТабКлиенты[#Data],MATCH(G$1,ТабКлиенты[#Headers],0),0)</f>
        <v>47.1153, 37.5207</v>
      </c>
      <c r="H13" s="14">
        <v>0</v>
      </c>
      <c r="I13" s="13">
        <v>64</v>
      </c>
      <c r="K13" t="str">
        <f t="shared" si="0"/>
        <v>5. Галина Шевченко 248
Тел.: +79497449616
Адрес: Шевченко 248 (64)
https://yandex.ru/maps/?text=47.1153%2C37.5207
https://maps.google.com/?daddr=47.1153%2C37.5207
К оплате: 0
----------------------------------------------------------</v>
      </c>
    </row>
    <row r="14" spans="1:11" hidden="1" x14ac:dyDescent="0.25">
      <c r="A14">
        <v>6</v>
      </c>
      <c r="B14" s="1">
        <v>45402</v>
      </c>
      <c r="C14" t="s">
        <v>1272</v>
      </c>
      <c r="D14" t="e">
        <f>VLOOKUP($C14,ТабКлиенты[#Data],MATCH(D$1,ТабКлиенты[#Headers],0),0)</f>
        <v>#N/A</v>
      </c>
      <c r="E14" t="s">
        <v>1273</v>
      </c>
      <c r="G14" s="14" t="s">
        <v>1274</v>
      </c>
      <c r="H14" s="14">
        <v>2600</v>
      </c>
      <c r="I14" s="13" t="s">
        <v>1271</v>
      </c>
      <c r="K14" t="e">
        <f t="shared" si="0"/>
        <v>#N/A</v>
      </c>
    </row>
    <row r="15" spans="1:11" hidden="1" x14ac:dyDescent="0.25">
      <c r="A15">
        <v>7</v>
      </c>
      <c r="B15" s="1">
        <v>45402</v>
      </c>
      <c r="C15" t="s">
        <v>1275</v>
      </c>
      <c r="D15" t="e">
        <f>VLOOKUP($C15,ТабКлиенты[#Data],MATCH(D$1,ТабКлиенты[#Headers],0),0)</f>
        <v>#N/A</v>
      </c>
      <c r="E15" t="s">
        <v>1276</v>
      </c>
      <c r="G15" s="14" t="s">
        <v>436</v>
      </c>
      <c r="H15" s="14">
        <v>4100</v>
      </c>
      <c r="I15" s="13" t="s">
        <v>1271</v>
      </c>
      <c r="K15" t="e">
        <f t="shared" si="0"/>
        <v>#N/A</v>
      </c>
    </row>
    <row r="16" spans="1:11" hidden="1" x14ac:dyDescent="0.25">
      <c r="A16">
        <v>8</v>
      </c>
      <c r="B16" s="1">
        <v>45402</v>
      </c>
      <c r="C16" t="s">
        <v>1277</v>
      </c>
      <c r="D16" t="e">
        <f>VLOOKUP($C16,ТабКлиенты[#Data],MATCH(D$1,ТабКлиенты[#Headers],0),0)</f>
        <v>#N/A</v>
      </c>
      <c r="E16" t="s">
        <v>1278</v>
      </c>
      <c r="G16" s="14" t="s">
        <v>1279</v>
      </c>
      <c r="H16" s="14">
        <v>2400</v>
      </c>
      <c r="I16" s="13" t="s">
        <v>1271</v>
      </c>
      <c r="K16" t="e">
        <f t="shared" si="0"/>
        <v>#N/A</v>
      </c>
    </row>
    <row r="17" spans="1:11" hidden="1" x14ac:dyDescent="0.25">
      <c r="A17">
        <v>9</v>
      </c>
      <c r="B17" s="1">
        <v>45402</v>
      </c>
      <c r="C17" t="s">
        <v>1280</v>
      </c>
      <c r="D17" t="e">
        <f>VLOOKUP($C17,ТабКлиенты[#Data],MATCH(D$1,ТабКлиенты[#Headers],0),0)</f>
        <v>#N/A</v>
      </c>
      <c r="E17" t="s">
        <v>1281</v>
      </c>
      <c r="G17" s="14" t="s">
        <v>1282</v>
      </c>
      <c r="H17" s="14">
        <v>8700</v>
      </c>
      <c r="I17" s="13" t="s">
        <v>1271</v>
      </c>
      <c r="K17" t="e">
        <f t="shared" si="0"/>
        <v>#N/A</v>
      </c>
    </row>
    <row r="18" spans="1:11" hidden="1" x14ac:dyDescent="0.25">
      <c r="A18">
        <v>10</v>
      </c>
      <c r="B18" s="1">
        <v>45402</v>
      </c>
      <c r="C18" t="s">
        <v>1283</v>
      </c>
      <c r="D18" t="e">
        <f>VLOOKUP($C18,ТабКлиенты[#Data],MATCH(D$1,ТабКлиенты[#Headers],0),0)</f>
        <v>#N/A</v>
      </c>
      <c r="E18" t="s">
        <v>1284</v>
      </c>
      <c r="G18" s="14" t="s">
        <v>1285</v>
      </c>
      <c r="H18" s="14">
        <v>6300</v>
      </c>
      <c r="I18" s="13" t="s">
        <v>1271</v>
      </c>
      <c r="K18" t="e">
        <f t="shared" si="0"/>
        <v>#N/A</v>
      </c>
    </row>
    <row r="19" spans="1:11" hidden="1" x14ac:dyDescent="0.25">
      <c r="A19">
        <v>11</v>
      </c>
      <c r="B19" s="1">
        <v>45402</v>
      </c>
      <c r="C19" t="s">
        <v>287</v>
      </c>
      <c r="D19" t="str">
        <f>VLOOKUP($C19,ТабКлиенты[#Data],MATCH(D$1,ТабКлиенты[#Headers],0),0)</f>
        <v>+79497398064</v>
      </c>
      <c r="E19" t="s">
        <v>1286</v>
      </c>
      <c r="G19" s="14" t="s">
        <v>1287</v>
      </c>
      <c r="H19" s="14">
        <v>0</v>
      </c>
      <c r="I19" s="13" t="s">
        <v>1288</v>
      </c>
      <c r="K19" t="str">
        <f t="shared" si="0"/>
        <v>11. Елена Ларисына
Тел.: +79497398064
Адрес: Металлургов 97 (54, 58, 59)
https://yandex.ru/maps/?text=47.1071%2C37.5544
https://maps.google.com/?daddr=47.1071%2C37.5544
К оплате: 0
----------------------------------------------------------</v>
      </c>
    </row>
    <row r="20" spans="1:11" hidden="1" x14ac:dyDescent="0.25">
      <c r="A20">
        <v>12</v>
      </c>
      <c r="B20" s="1">
        <v>45402</v>
      </c>
      <c r="C20" t="s">
        <v>231</v>
      </c>
      <c r="D20" t="str">
        <f>VLOOKUP($C20,ТабКлиенты[#Data],MATCH(D$1,ТабКлиенты[#Headers],0),0)</f>
        <v>+79497266403</v>
      </c>
      <c r="E20" t="str">
        <f>VLOOKUP($C20,ТабКлиенты[#Data],MATCH(E$1,ТабКлиенты[#Headers],0),0)</f>
        <v>Металлургов 102 1 подъезд 8 этаж</v>
      </c>
      <c r="G20" s="14" t="str">
        <f>VLOOKUP($C20,ТабКлиенты[#Data],MATCH(G$1,ТабКлиенты[#Headers],0),0)</f>
        <v>47.1099, 37.5543</v>
      </c>
      <c r="H20" s="14">
        <v>803</v>
      </c>
      <c r="I20" s="13">
        <v>49.59</v>
      </c>
      <c r="K20" t="str">
        <f t="shared" si="0"/>
        <v>12. Лариса Кирова
Тел.: +79497266403
Адрес: Металлургов 102 1 подъезд 8 этаж (49,59)
https://yandex.ru/maps/?text=47.1099%2C37.5543
https://maps.google.com/?daddr=47.1099%2C37.5543
К оплате: 803
----------------------------------------------------------</v>
      </c>
    </row>
    <row r="21" spans="1:11" hidden="1" x14ac:dyDescent="0.25">
      <c r="A21">
        <v>13</v>
      </c>
      <c r="B21" s="1">
        <v>45402</v>
      </c>
      <c r="C21" t="s">
        <v>1289</v>
      </c>
      <c r="D21" t="e">
        <f>VLOOKUP($C21,ТабКлиенты[#Data],MATCH(D$1,ТабКлиенты[#Headers],0),0)</f>
        <v>#N/A</v>
      </c>
      <c r="E21" t="s">
        <v>471</v>
      </c>
      <c r="G21" s="14" t="s">
        <v>472</v>
      </c>
      <c r="H21" s="14">
        <v>4600</v>
      </c>
      <c r="I21" s="13" t="s">
        <v>1271</v>
      </c>
      <c r="K21" t="e">
        <f t="shared" si="0"/>
        <v>#N/A</v>
      </c>
    </row>
    <row r="22" spans="1:11" hidden="1" x14ac:dyDescent="0.25">
      <c r="A22">
        <v>1</v>
      </c>
      <c r="B22" s="1">
        <v>45409</v>
      </c>
      <c r="C22" t="s">
        <v>210</v>
      </c>
      <c r="D22" t="str">
        <f>VLOOKUP($C22,ТабКлиенты[#Data],MATCH(D$1,ТабКлиенты[#Headers],0),0)</f>
        <v>+79498350206</v>
      </c>
      <c r="E22" t="str">
        <f>VLOOKUP($C22,ТабКлиенты[#Data],MATCH(E$1,ТабКлиенты[#Headers],0),0)</f>
        <v>Сумская 42</v>
      </c>
      <c r="G22" s="14" t="str">
        <f>VLOOKUP($C22,ТабКлиенты[#Data],MATCH(G$1,ТабКлиенты[#Headers],0),0)</f>
        <v>47.0740, 37.4893</v>
      </c>
      <c r="H22" s="14">
        <v>1528</v>
      </c>
      <c r="I22" s="13">
        <v>71</v>
      </c>
      <c r="K22" t="str">
        <f t="shared" si="0"/>
        <v>1. Максим рюкзак
Тел.: +79498350206
Адрес: Сумская 42 (71)
https://yandex.ru/maps/?text=47.0740%2C37.4893
https://maps.google.com/?daddr=47.0740%2C37.4893
К оплате: 1528
----------------------------------------------------------</v>
      </c>
    </row>
    <row r="23" spans="1:11" hidden="1" x14ac:dyDescent="0.25">
      <c r="A23">
        <v>2</v>
      </c>
      <c r="B23" s="1">
        <v>45409</v>
      </c>
      <c r="C23" t="s">
        <v>275</v>
      </c>
      <c r="D23" t="str">
        <f>VLOOKUP($C23,ТабКлиенты[#Data],MATCH(D$1,ТабКлиенты[#Headers],0),0)</f>
        <v>+79490055870</v>
      </c>
      <c r="E23" t="str">
        <f>VLOOKUP($C23,ТабКлиенты[#Data],MATCH(E$1,ТабКлиенты[#Headers],0),0)</f>
        <v>Куприна 7</v>
      </c>
      <c r="G23" s="14" t="str">
        <f>VLOOKUP($C23,ТабКлиенты[#Data],MATCH(G$1,ТабКлиенты[#Headers],0),0)</f>
        <v>47.1027, 37.5095</v>
      </c>
      <c r="H23" s="14">
        <v>0</v>
      </c>
      <c r="I23" s="13">
        <v>67</v>
      </c>
      <c r="K23" t="str">
        <f t="shared" si="0"/>
        <v>2. Макс Куприна
Тел.: +79490055870
Адрес: Куприна 7 (67)
https://yandex.ru/maps/?text=47.1027%2C37.5095
https://maps.google.com/?daddr=47.1027%2C37.5095
К оплате: 0
----------------------------------------------------------</v>
      </c>
    </row>
    <row r="24" spans="1:11" hidden="1" x14ac:dyDescent="0.25">
      <c r="A24">
        <v>3</v>
      </c>
      <c r="B24" s="1">
        <v>45409</v>
      </c>
      <c r="C24" t="s">
        <v>259</v>
      </c>
      <c r="D24" t="str">
        <f>VLOOKUP($C24,ТабКлиенты[#Data],MATCH(D$1,ТабКлиенты[#Headers],0),0)</f>
        <v>+79497220575</v>
      </c>
      <c r="E24" t="str">
        <f>VLOOKUP($C24,ТабКлиенты[#Data],MATCH(E$1,ТабКлиенты[#Headers],0),0)</f>
        <v>Строителей 132 ТЦ Терра маг. TEXNOSTORE</v>
      </c>
      <c r="G24" s="14" t="str">
        <f>VLOOKUP($C24,ТабКлиенты[#Data],MATCH(G$1,ТабКлиенты[#Headers],0),0)</f>
        <v>47.1099, 37.5242</v>
      </c>
      <c r="H24" s="14">
        <v>0</v>
      </c>
      <c r="I24" s="13">
        <v>60</v>
      </c>
      <c r="K24" t="str">
        <f t="shared" si="0"/>
        <v>3. Константин Маркет
Тел.: +79497220575
Адрес: Строителей 132 ТЦ Терра маг. TEXNOSTORE (60)
https://yandex.ru/maps/?text=47.1099%2C37.5242
https://maps.google.com/?daddr=47.1099%2C37.5242
К оплате: 0
----------------------------------------------------------</v>
      </c>
    </row>
    <row r="25" spans="1:11" hidden="1" x14ac:dyDescent="0.25">
      <c r="A25">
        <v>4</v>
      </c>
      <c r="B25" s="1">
        <v>45409</v>
      </c>
      <c r="C25" t="s">
        <v>267</v>
      </c>
      <c r="D25" t="str">
        <f>VLOOKUP($C25,ТабКлиенты[#Data],MATCH(D$1,ТабКлиенты[#Headers],0),0)</f>
        <v>+79497449616</v>
      </c>
      <c r="E25" t="str">
        <f>VLOOKUP($C25,ТабКлиенты[#Data],MATCH(E$1,ТабКлиенты[#Headers],0),0)</f>
        <v>Шевченко 248</v>
      </c>
      <c r="G25" s="14" t="str">
        <f>VLOOKUP($C25,ТабКлиенты[#Data],MATCH(G$1,ТабКлиенты[#Headers],0),0)</f>
        <v>47.1153, 37.5207</v>
      </c>
      <c r="H25" s="14">
        <v>0</v>
      </c>
      <c r="I25" s="13" t="s">
        <v>1290</v>
      </c>
      <c r="K25" t="str">
        <f t="shared" si="0"/>
        <v>4. Галина Шевченко 248
Тел.: +79497449616
Адрес: Шевченко 248 (64, 75)
https://yandex.ru/maps/?text=47.1153%2C37.5207
https://maps.google.com/?daddr=47.1153%2C37.5207
К оплате: 0
----------------------------------------------------------</v>
      </c>
    </row>
    <row r="26" spans="1:11" hidden="1" x14ac:dyDescent="0.25">
      <c r="A26">
        <v>5</v>
      </c>
      <c r="B26" s="1">
        <v>45409</v>
      </c>
      <c r="C26" t="s">
        <v>33</v>
      </c>
      <c r="D26" t="str">
        <f>VLOOKUP($C26,ТабКлиенты[#Data],MATCH(D$1,ТабКлиенты[#Headers],0),0)</f>
        <v>+79496069479</v>
      </c>
      <c r="E26" t="str">
        <f>VLOOKUP($C26,ТабКлиенты[#Data],MATCH(E$1,ТабКлиенты[#Headers],0),0)</f>
        <v>Марьинская 145 Новоселовка Церковь</v>
      </c>
      <c r="G26" s="14" t="str">
        <f>VLOOKUP($C26,ТабКлиенты[#Data],MATCH(G$1,ТабКлиенты[#Headers],0),0)</f>
        <v>47.1126, 37.5473</v>
      </c>
      <c r="H26" s="14">
        <v>0</v>
      </c>
      <c r="I26" s="13">
        <v>66</v>
      </c>
      <c r="K26" t="str">
        <f t="shared" si="0"/>
        <v>5. Галина Агабекова(церковь)
Тел.: +79496069479
Адрес: Марьинская 145 Новоселовка Церковь (66)
https://yandex.ru/maps/?text=47.1126%2C37.5473
https://maps.google.com/?daddr=47.1126%2C37.5473
К оплате: 0
----------------------------------------------------------</v>
      </c>
    </row>
    <row r="27" spans="1:11" hidden="1" x14ac:dyDescent="0.25">
      <c r="A27">
        <v>6</v>
      </c>
      <c r="B27" s="1">
        <v>45409</v>
      </c>
      <c r="C27" t="s">
        <v>231</v>
      </c>
      <c r="D27" t="str">
        <f>VLOOKUP($C27,ТабКлиенты[#Data],MATCH(D$1,ТабКлиенты[#Headers],0),0)</f>
        <v>+79497266403</v>
      </c>
      <c r="E27" t="str">
        <f>VLOOKUP($C27,ТабКлиенты[#Data],MATCH(E$1,ТабКлиенты[#Headers],0),0)</f>
        <v>Металлургов 102 1 подъезд 8 этаж</v>
      </c>
      <c r="G27" s="14" t="str">
        <f>VLOOKUP($C27,ТабКлиенты[#Data],MATCH(G$1,ТабКлиенты[#Headers],0),0)</f>
        <v>47.1099, 37.5543</v>
      </c>
      <c r="H27" s="14">
        <f>2556+472</f>
        <v>3028</v>
      </c>
      <c r="I27" s="13" t="s">
        <v>1291</v>
      </c>
      <c r="K27" t="str">
        <f t="shared" si="0"/>
        <v>6. Лариса Кирова
Тел.: +79497266403
Адрес: Металлургов 102 1 подъезд 8 этаж (59, 69)
https://yandex.ru/maps/?text=47.1099%2C37.5543
https://maps.google.com/?daddr=47.1099%2C37.5543
К оплате: 3028
----------------------------------------------------------</v>
      </c>
    </row>
    <row r="28" spans="1:11" hidden="1" x14ac:dyDescent="0.25">
      <c r="A28">
        <v>7</v>
      </c>
      <c r="B28" s="1">
        <v>45409</v>
      </c>
      <c r="C28" t="s">
        <v>211</v>
      </c>
      <c r="D28" t="str">
        <f>VLOOKUP($C28,ТабКлиенты[#Data],MATCH(D$1,ТабКлиенты[#Headers],0),0)</f>
        <v>+79497250140</v>
      </c>
      <c r="E28" t="s">
        <v>1292</v>
      </c>
      <c r="G28" s="14" t="s">
        <v>1293</v>
      </c>
      <c r="H28" s="14">
        <v>0</v>
      </c>
      <c r="I28" s="13">
        <v>72</v>
      </c>
      <c r="K28" t="str">
        <f t="shared" si="0"/>
        <v>7. Наталья 12
Тел.: +79497250140
Адрес: Экорынок (72)
https://yandex.ru/maps/?text=47.1066%2C37.5484
https://maps.google.com/?daddr=47.1066%2C37.5484
К оплате: 0
----------------------------------------------------------</v>
      </c>
    </row>
    <row r="29" spans="1:11" hidden="1" x14ac:dyDescent="0.25">
      <c r="A29">
        <v>8</v>
      </c>
      <c r="B29" s="1">
        <v>45409</v>
      </c>
      <c r="C29" t="s">
        <v>1294</v>
      </c>
      <c r="D29"/>
      <c r="E29" t="s">
        <v>1286</v>
      </c>
      <c r="G29" s="14" t="s">
        <v>290</v>
      </c>
      <c r="H29" s="14">
        <v>0</v>
      </c>
      <c r="I29" s="13">
        <v>69</v>
      </c>
      <c r="K29" t="str">
        <f t="shared" si="0"/>
        <v>8. Лена Ларисына
Тел.: 
Адрес: Металлургов 97 (69)
https://yandex.ru/maps/?text=47.1070%2C37.5542
https://maps.google.com/?daddr=47.1070%2C37.5542
К оплате: 0
----------------------------------------------------------</v>
      </c>
    </row>
    <row r="30" spans="1:11" hidden="1" x14ac:dyDescent="0.25">
      <c r="A30">
        <v>9</v>
      </c>
      <c r="B30" s="1">
        <v>45409</v>
      </c>
      <c r="C30" t="s">
        <v>279</v>
      </c>
      <c r="D30" t="str">
        <f>VLOOKUP($C30,ТабКлиенты[#Data],MATCH(D$1,ТабКлиенты[#Headers],0),0)</f>
        <v>+79497267699</v>
      </c>
      <c r="E30" t="str">
        <f>VLOOKUP($C30,ТабКлиенты[#Data],MATCH(E$1,ТабКлиенты[#Headers],0),0)</f>
        <v>Торговая 100</v>
      </c>
      <c r="G30" s="14" t="str">
        <f>VLOOKUP($C30,ТабКлиенты[#Data],MATCH(G$1,ТабКлиенты[#Headers],0),0)</f>
        <v>47.1034, 37.5633</v>
      </c>
      <c r="H30" s="14">
        <v>2200</v>
      </c>
      <c r="I30" s="13" t="s">
        <v>1271</v>
      </c>
      <c r="K30" t="str">
        <f t="shared" si="0"/>
        <v>9. Татьяна Торговая 100
Тел.: +79497267699
Адрес: Торговая 100 (Витамины)
https://yandex.ru/maps/?text=47.1034%2C37.5633
https://maps.google.com/?daddr=47.1034%2C37.5633
К оплате: 2200
----------------------------------------------------------</v>
      </c>
    </row>
    <row r="31" spans="1:11" hidden="1" x14ac:dyDescent="0.25">
      <c r="A31">
        <v>10</v>
      </c>
      <c r="B31" s="1">
        <v>45409</v>
      </c>
      <c r="C31" t="s">
        <v>112</v>
      </c>
      <c r="D31" t="str">
        <f>VLOOKUP($C31,ТабКлиенты[#Data],MATCH(D$1,ТабКлиенты[#Headers],0),0)</f>
        <v>+79497340681</v>
      </c>
      <c r="E31" t="str">
        <f>VLOOKUP($C31,ТабКлиенты[#Data],MATCH(E$1,ТабКлиенты[#Headers],0),0)</f>
        <v>Покрышкина 99</v>
      </c>
      <c r="G31" s="14" t="str">
        <f>VLOOKUP($C31,ТабКлиенты[#Data],MATCH(G$1,ТабКлиенты[#Headers],0),0)</f>
        <v>47.1259, 37.5629</v>
      </c>
      <c r="H31" s="14">
        <v>0</v>
      </c>
      <c r="I31" s="13">
        <v>65</v>
      </c>
      <c r="K31" t="str">
        <f t="shared" si="0"/>
        <v>10. Митрофанов Евгений
Тел.: +79497340681
Адрес: Покрышкина 99 (65)
https://yandex.ru/maps/?text=47.1259%2C37.5629
https://maps.google.com/?daddr=47.1259%2C37.5629
К оплате: 0
----------------------------------------------------------</v>
      </c>
    </row>
    <row r="32" spans="1:11" hidden="1" x14ac:dyDescent="0.25">
      <c r="A32">
        <v>11</v>
      </c>
      <c r="B32" s="1">
        <v>45409</v>
      </c>
      <c r="C32" t="s">
        <v>271</v>
      </c>
      <c r="D32" t="str">
        <f>VLOOKUP($C32,ТабКлиенты[#Data],MATCH(D$1,ТабКлиенты[#Headers],0),0)</f>
        <v>+79496144975</v>
      </c>
      <c r="E32" t="str">
        <f>VLOOKUP($C32,ТабКлиенты[#Data],MATCH(E$1,ТабКлиенты[#Headers],0),0)</f>
        <v>пер. Кравченко 17</v>
      </c>
      <c r="G32" s="14" t="str">
        <f>VLOOKUP($C32,ТабКлиенты[#Data],MATCH(G$1,ТабКлиенты[#Headers],0),0)</f>
        <v>47.1586, 37.6203</v>
      </c>
      <c r="H32" s="14">
        <v>200</v>
      </c>
      <c r="I32" s="13">
        <v>61</v>
      </c>
      <c r="K32" t="str">
        <f t="shared" si="0"/>
        <v>11. Карина Кравченко 17
Тел.: +79496144975
Адрес: пер. Кравченко 17 (61)
https://yandex.ru/maps/?text=47.1586%2C37.6203
https://maps.google.com/?daddr=47.1586%2C37.6203
К оплате: 200
----------------------------------------------------------</v>
      </c>
    </row>
    <row r="33" spans="1:11" hidden="1" x14ac:dyDescent="0.25">
      <c r="A33">
        <v>1</v>
      </c>
      <c r="B33" s="1">
        <v>45416</v>
      </c>
      <c r="C33" t="s">
        <v>52</v>
      </c>
      <c r="D33" t="str">
        <f>VLOOKUP($C33,ТабКлиенты[#Data],MATCH(D$1,ТабКлиенты[#Headers],0),0)</f>
        <v>+79497176601</v>
      </c>
      <c r="E33" t="str">
        <f>VLOOKUP($C33,ТабКлиенты[#Data],MATCH(E$1,ТабКлиенты[#Headers],0),0)</f>
        <v>пер танковый 2а</v>
      </c>
      <c r="G33" s="14" t="str">
        <f>VLOOKUP($C33,ТабКлиенты[#Data],MATCH(G$1,ТабКлиенты[#Headers],0),0)</f>
        <v>47.0894, 37.5416</v>
      </c>
      <c r="H33" s="14">
        <v>0</v>
      </c>
      <c r="I33" s="13">
        <v>79</v>
      </c>
      <c r="K33" t="str">
        <f t="shared" si="0"/>
        <v>1. григорий(танковый )
Тел.: +79497176601
Адрес: пер танковый 2а (79)
https://yandex.ru/maps/?text=47.0894%2C37.5416
https://maps.google.com/?daddr=47.0894%2C37.5416
К оплате: 0
----------------------------------------------------------</v>
      </c>
    </row>
    <row r="34" spans="1:11" hidden="1" x14ac:dyDescent="0.25">
      <c r="A34">
        <v>2</v>
      </c>
      <c r="B34" s="1">
        <v>45416</v>
      </c>
      <c r="C34" t="s">
        <v>211</v>
      </c>
      <c r="D34" t="str">
        <f>VLOOKUP($C34,ТабКлиенты[#Data],MATCH(D$1,ТабКлиенты[#Headers],0),0)</f>
        <v>+79497250140</v>
      </c>
      <c r="E34" t="str">
        <f>VLOOKUP($C34,ТабКлиенты[#Data],MATCH(E$1,ТабКлиенты[#Headers],0),0)</f>
        <v>Мирный, Моторная 36 / Строителей 52а</v>
      </c>
      <c r="G34" s="14" t="str">
        <f>VLOOKUP($C34,ТабКлиенты[#Data],MATCH(G$1,ТабКлиенты[#Headers],0),0)</f>
        <v>47.0883, 37.5192</v>
      </c>
      <c r="H34" s="14">
        <v>0</v>
      </c>
      <c r="I34" s="13">
        <v>72</v>
      </c>
      <c r="K34" t="str">
        <f t="shared" si="0"/>
        <v>2. Наталья 12
Тел.: +79497250140
Адрес: Мирный, Моторная 36 / Строителей 52а (72)
https://yandex.ru/maps/?text=47.0883%2C37.5192
https://maps.google.com/?daddr=47.0883%2C37.5192
К оплате: 0
----------------------------------------------------------</v>
      </c>
    </row>
    <row r="35" spans="1:11" hidden="1" x14ac:dyDescent="0.25">
      <c r="A35">
        <v>3</v>
      </c>
      <c r="B35" s="1">
        <v>45416</v>
      </c>
      <c r="C35" t="s">
        <v>210</v>
      </c>
      <c r="D35" t="str">
        <f>VLOOKUP($C35,ТабКлиенты[#Data],MATCH(D$1,ТабКлиенты[#Headers],0),0)</f>
        <v>+79498350206</v>
      </c>
      <c r="E35" t="str">
        <f>VLOOKUP($C35,ТабКлиенты[#Data],MATCH(E$1,ТабКлиенты[#Headers],0),0)</f>
        <v>Сумская 42</v>
      </c>
      <c r="G35" s="14" t="str">
        <f>VLOOKUP($C35,ТабКлиенты[#Data],MATCH(G$1,ТабКлиенты[#Headers],0),0)</f>
        <v>47.0740, 37.4893</v>
      </c>
      <c r="H35" s="14">
        <v>0</v>
      </c>
      <c r="I35" s="13">
        <v>71</v>
      </c>
      <c r="K35" t="str">
        <f t="shared" si="0"/>
        <v>3. Максим рюкзак
Тел.: +79498350206
Адрес: Сумская 42 (71)
https://yandex.ru/maps/?text=47.0740%2C37.4893
https://maps.google.com/?daddr=47.0740%2C37.4893
К оплате: 0
----------------------------------------------------------</v>
      </c>
    </row>
    <row r="36" spans="1:11" hidden="1" x14ac:dyDescent="0.25">
      <c r="A36">
        <v>4</v>
      </c>
      <c r="B36" s="1">
        <v>45416</v>
      </c>
      <c r="C36" t="s">
        <v>267</v>
      </c>
      <c r="D36" t="str">
        <f>VLOOKUP($C36,ТабКлиенты[#Data],MATCH(D$1,ТабКлиенты[#Headers],0),0)</f>
        <v>+79497449616</v>
      </c>
      <c r="E36" t="str">
        <f>VLOOKUP($C36,ТабКлиенты[#Data],MATCH(E$1,ТабКлиенты[#Headers],0),0)</f>
        <v>Шевченко 248</v>
      </c>
      <c r="G36" s="14" t="str">
        <f>VLOOKUP($C36,ТабКлиенты[#Data],MATCH(G$1,ТабКлиенты[#Headers],0),0)</f>
        <v>47.1153, 37.5207</v>
      </c>
      <c r="H36" s="14">
        <v>0</v>
      </c>
      <c r="I36" s="13">
        <v>75</v>
      </c>
      <c r="K36" t="str">
        <f t="shared" si="0"/>
        <v>4. Галина Шевченко 248
Тел.: +79497449616
Адрес: Шевченко 248 (75)
https://yandex.ru/maps/?text=47.1153%2C37.5207
https://maps.google.com/?daddr=47.1153%2C37.5207
К оплате: 0
----------------------------------------------------------</v>
      </c>
    </row>
    <row r="37" spans="1:11" hidden="1" x14ac:dyDescent="0.25">
      <c r="A37">
        <v>5</v>
      </c>
      <c r="B37" s="1">
        <v>45416</v>
      </c>
      <c r="C37" t="s">
        <v>231</v>
      </c>
      <c r="D37" t="str">
        <f>VLOOKUP($C37,ТабКлиенты[#Data],MATCH(D$1,ТабКлиенты[#Headers],0),0)</f>
        <v>+79497266403</v>
      </c>
      <c r="E37" t="str">
        <f>VLOOKUP($C37,ТабКлиенты[#Data],MATCH(E$1,ТабКлиенты[#Headers],0),0)</f>
        <v>Металлургов 102 1 подъезд 8 этаж</v>
      </c>
      <c r="G37" s="14" t="str">
        <f>VLOOKUP($C37,ТабКлиенты[#Data],MATCH(G$1,ТабКлиенты[#Headers],0),0)</f>
        <v>47.1099, 37.5543</v>
      </c>
      <c r="H37" s="14">
        <v>0</v>
      </c>
      <c r="I37" s="13">
        <v>76</v>
      </c>
      <c r="K37" t="str">
        <f t="shared" si="0"/>
        <v>5. Лариса Кирова
Тел.: +79497266403
Адрес: Металлургов 102 1 подъезд 8 этаж (76)
https://yandex.ru/maps/?text=47.1099%2C37.5543
https://maps.google.com/?daddr=47.1099%2C37.5543
К оплате: 0
----------------------------------------------------------</v>
      </c>
    </row>
    <row r="38" spans="1:11" hidden="1" x14ac:dyDescent="0.25">
      <c r="A38">
        <v>6</v>
      </c>
      <c r="B38" s="1">
        <v>45416</v>
      </c>
      <c r="C38" t="s">
        <v>287</v>
      </c>
      <c r="D38" t="str">
        <f>VLOOKUP($C38,ТабКлиенты[#Data],MATCH(D$1,ТабКлиенты[#Headers],0),0)</f>
        <v>+79497398064</v>
      </c>
      <c r="E38" t="str">
        <f>VLOOKUP($C38,ТабКлиенты[#Data],MATCH(E$1,ТабКлиенты[#Headers],0),0)</f>
        <v>Металлургов, 97</v>
      </c>
      <c r="G38" s="14" t="str">
        <f>VLOOKUP($C38,ТабКлиенты[#Data],MATCH(G$1,ТабКлиенты[#Headers],0),0)</f>
        <v>47.1070, 37.5542</v>
      </c>
      <c r="H38" s="14">
        <v>1187</v>
      </c>
      <c r="I38" s="13">
        <v>78</v>
      </c>
      <c r="K38" t="str">
        <f t="shared" si="0"/>
        <v>6. Елена Ларисына
Тел.: +79497398064
Адрес: Металлургов, 97 (78)
https://yandex.ru/maps/?text=47.1070%2C37.5542
https://maps.google.com/?daddr=47.1070%2C37.5542
К оплате: 1187
----------------------------------------------------------</v>
      </c>
    </row>
    <row r="39" spans="1:11" hidden="1" x14ac:dyDescent="0.25">
      <c r="A39">
        <v>7</v>
      </c>
      <c r="B39" s="1">
        <v>45416</v>
      </c>
      <c r="C39" t="s">
        <v>112</v>
      </c>
      <c r="D39" t="str">
        <f>VLOOKUP($C39,ТабКлиенты[#Data],MATCH(D$1,ТабКлиенты[#Headers],0),0)</f>
        <v>+79497340681</v>
      </c>
      <c r="E39" t="str">
        <f>VLOOKUP($C39,ТабКлиенты[#Data],MATCH(E$1,ТабКлиенты[#Headers],0),0)</f>
        <v>Покрышкина 99</v>
      </c>
      <c r="G39" s="14" t="str">
        <f>VLOOKUP($C39,ТабКлиенты[#Data],MATCH(G$1,ТабКлиенты[#Headers],0),0)</f>
        <v>47.1259, 37.5629</v>
      </c>
      <c r="H39" s="14">
        <v>0</v>
      </c>
      <c r="I39" s="13">
        <v>80</v>
      </c>
      <c r="K39" t="str">
        <f t="shared" si="0"/>
        <v>7. Митрофанов Евгений
Тел.: +79497340681
Адрес: Покрышкина 99 (80)
https://yandex.ru/maps/?text=47.1259%2C37.5629
https://maps.google.com/?daddr=47.1259%2C37.5629
К оплате: 0
----------------------------------------------------------</v>
      </c>
    </row>
    <row r="40" spans="1:11" hidden="1" x14ac:dyDescent="0.25">
      <c r="A40">
        <v>8</v>
      </c>
      <c r="B40" s="1">
        <v>45416</v>
      </c>
      <c r="C40" t="s">
        <v>11</v>
      </c>
      <c r="D40" t="str">
        <f>VLOOKUP($C40,ТабКлиенты[#Data],MATCH(D$1,ТабКлиенты[#Headers],0),0)</f>
        <v>+79497249384</v>
      </c>
      <c r="E40" t="str">
        <f>VLOOKUP($C40,ТабКлиенты[#Data],MATCH(E$1,ТабКлиенты[#Headers],0),0)</f>
        <v>Мичурина 26</v>
      </c>
      <c r="G40" s="14" t="str">
        <f>VLOOKUP($C40,ТабКлиенты[#Data],MATCH(G$1,ТабКлиенты[#Headers],0),0)</f>
        <v>47.1238, 37.5966</v>
      </c>
      <c r="H40" s="14">
        <v>-265</v>
      </c>
      <c r="I40" s="13" t="s">
        <v>1295</v>
      </c>
      <c r="K40" t="str">
        <f t="shared" si="0"/>
        <v>8. Полинка
Тел.: +79497249384
Адрес: Мичурина 26 (1, 68)
https://yandex.ru/maps/?text=47.1238%2C37.5966
https://maps.google.com/?daddr=47.1238%2C37.5966
К оплате: -265
----------------------------------------------------------</v>
      </c>
    </row>
    <row r="41" spans="1:11" hidden="1" x14ac:dyDescent="0.25">
      <c r="A41">
        <v>9</v>
      </c>
      <c r="B41" s="1">
        <v>45416</v>
      </c>
      <c r="C41" t="s">
        <v>283</v>
      </c>
      <c r="D41" t="str">
        <f>VLOOKUP($C41,ТабКлиенты[#Data],MATCH(D$1,ТабКлиенты[#Headers],0),0)</f>
        <v>+79497172395</v>
      </c>
      <c r="E41" t="str">
        <f>VLOOKUP($C41,ТабКлиенты[#Data],MATCH(E$1,ТабКлиенты[#Headers],0),0)</f>
        <v>Торговая 45</v>
      </c>
      <c r="G41" s="14" t="str">
        <f>VLOOKUP($C41,ТабКлиенты[#Data],MATCH(G$1,ТабКлиенты[#Headers],0),0)</f>
        <v>47.0982, 37.5627</v>
      </c>
      <c r="H41" s="14">
        <v>0</v>
      </c>
      <c r="I41" s="13">
        <v>77</v>
      </c>
      <c r="K41" t="str">
        <f t="shared" si="0"/>
        <v>9. Александр Каскад
Тел.: +79497172395
Адрес: Торговая 45 (77)
https://yandex.ru/maps/?text=47.0982%2C37.5627
https://maps.google.com/?daddr=47.0982%2C37.5627
К оплате: 0
----------------------------------------------------------</v>
      </c>
    </row>
    <row r="42" spans="1:11" hidden="1" x14ac:dyDescent="0.25">
      <c r="A42">
        <v>1</v>
      </c>
      <c r="B42" s="1">
        <v>45423</v>
      </c>
      <c r="C42" t="s">
        <v>52</v>
      </c>
      <c r="D42" t="str">
        <f>VLOOKUP($C42,ТабКлиенты[#Data],MATCH(D$1,ТабКлиенты[#Headers],0),0)</f>
        <v>+79497176601</v>
      </c>
      <c r="E42" t="str">
        <f>VLOOKUP($C42,ТабКлиенты[#Data],MATCH(E$1,ТабКлиенты[#Headers],0),0)</f>
        <v>пер танковый 2а</v>
      </c>
      <c r="G42" s="14" t="str">
        <f>VLOOKUP($C42,ТабКлиенты[#Data],MATCH(G$1,ТабКлиенты[#Headers],0),0)</f>
        <v>47.0894, 37.5416</v>
      </c>
      <c r="H42" s="14">
        <v>0</v>
      </c>
      <c r="I42" s="13" t="s">
        <v>1296</v>
      </c>
      <c r="K42" t="str">
        <f>A42&amp;". "&amp;C42&amp;CHAR(10)&amp;"Тел.: "&amp;D42&amp;CHAR(10)&amp;"Адрес: "&amp;E42&amp;CHAR(10)&amp;"№ заказа: "&amp;I42&amp;CHAR(10)&amp;"https://yandex.ru/maps/?text="&amp;REPLACE(G42,SEARCH(",",G42),2,"%2C")&amp;CHAR(10)&amp;"https://maps.google.com/?daddr="&amp;REPLACE(G42,SEARCH(",",G42),2,"%2C")&amp;CHAR(10)&amp;"К оплате: "&amp;"**"&amp;H42&amp;CHAR(10)&amp;"**"&amp;"----------------------------------------------------------"</f>
        <v>1. григорий(танковый )
Тел.: +79497176601
Адрес: пер танковый 2а
№ заказа: 79, 86
https://yandex.ru/maps/?text=47.0894%2C37.5416
https://maps.google.com/?daddr=47.0894%2C37.5416
К оплате: **0
**----------------------------------------------------------</v>
      </c>
    </row>
    <row r="43" spans="1:11" hidden="1" x14ac:dyDescent="0.25">
      <c r="A43">
        <v>2</v>
      </c>
      <c r="B43" s="1">
        <v>45423</v>
      </c>
      <c r="C43" t="s">
        <v>292</v>
      </c>
      <c r="D43" t="str">
        <f>VLOOKUP($C43,ТабКлиенты[#Data],MATCH(D$1,ТабКлиенты[#Headers],0),0)</f>
        <v>+79496019237</v>
      </c>
      <c r="E43" t="str">
        <f>VLOOKUP($C43,ТабКлиенты[#Data],MATCH(E$1,ТабКлиенты[#Headers],0),0)</f>
        <v>Металлургов 92</v>
      </c>
      <c r="G43" s="14" t="str">
        <f>VLOOKUP($C43,ТабКлиенты[#Data],MATCH(G$1,ТабКлиенты[#Headers],0),0)</f>
        <v>47.1053, 37.5483</v>
      </c>
      <c r="H43" s="14">
        <v>0</v>
      </c>
      <c r="I43" s="13">
        <v>87</v>
      </c>
      <c r="K43" t="str">
        <f t="shared" ref="K43:K106" si="1">A43&amp;". "&amp;C43&amp;CHAR(10)&amp;"Тел.: "&amp;D43&amp;CHAR(10)&amp;"Адрес: "&amp;E43&amp;CHAR(10)&amp;"№ заказа: "&amp;I43&amp;CHAR(10)&amp;"https://yandex.ru/maps/?text="&amp;REPLACE(G43,SEARCH(",",G43),2,"%2C")&amp;CHAR(10)&amp;"https://maps.google.com/?daddr="&amp;REPLACE(G43,SEARCH(",",G43),2,"%2C")&amp;CHAR(10)&amp;"К оплате: "&amp;"**"&amp;H43&amp;CHAR(10)&amp;"**"&amp;"----------------------------------------------------------"</f>
        <v>2. Людмила Эдельвейс
Тел.: +79496019237
Адрес: Металлургов 92
№ заказа: 87
https://yandex.ru/maps/?text=47.1053%2C37.5483
https://maps.google.com/?daddr=47.1053%2C37.5483
К оплате: **0
**----------------------------------------------------------</v>
      </c>
    </row>
    <row r="44" spans="1:11" hidden="1" x14ac:dyDescent="0.25">
      <c r="A44">
        <v>3</v>
      </c>
      <c r="B44" s="1">
        <v>45423</v>
      </c>
      <c r="C44" t="s">
        <v>231</v>
      </c>
      <c r="D44" t="str">
        <f>VLOOKUP($C44,ТабКлиенты[#Data],MATCH(D$1,ТабКлиенты[#Headers],0),0)</f>
        <v>+79497266403</v>
      </c>
      <c r="E44" t="str">
        <f>VLOOKUP($C44,ТабКлиенты[#Data],MATCH(E$1,ТабКлиенты[#Headers],0),0)</f>
        <v>Металлургов 102 1 подъезд 8 этаж</v>
      </c>
      <c r="G44" s="14" t="str">
        <f>VLOOKUP($C44,ТабКлиенты[#Data],MATCH(G$1,ТабКлиенты[#Headers],0),0)</f>
        <v>47.1099, 37.5543</v>
      </c>
      <c r="H44" s="14">
        <f>734+4578</f>
        <v>5312</v>
      </c>
      <c r="I44" s="13" t="s">
        <v>1297</v>
      </c>
      <c r="K44" t="str">
        <f t="shared" si="1"/>
        <v>3. Лариса Кирова
Тел.: +79497266403
Адрес: Металлургов 102 1 подъезд 8 этаж
№ заказа: 82, 88, 78
https://yandex.ru/maps/?text=47.1099%2C37.5543
https://maps.google.com/?daddr=47.1099%2C37.5543
К оплате: **5312
**----------------------------------------------------------</v>
      </c>
    </row>
    <row r="45" spans="1:11" hidden="1" x14ac:dyDescent="0.25">
      <c r="A45">
        <v>4</v>
      </c>
      <c r="B45" s="1">
        <v>45423</v>
      </c>
      <c r="C45" t="s">
        <v>295</v>
      </c>
      <c r="D45" t="str">
        <f>VLOOKUP($C45,ТабКлиенты[#Data],MATCH(D$1,ТабКлиенты[#Headers],0),0)</f>
        <v>+79497277100</v>
      </c>
      <c r="E45" t="str">
        <f>VLOOKUP($C45,ТабКлиенты[#Data],MATCH(E$1,ТабКлиенты[#Headers],0),0)</f>
        <v>Артема 132</v>
      </c>
      <c r="G45" s="14" t="str">
        <f>VLOOKUP($C45,ТабКлиенты[#Data],MATCH(G$1,ТабКлиенты[#Headers],0),0)</f>
        <v>47.1085, 37.5599</v>
      </c>
      <c r="H45" s="14">
        <v>28599</v>
      </c>
      <c r="I45" s="13" t="s">
        <v>1271</v>
      </c>
      <c r="K45" t="str">
        <f t="shared" si="1"/>
        <v>4. Александр Радин
Тел.: +79497277100
Адрес: Артема 132
№ заказа: Витамины
https://yandex.ru/maps/?text=47.1085%2C37.5599
https://maps.google.com/?daddr=47.1085%2C37.5599
К оплате: **28599
**----------------------------------------------------------</v>
      </c>
    </row>
    <row r="46" spans="1:11" hidden="1" x14ac:dyDescent="0.25">
      <c r="A46">
        <v>5</v>
      </c>
      <c r="B46" s="1">
        <v>45423</v>
      </c>
      <c r="C46" t="s">
        <v>299</v>
      </c>
      <c r="D46" t="str">
        <f>VLOOKUP($C46,ТабКлиенты[#Data],MATCH(D$1,ТабКлиенты[#Headers],0),0)</f>
        <v>+79498122698</v>
      </c>
      <c r="E46" t="str">
        <f>VLOOKUP($C46,ТабКлиенты[#Data],MATCH(E$1,ТабКлиенты[#Headers],0),0)</f>
        <v>Родниковая, 6</v>
      </c>
      <c r="G46" s="14" t="str">
        <f>VLOOKUP($C46,ТабКлиенты[#Data],MATCH(G$1,ТабКлиенты[#Headers],0),0)</f>
        <v>47.1424, 37.6121</v>
      </c>
      <c r="H46" s="14">
        <v>3000</v>
      </c>
      <c r="I46" s="13" t="s">
        <v>1271</v>
      </c>
      <c r="K46" t="str">
        <f t="shared" si="1"/>
        <v>5. ПерксХеарт
Тел.: +79498122698
Адрес: Родниковая, 6
№ заказа: Витамины
https://yandex.ru/maps/?text=47.1424%2C37.6121
https://maps.google.com/?daddr=47.1424%2C37.6121
К оплате: **3000
**----------------------------------------------------------</v>
      </c>
    </row>
    <row r="47" spans="1:11" hidden="1" x14ac:dyDescent="0.25">
      <c r="A47">
        <v>6</v>
      </c>
      <c r="B47" s="1">
        <v>45423</v>
      </c>
      <c r="C47" t="s">
        <v>303</v>
      </c>
      <c r="D47" t="str">
        <f>VLOOKUP($C47,ТабКлиенты[#Data],MATCH(D$1,ТабКлиенты[#Headers],0),0)</f>
        <v>+79497246366</v>
      </c>
      <c r="E47" t="str">
        <f>VLOOKUP($C47,ТабКлиенты[#Data],MATCH(E$1,ТабКлиенты[#Headers],0),0)</f>
        <v>Азовстальская 91 подъезд 1</v>
      </c>
      <c r="G47" s="14" t="str">
        <f>VLOOKUP($C47,ТабКлиенты[#Data],MATCH(G$1,ТабКлиенты[#Headers],0),0)</f>
        <v>47.1008, 37.6529</v>
      </c>
      <c r="H47" s="14">
        <v>8200</v>
      </c>
      <c r="I47" s="13" t="s">
        <v>1271</v>
      </c>
      <c r="K47" t="str">
        <f t="shared" si="1"/>
        <v>6. Наталья Азовстальская
Тел.: +79497246366
Адрес: Азовстальская 91 подъезд 1
№ заказа: Витамины
https://yandex.ru/maps/?text=47.1008%2C37.6529
https://maps.google.com/?daddr=47.1008%2C37.6529
К оплате: **8200
**----------------------------------------------------------</v>
      </c>
    </row>
    <row r="48" spans="1:11" hidden="1" x14ac:dyDescent="0.25">
      <c r="A48">
        <v>1</v>
      </c>
      <c r="B48" s="1">
        <v>45430</v>
      </c>
      <c r="C48" t="s">
        <v>52</v>
      </c>
      <c r="D48" t="str">
        <f>VLOOKUP($C48,ТабКлиенты[#Data],MATCH(D$1,ТабКлиенты[#Headers],0),0)</f>
        <v>+79497176601</v>
      </c>
      <c r="E48" t="str">
        <f>VLOOKUP($C48,ТабКлиенты[#Data],MATCH(E$1,ТабКлиенты[#Headers],0),0)</f>
        <v>пер танковый 2а</v>
      </c>
      <c r="G48" s="14" t="str">
        <f>VLOOKUP($C48,ТабКлиенты[#Data],MATCH(G$1,ТабКлиенты[#Headers],0),0)</f>
        <v>47.0894, 37.5416</v>
      </c>
      <c r="H48" s="14">
        <v>-2854</v>
      </c>
      <c r="I48" s="13">
        <v>86.98</v>
      </c>
      <c r="K48" t="str">
        <f t="shared" si="1"/>
        <v>1. григорий(танковый )
Тел.: +79497176601
Адрес: пер танковый 2а
№ заказа: 86,98
https://yandex.ru/maps/?text=47.0894%2C37.5416
https://maps.google.com/?daddr=47.0894%2C37.5416
К оплате: **-2854
**----------------------------------------------------------</v>
      </c>
    </row>
    <row r="49" spans="1:11" hidden="1" x14ac:dyDescent="0.25">
      <c r="A49">
        <v>2</v>
      </c>
      <c r="B49" s="1">
        <v>45430</v>
      </c>
      <c r="C49" t="s">
        <v>312</v>
      </c>
      <c r="D49" t="str">
        <f>VLOOKUP($C49,ТабКлиенты[#Data],MATCH(D$1,ТабКлиенты[#Headers],0),0)</f>
        <v>+79495842838</v>
      </c>
      <c r="E49" t="str">
        <f>VLOOKUP($C49,ТабКлиенты[#Data],MATCH(E$1,ТабКлиенты[#Headers],0),0)</f>
        <v>Гагарина 6</v>
      </c>
      <c r="G49" s="14" t="str">
        <f>VLOOKUP($C49,ТабКлиенты[#Data],MATCH(G$1,ТабКлиенты[#Headers],0),0)</f>
        <v>47.0660, 37.5061</v>
      </c>
      <c r="H49" s="14">
        <v>200</v>
      </c>
      <c r="I49" s="13">
        <v>107</v>
      </c>
      <c r="K49" t="str">
        <f t="shared" si="1"/>
        <v>2. Олег Гагарина 6
Тел.: +79495842838
Адрес: Гагарина 6
№ заказа: 107
https://yandex.ru/maps/?text=47.0660%2C37.5061
https://maps.google.com/?daddr=47.0660%2C37.5061
К оплате: **200
**----------------------------------------------------------</v>
      </c>
    </row>
    <row r="50" spans="1:11" hidden="1" x14ac:dyDescent="0.25">
      <c r="A50">
        <v>3</v>
      </c>
      <c r="B50" s="1">
        <v>45430</v>
      </c>
      <c r="C50" t="s">
        <v>321</v>
      </c>
      <c r="D50" t="str">
        <f>VLOOKUP($C50,ТабКлиенты[#Data],MATCH(D$1,ТабКлиенты[#Headers],0),0)</f>
        <v>+79497428404</v>
      </c>
      <c r="E50" t="str">
        <f>VLOOKUP($C50,ТабКлиенты[#Data],MATCH(E$1,ТабКлиенты[#Headers],0),0)</f>
        <v>Зелинского 94</v>
      </c>
      <c r="G50" s="14" t="str">
        <f>VLOOKUP($C50,ТабКлиенты[#Data],MATCH(G$1,ТабКлиенты[#Headers],0),0)</f>
        <v>47.1008, 37.5167</v>
      </c>
      <c r="H50" s="14">
        <v>9000</v>
      </c>
      <c r="I50" s="13" t="s">
        <v>1271</v>
      </c>
      <c r="K50" t="str">
        <f t="shared" si="1"/>
        <v>3. Наталья Зелинского
Тел.: +79497428404
Адрес: Зелинского 94
№ заказа: Витамины
https://yandex.ru/maps/?text=47.1008%2C37.5167
https://maps.google.com/?daddr=47.1008%2C37.5167
К оплате: **9000
**----------------------------------------------------------</v>
      </c>
    </row>
    <row r="51" spans="1:11" hidden="1" x14ac:dyDescent="0.25">
      <c r="A51">
        <v>4</v>
      </c>
      <c r="B51" s="1">
        <v>45430</v>
      </c>
      <c r="C51" t="s">
        <v>308</v>
      </c>
      <c r="D51" t="e">
        <f>VLOOKUP($C51,ТабКлиенты[#Data],MATCH(D$1,ТабКлиенты[#Headers],0),0)</f>
        <v>#N/A</v>
      </c>
      <c r="E51" t="e">
        <f>VLOOKUP($C51,ТабКлиенты[#Data],MATCH(E$1,ТабКлиенты[#Headers],0),0)</f>
        <v>#N/A</v>
      </c>
      <c r="G51" s="14" t="e">
        <f>VLOOKUP($C51,ТабКлиенты[#Data],MATCH(G$1,ТабКлиенты[#Headers],0),0)</f>
        <v>#N/A</v>
      </c>
      <c r="H51" s="14">
        <v>33400</v>
      </c>
      <c r="I51" s="13" t="s">
        <v>1271</v>
      </c>
      <c r="K51" t="e">
        <f t="shared" si="1"/>
        <v>#N/A</v>
      </c>
    </row>
    <row r="52" spans="1:11" hidden="1" x14ac:dyDescent="0.25">
      <c r="A52">
        <v>5</v>
      </c>
      <c r="B52" s="1">
        <v>45430</v>
      </c>
      <c r="C52" t="s">
        <v>104</v>
      </c>
      <c r="D52" t="str">
        <f>VLOOKUP($C52,ТабКлиенты[#Data],MATCH(D$1,ТабКлиенты[#Headers],0),0)</f>
        <v>+79497065096</v>
      </c>
      <c r="E52" t="str">
        <f>VLOOKUP($C52,ТабКлиенты[#Data],MATCH(E$1,ТабКлиенты[#Headers],0),0)</f>
        <v>Урицкого 84</v>
      </c>
      <c r="G52" s="14" t="str">
        <f>VLOOKUP($C52,ТабКлиенты[#Data],MATCH(G$1,ТабКлиенты[#Headers],0),0)</f>
        <v>47.1209, 37.5237</v>
      </c>
      <c r="H52" s="14">
        <v>0</v>
      </c>
      <c r="I52" s="13">
        <v>89</v>
      </c>
      <c r="K52" t="str">
        <f t="shared" si="1"/>
        <v>5. Максим телевизор
Тел.: +79497065096
Адрес: Урицкого 84
№ заказа: 89
https://yandex.ru/maps/?text=47.1209%2C37.5237
https://maps.google.com/?daddr=47.1209%2C37.5237
К оплате: **0
**----------------------------------------------------------</v>
      </c>
    </row>
    <row r="53" spans="1:11" hidden="1" x14ac:dyDescent="0.25">
      <c r="A53">
        <v>6</v>
      </c>
      <c r="B53" s="1">
        <v>45430</v>
      </c>
      <c r="C53" t="s">
        <v>33</v>
      </c>
      <c r="D53" t="str">
        <f>VLOOKUP($C53,ТабКлиенты[#Data],MATCH(D$1,ТабКлиенты[#Headers],0),0)</f>
        <v>+79496069479</v>
      </c>
      <c r="E53" t="str">
        <f>VLOOKUP($C53,ТабКлиенты[#Data],MATCH(E$1,ТабКлиенты[#Headers],0),0)</f>
        <v>Марьинская 145 Новоселовка Церковь</v>
      </c>
      <c r="G53" s="14" t="str">
        <f>VLOOKUP($C53,ТабКлиенты[#Data],MATCH(G$1,ТабКлиенты[#Headers],0),0)</f>
        <v>47.1126, 37.5473</v>
      </c>
      <c r="H53" s="14">
        <v>0</v>
      </c>
      <c r="I53" s="13">
        <v>97.105000000000004</v>
      </c>
      <c r="K53" t="str">
        <f t="shared" si="1"/>
        <v>6. Галина Агабекова(церковь)
Тел.: +79496069479
Адрес: Марьинская 145 Новоселовка Церковь
№ заказа: 97,105
https://yandex.ru/maps/?text=47.1126%2C37.5473
https://maps.google.com/?daddr=47.1126%2C37.5473
К оплате: **0
**----------------------------------------------------------</v>
      </c>
    </row>
    <row r="54" spans="1:11" hidden="1" x14ac:dyDescent="0.25">
      <c r="A54">
        <v>7</v>
      </c>
      <c r="B54" s="1">
        <v>45430</v>
      </c>
      <c r="C54" t="s">
        <v>231</v>
      </c>
      <c r="D54" t="str">
        <f>VLOOKUP($C54,ТабКлиенты[#Data],MATCH(D$1,ТабКлиенты[#Headers],0),0)</f>
        <v>+79497266403</v>
      </c>
      <c r="E54" t="str">
        <f>VLOOKUP($C54,ТабКлиенты[#Data],MATCH(E$1,ТабКлиенты[#Headers],0),0)</f>
        <v>Металлургов 102 1 подъезд 8 этаж</v>
      </c>
      <c r="G54" s="14" t="str">
        <f>VLOOKUP($C54,ТабКлиенты[#Data],MATCH(G$1,ТабКлиенты[#Headers],0),0)</f>
        <v>47.1099, 37.5543</v>
      </c>
      <c r="H54" s="14">
        <v>0</v>
      </c>
      <c r="I54" s="13">
        <v>82.95</v>
      </c>
      <c r="K54" t="str">
        <f t="shared" si="1"/>
        <v>7. Лариса Кирова
Тел.: +79497266403
Адрес: Металлургов 102 1 подъезд 8 этаж
№ заказа: 82,95
https://yandex.ru/maps/?text=47.1099%2C37.5543
https://maps.google.com/?daddr=47.1099%2C37.5543
К оплате: **0
**----------------------------------------------------------</v>
      </c>
    </row>
    <row r="55" spans="1:11" hidden="1" x14ac:dyDescent="0.25">
      <c r="A55">
        <v>8</v>
      </c>
      <c r="B55" s="1">
        <v>45430</v>
      </c>
      <c r="C55" t="s">
        <v>287</v>
      </c>
      <c r="D55" t="str">
        <f>VLOOKUP($C55,ТабКлиенты[#Data],MATCH(D$1,ТабКлиенты[#Headers],0),0)</f>
        <v>+79497398064</v>
      </c>
      <c r="E55" t="str">
        <f>VLOOKUP($C55,ТабКлиенты[#Data],MATCH(E$1,ТабКлиенты[#Headers],0),0)</f>
        <v>Металлургов, 97</v>
      </c>
      <c r="G55" s="14" t="str">
        <f>VLOOKUP($C55,ТабКлиенты[#Data],MATCH(G$1,ТабКлиенты[#Headers],0),0)</f>
        <v>47.1070, 37.5542</v>
      </c>
      <c r="H55" s="14">
        <v>0</v>
      </c>
      <c r="I55" s="13">
        <v>92</v>
      </c>
      <c r="K55" t="str">
        <f t="shared" si="1"/>
        <v>8. Елена Ларисына
Тел.: +79497398064
Адрес: Металлургов, 97
№ заказа: 92
https://yandex.ru/maps/?text=47.1070%2C37.5542
https://maps.google.com/?daddr=47.1070%2C37.5542
К оплате: **0
**----------------------------------------------------------</v>
      </c>
    </row>
    <row r="56" spans="1:11" hidden="1" x14ac:dyDescent="0.25">
      <c r="A56">
        <v>9</v>
      </c>
      <c r="B56" s="1">
        <v>45430</v>
      </c>
      <c r="C56" t="s">
        <v>112</v>
      </c>
      <c r="D56" t="str">
        <f>VLOOKUP($C56,ТабКлиенты[#Data],MATCH(D$1,ТабКлиенты[#Headers],0),0)</f>
        <v>+79497340681</v>
      </c>
      <c r="E56" t="str">
        <f>VLOOKUP($C56,ТабКлиенты[#Data],MATCH(E$1,ТабКлиенты[#Headers],0),0)</f>
        <v>Покрышкина 99</v>
      </c>
      <c r="G56" s="14" t="str">
        <f>VLOOKUP($C56,ТабКлиенты[#Data],MATCH(G$1,ТабКлиенты[#Headers],0),0)</f>
        <v>47.1259, 37.5629</v>
      </c>
      <c r="H56" s="14">
        <v>0</v>
      </c>
      <c r="I56" s="13">
        <v>80.91</v>
      </c>
      <c r="K56" t="str">
        <f t="shared" si="1"/>
        <v>9. Митрофанов Евгений
Тел.: +79497340681
Адрес: Покрышкина 99
№ заказа: 80,91
https://yandex.ru/maps/?text=47.1259%2C37.5629
https://maps.google.com/?daddr=47.1259%2C37.5629
К оплате: **0
**----------------------------------------------------------</v>
      </c>
    </row>
    <row r="57" spans="1:11" hidden="1" x14ac:dyDescent="0.25">
      <c r="A57">
        <v>10</v>
      </c>
      <c r="B57" s="1">
        <v>45430</v>
      </c>
      <c r="C57" t="s">
        <v>11</v>
      </c>
      <c r="D57" t="str">
        <f>VLOOKUP($C57,ТабКлиенты[#Data],MATCH(D$1,ТабКлиенты[#Headers],0),0)</f>
        <v>+79497249384</v>
      </c>
      <c r="E57" t="str">
        <f>VLOOKUP($C57,ТабКлиенты[#Data],MATCH(E$1,ТабКлиенты[#Headers],0),0)</f>
        <v>Мичурина 26</v>
      </c>
      <c r="G57" s="14" t="str">
        <f>VLOOKUP($C57,ТабКлиенты[#Data],MATCH(G$1,ТабКлиенты[#Headers],0),0)</f>
        <v>47.1238, 37.5966</v>
      </c>
      <c r="H57" s="14">
        <v>0</v>
      </c>
      <c r="I57" s="13">
        <v>96.99</v>
      </c>
      <c r="K57" t="str">
        <f t="shared" si="1"/>
        <v>10. Полинка
Тел.: +79497249384
Адрес: Мичурина 26
№ заказа: 96,99
https://yandex.ru/maps/?text=47.1238%2C37.5966
https://maps.google.com/?daddr=47.1238%2C37.5966
К оплате: **0
**----------------------------------------------------------</v>
      </c>
    </row>
    <row r="58" spans="1:11" hidden="1" x14ac:dyDescent="0.25">
      <c r="A58">
        <v>11</v>
      </c>
      <c r="B58" s="1">
        <v>45430</v>
      </c>
      <c r="C58" t="s">
        <v>519</v>
      </c>
      <c r="D58" t="str">
        <f>VLOOKUP($C58,ТабКлиенты[#Data],MATCH(D$1,ТабКлиенты[#Headers],0),0)</f>
        <v>+79497231065</v>
      </c>
      <c r="E58" t="str">
        <f>VLOOKUP($C58,ТабКлиенты[#Data],MATCH(E$1,ТабКлиенты[#Headers],0),0)</f>
        <v>олимпийская 75</v>
      </c>
      <c r="G58" s="14" t="str">
        <f>VLOOKUP($C58,ТабКлиенты[#Data],MATCH(G$1,ТабКлиенты[#Headers],0),0)</f>
        <v>47.1082, 37.6743</v>
      </c>
      <c r="H58" s="14">
        <v>0</v>
      </c>
      <c r="I58" s="13">
        <v>102</v>
      </c>
      <c r="K58" t="str">
        <f t="shared" si="1"/>
        <v>11. Маричка
Тел.: +79497231065
Адрес: олимпийская 75
№ заказа: 102
https://yandex.ru/maps/?text=47.1082%2C37.6743
https://maps.google.com/?daddr=47.1082%2C37.6743
К оплате: **0
**----------------------------------------------------------</v>
      </c>
    </row>
    <row r="59" spans="1:11" hidden="1" x14ac:dyDescent="0.25">
      <c r="A59">
        <v>12</v>
      </c>
      <c r="B59" s="1">
        <v>45430</v>
      </c>
      <c r="C59" t="s">
        <v>283</v>
      </c>
      <c r="D59" t="str">
        <f>VLOOKUP($C59,ТабКлиенты[#Data],MATCH(D$1,ТабКлиенты[#Headers],0),0)</f>
        <v>+79497172395</v>
      </c>
      <c r="E59" t="str">
        <f>VLOOKUP($C59,ТабКлиенты[#Data],MATCH(E$1,ТабКлиенты[#Headers],0),0)</f>
        <v>Торговая 45</v>
      </c>
      <c r="G59" s="14" t="str">
        <f>VLOOKUP($C59,ТабКлиенты[#Data],MATCH(G$1,ТабКлиенты[#Headers],0),0)</f>
        <v>47.0982, 37.5627</v>
      </c>
      <c r="H59" s="14">
        <v>0</v>
      </c>
      <c r="I59" s="13">
        <v>77</v>
      </c>
      <c r="K59" t="str">
        <f t="shared" si="1"/>
        <v>12. Александр Каскад
Тел.: +79497172395
Адрес: Торговая 45
№ заказа: 77
https://yandex.ru/maps/?text=47.0982%2C37.5627
https://maps.google.com/?daddr=47.0982%2C37.5627
К оплате: **0
**----------------------------------------------------------</v>
      </c>
    </row>
    <row r="60" spans="1:11" hidden="1" x14ac:dyDescent="0.25">
      <c r="A60">
        <v>13</v>
      </c>
      <c r="B60" s="1">
        <v>45430</v>
      </c>
      <c r="C60" t="s">
        <v>295</v>
      </c>
      <c r="D60" t="str">
        <f>VLOOKUP($C60,ТабКлиенты[#Data],MATCH(D$1,ТабКлиенты[#Headers],0),0)</f>
        <v>+79497277100</v>
      </c>
      <c r="E60" t="str">
        <f>VLOOKUP($C60,ТабКлиенты[#Data],MATCH(E$1,ТабКлиенты[#Headers],0),0)</f>
        <v>Артема 132</v>
      </c>
      <c r="G60" s="14" t="str">
        <f>VLOOKUP($C60,ТабКлиенты[#Data],MATCH(G$1,ТабКлиенты[#Headers],0),0)</f>
        <v>47.1085, 37.5599</v>
      </c>
      <c r="H60" s="14">
        <v>5200</v>
      </c>
      <c r="I60" s="13">
        <v>90</v>
      </c>
      <c r="K60" t="str">
        <f t="shared" si="1"/>
        <v>13. Александр Радин
Тел.: +79497277100
Адрес: Артема 132
№ заказа: 90
https://yandex.ru/maps/?text=47.1085%2C37.5599
https://maps.google.com/?daddr=47.1085%2C37.5599
К оплате: **5200
**----------------------------------------------------------</v>
      </c>
    </row>
    <row r="61" spans="1:11" hidden="1" x14ac:dyDescent="0.25">
      <c r="A61">
        <v>1</v>
      </c>
      <c r="B61" s="1">
        <v>45437</v>
      </c>
      <c r="C61" t="s">
        <v>123</v>
      </c>
      <c r="D61" t="str">
        <f>VLOOKUP($C61,ТабКлиенты[#Data],MATCH(D$1,ТабКлиенты[#Headers],0),0)</f>
        <v>+79497176548</v>
      </c>
      <c r="E61" t="str">
        <f>VLOOKUP($C61,ТабКлиенты[#Data],MATCH(E$1,ТабКлиенты[#Headers],0),0)</f>
        <v>металлургов 179</v>
      </c>
      <c r="G61" s="14" t="str">
        <f>VLOOKUP($C61,ТабКлиенты[#Data],MATCH(G$1,ТабКлиенты[#Headers],0),0)</f>
        <v>47.1248, 37.5657</v>
      </c>
      <c r="H61" s="14">
        <v>2539</v>
      </c>
      <c r="I61" s="13">
        <v>103</v>
      </c>
      <c r="K61" t="str">
        <f t="shared" si="1"/>
        <v>1. Александр 3 Металлургов
Тел.: +79497176548
Адрес: металлургов 179
№ заказа: 103
https://yandex.ru/maps/?text=47.1248%2C37.5657
https://maps.google.com/?daddr=47.1248%2C37.5657
К оплате: **2539
**----------------------------------------------------------</v>
      </c>
    </row>
    <row r="62" spans="1:11" hidden="1" x14ac:dyDescent="0.25">
      <c r="A62">
        <v>2</v>
      </c>
      <c r="B62" s="1">
        <v>45437</v>
      </c>
      <c r="C62" t="s">
        <v>11</v>
      </c>
      <c r="D62" t="str">
        <f>VLOOKUP($C62,ТабКлиенты[#Data],MATCH(D$1,ТабКлиенты[#Headers],0),0)</f>
        <v>+79497249384</v>
      </c>
      <c r="E62" t="str">
        <f>VLOOKUP($C62,ТабКлиенты[#Data],MATCH(E$1,ТабКлиенты[#Headers],0),0)</f>
        <v>Мичурина 26</v>
      </c>
      <c r="G62" s="14" t="str">
        <f>VLOOKUP($C62,ТабКлиенты[#Data],MATCH(G$1,ТабКлиенты[#Headers],0),0)</f>
        <v>47.1238, 37.5966</v>
      </c>
      <c r="H62" s="14">
        <v>0</v>
      </c>
      <c r="I62" s="13" t="s">
        <v>1298</v>
      </c>
      <c r="K62" t="str">
        <f t="shared" si="1"/>
        <v>2. Полинка
Тел.: +79497249384
Адрес: Мичурина 26
№ заказа: 99, 110
https://yandex.ru/maps/?text=47.1238%2C37.5966
https://maps.google.com/?daddr=47.1238%2C37.5966
К оплате: **0
**----------------------------------------------------------</v>
      </c>
    </row>
    <row r="63" spans="1:11" hidden="1" x14ac:dyDescent="0.25">
      <c r="A63">
        <v>3</v>
      </c>
      <c r="B63" s="1">
        <v>45437</v>
      </c>
      <c r="C63" t="s">
        <v>20</v>
      </c>
      <c r="D63" t="str">
        <f>VLOOKUP($C63,ТабКлиенты[#Data],MATCH(D$1,ТабКлиенты[#Headers],0),0)</f>
        <v>+79495192361</v>
      </c>
      <c r="E63" t="str">
        <f>VLOOKUP($C63,ТабКлиенты[#Data],MATCH(E$1,ТабКлиенты[#Headers],0),0)</f>
        <v>Покрышкина 156/остановка Покрышкина (встреча с утра!)</v>
      </c>
      <c r="G63" s="14" t="str">
        <f>VLOOKUP($C63,ТабКлиенты[#Data],MATCH(G$1,ТабКлиенты[#Headers],0),0)</f>
        <v>47.1260, 37.5636</v>
      </c>
      <c r="H63" s="14">
        <v>0</v>
      </c>
      <c r="K63" t="str">
        <f t="shared" si="1"/>
        <v>3. Кристина дет.мир
Тел.: +79495192361
Адрес: Покрышкина 156/остановка Покрышкина (встреча с утра!)
№ заказа: 
https://yandex.ru/maps/?text=47.1260%2C37.5636
https://maps.google.com/?daddr=47.1260%2C37.5636
К оплате: **0
**----------------------------------------------------------</v>
      </c>
    </row>
    <row r="64" spans="1:11" hidden="1" x14ac:dyDescent="0.25">
      <c r="A64">
        <v>4</v>
      </c>
      <c r="B64" s="1">
        <v>45437</v>
      </c>
      <c r="C64" t="s">
        <v>231</v>
      </c>
      <c r="D64" t="str">
        <f>VLOOKUP($C64,ТабКлиенты[#Data],MATCH(D$1,ТабКлиенты[#Headers],0),0)</f>
        <v>+79497266403</v>
      </c>
      <c r="E64" t="str">
        <f>VLOOKUP($C64,ТабКлиенты[#Data],MATCH(E$1,ТабКлиенты[#Headers],0),0)</f>
        <v>Металлургов 102 1 подъезд 8 этаж</v>
      </c>
      <c r="G64" s="14" t="str">
        <f>VLOOKUP($C64,ТабКлиенты[#Data],MATCH(G$1,ТабКлиенты[#Headers],0),0)</f>
        <v>47.1099, 37.5543</v>
      </c>
      <c r="H64" s="14">
        <v>0</v>
      </c>
      <c r="I64" s="13">
        <v>109</v>
      </c>
      <c r="K64" t="str">
        <f t="shared" si="1"/>
        <v>4. Лариса Кирова
Тел.: +79497266403
Адрес: Металлургов 102 1 подъезд 8 этаж
№ заказа: 109
https://yandex.ru/maps/?text=47.1099%2C37.5543
https://maps.google.com/?daddr=47.1099%2C37.5543
К оплате: **0
**----------------------------------------------------------</v>
      </c>
    </row>
    <row r="65" spans="1:11" hidden="1" x14ac:dyDescent="0.25">
      <c r="A65">
        <v>5</v>
      </c>
      <c r="B65" s="1">
        <v>45437</v>
      </c>
      <c r="C65" t="s">
        <v>33</v>
      </c>
      <c r="D65" t="str">
        <f>VLOOKUP($C65,ТабКлиенты[#Data],MATCH(D$1,ТабКлиенты[#Headers],0),0)</f>
        <v>+79496069479</v>
      </c>
      <c r="E65" t="str">
        <f>VLOOKUP($C65,ТабКлиенты[#Data],MATCH(E$1,ТабКлиенты[#Headers],0),0)</f>
        <v>Марьинская 145 Новоселовка Церковь</v>
      </c>
      <c r="G65" s="14" t="str">
        <f>VLOOKUP($C65,ТабКлиенты[#Data],MATCH(G$1,ТабКлиенты[#Headers],0),0)</f>
        <v>47.1126, 37.5473</v>
      </c>
      <c r="H65" s="14">
        <v>0</v>
      </c>
      <c r="I65" s="13" t="s">
        <v>1299</v>
      </c>
      <c r="K65" t="str">
        <f t="shared" si="1"/>
        <v>5. Галина Агабекова(церковь)
Тел.: +79496069479
Адрес: Марьинская 145 Новоселовка Церковь
№ заказа: 97, 105
https://yandex.ru/maps/?text=47.1126%2C37.5473
https://maps.google.com/?daddr=47.1126%2C37.5473
К оплате: **0
**----------------------------------------------------------</v>
      </c>
    </row>
    <row r="66" spans="1:11" hidden="1" x14ac:dyDescent="0.25">
      <c r="A66">
        <v>6</v>
      </c>
      <c r="B66" s="1">
        <v>45437</v>
      </c>
      <c r="C66" t="s">
        <v>108</v>
      </c>
      <c r="D66" t="str">
        <f>VLOOKUP($C66,ТабКлиенты[#Data],MATCH(D$1,ТабКлиенты[#Headers],0),0)</f>
        <v>+79497174095</v>
      </c>
      <c r="E66" t="str">
        <f>VLOOKUP($C66,ТабКлиенты[#Data],MATCH(E$1,ТабКлиенты[#Headers],0),0)</f>
        <v>авиационная 39</v>
      </c>
      <c r="G66" s="14" t="str">
        <f>VLOOKUP($C66,ТабКлиенты[#Data],MATCH(G$1,ТабКлиенты[#Headers],0),0)</f>
        <v>47.1250, 37.5332</v>
      </c>
      <c r="H66" s="14">
        <v>0</v>
      </c>
      <c r="I66" s="13">
        <v>104</v>
      </c>
      <c r="K66" t="str">
        <f t="shared" si="1"/>
        <v>6. Вадим
Тел.: +79497174095
Адрес: авиационная 39
№ заказа: 104
https://yandex.ru/maps/?text=47.1250%2C37.5332
https://maps.google.com/?daddr=47.1250%2C37.5332
К оплате: **0
**----------------------------------------------------------</v>
      </c>
    </row>
    <row r="67" spans="1:11" hidden="1" x14ac:dyDescent="0.25">
      <c r="A67">
        <v>7</v>
      </c>
      <c r="B67" s="1">
        <v>45437</v>
      </c>
      <c r="C67" t="s">
        <v>104</v>
      </c>
      <c r="D67" t="str">
        <f>VLOOKUP($C67,ТабКлиенты[#Data],MATCH(D$1,ТабКлиенты[#Headers],0),0)</f>
        <v>+79497065096</v>
      </c>
      <c r="E67" t="str">
        <f>VLOOKUP($C67,ТабКлиенты[#Data],MATCH(E$1,ТабКлиенты[#Headers],0),0)</f>
        <v>Урицкого 84</v>
      </c>
      <c r="G67" s="14" t="str">
        <f>VLOOKUP($C67,ТабКлиенты[#Data],MATCH(G$1,ТабКлиенты[#Headers],0),0)</f>
        <v>47.1209, 37.5237</v>
      </c>
      <c r="H67" s="14">
        <v>2163</v>
      </c>
      <c r="I67" s="13">
        <v>111</v>
      </c>
      <c r="K67" t="str">
        <f t="shared" si="1"/>
        <v>7. Максим телевизор
Тел.: +79497065096
Адрес: Урицкого 84
№ заказа: 111
https://yandex.ru/maps/?text=47.1209%2C37.5237
https://maps.google.com/?daddr=47.1209%2C37.5237
К оплате: **2163
**----------------------------------------------------------</v>
      </c>
    </row>
    <row r="68" spans="1:11" hidden="1" x14ac:dyDescent="0.25">
      <c r="A68">
        <v>8</v>
      </c>
      <c r="B68" s="1">
        <v>45437</v>
      </c>
      <c r="C68" t="s">
        <v>338</v>
      </c>
      <c r="D68" t="str">
        <f>VLOOKUP($C68,ТабКлиенты[#Data],MATCH(D$1,ТабКлиенты[#Headers],0),0)</f>
        <v>+79497094719</v>
      </c>
      <c r="E68" t="str">
        <f>VLOOKUP($C68,ТабКлиенты[#Data],MATCH(E$1,ТабКлиенты[#Headers],0),0)</f>
        <v>60 лет СССР 2Б</v>
      </c>
      <c r="G68" s="14" t="str">
        <f>VLOOKUP($C68,ТабКлиенты[#Data],MATCH(G$1,ТабКлиенты[#Headers],0),0)</f>
        <v>47.1178, 37.5121</v>
      </c>
      <c r="H68" s="14">
        <v>2600</v>
      </c>
      <c r="I68" s="13" t="s">
        <v>1271</v>
      </c>
      <c r="K68" t="str">
        <f t="shared" si="1"/>
        <v>8. Наталья 60 лет СССР
Тел.: +79497094719
Адрес: 60 лет СССР 2Б
№ заказа: Витамины
https://yandex.ru/maps/?text=47.1178%2C37.5121
https://maps.google.com/?daddr=47.1178%2C37.5121
К оплате: **2600
**----------------------------------------------------------</v>
      </c>
    </row>
    <row r="69" spans="1:11" hidden="1" x14ac:dyDescent="0.25">
      <c r="A69">
        <v>9</v>
      </c>
      <c r="B69" s="1">
        <v>45437</v>
      </c>
      <c r="C69" t="s">
        <v>219</v>
      </c>
      <c r="D69" t="str">
        <f>VLOOKUP($C69,ТабКлиенты[#Data],MATCH(D$1,ТабКлиенты[#Headers],0),0)</f>
        <v>+79496146139</v>
      </c>
      <c r="E69" t="str">
        <f>VLOOKUP($C69,ТабКлиенты[#Data],MATCH(E$1,ТабКлиенты[#Headers],0),0)</f>
        <v>Лавицкого, 16. кв. 53, домофон 38</v>
      </c>
      <c r="G69" s="14" t="str">
        <f>VLOOKUP($C69,ТабКлиенты[#Data],MATCH(G$1,ТабКлиенты[#Headers],0),0)</f>
        <v>47.0872, 37.5194</v>
      </c>
      <c r="H69" s="14">
        <v>2504</v>
      </c>
      <c r="I69" s="13">
        <v>112</v>
      </c>
      <c r="K69" t="str">
        <f t="shared" si="1"/>
        <v>9. Лариса Лавицкого 16
Тел.: +79496146139
Адрес: Лавицкого, 16. кв. 53, домофон 38
№ заказа: 112
https://yandex.ru/maps/?text=47.0872%2C37.5194
https://maps.google.com/?daddr=47.0872%2C37.5194
К оплате: **2504
**----------------------------------------------------------</v>
      </c>
    </row>
    <row r="70" spans="1:11" hidden="1" x14ac:dyDescent="0.25">
      <c r="A70">
        <v>1</v>
      </c>
      <c r="B70" s="1">
        <v>45444</v>
      </c>
      <c r="C70" t="s">
        <v>283</v>
      </c>
      <c r="D70" t="str">
        <f>VLOOKUP($C70,ТабКлиенты[#Data],MATCH(D$1,ТабКлиенты[#Headers],0),0)</f>
        <v>+79497172395</v>
      </c>
      <c r="E70" t="str">
        <f>VLOOKUP($C70,ТабКлиенты[#Data],MATCH(E$1,ТабКлиенты[#Headers],0),0)</f>
        <v>Торговая 45</v>
      </c>
      <c r="G70" s="14" t="str">
        <f>VLOOKUP($C70,ТабКлиенты[#Data],MATCH(G$1,ТабКлиенты[#Headers],0),0)</f>
        <v>47.0982, 37.5627</v>
      </c>
      <c r="H70" s="14">
        <v>0</v>
      </c>
      <c r="I70" s="13">
        <v>43</v>
      </c>
      <c r="K70" t="str">
        <f t="shared" si="1"/>
        <v>1. Александр Каскад
Тел.: +79497172395
Адрес: Торговая 45
№ заказа: 43
https://yandex.ru/maps/?text=47.0982%2C37.5627
https://maps.google.com/?daddr=47.0982%2C37.5627
К оплате: **0
**----------------------------------------------------------</v>
      </c>
    </row>
    <row r="71" spans="1:11" hidden="1" x14ac:dyDescent="0.25">
      <c r="A71">
        <v>2</v>
      </c>
      <c r="B71" s="1">
        <v>45444</v>
      </c>
      <c r="C71" t="s">
        <v>350</v>
      </c>
      <c r="D71" t="str">
        <f>VLOOKUP($C71,ТабКлиенты[#Data],MATCH(D$1,ТабКлиенты[#Headers],0),0)</f>
        <v>+79497398357</v>
      </c>
      <c r="E71" t="str">
        <f>VLOOKUP($C71,ТабКлиенты[#Data],MATCH(E$1,ТабКлиенты[#Headers],0),0)</f>
        <v>Макара Мазая 41</v>
      </c>
      <c r="G71" s="14">
        <f>VLOOKUP($C71,ТабКлиенты[#Data],MATCH(G$1,ТабКлиенты[#Headers],0),0)</f>
        <v>0</v>
      </c>
      <c r="H71" s="14">
        <v>0</v>
      </c>
      <c r="I71" s="13" t="s">
        <v>1271</v>
      </c>
      <c r="K71" t="e">
        <f t="shared" si="1"/>
        <v>#VALUE!</v>
      </c>
    </row>
    <row r="72" spans="1:11" hidden="1" x14ac:dyDescent="0.25">
      <c r="A72">
        <v>3</v>
      </c>
      <c r="B72" s="1">
        <v>45444</v>
      </c>
      <c r="C72" t="s">
        <v>112</v>
      </c>
      <c r="D72" t="str">
        <f>VLOOKUP($C72,ТабКлиенты[#Data],MATCH(D$1,ТабКлиенты[#Headers],0),0)</f>
        <v>+79497340681</v>
      </c>
      <c r="E72" t="str">
        <f>VLOOKUP($C72,ТабКлиенты[#Data],MATCH(E$1,ТабКлиенты[#Headers],0),0)</f>
        <v>Покрышкина 99</v>
      </c>
      <c r="G72" s="14" t="str">
        <f>VLOOKUP($C72,ТабКлиенты[#Data],MATCH(G$1,ТабКлиенты[#Headers],0),0)</f>
        <v>47.1259, 37.5629</v>
      </c>
      <c r="H72" s="14">
        <v>-89</v>
      </c>
      <c r="I72" s="13" t="s">
        <v>1300</v>
      </c>
      <c r="K72" t="str">
        <f t="shared" si="1"/>
        <v>3. Митрофанов Евгений
Тел.: +79497340681
Адрес: Покрышкина 99
№ заказа: 80, 17
https://yandex.ru/maps/?text=47.1259%2C37.5629
https://maps.google.com/?daddr=47.1259%2C37.5629
К оплате: **-89
**----------------------------------------------------------</v>
      </c>
    </row>
    <row r="73" spans="1:11" hidden="1" x14ac:dyDescent="0.25">
      <c r="A73">
        <v>4</v>
      </c>
      <c r="B73" s="1">
        <v>45444</v>
      </c>
      <c r="C73" t="s">
        <v>231</v>
      </c>
      <c r="D73" t="str">
        <f>VLOOKUP($C73,ТабКлиенты[#Data],MATCH(D$1,ТабКлиенты[#Headers],0),0)</f>
        <v>+79497266403</v>
      </c>
      <c r="E73" t="str">
        <f>VLOOKUP($C73,ТабКлиенты[#Data],MATCH(E$1,ТабКлиенты[#Headers],0),0)</f>
        <v>Металлургов 102 1 подъезд 8 этаж</v>
      </c>
      <c r="G73" s="14" t="str">
        <f>VLOOKUP($C73,ТабКлиенты[#Data],MATCH(G$1,ТабКлиенты[#Headers],0),0)</f>
        <v>47.1099, 37.5543</v>
      </c>
      <c r="H73" s="14">
        <v>0</v>
      </c>
      <c r="I73" s="13" t="s">
        <v>1301</v>
      </c>
      <c r="K73" t="str">
        <f t="shared" si="1"/>
        <v>4. Лариса Кирова
Тел.: +79497266403
Адрес: Металлургов 102 1 подъезд 8 этаж
№ заказа: 88, 109, 25
https://yandex.ru/maps/?text=47.1099%2C37.5543
https://maps.google.com/?daddr=47.1099%2C37.5543
К оплате: **0
**----------------------------------------------------------</v>
      </c>
    </row>
    <row r="74" spans="1:11" hidden="1" x14ac:dyDescent="0.25">
      <c r="A74">
        <v>5</v>
      </c>
      <c r="B74" s="1">
        <v>45444</v>
      </c>
      <c r="C74" t="s">
        <v>33</v>
      </c>
      <c r="D74" t="str">
        <f>VLOOKUP($C74,ТабКлиенты[#Data],MATCH(D$1,ТабКлиенты[#Headers],0),0)</f>
        <v>+79496069479</v>
      </c>
      <c r="E74" t="str">
        <f>VLOOKUP($C74,ТабКлиенты[#Data],MATCH(E$1,ТабКлиенты[#Headers],0),0)</f>
        <v>Марьинская 145 Новоселовка Церковь</v>
      </c>
      <c r="G74" s="14" t="str">
        <f>VLOOKUP($C74,ТабКлиенты[#Data],MATCH(G$1,ТабКлиенты[#Headers],0),0)</f>
        <v>47.1126, 37.5473</v>
      </c>
      <c r="H74" s="14">
        <v>7325</v>
      </c>
      <c r="I74" s="13" t="s">
        <v>1302</v>
      </c>
      <c r="K74" t="str">
        <f t="shared" si="1"/>
        <v>5. Галина Агабекова(церковь)
Тел.: +79496069479
Адрес: Марьинская 145 Новоселовка Церковь
№ заказа: 97, 20
https://yandex.ru/maps/?text=47.1126%2C37.5473
https://maps.google.com/?daddr=47.1126%2C37.5473
К оплате: **7325
**----------------------------------------------------------</v>
      </c>
    </row>
    <row r="75" spans="1:11" hidden="1" x14ac:dyDescent="0.25">
      <c r="A75">
        <v>6</v>
      </c>
      <c r="B75" s="1">
        <v>45444</v>
      </c>
      <c r="C75" t="s">
        <v>104</v>
      </c>
      <c r="D75" t="str">
        <f>VLOOKUP($C75,ТабКлиенты[#Data],MATCH(D$1,ТабКлиенты[#Headers],0),0)</f>
        <v>+79497065096</v>
      </c>
      <c r="E75" t="str">
        <f>VLOOKUP($C75,ТабКлиенты[#Data],MATCH(E$1,ТабКлиенты[#Headers],0),0)</f>
        <v>Урицкого 84</v>
      </c>
      <c r="G75" s="14" t="str">
        <f>VLOOKUP($C75,ТабКлиенты[#Data],MATCH(G$1,ТабКлиенты[#Headers],0),0)</f>
        <v>47.1209, 37.5237</v>
      </c>
      <c r="H75" s="14">
        <v>303</v>
      </c>
      <c r="I75" s="13">
        <v>117</v>
      </c>
      <c r="K75" t="str">
        <f t="shared" si="1"/>
        <v>6. Максим телевизор
Тел.: +79497065096
Адрес: Урицкого 84
№ заказа: 117
https://yandex.ru/maps/?text=47.1209%2C37.5237
https://maps.google.com/?daddr=47.1209%2C37.5237
К оплате: **303
**----------------------------------------------------------</v>
      </c>
    </row>
    <row r="76" spans="1:11" hidden="1" x14ac:dyDescent="0.25">
      <c r="A76">
        <v>7</v>
      </c>
      <c r="B76" s="1">
        <v>45444</v>
      </c>
      <c r="C76" t="s">
        <v>353</v>
      </c>
      <c r="D76" t="str">
        <f>VLOOKUP($C76,ТабКлиенты[#Data],MATCH(D$1,ТабКлиенты[#Headers],0),0)</f>
        <v>+79496248226</v>
      </c>
      <c r="E76" t="str">
        <f>VLOOKUP($C76,ТабКлиенты[#Data],MATCH(E$1,ТабКлиенты[#Headers],0),0)</f>
        <v>Шевченко 274</v>
      </c>
      <c r="G76" s="14" t="str">
        <f>VLOOKUP($C76,ТабКлиенты[#Data],MATCH(G$1,ТабКлиенты[#Headers],0),0)</f>
        <v>47.1149, 37.5127</v>
      </c>
      <c r="H76" s="14">
        <v>1200</v>
      </c>
      <c r="I76" s="13" t="s">
        <v>1271</v>
      </c>
      <c r="K76" t="str">
        <f t="shared" si="1"/>
        <v>7. Даша Калифорния
Тел.: +79496248226
Адрес: Шевченко 274
№ заказа: Витамины
https://yandex.ru/maps/?text=47.1149%2C37.5127
https://maps.google.com/?daddr=47.1149%2C37.5127
К оплате: **1200
**----------------------------------------------------------</v>
      </c>
    </row>
    <row r="77" spans="1:11" hidden="1" x14ac:dyDescent="0.25">
      <c r="A77">
        <v>8</v>
      </c>
      <c r="B77" s="1">
        <v>45444</v>
      </c>
      <c r="C77" t="s">
        <v>52</v>
      </c>
      <c r="D77" t="str">
        <f>VLOOKUP($C77,ТабКлиенты[#Data],MATCH(D$1,ТабКлиенты[#Headers],0),0)</f>
        <v>+79497176601</v>
      </c>
      <c r="E77" t="str">
        <f>VLOOKUP($C77,ТабКлиенты[#Data],MATCH(E$1,ТабКлиенты[#Headers],0),0)</f>
        <v>пер танковый 2а</v>
      </c>
      <c r="G77" s="14" t="str">
        <f>VLOOKUP($C77,ТабКлиенты[#Data],MATCH(G$1,ТабКлиенты[#Headers],0),0)</f>
        <v>47.0894, 37.5416</v>
      </c>
      <c r="H77" s="14">
        <v>-2854</v>
      </c>
      <c r="I77" s="13" t="s">
        <v>1303</v>
      </c>
      <c r="K77" t="str">
        <f t="shared" si="1"/>
        <v>8. григорий(танковый )
Тел.: +79497176601
Адрес: пер танковый 2а
№ заказа: 79, 20
https://yandex.ru/maps/?text=47.0894%2C37.5416
https://maps.google.com/?daddr=47.0894%2C37.5416
К оплате: **-2854
**----------------------------------------------------------</v>
      </c>
    </row>
    <row r="78" spans="1:11" hidden="1" x14ac:dyDescent="0.25">
      <c r="A78">
        <v>1</v>
      </c>
      <c r="B78" s="1">
        <v>45451</v>
      </c>
      <c r="C78" t="s">
        <v>359</v>
      </c>
      <c r="D78" t="str">
        <f>VLOOKUP($C78,ТабКлиенты[#Data],MATCH(D$1,ТабКлиенты[#Headers],0),0)</f>
        <v>+79497105263</v>
      </c>
      <c r="E78" t="str">
        <f>VLOOKUP($C78,ТабКлиенты[#Data],MATCH(E$1,ТабКлиенты[#Headers],0),0)</f>
        <v>Казанцева 31</v>
      </c>
      <c r="G78" s="14" t="str">
        <f>VLOOKUP($C78,ТабКлиенты[#Data],MATCH(G$1,ТабКлиенты[#Headers],0),0)</f>
        <v>47.1070, 37.5475</v>
      </c>
      <c r="H78" s="14">
        <v>0</v>
      </c>
      <c r="I78" s="13" t="s">
        <v>1271</v>
      </c>
      <c r="K78" t="str">
        <f t="shared" si="1"/>
        <v>1. Анна соседка
Тел.: +79497105263
Адрес: Казанцева 31
№ заказа: Витамины
https://yandex.ru/maps/?text=47.1070%2C37.5475
https://maps.google.com/?daddr=47.1070%2C37.5475
К оплате: **0
**----------------------------------------------------------</v>
      </c>
    </row>
    <row r="79" spans="1:11" hidden="1" x14ac:dyDescent="0.25">
      <c r="A79">
        <v>2</v>
      </c>
      <c r="B79" s="1">
        <v>45451</v>
      </c>
      <c r="C79" t="s">
        <v>112</v>
      </c>
      <c r="D79" t="str">
        <f>VLOOKUP($C79,ТабКлиенты[#Data],MATCH(D$1,ТабКлиенты[#Headers],0),0)</f>
        <v>+79497340681</v>
      </c>
      <c r="E79" t="str">
        <f>VLOOKUP($C79,ТабКлиенты[#Data],MATCH(E$1,ТабКлиенты[#Headers],0),0)</f>
        <v>Покрышкина 99</v>
      </c>
      <c r="G79" s="14" t="str">
        <f>VLOOKUP($C79,ТабКлиенты[#Data],MATCH(G$1,ТабКлиенты[#Headers],0),0)</f>
        <v>47.1259, 37.5629</v>
      </c>
      <c r="H79" s="14">
        <v>0</v>
      </c>
      <c r="I79" s="13">
        <v>120</v>
      </c>
      <c r="K79" t="str">
        <f t="shared" si="1"/>
        <v>2. Митрофанов Евгений
Тел.: +79497340681
Адрес: Покрышкина 99
№ заказа: 120
https://yandex.ru/maps/?text=47.1259%2C37.5629
https://maps.google.com/?daddr=47.1259%2C37.5629
К оплате: **0
**----------------------------------------------------------</v>
      </c>
    </row>
    <row r="80" spans="1:11" hidden="1" x14ac:dyDescent="0.25">
      <c r="A80">
        <v>3</v>
      </c>
      <c r="B80" s="1">
        <v>45451</v>
      </c>
      <c r="C80" t="s">
        <v>357</v>
      </c>
      <c r="D80" t="str">
        <f>VLOOKUP($C80,ТабКлиенты[#Data],MATCH(D$1,ТабКлиенты[#Headers],0),0)</f>
        <v>+79497114644</v>
      </c>
      <c r="E80" t="str">
        <f>VLOOKUP($C80,ТабКлиенты[#Data],MATCH(E$1,ТабКлиенты[#Headers],0),0)</f>
        <v>Металлургов 143</v>
      </c>
      <c r="G80" s="14" t="str">
        <f>VLOOKUP($C80,ТабКлиенты[#Data],MATCH(G$1,ТабКлиенты[#Headers],0),0)</f>
        <v>47.1199, 37.5643</v>
      </c>
      <c r="H80" s="14">
        <v>0</v>
      </c>
      <c r="I80" s="13">
        <v>122</v>
      </c>
      <c r="K80" t="str">
        <f t="shared" si="1"/>
        <v>3. Юля Ларисына
Тел.: +79497114644
Адрес: Металлургов 143
№ заказа: 122
https://yandex.ru/maps/?text=47.1199%2C37.5643
https://maps.google.com/?daddr=47.1199%2C37.5643
К оплате: **0
**----------------------------------------------------------</v>
      </c>
    </row>
    <row r="81" spans="1:11" hidden="1" x14ac:dyDescent="0.25">
      <c r="A81">
        <v>4</v>
      </c>
      <c r="B81" s="1">
        <v>45451</v>
      </c>
      <c r="C81" t="s">
        <v>363</v>
      </c>
      <c r="D81" t="str">
        <f>VLOOKUP($C81,ТабКлиенты[#Data],MATCH(D$1,ТабКлиенты[#Headers],0),0)</f>
        <v>+79496340956</v>
      </c>
      <c r="E81" t="str">
        <f>VLOOKUP($C81,ТабКлиенты[#Data],MATCH(E$1,ТабКлиенты[#Headers],0),0)</f>
        <v>Макара Мазая 41</v>
      </c>
      <c r="G81" s="14" t="str">
        <f>VLOOKUP($C81,ТабКлиенты[#Data],MATCH(G$1,ТабКлиенты[#Headers],0),0)</f>
        <v>47.1361, 37.5817</v>
      </c>
      <c r="H81" s="14">
        <v>2500</v>
      </c>
      <c r="I81" s="13" t="s">
        <v>1271</v>
      </c>
      <c r="K81" t="str">
        <f t="shared" si="1"/>
        <v>4. Константин СТО Оптима
Тел.: +79496340956
Адрес: Макара Мазая 41
№ заказа: Витамины
https://yandex.ru/maps/?text=47.1361%2C37.5817
https://maps.google.com/?daddr=47.1361%2C37.5817
К оплате: **2500
**----------------------------------------------------------</v>
      </c>
    </row>
    <row r="82" spans="1:11" hidden="1" x14ac:dyDescent="0.25">
      <c r="A82">
        <v>5</v>
      </c>
      <c r="B82" s="1">
        <v>45451</v>
      </c>
      <c r="C82" t="s">
        <v>346</v>
      </c>
      <c r="D82" t="str">
        <f>VLOOKUP($C82,ТабКлиенты[#Data],MATCH(D$1,ТабКлиенты[#Headers],0),0)</f>
        <v>@Filin9819</v>
      </c>
      <c r="E82" t="str">
        <f>VLOOKUP($C82,ТабКлиенты[#Data],MATCH(E$1,ТабКлиенты[#Headers],0),0)</f>
        <v>Заря</v>
      </c>
      <c r="G82" s="14" t="str">
        <f>VLOOKUP($C82,ТабКлиенты[#Data],MATCH(G$1,ТабКлиенты[#Headers],0),0)</f>
        <v>47.3002, 37.5931</v>
      </c>
      <c r="H82" s="14">
        <v>13000</v>
      </c>
      <c r="I82" s="13" t="s">
        <v>1271</v>
      </c>
      <c r="K82" t="str">
        <f t="shared" si="1"/>
        <v>5. Александр электростанция
Тел.: @Filin9819
Адрес: Заря
№ заказа: Витамины
https://yandex.ru/maps/?text=47.3002%2C37.5931
https://maps.google.com/?daddr=47.3002%2C37.5931
К оплате: **13000
**----------------------------------------------------------</v>
      </c>
    </row>
    <row r="83" spans="1:11" hidden="1" x14ac:dyDescent="0.25">
      <c r="A83">
        <v>6</v>
      </c>
      <c r="B83" s="1">
        <v>45451</v>
      </c>
      <c r="C83" t="s">
        <v>127</v>
      </c>
      <c r="D83" t="str">
        <f>VLOOKUP($C83,ТабКлиенты[#Data],MATCH(D$1,ТабКлиенты[#Headers],0),0)</f>
        <v>+79497176548</v>
      </c>
      <c r="E83" t="str">
        <f>VLOOKUP($C83,ТабКлиенты[#Data],MATCH(E$1,ТабКлиенты[#Headers],0),0)</f>
        <v>База</v>
      </c>
      <c r="G83" s="14" t="str">
        <f>VLOOKUP($C83,ТабКлиенты[#Data],MATCH(G$1,ТабКлиенты[#Headers],0),0)</f>
        <v>47.1256, 37.5073</v>
      </c>
      <c r="H83" s="14">
        <v>1892</v>
      </c>
      <c r="I83" s="13">
        <v>100</v>
      </c>
      <c r="K83" t="str">
        <f t="shared" si="1"/>
        <v>6. Александр 3 База
Тел.: +79497176548
Адрес: База
№ заказа: 100
https://yandex.ru/maps/?text=47.1256%2C37.5073
https://maps.google.com/?daddr=47.1256%2C37.5073
К оплате: **1892
**----------------------------------------------------------</v>
      </c>
    </row>
    <row r="84" spans="1:11" hidden="1" x14ac:dyDescent="0.25">
      <c r="A84">
        <v>7</v>
      </c>
      <c r="B84" s="1">
        <v>45451</v>
      </c>
      <c r="C84" t="s">
        <v>33</v>
      </c>
      <c r="D84" t="str">
        <f>VLOOKUP($C84,ТабКлиенты[#Data],MATCH(D$1,ТабКлиенты[#Headers],0),0)</f>
        <v>+79496069479</v>
      </c>
      <c r="E84" t="str">
        <f>VLOOKUP($C84,ТабКлиенты[#Data],MATCH(E$1,ТабКлиенты[#Headers],0),0)</f>
        <v>Марьинская 145 Новоселовка Церковь</v>
      </c>
      <c r="G84" s="14" t="str">
        <f>VLOOKUP($C84,ТабКлиенты[#Data],MATCH(G$1,ТабКлиенты[#Headers],0),0)</f>
        <v>47.1126, 37.5473</v>
      </c>
      <c r="H84" s="14">
        <v>0</v>
      </c>
      <c r="I84" s="13" t="s">
        <v>1304</v>
      </c>
      <c r="K84" t="str">
        <f t="shared" si="1"/>
        <v>7. Галина Агабекова(церковь)
Тел.: +79496069479
Адрес: Марьинская 145 Новоселовка Церковь
№ заказа: 114,  70
https://yandex.ru/maps/?text=47.1126%2C37.5473
https://maps.google.com/?daddr=47.1126%2C37.5473
К оплате: **0
**----------------------------------------------------------</v>
      </c>
    </row>
    <row r="85" spans="1:11" hidden="1" x14ac:dyDescent="0.25">
      <c r="A85">
        <v>8</v>
      </c>
      <c r="B85" s="1">
        <v>45451</v>
      </c>
      <c r="C85" t="s">
        <v>231</v>
      </c>
      <c r="D85" t="str">
        <f>VLOOKUP($C85,ТабКлиенты[#Data],MATCH(D$1,ТабКлиенты[#Headers],0),0)</f>
        <v>+79497266403</v>
      </c>
      <c r="E85" t="str">
        <f>VLOOKUP($C85,ТабКлиенты[#Data],MATCH(E$1,ТабКлиенты[#Headers],0),0)</f>
        <v>Металлургов 102 1 подъезд 8 этаж</v>
      </c>
      <c r="G85" s="14" t="str">
        <f>VLOOKUP($C85,ТабКлиенты[#Data],MATCH(G$1,ТабКлиенты[#Headers],0),0)</f>
        <v>47.1099, 37.5543</v>
      </c>
      <c r="H85" s="14">
        <v>0</v>
      </c>
      <c r="I85" s="13" t="s">
        <v>1305</v>
      </c>
      <c r="K85" t="str">
        <f t="shared" si="1"/>
        <v>8. Лариса Кирова
Тел.: +79497266403
Адрес: Металлургов 102 1 подъезд 8 этаж
№ заказа: 25,  119
https://yandex.ru/maps/?text=47.1099%2C37.5543
https://maps.google.com/?daddr=47.1099%2C37.5543
К оплате: **0
**----------------------------------------------------------</v>
      </c>
    </row>
    <row r="86" spans="1:11" hidden="1" x14ac:dyDescent="0.25">
      <c r="A86">
        <v>1</v>
      </c>
      <c r="B86" s="1">
        <v>45458</v>
      </c>
      <c r="C86" t="s">
        <v>292</v>
      </c>
      <c r="D86" t="str">
        <f>VLOOKUP($C86,ТабКлиенты[#Data],MATCH(D$1,ТабКлиенты[#Headers],0),0)</f>
        <v>+79496019237</v>
      </c>
      <c r="E86" t="str">
        <f>VLOOKUP($C86,ТабКлиенты[#Data],MATCH(E$1,ТабКлиенты[#Headers],0),0)</f>
        <v>Металлургов 92</v>
      </c>
      <c r="G86" s="14" t="str">
        <f>VLOOKUP($C86,ТабКлиенты[#Data],MATCH(G$1,ТабКлиенты[#Headers],0),0)</f>
        <v>47.1053, 37.5483</v>
      </c>
      <c r="H86" s="14">
        <v>0</v>
      </c>
      <c r="I86" s="13">
        <v>127</v>
      </c>
      <c r="K86" t="str">
        <f t="shared" si="1"/>
        <v>1. Людмила Эдельвейс
Тел.: +79496019237
Адрес: Металлургов 92
№ заказа: 127
https://yandex.ru/maps/?text=47.1053%2C37.5483
https://maps.google.com/?daddr=47.1053%2C37.5483
К оплате: **0
**----------------------------------------------------------</v>
      </c>
    </row>
    <row r="87" spans="1:11" hidden="1" x14ac:dyDescent="0.25">
      <c r="A87">
        <v>2</v>
      </c>
      <c r="B87" s="1">
        <v>45458</v>
      </c>
      <c r="C87" t="s">
        <v>33</v>
      </c>
      <c r="D87" t="str">
        <f>VLOOKUP($C87,ТабКлиенты[#Data],MATCH(D$1,ТабКлиенты[#Headers],0),0)</f>
        <v>+79496069479</v>
      </c>
      <c r="E87" t="str">
        <f>VLOOKUP($C87,ТабКлиенты[#Data],MATCH(E$1,ТабКлиенты[#Headers],0),0)</f>
        <v>Марьинская 145 Новоселовка Церковь</v>
      </c>
      <c r="G87" s="14" t="str">
        <f>VLOOKUP($C87,ТабКлиенты[#Data],MATCH(G$1,ТабКлиенты[#Headers],0),0)</f>
        <v>47.1126, 37.5473</v>
      </c>
      <c r="H87" s="14">
        <v>0</v>
      </c>
      <c r="I87" s="13">
        <v>70</v>
      </c>
      <c r="K87" t="str">
        <f t="shared" si="1"/>
        <v>2. Галина Агабекова(церковь)
Тел.: +79496069479
Адрес: Марьинская 145 Новоселовка Церковь
№ заказа: 70
https://yandex.ru/maps/?text=47.1126%2C37.5473
https://maps.google.com/?daddr=47.1126%2C37.5473
К оплате: **0
**----------------------------------------------------------</v>
      </c>
    </row>
    <row r="88" spans="1:11" hidden="1" x14ac:dyDescent="0.25">
      <c r="A88">
        <v>3</v>
      </c>
      <c r="B88" s="1">
        <v>45458</v>
      </c>
      <c r="C88" t="s">
        <v>231</v>
      </c>
      <c r="D88" t="str">
        <f>VLOOKUP($C88,ТабКлиенты[#Data],MATCH(D$1,ТабКлиенты[#Headers],0),0)</f>
        <v>+79497266403</v>
      </c>
      <c r="E88" t="str">
        <f>VLOOKUP($C88,ТабКлиенты[#Data],MATCH(E$1,ТабКлиенты[#Headers],0),0)</f>
        <v>Металлургов 102 1 подъезд 8 этаж</v>
      </c>
      <c r="G88" s="14" t="str">
        <f>VLOOKUP($C88,ТабКлиенты[#Data],MATCH(G$1,ТабКлиенты[#Headers],0),0)</f>
        <v>47.1099, 37.5543</v>
      </c>
      <c r="H88" s="14">
        <v>0</v>
      </c>
      <c r="I88" s="13">
        <v>123</v>
      </c>
      <c r="K88" t="str">
        <f t="shared" si="1"/>
        <v>3. Лариса Кирова
Тел.: +79497266403
Адрес: Металлургов 102 1 подъезд 8 этаж
№ заказа: 123
https://yandex.ru/maps/?text=47.1099%2C37.5543
https://maps.google.com/?daddr=47.1099%2C37.5543
К оплате: **0
**----------------------------------------------------------</v>
      </c>
    </row>
    <row r="89" spans="1:11" hidden="1" x14ac:dyDescent="0.25">
      <c r="A89">
        <v>4</v>
      </c>
      <c r="B89" s="1">
        <v>45458</v>
      </c>
      <c r="C89" t="s">
        <v>39</v>
      </c>
      <c r="D89" t="str">
        <f>VLOOKUP($C89,ТабКлиенты[#Data],MATCH(D$1,ТабКлиенты[#Headers],0),0)</f>
        <v>+79497132215</v>
      </c>
      <c r="E89" t="str">
        <f>VLOOKUP($C89,ТабКлиенты[#Data],MATCH(E$1,ТабКлиенты[#Headers],0),0)</f>
        <v>Гонды 42</v>
      </c>
      <c r="G89" s="14" t="str">
        <f>VLOOKUP($C89,ТабКлиенты[#Data],MATCH(G$1,ТабКлиенты[#Headers],0),0)</f>
        <v>47.1274, 37.5691</v>
      </c>
      <c r="H89" s="14">
        <v>4000</v>
      </c>
      <c r="I89" s="13">
        <v>118</v>
      </c>
      <c r="K89" t="str">
        <f t="shared" si="1"/>
        <v>4. Алена шмалко
Тел.: +79497132215
Адрес: Гонды 42
№ заказа: 118
https://yandex.ru/maps/?text=47.1274%2C37.5691
https://maps.google.com/?daddr=47.1274%2C37.5691
К оплате: **4000
**----------------------------------------------------------</v>
      </c>
    </row>
    <row r="90" spans="1:11" hidden="1" x14ac:dyDescent="0.25">
      <c r="A90">
        <v>5</v>
      </c>
      <c r="B90" s="1">
        <v>45458</v>
      </c>
      <c r="C90" t="s">
        <v>112</v>
      </c>
      <c r="D90" t="str">
        <f>VLOOKUP($C90,ТабКлиенты[#Data],MATCH(D$1,ТабКлиенты[#Headers],0),0)</f>
        <v>+79497340681</v>
      </c>
      <c r="E90" t="str">
        <f>VLOOKUP($C90,ТабКлиенты[#Data],MATCH(E$1,ТабКлиенты[#Headers],0),0)</f>
        <v>Покрышкина 99</v>
      </c>
      <c r="G90" s="14" t="str">
        <f>VLOOKUP($C90,ТабКлиенты[#Data],MATCH(G$1,ТабКлиенты[#Headers],0),0)</f>
        <v>47.1259, 37.5629</v>
      </c>
      <c r="H90" s="14">
        <v>0</v>
      </c>
      <c r="I90" s="13">
        <v>120</v>
      </c>
      <c r="K90" t="str">
        <f t="shared" si="1"/>
        <v>5. Митрофанов Евгений
Тел.: +79497340681
Адрес: Покрышкина 99
№ заказа: 120
https://yandex.ru/maps/?text=47.1259%2C37.5629
https://maps.google.com/?daddr=47.1259%2C37.5629
К оплате: **0
**----------------------------------------------------------</v>
      </c>
    </row>
    <row r="91" spans="1:11" hidden="1" x14ac:dyDescent="0.25">
      <c r="A91">
        <v>6</v>
      </c>
      <c r="B91" s="1">
        <v>45458</v>
      </c>
      <c r="C91" t="s">
        <v>357</v>
      </c>
      <c r="D91" t="str">
        <f>VLOOKUP($C91,ТабКлиенты[#Data],MATCH(D$1,ТабКлиенты[#Headers],0),0)</f>
        <v>+79497114644</v>
      </c>
      <c r="E91" t="str">
        <f>VLOOKUP($C91,ТабКлиенты[#Data],MATCH(E$1,ТабКлиенты[#Headers],0),0)</f>
        <v>Металлургов 143</v>
      </c>
      <c r="G91" s="14" t="str">
        <f>VLOOKUP($C91,ТабКлиенты[#Data],MATCH(G$1,ТабКлиенты[#Headers],0),0)</f>
        <v>47.1199, 37.5643</v>
      </c>
      <c r="H91" s="14">
        <v>0</v>
      </c>
      <c r="I91" s="13" t="s">
        <v>1306</v>
      </c>
      <c r="K91" t="str">
        <f t="shared" si="1"/>
        <v>6. Юля Ларисына
Тел.: +79497114644
Адрес: Металлургов 143
№ заказа: 122  124
https://yandex.ru/maps/?text=47.1199%2C37.5643
https://maps.google.com/?daddr=47.1199%2C37.5643
К оплате: **0
**----------------------------------------------------------</v>
      </c>
    </row>
    <row r="92" spans="1:11" hidden="1" x14ac:dyDescent="0.25">
      <c r="A92">
        <v>7</v>
      </c>
      <c r="B92" s="1">
        <v>45458</v>
      </c>
      <c r="C92" t="s">
        <v>11</v>
      </c>
      <c r="D92" t="str">
        <f>VLOOKUP($C92,ТабКлиенты[#Data],MATCH(D$1,ТабКлиенты[#Headers],0),0)</f>
        <v>+79497249384</v>
      </c>
      <c r="E92" t="str">
        <f>VLOOKUP($C92,ТабКлиенты[#Data],MATCH(E$1,ТабКлиенты[#Headers],0),0)</f>
        <v>Мичурина 26</v>
      </c>
      <c r="G92" s="14" t="str">
        <f>VLOOKUP($C92,ТабКлиенты[#Data],MATCH(G$1,ТабКлиенты[#Headers],0),0)</f>
        <v>47.1238, 37.5966</v>
      </c>
      <c r="H92" s="14">
        <v>0</v>
      </c>
      <c r="I92" s="13" t="s">
        <v>1307</v>
      </c>
      <c r="K92" t="str">
        <f t="shared" si="1"/>
        <v>7. Полинка
Тел.: +79497249384
Адрес: Мичурина 26
№ заказа: 96  110
https://yandex.ru/maps/?text=47.1238%2C37.5966
https://maps.google.com/?daddr=47.1238%2C37.5966
К оплате: **0
**----------------------------------------------------------</v>
      </c>
    </row>
    <row r="93" spans="1:11" hidden="1" x14ac:dyDescent="0.25">
      <c r="A93">
        <v>8</v>
      </c>
      <c r="B93" s="1">
        <v>45458</v>
      </c>
      <c r="C93" t="s">
        <v>108</v>
      </c>
      <c r="D93" t="str">
        <f>VLOOKUP($C93,ТабКлиенты[#Data],MATCH(D$1,ТабКлиенты[#Headers],0),0)</f>
        <v>+79497174095</v>
      </c>
      <c r="E93" t="str">
        <f>VLOOKUP($C93,ТабКлиенты[#Data],MATCH(E$1,ТабКлиенты[#Headers],0),0)</f>
        <v>авиационная 39</v>
      </c>
      <c r="G93" s="14" t="str">
        <f>VLOOKUP($C93,ТабКлиенты[#Data],MATCH(G$1,ТабКлиенты[#Headers],0),0)</f>
        <v>47.1250, 37.5332</v>
      </c>
      <c r="H93" s="14">
        <v>852</v>
      </c>
      <c r="I93" s="13">
        <v>130</v>
      </c>
      <c r="K93" t="str">
        <f t="shared" si="1"/>
        <v>8. Вадим
Тел.: +79497174095
Адрес: авиационная 39
№ заказа: 130
https://yandex.ru/maps/?text=47.1250%2C37.5332
https://maps.google.com/?daddr=47.1250%2C37.5332
К оплате: **852
**----------------------------------------------------------</v>
      </c>
    </row>
    <row r="94" spans="1:11" hidden="1" x14ac:dyDescent="0.25">
      <c r="A94">
        <v>9</v>
      </c>
      <c r="B94" s="1">
        <v>45458</v>
      </c>
      <c r="C94" t="s">
        <v>104</v>
      </c>
      <c r="D94" t="str">
        <f>VLOOKUP($C94,ТабКлиенты[#Data],MATCH(D$1,ТабКлиенты[#Headers],0),0)</f>
        <v>+79497065096</v>
      </c>
      <c r="E94" t="str">
        <f>VLOOKUP($C94,ТабКлиенты[#Data],MATCH(E$1,ТабКлиенты[#Headers],0),0)</f>
        <v>Урицкого 84</v>
      </c>
      <c r="G94" s="14" t="str">
        <f>VLOOKUP($C94,ТабКлиенты[#Data],MATCH(G$1,ТабКлиенты[#Headers],0),0)</f>
        <v>47.1209, 37.5237</v>
      </c>
      <c r="H94" s="14">
        <v>0</v>
      </c>
      <c r="I94" s="13">
        <v>129</v>
      </c>
      <c r="K94" t="str">
        <f t="shared" si="1"/>
        <v>9. Максим телевизор
Тел.: +79497065096
Адрес: Урицкого 84
№ заказа: 129
https://yandex.ru/maps/?text=47.1209%2C37.5237
https://maps.google.com/?daddr=47.1209%2C37.5237
К оплате: **0
**----------------------------------------------------------</v>
      </c>
    </row>
    <row r="95" spans="1:11" hidden="1" x14ac:dyDescent="0.25">
      <c r="A95">
        <v>10</v>
      </c>
      <c r="B95" s="1">
        <v>45458</v>
      </c>
      <c r="C95" t="s">
        <v>283</v>
      </c>
      <c r="D95" t="str">
        <f>VLOOKUP($C95,ТабКлиенты[#Data],MATCH(D$1,ТабКлиенты[#Headers],0),0)</f>
        <v>+79497172395</v>
      </c>
      <c r="E95" t="str">
        <f>VLOOKUP($C95,ТабКлиенты[#Data],MATCH(E$1,ТабКлиенты[#Headers],0),0)</f>
        <v>Торговая 45</v>
      </c>
      <c r="G95" s="14" t="str">
        <f>VLOOKUP($C95,ТабКлиенты[#Data],MATCH(G$1,ТабКлиенты[#Headers],0),0)</f>
        <v>47.0982, 37.5627</v>
      </c>
      <c r="H95" s="14">
        <v>2000</v>
      </c>
      <c r="I95" s="13" t="s">
        <v>1308</v>
      </c>
      <c r="K95" t="str">
        <f t="shared" si="1"/>
        <v>10. Александр Каскад
Тел.: +79497172395
Адрес: Торговая 45
№ заказа: 43  121  128
https://yandex.ru/maps/?text=47.0982%2C37.5627
https://maps.google.com/?daddr=47.0982%2C37.5627
К оплате: **2000
**----------------------------------------------------------</v>
      </c>
    </row>
    <row r="96" spans="1:11" hidden="1" x14ac:dyDescent="0.25">
      <c r="A96">
        <v>1</v>
      </c>
      <c r="B96" s="1">
        <v>45465</v>
      </c>
      <c r="C96" t="s">
        <v>357</v>
      </c>
      <c r="D96" t="str">
        <f>VLOOKUP($C96,ТабКлиенты[#Data],MATCH(D$1,ТабКлиенты[#Headers],0),0)</f>
        <v>+79497114644</v>
      </c>
      <c r="E96" t="str">
        <f>VLOOKUP($C96,ТабКлиенты[#Data],MATCH(E$1,ТабКлиенты[#Headers],0),0)</f>
        <v>Металлургов 143</v>
      </c>
      <c r="G96" s="14" t="str">
        <f>VLOOKUP($C96,ТабКлиенты[#Data],MATCH(G$1,ТабКлиенты[#Headers],0),0)</f>
        <v>47.1199, 37.5643</v>
      </c>
      <c r="H96" s="14">
        <v>0</v>
      </c>
      <c r="I96" s="13">
        <v>137</v>
      </c>
      <c r="K96" t="str">
        <f t="shared" si="1"/>
        <v>1. Юля Ларисына
Тел.: +79497114644
Адрес: Металлургов 143
№ заказа: 137
https://yandex.ru/maps/?text=47.1199%2C37.5643
https://maps.google.com/?daddr=47.1199%2C37.5643
К оплате: **0
**----------------------------------------------------------</v>
      </c>
    </row>
    <row r="97" spans="1:11" hidden="1" x14ac:dyDescent="0.25">
      <c r="A97">
        <v>2</v>
      </c>
      <c r="B97" s="1">
        <v>45465</v>
      </c>
      <c r="C97" t="s">
        <v>346</v>
      </c>
      <c r="D97" t="str">
        <f>VLOOKUP($C97,ТабКлиенты[#Data],MATCH(D$1,ТабКлиенты[#Headers],0),0)</f>
        <v>@Filin9819</v>
      </c>
      <c r="E97" t="str">
        <f>VLOOKUP($C97,ТабКлиенты[#Data],MATCH(E$1,ТабКлиенты[#Headers],0),0)</f>
        <v>Заря</v>
      </c>
      <c r="G97" s="14" t="str">
        <f>VLOOKUP($C97,ТабКлиенты[#Data],MATCH(G$1,ТабКлиенты[#Headers],0),0)</f>
        <v>47.3002, 37.5931</v>
      </c>
      <c r="H97" s="14">
        <v>29077</v>
      </c>
      <c r="I97" s="13" t="s">
        <v>1309</v>
      </c>
      <c r="K97" t="str">
        <f t="shared" si="1"/>
        <v>2. Александр электростанция
Тел.: @Filin9819
Адрес: Заря
№ заказа: 115  136
https://yandex.ru/maps/?text=47.3002%2C37.5931
https://maps.google.com/?daddr=47.3002%2C37.5931
К оплате: **29077
**----------------------------------------------------------</v>
      </c>
    </row>
    <row r="98" spans="1:11" hidden="1" x14ac:dyDescent="0.25">
      <c r="A98">
        <v>3</v>
      </c>
      <c r="B98" s="1">
        <v>45465</v>
      </c>
      <c r="C98" t="s">
        <v>370</v>
      </c>
      <c r="D98">
        <f>VLOOKUP($C98,ТабКлиенты[#Data],MATCH(D$1,ТабКлиенты[#Headers],0),0)</f>
        <v>0</v>
      </c>
      <c r="E98" t="str">
        <f>VLOOKUP($C98,ТабКлиенты[#Data],MATCH(E$1,ТабКлиенты[#Headers],0),0)</f>
        <v>Городская свалка</v>
      </c>
      <c r="G98" s="14" t="str">
        <f>VLOOKUP($C98,ТабКлиенты[#Data],MATCH(G$1,ТабКлиенты[#Headers],0),0)</f>
        <v>47.1372, 37.6280</v>
      </c>
      <c r="H98" s="14">
        <v>20600</v>
      </c>
      <c r="I98" s="13" t="s">
        <v>1271</v>
      </c>
      <c r="K98" t="str">
        <f t="shared" si="1"/>
        <v>3. Игорь свалка
Тел.: 0
Адрес: Городская свалка
№ заказа: Витамины
https://yandex.ru/maps/?text=47.1372%2C37.6280
https://maps.google.com/?daddr=47.1372%2C37.6280
К оплате: **20600
**----------------------------------------------------------</v>
      </c>
    </row>
    <row r="99" spans="1:11" hidden="1" x14ac:dyDescent="0.25">
      <c r="A99">
        <v>4</v>
      </c>
      <c r="B99" s="1">
        <v>45465</v>
      </c>
      <c r="C99" t="s">
        <v>224</v>
      </c>
      <c r="D99" t="str">
        <f>VLOOKUP($C99,ТабКлиенты[#Data],MATCH(D$1,ТабКлиенты[#Headers],0),0)</f>
        <v>+79497529171</v>
      </c>
      <c r="E99" t="str">
        <f>VLOOKUP($C99,ТабКлиенты[#Data],MATCH(E$1,ТабКлиенты[#Headers],0),0)</f>
        <v>Морской 48, подъезд 6</v>
      </c>
      <c r="G99" s="14" t="str">
        <f>VLOOKUP($C99,ТабКлиенты[#Data],MATCH(G$1,ТабКлиенты[#Headers],0),0)</f>
        <v>47.0991, 37.6417</v>
      </c>
      <c r="H99" s="14">
        <v>0</v>
      </c>
      <c r="I99" s="13">
        <v>141</v>
      </c>
      <c r="K99" t="str">
        <f t="shared" si="1"/>
        <v>4. Геннадий Генерал
Тел.: +79497529171
Адрес: Морской 48, подъезд 6
№ заказа: 141
https://yandex.ru/maps/?text=47.0991%2C37.6417
https://maps.google.com/?daddr=47.0991%2C37.6417
К оплате: **0
**----------------------------------------------------------</v>
      </c>
    </row>
    <row r="100" spans="1:11" hidden="1" x14ac:dyDescent="0.25">
      <c r="A100">
        <v>5</v>
      </c>
      <c r="B100" s="1">
        <v>45465</v>
      </c>
      <c r="C100" t="s">
        <v>366</v>
      </c>
      <c r="D100" t="str">
        <f>VLOOKUP($C100,ТабКлиенты[#Data],MATCH(D$1,ТабКлиенты[#Headers],0),0)</f>
        <v>+79498470110</v>
      </c>
      <c r="E100" t="str">
        <f>VLOOKUP($C100,ТабКлиенты[#Data],MATCH(E$1,ТабКлиенты[#Headers],0),0)</f>
        <v>Виноградная 29</v>
      </c>
      <c r="G100" s="14" t="str">
        <f>VLOOKUP($C100,ТабКлиенты[#Data],MATCH(G$1,ТабКлиенты[#Headers],0),0)</f>
        <v>47.0924, 37.6476</v>
      </c>
      <c r="H100" s="14">
        <v>0</v>
      </c>
      <c r="I100" s="13">
        <v>126</v>
      </c>
      <c r="K100" t="str">
        <f t="shared" si="1"/>
        <v>5. Дмитрий Виноградная 29
Тел.: +79498470110
Адрес: Виноградная 29
№ заказа: 126
https://yandex.ru/maps/?text=47.0924%2C37.6476
https://maps.google.com/?daddr=47.0924%2C37.6476
К оплате: **0
**----------------------------------------------------------</v>
      </c>
    </row>
    <row r="101" spans="1:11" hidden="1" x14ac:dyDescent="0.25">
      <c r="A101">
        <v>6</v>
      </c>
      <c r="B101" s="1">
        <v>45465</v>
      </c>
      <c r="C101" t="s">
        <v>283</v>
      </c>
      <c r="D101" t="str">
        <f>VLOOKUP($C101,ТабКлиенты[#Data],MATCH(D$1,ТабКлиенты[#Headers],0),0)</f>
        <v>+79497172395</v>
      </c>
      <c r="E101" t="str">
        <f>VLOOKUP($C101,ТабКлиенты[#Data],MATCH(E$1,ТабКлиенты[#Headers],0),0)</f>
        <v>Торговая 45</v>
      </c>
      <c r="G101" s="14" t="str">
        <f>VLOOKUP($C101,ТабКлиенты[#Data],MATCH(G$1,ТабКлиенты[#Headers],0),0)</f>
        <v>47.0982, 37.5627</v>
      </c>
      <c r="H101" s="14">
        <v>0</v>
      </c>
      <c r="I101" s="13" t="s">
        <v>1308</v>
      </c>
      <c r="K101" t="str">
        <f t="shared" si="1"/>
        <v>6. Александр Каскад
Тел.: +79497172395
Адрес: Торговая 45
№ заказа: 43  121  128
https://yandex.ru/maps/?text=47.0982%2C37.5627
https://maps.google.com/?daddr=47.0982%2C37.5627
К оплате: **0
**----------------------------------------------------------</v>
      </c>
    </row>
    <row r="102" spans="1:11" hidden="1" x14ac:dyDescent="0.25">
      <c r="A102">
        <v>8</v>
      </c>
      <c r="B102" s="1">
        <v>45465</v>
      </c>
      <c r="C102" t="s">
        <v>139</v>
      </c>
      <c r="D102" t="str">
        <f>VLOOKUP($C102,ТабКлиенты[#Data],MATCH(D$1,ТабКлиенты[#Headers],0),0)</f>
        <v>+79497375472</v>
      </c>
      <c r="E102" t="str">
        <f>VLOOKUP($C102,ТабКлиенты[#Data],MATCH(E$1,ТабКлиенты[#Headers],0),0)</f>
        <v>строителей 25</v>
      </c>
      <c r="G102" s="14" t="str">
        <f>VLOOKUP($C102,ТабКлиенты[#Data],MATCH(G$1,ТабКлиенты[#Headers],0),0)</f>
        <v>47.0740, 37.4893</v>
      </c>
      <c r="H102" s="14">
        <v>1346</v>
      </c>
      <c r="I102" s="13">
        <v>131</v>
      </c>
      <c r="K102" t="str">
        <f t="shared" si="1"/>
        <v>8. Алена запчасти
Тел.: +79497375472
Адрес: строителей 25
№ заказа: 131
https://yandex.ru/maps/?text=47.0740%2C37.4893
https://maps.google.com/?daddr=47.0740%2C37.4893
К оплате: **1346
**----------------------------------------------------------</v>
      </c>
    </row>
    <row r="103" spans="1:11" hidden="1" x14ac:dyDescent="0.25">
      <c r="A103">
        <v>9</v>
      </c>
      <c r="B103" s="1">
        <v>45465</v>
      </c>
      <c r="C103" t="s">
        <v>210</v>
      </c>
      <c r="D103" t="str">
        <f>VLOOKUP($C103,ТабКлиенты[#Data],MATCH(D$1,ТабКлиенты[#Headers],0),0)</f>
        <v>+79498350206</v>
      </c>
      <c r="E103" t="str">
        <f>VLOOKUP($C103,ТабКлиенты[#Data],MATCH(E$1,ТабКлиенты[#Headers],0),0)</f>
        <v>Сумская 42</v>
      </c>
      <c r="G103" s="14" t="str">
        <f>VLOOKUP($C103,ТабКлиенты[#Data],MATCH(G$1,ТабКлиенты[#Headers],0),0)</f>
        <v>47.0740, 37.4893</v>
      </c>
      <c r="H103" s="14">
        <v>600</v>
      </c>
      <c r="I103" s="13">
        <v>140</v>
      </c>
      <c r="K103" t="str">
        <f t="shared" si="1"/>
        <v>9. Максим рюкзак
Тел.: +79498350206
Адрес: Сумская 42
№ заказа: 140
https://yandex.ru/maps/?text=47.0740%2C37.4893
https://maps.google.com/?daddr=47.0740%2C37.4893
К оплате: **600
**----------------------------------------------------------</v>
      </c>
    </row>
    <row r="104" spans="1:11" hidden="1" x14ac:dyDescent="0.25">
      <c r="A104">
        <v>10</v>
      </c>
      <c r="B104" s="1">
        <v>45465</v>
      </c>
      <c r="C104" t="s">
        <v>353</v>
      </c>
      <c r="D104" t="str">
        <f>VLOOKUP($C104,ТабКлиенты[#Data],MATCH(D$1,ТабКлиенты[#Headers],0),0)</f>
        <v>+79496248226</v>
      </c>
      <c r="E104" t="str">
        <f>VLOOKUP($C104,ТабКлиенты[#Data],MATCH(E$1,ТабКлиенты[#Headers],0),0)</f>
        <v>Шевченко 274</v>
      </c>
      <c r="G104" s="14" t="str">
        <f>VLOOKUP($C104,ТабКлиенты[#Data],MATCH(G$1,ТабКлиенты[#Headers],0),0)</f>
        <v>47.1149, 37.5127</v>
      </c>
      <c r="H104" s="14">
        <v>4000</v>
      </c>
      <c r="K104" t="str">
        <f t="shared" si="1"/>
        <v>10. Даша Калифорния
Тел.: +79496248226
Адрес: Шевченко 274
№ заказа: 
https://yandex.ru/maps/?text=47.1149%2C37.5127
https://maps.google.com/?daddr=47.1149%2C37.5127
К оплате: **4000
**----------------------------------------------------------</v>
      </c>
    </row>
    <row r="105" spans="1:11" hidden="1" x14ac:dyDescent="0.25">
      <c r="A105">
        <v>11</v>
      </c>
      <c r="B105" s="1">
        <v>45465</v>
      </c>
      <c r="C105" t="s">
        <v>373</v>
      </c>
      <c r="D105" t="str">
        <f>VLOOKUP($C105,ТабКлиенты[#Data],MATCH(D$1,ТабКлиенты[#Headers],0),0)</f>
        <v>+79497081831</v>
      </c>
      <c r="E105" t="str">
        <f>VLOOKUP($C105,ТабКлиенты[#Data],MATCH(E$1,ТабКлиенты[#Headers],0),0)</f>
        <v>Шевченко 289А</v>
      </c>
      <c r="G105" s="14" t="str">
        <f>VLOOKUP($C105,ТабКлиенты[#Data],MATCH(G$1,ТабКлиенты[#Headers],0),0)</f>
        <v>47.1168, 37.5229</v>
      </c>
      <c r="H105" s="14">
        <v>700</v>
      </c>
      <c r="K105" t="str">
        <f t="shared" si="1"/>
        <v>11. Лида корма
Тел.: +79497081831
Адрес: Шевченко 289А
№ заказа: 
https://yandex.ru/maps/?text=47.1168%2C37.5229
https://maps.google.com/?daddr=47.1168%2C37.5229
К оплате: **700
**----------------------------------------------------------</v>
      </c>
    </row>
    <row r="106" spans="1:11" hidden="1" x14ac:dyDescent="0.25">
      <c r="A106">
        <v>12</v>
      </c>
      <c r="B106" s="1">
        <v>45465</v>
      </c>
      <c r="C106" t="s">
        <v>104</v>
      </c>
      <c r="D106" t="str">
        <f>VLOOKUP($C106,ТабКлиенты[#Data],MATCH(D$1,ТабКлиенты[#Headers],0),0)</f>
        <v>+79497065096</v>
      </c>
      <c r="E106" t="str">
        <f>VLOOKUP($C106,ТабКлиенты[#Data],MATCH(E$1,ТабКлиенты[#Headers],0),0)</f>
        <v>Урицкого 84</v>
      </c>
      <c r="G106" s="14" t="str">
        <f>VLOOKUP($C106,ТабКлиенты[#Data],MATCH(G$1,ТабКлиенты[#Headers],0),0)</f>
        <v>47.1209, 37.5237</v>
      </c>
      <c r="H106" s="14">
        <v>2032</v>
      </c>
      <c r="I106" s="13" t="s">
        <v>1310</v>
      </c>
      <c r="K106" t="str">
        <f t="shared" si="1"/>
        <v>12. Максим телевизор
Тел.: +79497065096
Адрес: Урицкого 84
№ заказа: 129  139
https://yandex.ru/maps/?text=47.1209%2C37.5237
https://maps.google.com/?daddr=47.1209%2C37.5237
К оплате: **2032
**----------------------------------------------------------</v>
      </c>
    </row>
    <row r="107" spans="1:11" hidden="1" x14ac:dyDescent="0.25">
      <c r="A107">
        <v>1</v>
      </c>
      <c r="B107" s="1">
        <v>45472</v>
      </c>
      <c r="C107" t="s">
        <v>231</v>
      </c>
      <c r="D107" t="str">
        <f>VLOOKUP($C107,ТабКлиенты[#Data],MATCH(D$1,ТабКлиенты[#Headers],0),0)</f>
        <v>+79497266403</v>
      </c>
      <c r="E107" t="str">
        <f>VLOOKUP($C107,ТабКлиенты[#Data],MATCH(E$1,ТабКлиенты[#Headers],0),0)</f>
        <v>Металлургов 102 1 подъезд 8 этаж</v>
      </c>
      <c r="G107" s="14" t="str">
        <f>VLOOKUP($C107,ТабКлиенты[#Data],MATCH(G$1,ТабКлиенты[#Headers],0),0)</f>
        <v>47.1099, 37.5543</v>
      </c>
      <c r="H107" s="14">
        <v>0</v>
      </c>
      <c r="I107" s="13">
        <v>147</v>
      </c>
      <c r="K107" t="str">
        <f t="shared" ref="K107:K112" si="2">A107&amp;". "&amp;C107&amp;CHAR(10)&amp;"Тел.: "&amp;D107&amp;CHAR(10)&amp;"Адрес: "&amp;E107&amp;CHAR(10)&amp;"№ заказа: "&amp;I107&amp;CHAR(10)&amp;"https://yandex.ru/maps/?text="&amp;REPLACE(G107,SEARCH(",",G107),2,"%2C")&amp;CHAR(10)&amp;"https://maps.google.com/?daddr="&amp;REPLACE(G107,SEARCH(",",G107),2,"%2C")&amp;CHAR(10)&amp;"К оплате: "&amp;"**"&amp;H107&amp;CHAR(10)&amp;"**"&amp;"----------------------------------------------------------"</f>
        <v>1. Лариса Кирова
Тел.: +79497266403
Адрес: Металлургов 102 1 подъезд 8 этаж
№ заказа: 147
https://yandex.ru/maps/?text=47.1099%2C37.5543
https://maps.google.com/?daddr=47.1099%2C37.5543
К оплате: **0
**----------------------------------------------------------</v>
      </c>
    </row>
    <row r="108" spans="1:11" hidden="1" x14ac:dyDescent="0.25">
      <c r="A108">
        <v>2</v>
      </c>
      <c r="B108" s="1">
        <v>45472</v>
      </c>
      <c r="C108" t="s">
        <v>357</v>
      </c>
      <c r="D108" t="str">
        <f>VLOOKUP($C108,ТабКлиенты[#Data],MATCH(D$1,ТабКлиенты[#Headers],0),0)</f>
        <v>+79497114644</v>
      </c>
      <c r="E108" t="str">
        <f>VLOOKUP($C108,ТабКлиенты[#Data],MATCH(E$1,ТабКлиенты[#Headers],0),0)</f>
        <v>Металлургов 143</v>
      </c>
      <c r="G108" s="14" t="str">
        <f>VLOOKUP($C108,ТабКлиенты[#Data],MATCH(G$1,ТабКлиенты[#Headers],0),0)</f>
        <v>47.1199, 37.5643</v>
      </c>
      <c r="H108" s="14">
        <v>0</v>
      </c>
      <c r="I108" s="13" t="s">
        <v>1311</v>
      </c>
      <c r="K108" t="str">
        <f t="shared" si="2"/>
        <v>2. Юля Ларисына
Тел.: +79497114644
Адрес: Металлургов 143
№ заказа: 137  145
https://yandex.ru/maps/?text=47.1199%2C37.5643
https://maps.google.com/?daddr=47.1199%2C37.5643
К оплате: **0
**----------------------------------------------------------</v>
      </c>
    </row>
    <row r="109" spans="1:11" hidden="1" x14ac:dyDescent="0.25">
      <c r="A109">
        <v>3</v>
      </c>
      <c r="B109" s="1">
        <v>45472</v>
      </c>
      <c r="C109" t="s">
        <v>381</v>
      </c>
      <c r="D109" t="str">
        <f>VLOOKUP($C109,ТабКлиенты[#Data],MATCH(D$1,ТабКлиенты[#Headers],0),0)</f>
        <v>+79496334298</v>
      </c>
      <c r="E109" t="str">
        <f>VLOOKUP($C109,ТабКлиенты[#Data],MATCH(E$1,ТабКлиенты[#Headers],0),0)</f>
        <v>Сартана, Колхозная 21а</v>
      </c>
      <c r="G109" s="14" t="str">
        <f>VLOOKUP($C109,ТабКлиенты[#Data],MATCH(G$1,ТабКлиенты[#Headers],0),0)</f>
        <v>47.1786, 37.7015</v>
      </c>
      <c r="H109" s="14">
        <v>1552</v>
      </c>
      <c r="I109" s="13">
        <v>150</v>
      </c>
      <c r="K109" t="str">
        <f t="shared" si="2"/>
        <v>3. Екатерина Сартана
Тел.: +79496334298
Адрес: Сартана, Колхозная 21а
№ заказа: 150
https://yandex.ru/maps/?text=47.1786%2C37.7015
https://maps.google.com/?daddr=47.1786%2C37.7015
К оплате: **1552
**----------------------------------------------------------</v>
      </c>
    </row>
    <row r="110" spans="1:11" hidden="1" x14ac:dyDescent="0.25">
      <c r="A110">
        <v>4</v>
      </c>
      <c r="B110" s="1">
        <v>45472</v>
      </c>
      <c r="C110" t="s">
        <v>91</v>
      </c>
      <c r="D110" t="str">
        <f>VLOOKUP($C110,ТабКлиенты[#Data],MATCH(D$1,ТабКлиенты[#Headers],0),0)</f>
        <v>+79497284454</v>
      </c>
      <c r="E110" t="str">
        <f>VLOOKUP($C110,ТабКлиенты[#Data],MATCH(E$1,ТабКлиенты[#Headers],0),0)</f>
        <v>строителей 156</v>
      </c>
      <c r="G110" s="14" t="str">
        <f>VLOOKUP($C110,ТабКлиенты[#Data],MATCH(G$1,ТабКлиенты[#Headers],0),0)</f>
        <v>47.1186, 37.5244</v>
      </c>
      <c r="H110" s="14">
        <v>0</v>
      </c>
      <c r="I110" s="13">
        <v>146</v>
      </c>
      <c r="K110" t="str">
        <f t="shared" si="2"/>
        <v>4. Елена гайдар
Тел.: +79497284454
Адрес: строителей 156
№ заказа: 146
https://yandex.ru/maps/?text=47.1186%2C37.5244
https://maps.google.com/?daddr=47.1186%2C37.5244
К оплате: **0
**----------------------------------------------------------</v>
      </c>
    </row>
    <row r="111" spans="1:11" hidden="1" x14ac:dyDescent="0.25">
      <c r="A111">
        <v>6</v>
      </c>
      <c r="B111" s="1">
        <v>45472</v>
      </c>
      <c r="C111" t="s">
        <v>139</v>
      </c>
      <c r="D111" t="str">
        <f>VLOOKUP($C111,ТабКлиенты[#Data],MATCH(D$1,ТабКлиенты[#Headers],0),0)</f>
        <v>+79497375472</v>
      </c>
      <c r="E111" t="str">
        <f>VLOOKUP($C111,ТабКлиенты[#Data],MATCH(E$1,ТабКлиенты[#Headers],0),0)</f>
        <v>строителей 25</v>
      </c>
      <c r="G111" s="14" t="str">
        <f>VLOOKUP($C111,ТабКлиенты[#Data],MATCH(G$1,ТабКлиенты[#Headers],0),0)</f>
        <v>47.0740, 37.4893</v>
      </c>
      <c r="H111" s="14">
        <v>1306</v>
      </c>
      <c r="I111" s="13">
        <v>138</v>
      </c>
      <c r="K111" t="str">
        <f t="shared" si="2"/>
        <v>6. Алена запчасти
Тел.: +79497375472
Адрес: строителей 25
№ заказа: 138
https://yandex.ru/maps/?text=47.0740%2C37.4893
https://maps.google.com/?daddr=47.0740%2C37.4893
К оплате: **1306
**----------------------------------------------------------</v>
      </c>
    </row>
    <row r="112" spans="1:11" hidden="1" x14ac:dyDescent="0.25">
      <c r="A112">
        <v>7</v>
      </c>
      <c r="B112" s="1">
        <v>45472</v>
      </c>
      <c r="C112" t="s">
        <v>385</v>
      </c>
      <c r="D112" t="str">
        <f>VLOOKUP($C112,ТабКлиенты[#Data],MATCH(D$1,ТабКлиенты[#Headers],0),0)</f>
        <v>+79497169864</v>
      </c>
      <c r="E112" t="str">
        <f>VLOOKUP($C112,ТабКлиенты[#Data],MATCH(E$1,ТабКлиенты[#Headers],0),0)</f>
        <v>пер. Ейский 9</v>
      </c>
      <c r="G112" s="14" t="str">
        <f>VLOOKUP($C112,ТабКлиенты[#Data],MATCH(G$1,ТабКлиенты[#Headers],0),0)</f>
        <v>47.0898, 37.5062</v>
      </c>
      <c r="H112" s="14"/>
      <c r="I112" s="13" t="s">
        <v>1271</v>
      </c>
      <c r="K112" t="str">
        <f t="shared" si="2"/>
        <v>7. Надежда Витамины
Тел.: +79497169864
Адрес: пер. Ейский 9
№ заказа: Витамины
https://yandex.ru/maps/?text=47.0898%2C37.5062
https://maps.google.com/?daddr=47.0898%2C37.5062
К оплате: **
**----------------------------------------------------------</v>
      </c>
    </row>
    <row r="113" spans="1:11" hidden="1" x14ac:dyDescent="0.25">
      <c r="A113">
        <v>1</v>
      </c>
      <c r="B113" s="1">
        <v>45479</v>
      </c>
      <c r="C113" t="s">
        <v>292</v>
      </c>
      <c r="D113" t="str">
        <f>VLOOKUP($C113,ТабКлиенты[#Data],MATCH(D$1,ТабКлиенты[#Headers],0),0)</f>
        <v>+79496019237</v>
      </c>
      <c r="E113" t="str">
        <f>VLOOKUP($C113,ТабКлиенты[#Data],MATCH(E$1,ТабКлиенты[#Headers],0),0)</f>
        <v>Металлургов 92</v>
      </c>
      <c r="G113" s="14" t="str">
        <f>VLOOKUP($C113,ТабКлиенты[#Data],MATCH(G$1,ТабКлиенты[#Headers],0),0)</f>
        <v>47.1053, 37.5483</v>
      </c>
      <c r="H113" s="14">
        <v>0</v>
      </c>
      <c r="I113" s="13" t="s">
        <v>1271</v>
      </c>
      <c r="J113" s="13">
        <v>1</v>
      </c>
      <c r="K113" t="str">
        <f t="shared" ref="K113" si="3">A113&amp;". "&amp;C113&amp;CHAR(10)&amp;"Тел.: "&amp;D113&amp;CHAR(10)&amp;"Адрес: "&amp;E113&amp;CHAR(10)&amp;"№ заказа: "&amp;I113&amp;CHAR(10)&amp;"Кол-во мест: "&amp;J113&amp;CHAR(10)&amp;"https://yandex.ru/maps/?text="&amp;REPLACE(G113,SEARCH(",",G113),2,"%2C")&amp;CHAR(10)&amp;"https://maps.google.com/?daddr="&amp;REPLACE(G113,SEARCH(",",G113),2,"%2C")&amp;CHAR(10)&amp;"К оплате: "&amp;"**"&amp;H113&amp;CHAR(10)&amp;"**"&amp;"----------------------------------------------------------"</f>
        <v>1. Людмила Эдельвейс
Тел.: +79496019237
Адрес: Металлургов 92
№ заказа: Витамины
Кол-во мест: 1
https://yandex.ru/maps/?text=47.1053%2C37.5483
https://maps.google.com/?daddr=47.1053%2C37.5483
К оплате: **0
**----------------------------------------------------------</v>
      </c>
    </row>
    <row r="114" spans="1:11" hidden="1" x14ac:dyDescent="0.25">
      <c r="A114">
        <v>2</v>
      </c>
      <c r="B114" s="1">
        <v>45479</v>
      </c>
      <c r="C114" t="s">
        <v>287</v>
      </c>
      <c r="D114" t="str">
        <f>VLOOKUP($C114,ТабКлиенты[#Data],MATCH(D$1,ТабКлиенты[#Headers],0),0)</f>
        <v>+79497398064</v>
      </c>
      <c r="E114" t="str">
        <f>VLOOKUP($C114,ТабКлиенты[#Data],MATCH(E$1,ТабКлиенты[#Headers],0),0)</f>
        <v>Металлургов, 97</v>
      </c>
      <c r="G114" s="14" t="str">
        <f>VLOOKUP($C114,ТабКлиенты[#Data],MATCH(G$1,ТабКлиенты[#Headers],0),0)</f>
        <v>47.1070, 37.5542</v>
      </c>
      <c r="H114" s="14">
        <v>0</v>
      </c>
      <c r="I114" s="13">
        <v>158</v>
      </c>
      <c r="J114" s="13">
        <v>2</v>
      </c>
      <c r="K114" t="str">
        <f>A114&amp;". "&amp;C114&amp;CHAR(10)&amp;"Тел.: "&amp;D114&amp;CHAR(10)&amp;"Адрес: "&amp;E114&amp;CHAR(10)&amp;"№ заказа: "&amp;I114&amp;CHAR(10)&amp;"Кол-во мест: "&amp;J114&amp;CHAR(10)&amp;"https://yandex.ru/maps/?text="&amp;REPLACE(G114,SEARCH(",",G114),2,"%2C")&amp;CHAR(10)&amp;"https://maps.google.com/?daddr="&amp;REPLACE(G114,SEARCH(",",G114),2,"%2C")&amp;CHAR(10)&amp;"К оплате: "&amp;"**"&amp;H114&amp;CHAR(10)&amp;"**"&amp;"----------------------------------------------------------"</f>
        <v>2. Елена Ларисына
Тел.: +79497398064
Адрес: Металлургов, 97
№ заказа: 158
Кол-во мест: 2
https://yandex.ru/maps/?text=47.1070%2C37.5542
https://maps.google.com/?daddr=47.1070%2C37.5542
К оплате: **0
**----------------------------------------------------------</v>
      </c>
    </row>
    <row r="115" spans="1:11" hidden="1" x14ac:dyDescent="0.25">
      <c r="A115">
        <v>3</v>
      </c>
      <c r="B115" s="1">
        <v>45479</v>
      </c>
      <c r="C115" t="s">
        <v>231</v>
      </c>
      <c r="D115" t="str">
        <f>VLOOKUP($C115,ТабКлиенты[#Data],MATCH(D$1,ТабКлиенты[#Headers],0),0)</f>
        <v>+79497266403</v>
      </c>
      <c r="E115" t="str">
        <f>VLOOKUP($C115,ТабКлиенты[#Data],MATCH(E$1,ТабКлиенты[#Headers],0),0)</f>
        <v>Металлургов 102 1 подъезд 8 этаж</v>
      </c>
      <c r="G115" s="14" t="str">
        <f>VLOOKUP($C115,ТабКлиенты[#Data],MATCH(G$1,ТабКлиенты[#Headers],0),0)</f>
        <v>47.1099, 37.5543</v>
      </c>
      <c r="H115" s="14">
        <v>0</v>
      </c>
      <c r="I115" s="13" t="s">
        <v>1312</v>
      </c>
      <c r="J115" s="13">
        <v>1</v>
      </c>
      <c r="K115" t="str">
        <f t="shared" ref="K115:K178" si="4">A115&amp;". "&amp;C115&amp;CHAR(10)&amp;"Тел.: "&amp;D115&amp;CHAR(10)&amp;"Адрес: "&amp;E115&amp;CHAR(10)&amp;"№ заказа: "&amp;I115&amp;CHAR(10)&amp;"Кол-во мест: "&amp;J115&amp;CHAR(10)&amp;"https://yandex.ru/maps/?text="&amp;REPLACE(G115,SEARCH(",",G115),2,"%2C")&amp;CHAR(10)&amp;"https://maps.google.com/?daddr="&amp;REPLACE(G115,SEARCH(",",G115),2,"%2C")&amp;CHAR(10)&amp;"К оплате: "&amp;"**"&amp;H115&amp;CHAR(10)&amp;"**"&amp;"----------------------------------------------------------"</f>
        <v>3. Лариса Кирова
Тел.: +79497266403
Адрес: Металлургов 102 1 подъезд 8 этаж
№ заказа: 147  160
Кол-во мест: 1
https://yandex.ru/maps/?text=47.1099%2C37.5543
https://maps.google.com/?daddr=47.1099%2C37.5543
К оплате: **0
**----------------------------------------------------------</v>
      </c>
    </row>
    <row r="116" spans="1:11" hidden="1" x14ac:dyDescent="0.25">
      <c r="A116">
        <v>4</v>
      </c>
      <c r="B116" s="1">
        <v>45479</v>
      </c>
      <c r="C116" t="s">
        <v>112</v>
      </c>
      <c r="D116" t="str">
        <f>VLOOKUP($C116,ТабКлиенты[#Data],MATCH(D$1,ТабКлиенты[#Headers],0),0)</f>
        <v>+79497340681</v>
      </c>
      <c r="E116" t="str">
        <f>VLOOKUP($C116,ТабКлиенты[#Data],MATCH(E$1,ТабКлиенты[#Headers],0),0)</f>
        <v>Покрышкина 99</v>
      </c>
      <c r="G116" s="14" t="str">
        <f>VLOOKUP($C116,ТабКлиенты[#Data],MATCH(G$1,ТабКлиенты[#Headers],0),0)</f>
        <v>47.1259, 37.5629</v>
      </c>
      <c r="H116" s="14">
        <v>396</v>
      </c>
      <c r="I116" s="13">
        <v>154</v>
      </c>
      <c r="J116" s="13">
        <v>1</v>
      </c>
      <c r="K116" t="str">
        <f t="shared" si="4"/>
        <v>4. Митрофанов Евгений
Тел.: +79497340681
Адрес: Покрышкина 99
№ заказа: 154
Кол-во мест: 1
https://yandex.ru/maps/?text=47.1259%2C37.5629
https://maps.google.com/?daddr=47.1259%2C37.5629
К оплате: **396
**----------------------------------------------------------</v>
      </c>
    </row>
    <row r="117" spans="1:11" hidden="1" x14ac:dyDescent="0.25">
      <c r="A117">
        <v>5</v>
      </c>
      <c r="B117" s="1">
        <v>45479</v>
      </c>
      <c r="C117" t="s">
        <v>357</v>
      </c>
      <c r="D117" t="str">
        <f>VLOOKUP($C117,ТабКлиенты[#Data],MATCH(D$1,ТабКлиенты[#Headers],0),0)</f>
        <v>+79497114644</v>
      </c>
      <c r="E117" t="str">
        <f>VLOOKUP($C117,ТабКлиенты[#Data],MATCH(E$1,ТабКлиенты[#Headers],0),0)</f>
        <v>Металлургов 143</v>
      </c>
      <c r="G117" s="14" t="str">
        <f>VLOOKUP($C117,ТабКлиенты[#Data],MATCH(G$1,ТабКлиенты[#Headers],0),0)</f>
        <v>47.1199, 37.5643</v>
      </c>
      <c r="H117" s="14">
        <v>0</v>
      </c>
      <c r="I117" s="13" t="s">
        <v>1313</v>
      </c>
      <c r="J117" s="13">
        <v>2</v>
      </c>
      <c r="K117" t="str">
        <f t="shared" si="4"/>
        <v>5. Юля Ларисына
Тел.: +79497114644
Адрес: Металлургов 143
№ заказа: 145  152  162
Кол-во мест: 2
https://yandex.ru/maps/?text=47.1199%2C37.5643
https://maps.google.com/?daddr=47.1199%2C37.5643
К оплате: **0
**----------------------------------------------------------</v>
      </c>
    </row>
    <row r="118" spans="1:11" hidden="1" x14ac:dyDescent="0.25">
      <c r="A118">
        <v>6</v>
      </c>
      <c r="B118" s="1">
        <v>45479</v>
      </c>
      <c r="C118" t="s">
        <v>377</v>
      </c>
      <c r="D118" t="str">
        <f>VLOOKUP($C118,ТабКлиенты[#Data],MATCH(D$1,ТабКлиенты[#Headers],0),0)</f>
        <v>+79497420538</v>
      </c>
      <c r="E118" t="str">
        <f>VLOOKUP($C118,ТабКлиенты[#Data],MATCH(E$1,ТабКлиенты[#Headers],0),0)</f>
        <v>Сормовская 2</v>
      </c>
      <c r="G118" s="14" t="str">
        <f>VLOOKUP($C118,ТабКлиенты[#Data],MATCH(G$1,ТабКлиенты[#Headers],0),0)</f>
        <v>47.1353, 37.5803</v>
      </c>
      <c r="H118" s="14">
        <v>0</v>
      </c>
      <c r="I118" s="13">
        <v>148</v>
      </c>
      <c r="J118" s="13">
        <v>1</v>
      </c>
      <c r="K118" t="str">
        <f t="shared" si="4"/>
        <v>6. Сергей Кононенко
Тел.: +79497420538
Адрес: Сормовская 2
№ заказа: 148
Кол-во мест: 1
https://yandex.ru/maps/?text=47.1353%2C37.5803
https://maps.google.com/?daddr=47.1353%2C37.5803
К оплате: **0
**----------------------------------------------------------</v>
      </c>
    </row>
    <row r="119" spans="1:11" hidden="1" x14ac:dyDescent="0.25">
      <c r="A119">
        <v>7</v>
      </c>
      <c r="B119" s="1">
        <v>45479</v>
      </c>
      <c r="C119" t="s">
        <v>346</v>
      </c>
      <c r="D119" t="str">
        <f>VLOOKUP($C119,ТабКлиенты[#Data],MATCH(D$1,ТабКлиенты[#Headers],0),0)</f>
        <v>@Filin9819</v>
      </c>
      <c r="E119" t="str">
        <f>VLOOKUP($C119,ТабКлиенты[#Data],MATCH(E$1,ТабКлиенты[#Headers],0),0)</f>
        <v>Заря</v>
      </c>
      <c r="G119" s="14" t="str">
        <f>VLOOKUP($C119,ТабКлиенты[#Data],MATCH(G$1,ТабКлиенты[#Headers],0),0)</f>
        <v>47.3002, 37.5931</v>
      </c>
      <c r="H119" s="14">
        <v>18200</v>
      </c>
      <c r="I119" s="13" t="s">
        <v>1271</v>
      </c>
      <c r="K119" t="str">
        <f t="shared" si="4"/>
        <v>7. Александр электростанция
Тел.: @Filin9819
Адрес: Заря
№ заказа: Витамины
Кол-во мест: 
https://yandex.ru/maps/?text=47.3002%2C37.5931
https://maps.google.com/?daddr=47.3002%2C37.5931
К оплате: **18200
**----------------------------------------------------------</v>
      </c>
    </row>
    <row r="120" spans="1:11" hidden="1" x14ac:dyDescent="0.25">
      <c r="A120">
        <v>8</v>
      </c>
      <c r="B120" s="1">
        <v>45479</v>
      </c>
      <c r="C120" t="s">
        <v>283</v>
      </c>
      <c r="D120" t="str">
        <f>VLOOKUP($C120,ТабКлиенты[#Data],MATCH(D$1,ТабКлиенты[#Headers],0),0)</f>
        <v>+79497172395</v>
      </c>
      <c r="E120" t="str">
        <f>VLOOKUP($C120,ТабКлиенты[#Data],MATCH(E$1,ТабКлиенты[#Headers],0),0)</f>
        <v>Торговая 45</v>
      </c>
      <c r="G120" s="14" t="str">
        <f>VLOOKUP($C120,ТабКлиенты[#Data],MATCH(G$1,ТабКлиенты[#Headers],0),0)</f>
        <v>47.0982, 37.5627</v>
      </c>
      <c r="H120" s="14">
        <v>0</v>
      </c>
      <c r="I120" s="13" t="s">
        <v>1314</v>
      </c>
      <c r="J120" s="13">
        <v>4</v>
      </c>
      <c r="K120" t="str">
        <f t="shared" si="4"/>
        <v>8. Александр Каскад
Тел.: +79497172395
Адрес: Торговая 45
№ заказа: 142  155
Кол-во мест: 4
https://yandex.ru/maps/?text=47.0982%2C37.5627
https://maps.google.com/?daddr=47.0982%2C37.5627
К оплате: **0
**----------------------------------------------------------</v>
      </c>
    </row>
    <row r="121" spans="1:11" hidden="1" x14ac:dyDescent="0.25">
      <c r="A121">
        <v>9</v>
      </c>
      <c r="B121" s="1">
        <v>45479</v>
      </c>
      <c r="C121" t="s">
        <v>215</v>
      </c>
      <c r="D121" t="str">
        <f>VLOOKUP($C121,ТабКлиенты[#Data],MATCH(D$1,ТабКлиенты[#Headers],0),0)</f>
        <v>+79496290697</v>
      </c>
      <c r="E121" t="str">
        <f>VLOOKUP($C121,ТабКлиенты[#Data],MATCH(E$1,ТабКлиенты[#Headers],0),0)</f>
        <v>ЖД</v>
      </c>
      <c r="G121" s="14" t="str">
        <f>VLOOKUP($C121,ТабКлиенты[#Data],MATCH(G$1,ТабКлиенты[#Headers],0),0)</f>
        <v>47.0858, 37.5549</v>
      </c>
      <c r="H121" s="14">
        <v>692</v>
      </c>
      <c r="I121" s="13">
        <v>153</v>
      </c>
      <c r="J121" s="13">
        <v>1</v>
      </c>
      <c r="K121" t="str">
        <f t="shared" si="4"/>
        <v>9. Пашок
Тел.: +79496290697
Адрес: ЖД
№ заказа: 153
Кол-во мест: 1
https://yandex.ru/maps/?text=47.0858%2C37.5549
https://maps.google.com/?daddr=47.0858%2C37.5549
К оплате: **692
**----------------------------------------------------------</v>
      </c>
    </row>
    <row r="122" spans="1:11" hidden="1" x14ac:dyDescent="0.25">
      <c r="A122">
        <v>10</v>
      </c>
      <c r="B122" s="1">
        <v>45479</v>
      </c>
      <c r="C122" t="s">
        <v>204</v>
      </c>
      <c r="D122" t="str">
        <f>VLOOKUP($C122,ТабКлиенты[#Data],MATCH(D$1,ТабКлиенты[#Headers],0),0)</f>
        <v>+79497243297</v>
      </c>
      <c r="E122" t="str">
        <f>VLOOKUP($C122,ТабКлиенты[#Data],MATCH(E$1,ТабКлиенты[#Headers],0),0)</f>
        <v>Мариуполь, Митрополитская, 60</v>
      </c>
      <c r="G122" s="14" t="str">
        <f>VLOOKUP($C122,ТабКлиенты[#Data],MATCH(G$1,ТабКлиенты[#Headers],0),0)</f>
        <v>47.0999, 37.5500</v>
      </c>
      <c r="H122" s="14">
        <v>2238</v>
      </c>
      <c r="I122" s="13">
        <v>157</v>
      </c>
      <c r="J122" s="13">
        <v>1</v>
      </c>
      <c r="K122" t="str">
        <f t="shared" si="4"/>
        <v>10. Руденко Юля
Тел.: +79497243297
Адрес: Мариуполь, Митрополитская, 60
№ заказа: 157
Кол-во мест: 1
https://yandex.ru/maps/?text=47.0999%2C37.5500
https://maps.google.com/?daddr=47.0999%2C37.5500
К оплате: **2238
**----------------------------------------------------------</v>
      </c>
    </row>
    <row r="123" spans="1:11" hidden="1" x14ac:dyDescent="0.25">
      <c r="A123">
        <v>1</v>
      </c>
      <c r="B123" s="1">
        <v>45486</v>
      </c>
      <c r="C123" t="s">
        <v>287</v>
      </c>
      <c r="D123" t="str">
        <f>VLOOKUP($C123,ТабКлиенты[#Data],MATCH(D$1,ТабКлиенты[#Headers],0),0)</f>
        <v>+79497398064</v>
      </c>
      <c r="E123" t="str">
        <f>VLOOKUP($C123,ТабКлиенты[#Data],MATCH(E$1,ТабКлиенты[#Headers],0),0)</f>
        <v>Металлургов, 97</v>
      </c>
      <c r="G123" s="14" t="str">
        <f>VLOOKUP($C123,ТабКлиенты[#Data],MATCH(G$1,ТабКлиенты[#Headers],0),0)</f>
        <v>47.1070, 37.5542</v>
      </c>
      <c r="H123" s="14">
        <v>1837</v>
      </c>
      <c r="I123" s="13" t="s">
        <v>1315</v>
      </c>
      <c r="J123" s="13">
        <v>1</v>
      </c>
      <c r="K123" t="str">
        <f t="shared" si="4"/>
        <v>1. Елена Ларисына
Тел.: +79497398064
Адрес: Металлургов, 97
№ заказа: 158,  165
Кол-во мест: 1
https://yandex.ru/maps/?text=47.1070%2C37.5542
https://maps.google.com/?daddr=47.1070%2C37.5542
К оплате: **1837
**----------------------------------------------------------</v>
      </c>
    </row>
    <row r="124" spans="1:11" hidden="1" x14ac:dyDescent="0.25">
      <c r="A124">
        <v>2</v>
      </c>
      <c r="B124" s="1">
        <v>45486</v>
      </c>
      <c r="C124" t="s">
        <v>231</v>
      </c>
      <c r="D124" t="str">
        <f>VLOOKUP($C124,ТабКлиенты[#Data],MATCH(D$1,ТабКлиенты[#Headers],0),0)</f>
        <v>+79497266403</v>
      </c>
      <c r="E124" t="str">
        <f>VLOOKUP($C124,ТабКлиенты[#Data],MATCH(E$1,ТабКлиенты[#Headers],0),0)</f>
        <v>Металлургов 102 1 подъезд 8 этаж</v>
      </c>
      <c r="G124" s="14" t="str">
        <f>VLOOKUP($C124,ТабКлиенты[#Data],MATCH(G$1,ТабКлиенты[#Headers],0),0)</f>
        <v>47.1099, 37.5543</v>
      </c>
      <c r="H124" s="14">
        <v>2075</v>
      </c>
      <c r="I124" s="13" t="s">
        <v>1316</v>
      </c>
      <c r="J124" s="13">
        <v>1</v>
      </c>
      <c r="K124" t="str">
        <f t="shared" si="4"/>
        <v>2. Лариса Кирова
Тел.: +79497266403
Адрес: Металлургов 102 1 подъезд 8 этаж
№ заказа: 160  164
Кол-во мест: 1
https://yandex.ru/maps/?text=47.1099%2C37.5543
https://maps.google.com/?daddr=47.1099%2C37.5543
К оплате: **2075
**----------------------------------------------------------</v>
      </c>
    </row>
    <row r="125" spans="1:11" hidden="1" x14ac:dyDescent="0.25">
      <c r="A125">
        <v>3</v>
      </c>
      <c r="B125" s="1">
        <v>45486</v>
      </c>
      <c r="C125" t="s">
        <v>357</v>
      </c>
      <c r="D125" t="str">
        <f>VLOOKUP($C125,ТабКлиенты[#Data],MATCH(D$1,ТабКлиенты[#Headers],0),0)</f>
        <v>+79497114644</v>
      </c>
      <c r="E125" t="str">
        <f>VLOOKUP($C125,ТабКлиенты[#Data],MATCH(E$1,ТабКлиенты[#Headers],0),0)</f>
        <v>Металлургов 143</v>
      </c>
      <c r="G125" s="14" t="str">
        <f>VLOOKUP($C125,ТабКлиенты[#Data],MATCH(G$1,ТабКлиенты[#Headers],0),0)</f>
        <v>47.1199, 37.5643</v>
      </c>
      <c r="H125" s="14">
        <v>0</v>
      </c>
      <c r="I125" s="13">
        <v>162</v>
      </c>
      <c r="J125" s="13">
        <v>1</v>
      </c>
      <c r="K125" t="str">
        <f t="shared" si="4"/>
        <v>3. Юля Ларисына
Тел.: +79497114644
Адрес: Металлургов 143
№ заказа: 162
Кол-во мест: 1
https://yandex.ru/maps/?text=47.1199%2C37.5643
https://maps.google.com/?daddr=47.1199%2C37.5643
К оплате: **0
**----------------------------------------------------------</v>
      </c>
    </row>
    <row r="126" spans="1:11" hidden="1" x14ac:dyDescent="0.25">
      <c r="A126">
        <v>4</v>
      </c>
      <c r="B126" s="1">
        <v>45486</v>
      </c>
      <c r="C126" t="s">
        <v>112</v>
      </c>
      <c r="D126" t="str">
        <f>VLOOKUP($C126,ТабКлиенты[#Data],MATCH(D$1,ТабКлиенты[#Headers],0),0)</f>
        <v>+79497340681</v>
      </c>
      <c r="E126" t="str">
        <f>VLOOKUP($C126,ТабКлиенты[#Data],MATCH(E$1,ТабКлиенты[#Headers],0),0)</f>
        <v>Покрышкина 99</v>
      </c>
      <c r="G126" s="14" t="str">
        <f>VLOOKUP($C126,ТабКлиенты[#Data],MATCH(G$1,ТабКлиенты[#Headers],0),0)</f>
        <v>47.1259, 37.5629</v>
      </c>
      <c r="H126" s="14">
        <v>1250</v>
      </c>
      <c r="I126" s="13">
        <v>171</v>
      </c>
      <c r="J126" s="13">
        <v>1</v>
      </c>
      <c r="K126" t="str">
        <f t="shared" si="4"/>
        <v>4. Митрофанов Евгений
Тел.: +79497340681
Адрес: Покрышкина 99
№ заказа: 171
Кол-во мест: 1
https://yandex.ru/maps/?text=47.1259%2C37.5629
https://maps.google.com/?daddr=47.1259%2C37.5629
К оплате: **1250
**----------------------------------------------------------</v>
      </c>
    </row>
    <row r="127" spans="1:11" hidden="1" x14ac:dyDescent="0.25">
      <c r="A127">
        <v>5</v>
      </c>
      <c r="B127" s="1">
        <v>45486</v>
      </c>
      <c r="C127" t="s">
        <v>396</v>
      </c>
      <c r="D127" t="str">
        <f>VLOOKUP($C127,ТабКлиенты[#Data],MATCH(D$1,ТабКлиенты[#Headers],0),0)</f>
        <v>+79145805375</v>
      </c>
      <c r="E127" t="str">
        <f>VLOOKUP($C127,ТабКлиенты[#Data],MATCH(E$1,ТабКлиенты[#Headers],0),0)</f>
        <v>Верхний блок 144а-2</v>
      </c>
      <c r="G127" s="14" t="str">
        <f>VLOOKUP($C127,ТабКлиенты[#Data],MATCH(G$1,ТабКлиенты[#Headers],0),0)</f>
        <v>47.1149, 37.5903</v>
      </c>
      <c r="H127" s="14">
        <v>0</v>
      </c>
      <c r="I127" s="13">
        <v>174</v>
      </c>
      <c r="J127" s="13">
        <v>1</v>
      </c>
      <c r="K127" t="str">
        <f t="shared" si="4"/>
        <v>5. Анатолий Правый
Тел.: +79145805375
Адрес: Верхний блок 144а-2
№ заказа: 174
Кол-во мест: 1
https://yandex.ru/maps/?text=47.1149%2C37.5903
https://maps.google.com/?daddr=47.1149%2C37.5903
К оплате: **0
**----------------------------------------------------------</v>
      </c>
    </row>
    <row r="128" spans="1:11" hidden="1" x14ac:dyDescent="0.25">
      <c r="A128">
        <v>7</v>
      </c>
      <c r="B128" s="1">
        <v>45486</v>
      </c>
      <c r="C128" t="s">
        <v>33</v>
      </c>
      <c r="D128" t="str">
        <f>VLOOKUP($C128,ТабКлиенты[#Data],MATCH(D$1,ТабКлиенты[#Headers],0),0)</f>
        <v>+79496069479</v>
      </c>
      <c r="E128" t="str">
        <f>VLOOKUP($C128,ТабКлиенты[#Data],MATCH(E$1,ТабКлиенты[#Headers],0),0)</f>
        <v>Марьинская 145 Новоселовка Церковь</v>
      </c>
      <c r="G128" s="14" t="str">
        <f>VLOOKUP($C128,ТабКлиенты[#Data],MATCH(G$1,ТабКлиенты[#Headers],0),0)</f>
        <v>47.1126, 37.5473</v>
      </c>
      <c r="H128" s="14">
        <v>2107</v>
      </c>
      <c r="I128" s="13">
        <v>163</v>
      </c>
      <c r="J128" s="13">
        <v>1</v>
      </c>
      <c r="K128" t="str">
        <f t="shared" si="4"/>
        <v>7. Галина Агабекова(церковь)
Тел.: +79496069479
Адрес: Марьинская 145 Новоселовка Церковь
№ заказа: 163
Кол-во мест: 1
https://yandex.ru/maps/?text=47.1126%2C37.5473
https://maps.google.com/?daddr=47.1126%2C37.5473
К оплате: **2107
**----------------------------------------------------------</v>
      </c>
    </row>
    <row r="129" spans="1:11" hidden="1" x14ac:dyDescent="0.25">
      <c r="A129">
        <v>8</v>
      </c>
      <c r="B129" s="1">
        <v>45486</v>
      </c>
      <c r="C129" t="s">
        <v>385</v>
      </c>
      <c r="D129" t="str">
        <f>VLOOKUP($C129,ТабКлиенты[#Data],MATCH(D$1,ТабКлиенты[#Headers],0),0)</f>
        <v>+79497169864</v>
      </c>
      <c r="E129" t="str">
        <f>VLOOKUP($C129,ТабКлиенты[#Data],MATCH(E$1,ТабКлиенты[#Headers],0),0)</f>
        <v>пер. Ейский 9</v>
      </c>
      <c r="G129" s="14" t="str">
        <f>VLOOKUP($C129,ТабКлиенты[#Data],MATCH(G$1,ТабКлиенты[#Headers],0),0)</f>
        <v>47.0898, 37.5062</v>
      </c>
      <c r="H129" s="14">
        <v>4130</v>
      </c>
      <c r="I129" s="13" t="s">
        <v>1271</v>
      </c>
      <c r="J129" s="13">
        <v>1</v>
      </c>
      <c r="K129" t="str">
        <f t="shared" si="4"/>
        <v>8. Надежда Витамины
Тел.: +79497169864
Адрес: пер. Ейский 9
№ заказа: Витамины
Кол-во мест: 1
https://yandex.ru/maps/?text=47.0898%2C37.5062
https://maps.google.com/?daddr=47.0898%2C37.5062
К оплате: **4130
**----------------------------------------------------------</v>
      </c>
    </row>
    <row r="130" spans="1:11" hidden="1" x14ac:dyDescent="0.25">
      <c r="A130">
        <v>9</v>
      </c>
      <c r="B130" s="1">
        <v>45486</v>
      </c>
      <c r="C130" t="s">
        <v>108</v>
      </c>
      <c r="D130" t="str">
        <f>VLOOKUP($C130,ТабКлиенты[#Data],MATCH(D$1,ТабКлиенты[#Headers],0),0)</f>
        <v>+79497174095</v>
      </c>
      <c r="E130" t="str">
        <f>VLOOKUP($C130,ТабКлиенты[#Data],MATCH(E$1,ТабКлиенты[#Headers],0),0)</f>
        <v>авиационная 39</v>
      </c>
      <c r="G130" s="14" t="str">
        <f>VLOOKUP($C130,ТабКлиенты[#Data],MATCH(G$1,ТабКлиенты[#Headers],0),0)</f>
        <v>47.1250, 37.5332</v>
      </c>
      <c r="H130" s="14">
        <v>0</v>
      </c>
      <c r="I130" s="13">
        <v>156</v>
      </c>
      <c r="J130" s="13">
        <v>1</v>
      </c>
      <c r="K130" t="str">
        <f t="shared" si="4"/>
        <v>9. Вадим
Тел.: +79497174095
Адрес: авиационная 39
№ заказа: 156
Кол-во мест: 1
https://yandex.ru/maps/?text=47.1250%2C37.5332
https://maps.google.com/?daddr=47.1250%2C37.5332
К оплате: **0
**----------------------------------------------------------</v>
      </c>
    </row>
    <row r="131" spans="1:11" hidden="1" x14ac:dyDescent="0.25">
      <c r="A131">
        <v>10</v>
      </c>
      <c r="B131" s="1">
        <v>45486</v>
      </c>
      <c r="C131" t="s">
        <v>400</v>
      </c>
      <c r="D131" t="str">
        <f>VLOOKUP($C131,ТабКлиенты[#Data],MATCH(D$1,ТабКлиенты[#Headers],0),0)</f>
        <v>+79497336840</v>
      </c>
      <c r="E131" t="str">
        <f>VLOOKUP($C131,ТабКлиенты[#Data],MATCH(E$1,ТабКлиенты[#Headers],0),0)</f>
        <v>Бригантина 152</v>
      </c>
      <c r="G131" s="14" t="str">
        <f>VLOOKUP($C131,ТабКлиенты[#Data],MATCH(G$1,ТабКлиенты[#Headers],0),0)</f>
        <v>47.0779, 37.4879</v>
      </c>
      <c r="H131" s="14">
        <v>0</v>
      </c>
      <c r="I131" s="13" t="s">
        <v>1271</v>
      </c>
      <c r="J131" s="13">
        <v>1</v>
      </c>
      <c r="K131" t="str">
        <f t="shared" si="4"/>
        <v>10. Татьяна Бригантина
Тел.: +79497336840
Адрес: Бригантина 152
№ заказа: Витамины
Кол-во мест: 1
https://yandex.ru/maps/?text=47.0779%2C37.4879
https://maps.google.com/?daddr=47.0779%2C37.4879
К оплате: **0
**----------------------------------------------------------</v>
      </c>
    </row>
    <row r="132" spans="1:11" hidden="1" x14ac:dyDescent="0.25">
      <c r="A132">
        <v>11</v>
      </c>
      <c r="B132" s="1">
        <v>45486</v>
      </c>
      <c r="C132" t="s">
        <v>215</v>
      </c>
      <c r="D132" t="str">
        <f>VLOOKUP($C132,ТабКлиенты[#Data],MATCH(D$1,ТабКлиенты[#Headers],0),0)</f>
        <v>+79496290697</v>
      </c>
      <c r="E132" t="str">
        <f>VLOOKUP($C132,ТабКлиенты[#Data],MATCH(E$1,ТабКлиенты[#Headers],0),0)</f>
        <v>ЖД</v>
      </c>
      <c r="G132" s="14" t="str">
        <f>VLOOKUP($C132,ТабКлиенты[#Data],MATCH(G$1,ТабКлиенты[#Headers],0),0)</f>
        <v>47.0858, 37.5549</v>
      </c>
      <c r="H132" s="14">
        <v>452</v>
      </c>
      <c r="I132" s="13">
        <v>167</v>
      </c>
      <c r="J132" s="13">
        <v>1</v>
      </c>
      <c r="K132" t="str">
        <f t="shared" si="4"/>
        <v>11. Пашок
Тел.: +79496290697
Адрес: ЖД
№ заказа: 167
Кол-во мест: 1
https://yandex.ru/maps/?text=47.0858%2C37.5549
https://maps.google.com/?daddr=47.0858%2C37.5549
К оплате: **452
**----------------------------------------------------------</v>
      </c>
    </row>
    <row r="133" spans="1:11" hidden="1" x14ac:dyDescent="0.25">
      <c r="A133">
        <v>1</v>
      </c>
      <c r="B133" s="1">
        <v>45493</v>
      </c>
      <c r="C133" t="s">
        <v>283</v>
      </c>
      <c r="D133" t="str">
        <f>VLOOKUP($C133,ТабКлиенты[#Data],MATCH(D$1,ТабКлиенты[#Headers],0),0)</f>
        <v>+79497172395</v>
      </c>
      <c r="E133" t="str">
        <f>VLOOKUP($C133,ТабКлиенты[#Data],MATCH(E$1,ТабКлиенты[#Headers],0),0)</f>
        <v>Торговая 45</v>
      </c>
      <c r="G133" s="14" t="str">
        <f>VLOOKUP($C133,ТабКлиенты[#Data],MATCH(G$1,ТабКлиенты[#Headers],0),0)</f>
        <v>47.0982, 37.5627</v>
      </c>
      <c r="H133" s="14">
        <v>10284</v>
      </c>
      <c r="I133" s="13" t="s">
        <v>1317</v>
      </c>
      <c r="J133" s="13">
        <v>1</v>
      </c>
      <c r="K133" t="str">
        <f t="shared" si="4"/>
        <v>1. Александр Каскад
Тел.: +79497172395
Адрес: Торговая 45
№ заказа: 155  169
Кол-во мест: 1
https://yandex.ru/maps/?text=47.0982%2C37.5627
https://maps.google.com/?daddr=47.0982%2C37.5627
К оплате: **10284
**----------------------------------------------------------</v>
      </c>
    </row>
    <row r="134" spans="1:11" hidden="1" x14ac:dyDescent="0.25">
      <c r="A134">
        <v>2</v>
      </c>
      <c r="B134" s="1">
        <v>45493</v>
      </c>
      <c r="C134" t="s">
        <v>422</v>
      </c>
      <c r="D134" t="str">
        <f>VLOOKUP($C134,ТабКлиенты[#Data],MATCH(D$1,ТабКлиенты[#Headers],0),0)</f>
        <v>+79497089129</v>
      </c>
      <c r="E134" t="str">
        <f>VLOOKUP($C134,ТабКлиенты[#Data],MATCH(E$1,ТабКлиенты[#Headers],0),0)</f>
        <v>Энгельса 28А</v>
      </c>
      <c r="G134" s="14" t="str">
        <f>VLOOKUP($C134,ТабКлиенты[#Data],MATCH(G$1,ТабКлиенты[#Headers],0),0)</f>
        <v>47.0964, 37.5459</v>
      </c>
      <c r="H134" s="14">
        <v>3090</v>
      </c>
      <c r="I134" s="13" t="s">
        <v>1271</v>
      </c>
      <c r="J134" s="13">
        <v>1</v>
      </c>
      <c r="K134" t="str">
        <f t="shared" si="4"/>
        <v>2. Лакарова Татьяна
Тел.: +79497089129
Адрес: Энгельса 28А
№ заказа: Витамины
Кол-во мест: 1
https://yandex.ru/maps/?text=47.0964%2C37.5459
https://maps.google.com/?daddr=47.0964%2C37.5459
К оплате: **3090
**----------------------------------------------------------</v>
      </c>
    </row>
    <row r="135" spans="1:11" hidden="1" x14ac:dyDescent="0.25">
      <c r="A135">
        <v>3</v>
      </c>
      <c r="B135" s="1">
        <v>45493</v>
      </c>
      <c r="C135" t="s">
        <v>408</v>
      </c>
      <c r="D135" t="str">
        <f>VLOOKUP($C135,ТабКлиенты[#Data],MATCH(D$1,ТабКлиенты[#Headers],0),0)</f>
        <v>+79497187572</v>
      </c>
      <c r="E135" t="s">
        <v>1318</v>
      </c>
      <c r="G135" s="14" t="s">
        <v>1319</v>
      </c>
      <c r="H135" s="14">
        <v>0</v>
      </c>
      <c r="I135" s="13">
        <v>176</v>
      </c>
      <c r="J135" s="13">
        <v>1</v>
      </c>
      <c r="K135" t="str">
        <f t="shared" si="4"/>
        <v>3. Ольга Македоновка
Тел.: +79497187572
Адрес: улица Бахчиванджи, 14
№ заказа: 176
Кол-во мест: 1
https://yandex.ru/maps/?text=47.0912%2C37.5245
https://maps.google.com/?daddr=47.0912%2C37.5245
К оплате: **0
**----------------------------------------------------------</v>
      </c>
    </row>
    <row r="136" spans="1:11" hidden="1" x14ac:dyDescent="0.25">
      <c r="A136">
        <v>4</v>
      </c>
      <c r="B136" s="1">
        <v>45493</v>
      </c>
      <c r="C136" t="s">
        <v>1320</v>
      </c>
      <c r="D136">
        <v>79490027060</v>
      </c>
      <c r="E136" t="s">
        <v>1321</v>
      </c>
      <c r="G136" s="14" t="s">
        <v>1322</v>
      </c>
      <c r="H136" s="14">
        <v>4200</v>
      </c>
      <c r="I136" s="13" t="s">
        <v>1271</v>
      </c>
      <c r="J136" s="13">
        <v>1</v>
      </c>
      <c r="K136" t="str">
        <f t="shared" si="4"/>
        <v>4. Крендель с Нахимова
Тел.: 79490027060
Адрес: Нахимова 104
№ заказа: Витамины
Кол-во мест: 1
https://yandex.ru/maps/?text=47.0940%2C37.5130
https://maps.google.com/?daddr=47.0940%2C37.5130
К оплате: **4200
**----------------------------------------------------------</v>
      </c>
    </row>
    <row r="137" spans="1:11" hidden="1" x14ac:dyDescent="0.25">
      <c r="A137">
        <v>5</v>
      </c>
      <c r="B137" s="1">
        <v>45493</v>
      </c>
      <c r="C137" t="s">
        <v>385</v>
      </c>
      <c r="D137" t="str">
        <f>VLOOKUP($C137,ТабКлиенты[#Data],MATCH(D$1,ТабКлиенты[#Headers],0),0)</f>
        <v>+79497169864</v>
      </c>
      <c r="E137" t="str">
        <f>VLOOKUP($C137,ТабКлиенты[#Data],MATCH(E$1,ТабКлиенты[#Headers],0),0)</f>
        <v>пер. Ейский 9</v>
      </c>
      <c r="G137" s="14" t="str">
        <f>VLOOKUP($C137,ТабКлиенты[#Data],MATCH(G$1,ТабКлиенты[#Headers],0),0)</f>
        <v>47.0898, 37.5062</v>
      </c>
      <c r="H137" s="14">
        <v>5500</v>
      </c>
      <c r="I137" s="13" t="s">
        <v>1271</v>
      </c>
      <c r="J137" s="13">
        <v>1</v>
      </c>
      <c r="K137" t="str">
        <f t="shared" si="4"/>
        <v>5. Надежда Витамины
Тел.: +79497169864
Адрес: пер. Ейский 9
№ заказа: Витамины
Кол-во мест: 1
https://yandex.ru/maps/?text=47.0898%2C37.5062
https://maps.google.com/?daddr=47.0898%2C37.5062
К оплате: **5500
**----------------------------------------------------------</v>
      </c>
    </row>
    <row r="138" spans="1:11" hidden="1" x14ac:dyDescent="0.25">
      <c r="A138">
        <v>6</v>
      </c>
      <c r="B138" s="1">
        <v>45493</v>
      </c>
      <c r="C138" t="s">
        <v>418</v>
      </c>
      <c r="D138" t="str">
        <f>VLOOKUP($C138,ТабКлиенты[#Data],MATCH(D$1,ТабКлиенты[#Headers],0),0)</f>
        <v>+79497064345</v>
      </c>
      <c r="E138" t="str">
        <f>VLOOKUP($C138,ТабКлиенты[#Data],MATCH(E$1,ТабКлиенты[#Headers],0),0)</f>
        <v>Шевченко 270</v>
      </c>
      <c r="G138" s="14" t="str">
        <f>VLOOKUP($C138,ТабКлиенты[#Data],MATCH(G$1,ТабКлиенты[#Headers],0),0)</f>
        <v>47.1157, 37.5138</v>
      </c>
      <c r="H138" s="14">
        <v>1700</v>
      </c>
      <c r="I138" s="13" t="s">
        <v>1271</v>
      </c>
      <c r="J138" s="13">
        <v>1</v>
      </c>
      <c r="K138" t="str">
        <f t="shared" si="4"/>
        <v>6. Татьяна Леонидовна
Тел.: +79497064345
Адрес: Шевченко 270
№ заказа: Витамины
Кол-во мест: 1
https://yandex.ru/maps/?text=47.1157%2C37.5138
https://maps.google.com/?daddr=47.1157%2C37.5138
К оплате: **1700
**----------------------------------------------------------</v>
      </c>
    </row>
    <row r="139" spans="1:11" hidden="1" x14ac:dyDescent="0.25">
      <c r="A139">
        <v>7</v>
      </c>
      <c r="B139" s="1">
        <v>45493</v>
      </c>
      <c r="C139" t="s">
        <v>404</v>
      </c>
      <c r="D139" t="str">
        <f>VLOOKUP($C139,ТабКлиенты[#Data],MATCH(D$1,ТабКлиенты[#Headers],0),0)</f>
        <v>+79497386112</v>
      </c>
      <c r="E139" t="str">
        <f>VLOOKUP($C139,ТабКлиенты[#Data],MATCH(E$1,ТабКлиенты[#Headers],0),0)</f>
        <v>Шевченко 325</v>
      </c>
      <c r="G139" s="14" t="str">
        <f>VLOOKUP($C139,ТабКлиенты[#Data],MATCH(G$1,ТабКлиенты[#Headers],0),0)</f>
        <v>47.1193, 37.5172</v>
      </c>
      <c r="H139" s="14">
        <v>9900</v>
      </c>
      <c r="I139" s="13" t="s">
        <v>1271</v>
      </c>
      <c r="J139" s="13">
        <v>1</v>
      </c>
      <c r="K139" t="str">
        <f t="shared" si="4"/>
        <v>7. Любовь Виталий
Тел.: +79497386112
Адрес: Шевченко 325
№ заказа: Витамины
Кол-во мест: 1
https://yandex.ru/maps/?text=47.1193%2C37.5172
https://maps.google.com/?daddr=47.1193%2C37.5172
К оплате: **9900
**----------------------------------------------------------</v>
      </c>
    </row>
    <row r="140" spans="1:11" hidden="1" x14ac:dyDescent="0.25">
      <c r="A140">
        <v>8</v>
      </c>
      <c r="B140" s="1">
        <v>45493</v>
      </c>
      <c r="C140" t="s">
        <v>33</v>
      </c>
      <c r="D140" t="str">
        <f>VLOOKUP($C140,ТабКлиенты[#Data],MATCH(D$1,ТабКлиенты[#Headers],0),0)</f>
        <v>+79496069479</v>
      </c>
      <c r="E140" t="str">
        <f>VLOOKUP($C140,ТабКлиенты[#Data],MATCH(E$1,ТабКлиенты[#Headers],0),0)</f>
        <v>Марьинская 145 Новоселовка Церковь</v>
      </c>
      <c r="G140" s="14" t="str">
        <f>VLOOKUP($C140,ТабКлиенты[#Data],MATCH(G$1,ТабКлиенты[#Headers],0),0)</f>
        <v>47.1126, 37.5473</v>
      </c>
      <c r="H140" s="14">
        <v>0</v>
      </c>
      <c r="I140" s="13">
        <v>163</v>
      </c>
      <c r="J140" s="13">
        <v>1</v>
      </c>
      <c r="K140" t="str">
        <f t="shared" si="4"/>
        <v>8. Галина Агабекова(церковь)
Тел.: +79496069479
Адрес: Марьинская 145 Новоселовка Церковь
№ заказа: 163
Кол-во мест: 1
https://yandex.ru/maps/?text=47.1126%2C37.5473
https://maps.google.com/?daddr=47.1126%2C37.5473
К оплате: **0
**----------------------------------------------------------</v>
      </c>
    </row>
    <row r="141" spans="1:11" hidden="1" x14ac:dyDescent="0.25">
      <c r="A141">
        <v>9</v>
      </c>
      <c r="B141" s="1">
        <v>45493</v>
      </c>
      <c r="C141" t="s">
        <v>231</v>
      </c>
      <c r="D141" t="str">
        <f>VLOOKUP($C141,ТабКлиенты[#Data],MATCH(D$1,ТабКлиенты[#Headers],0),0)</f>
        <v>+79497266403</v>
      </c>
      <c r="E141" t="str">
        <f>VLOOKUP($C141,ТабКлиенты[#Data],MATCH(E$1,ТабКлиенты[#Headers],0),0)</f>
        <v>Металлургов 102 1 подъезд 8 этаж</v>
      </c>
      <c r="G141" s="14" t="str">
        <f>VLOOKUP($C141,ТабКлиенты[#Data],MATCH(G$1,ТабКлиенты[#Headers],0),0)</f>
        <v>47.1099, 37.5543</v>
      </c>
      <c r="H141" s="14">
        <v>1467</v>
      </c>
      <c r="I141" s="13" t="s">
        <v>1323</v>
      </c>
      <c r="J141" s="13">
        <v>1</v>
      </c>
      <c r="K141" t="str">
        <f t="shared" si="4"/>
        <v>9. Лариса Кирова
Тел.: +79497266403
Адрес: Металлургов 102 1 подъезд 8 этаж
№ заказа: 147  160  172
Кол-во мест: 1
https://yandex.ru/maps/?text=47.1099%2C37.5543
https://maps.google.com/?daddr=47.1099%2C37.5543
К оплате: **1467
**----------------------------------------------------------</v>
      </c>
    </row>
    <row r="142" spans="1:11" hidden="1" x14ac:dyDescent="0.25">
      <c r="A142">
        <v>10</v>
      </c>
      <c r="B142" s="1">
        <v>45493</v>
      </c>
      <c r="C142" t="s">
        <v>287</v>
      </c>
      <c r="D142" t="str">
        <f>VLOOKUP($C142,ТабКлиенты[#Data],MATCH(D$1,ТабКлиенты[#Headers],0),0)</f>
        <v>+79497398064</v>
      </c>
      <c r="E142" t="str">
        <f>VLOOKUP($C142,ТабКлиенты[#Data],MATCH(E$1,ТабКлиенты[#Headers],0),0)</f>
        <v>Металлургов, 97</v>
      </c>
      <c r="G142" s="14" t="str">
        <f>VLOOKUP($C142,ТабКлиенты[#Data],MATCH(G$1,ТабКлиенты[#Headers],0),0)</f>
        <v>47.1070, 37.5542</v>
      </c>
      <c r="H142" s="14">
        <v>0</v>
      </c>
      <c r="I142" s="13" t="s">
        <v>1324</v>
      </c>
      <c r="J142" s="13">
        <v>2</v>
      </c>
      <c r="K142" t="str">
        <f t="shared" si="4"/>
        <v>10. Елена Ларисына
Тел.: +79497398064
Адрес: Металлургов, 97
№ заказа: 165  175
Кол-во мест: 2
https://yandex.ru/maps/?text=47.1070%2C37.5542
https://maps.google.com/?daddr=47.1070%2C37.5542
К оплате: **0
**----------------------------------------------------------</v>
      </c>
    </row>
    <row r="143" spans="1:11" hidden="1" x14ac:dyDescent="0.25">
      <c r="A143">
        <v>11</v>
      </c>
      <c r="B143" s="1">
        <v>45493</v>
      </c>
      <c r="C143" t="s">
        <v>414</v>
      </c>
      <c r="D143" t="str">
        <f>VLOOKUP($C143,ТабКлиенты[#Data],MATCH(D$1,ТабКлиенты[#Headers],0),0)</f>
        <v>+79497382807</v>
      </c>
      <c r="E143" t="str">
        <f>VLOOKUP($C143,ТабКлиенты[#Data],MATCH(E$1,ТабКлиенты[#Headers],0),0)</f>
        <v>2 Кальчик 126</v>
      </c>
      <c r="G143" s="14" t="str">
        <f>VLOOKUP($C143,ТабКлиенты[#Data],MATCH(G$1,ТабКлиенты[#Headers],0),0)</f>
        <v>47.1171, 37.5803</v>
      </c>
      <c r="H143" s="14">
        <v>200</v>
      </c>
      <c r="I143" s="13">
        <v>180</v>
      </c>
      <c r="J143" s="13">
        <v>1</v>
      </c>
      <c r="K143" t="str">
        <f t="shared" si="4"/>
        <v>11. Евгений Пономарев
Тел.: +79497382807
Адрес: 2 Кальчик 126
№ заказа: 180
Кол-во мест: 1
https://yandex.ru/maps/?text=47.1171%2C37.5803
https://maps.google.com/?daddr=47.1171%2C37.5803
К оплате: **200
**----------------------------------------------------------</v>
      </c>
    </row>
    <row r="144" spans="1:11" hidden="1" x14ac:dyDescent="0.25">
      <c r="A144">
        <v>12</v>
      </c>
      <c r="B144" s="1">
        <v>45493</v>
      </c>
      <c r="C144" t="s">
        <v>357</v>
      </c>
      <c r="D144" t="str">
        <f>VLOOKUP($C144,ТабКлиенты[#Data],MATCH(D$1,ТабКлиенты[#Headers],0),0)</f>
        <v>+79497114644</v>
      </c>
      <c r="E144" t="str">
        <f>VLOOKUP($C144,ТабКлиенты[#Data],MATCH(E$1,ТабКлиенты[#Headers],0),0)</f>
        <v>Металлургов 143</v>
      </c>
      <c r="G144" s="14" t="str">
        <f>VLOOKUP($C144,ТабКлиенты[#Data],MATCH(G$1,ТабКлиенты[#Headers],0),0)</f>
        <v>47.1199, 37.5643</v>
      </c>
      <c r="H144" s="14">
        <v>0</v>
      </c>
      <c r="I144" s="13" t="s">
        <v>1325</v>
      </c>
      <c r="J144" s="13">
        <v>1</v>
      </c>
      <c r="K144" t="str">
        <f t="shared" si="4"/>
        <v>12. Юля Ларисына
Тел.: +79497114644
Адрес: Металлургов 143
№ заказа: 162  177
Кол-во мест: 1
https://yandex.ru/maps/?text=47.1199%2C37.5643
https://maps.google.com/?daddr=47.1199%2C37.5643
К оплате: **0
**----------------------------------------------------------</v>
      </c>
    </row>
    <row r="145" spans="1:11" hidden="1" x14ac:dyDescent="0.25">
      <c r="A145">
        <v>1</v>
      </c>
      <c r="B145" s="1">
        <v>45500</v>
      </c>
      <c r="C145" t="s">
        <v>283</v>
      </c>
      <c r="D145" t="str">
        <f>VLOOKUP($C145,ТабКлиенты[#Data],MATCH(D$1,ТабКлиенты[#Headers],0),0)</f>
        <v>+79497172395</v>
      </c>
      <c r="E145" t="str">
        <f>VLOOKUP($C145,ТабКлиенты[#Data],MATCH(E$1,ТабКлиенты[#Headers],0),0)</f>
        <v>Торговая 45</v>
      </c>
      <c r="G145" s="14" t="str">
        <f>VLOOKUP($C145,ТабКлиенты[#Data],MATCH(G$1,ТабКлиенты[#Headers],0),0)</f>
        <v>47.0982, 37.5627</v>
      </c>
      <c r="H145" s="14">
        <v>0</v>
      </c>
      <c r="I145" s="13" t="s">
        <v>1326</v>
      </c>
      <c r="J145" s="13">
        <v>2</v>
      </c>
      <c r="K145" t="str">
        <f t="shared" si="4"/>
        <v>1. Александр Каскад
Тел.: +79497172395
Адрес: Торговая 45
№ заказа: 155  179
Кол-во мест: 2
https://yandex.ru/maps/?text=47.0982%2C37.5627
https://maps.google.com/?daddr=47.0982%2C37.5627
К оплате: **0
**----------------------------------------------------------</v>
      </c>
    </row>
    <row r="146" spans="1:11" hidden="1" x14ac:dyDescent="0.25">
      <c r="A146">
        <v>2</v>
      </c>
      <c r="B146" s="1">
        <v>45500</v>
      </c>
      <c r="C146" t="s">
        <v>357</v>
      </c>
      <c r="D146" t="str">
        <f>VLOOKUP($C146,ТабКлиенты[#Data],MATCH(D$1,ТабКлиенты[#Headers],0),0)</f>
        <v>+79497114644</v>
      </c>
      <c r="E146" t="s">
        <v>1327</v>
      </c>
      <c r="G146" s="14" t="s">
        <v>1328</v>
      </c>
      <c r="H146" s="14">
        <v>0</v>
      </c>
      <c r="I146" s="13" t="s">
        <v>1329</v>
      </c>
      <c r="J146" s="13">
        <v>2</v>
      </c>
      <c r="K146" t="str">
        <f t="shared" si="4"/>
        <v>2. Юля Ларисына
Тел.: +79497114644
Адрес: Металлургов 143 подъезд 4
№ заказа: 177  178  181
Кол-во мест: 2
https://yandex.ru/maps/?text=47.1200%2C37.5644
https://maps.google.com/?daddr=47.1200%2C37.5644
К оплате: **0
**----------------------------------------------------------</v>
      </c>
    </row>
    <row r="147" spans="1:11" hidden="1" x14ac:dyDescent="0.25">
      <c r="A147">
        <v>3</v>
      </c>
      <c r="B147" s="1">
        <v>45500</v>
      </c>
      <c r="C147" t="s">
        <v>39</v>
      </c>
      <c r="D147" t="str">
        <f>VLOOKUP($C147,ТабКлиенты[#Data],MATCH(D$1,ТабКлиенты[#Headers],0),0)</f>
        <v>+79497132215</v>
      </c>
      <c r="E147" t="str">
        <f>VLOOKUP($C147,ТабКлиенты[#Data],MATCH(E$1,ТабКлиенты[#Headers],0),0)</f>
        <v>Гонды 42</v>
      </c>
      <c r="G147" s="14" t="str">
        <f>VLOOKUP($C147,ТабКлиенты[#Data],MATCH(G$1,ТабКлиенты[#Headers],0),0)</f>
        <v>47.1274, 37.5691</v>
      </c>
      <c r="H147" s="14">
        <v>5000</v>
      </c>
      <c r="I147" s="13">
        <v>186</v>
      </c>
      <c r="J147" s="13">
        <v>1</v>
      </c>
      <c r="K147" t="str">
        <f t="shared" si="4"/>
        <v>3. Алена шмалко
Тел.: +79497132215
Адрес: Гонды 42
№ заказа: 186
Кол-во мест: 1
https://yandex.ru/maps/?text=47.1274%2C37.5691
https://maps.google.com/?daddr=47.1274%2C37.5691
К оплате: **5000
**----------------------------------------------------------</v>
      </c>
    </row>
    <row r="148" spans="1:11" hidden="1" x14ac:dyDescent="0.25">
      <c r="A148">
        <v>4</v>
      </c>
      <c r="B148" s="1">
        <v>45500</v>
      </c>
      <c r="C148" t="s">
        <v>231</v>
      </c>
      <c r="D148" t="str">
        <f>VLOOKUP($C148,ТабКлиенты[#Data],MATCH(D$1,ТабКлиенты[#Headers],0),0)</f>
        <v>+79497266403</v>
      </c>
      <c r="E148" t="str">
        <f>VLOOKUP($C148,ТабКлиенты[#Data],MATCH(E$1,ТабКлиенты[#Headers],0),0)</f>
        <v>Металлургов 102 1 подъезд 8 этаж</v>
      </c>
      <c r="G148" s="14" t="str">
        <f>VLOOKUP($C148,ТабКлиенты[#Data],MATCH(G$1,ТабКлиенты[#Headers],0),0)</f>
        <v>47.1099, 37.5543</v>
      </c>
      <c r="H148" s="14">
        <v>175</v>
      </c>
      <c r="I148" s="13" t="s">
        <v>1330</v>
      </c>
      <c r="J148" s="13">
        <v>2</v>
      </c>
      <c r="K148" t="str">
        <f t="shared" si="4"/>
        <v>4. Лариса Кирова
Тел.: +79497266403
Адрес: Металлургов 102 1 подъезд 8 этаж
№ заказа: 160  184
Кол-во мест: 2
https://yandex.ru/maps/?text=47.1099%2C37.5543
https://maps.google.com/?daddr=47.1099%2C37.5543
К оплате: **175
**----------------------------------------------------------</v>
      </c>
    </row>
    <row r="149" spans="1:11" hidden="1" x14ac:dyDescent="0.25">
      <c r="A149">
        <v>5</v>
      </c>
      <c r="B149" s="1">
        <v>45500</v>
      </c>
      <c r="C149" t="s">
        <v>287</v>
      </c>
      <c r="D149" t="str">
        <f>VLOOKUP($C149,ТабКлиенты[#Data],MATCH(D$1,ТабКлиенты[#Headers],0),0)</f>
        <v>+79497398064</v>
      </c>
      <c r="E149" t="str">
        <f>VLOOKUP($C149,ТабКлиенты[#Data],MATCH(E$1,ТабКлиенты[#Headers],0),0)</f>
        <v>Металлургов, 97</v>
      </c>
      <c r="G149" s="14" t="str">
        <f>VLOOKUP($C149,ТабКлиенты[#Data],MATCH(G$1,ТабКлиенты[#Headers],0),0)</f>
        <v>47.1070, 37.5542</v>
      </c>
      <c r="H149" s="14">
        <v>0</v>
      </c>
      <c r="I149" s="13">
        <v>175</v>
      </c>
      <c r="J149" s="13">
        <v>1</v>
      </c>
      <c r="K149" t="str">
        <f t="shared" si="4"/>
        <v>5. Елена Ларисына
Тел.: +79497398064
Адрес: Металлургов, 97
№ заказа: 175
Кол-во мест: 1
https://yandex.ru/maps/?text=47.1070%2C37.5542
https://maps.google.com/?daddr=47.1070%2C37.5542
К оплате: **0
**----------------------------------------------------------</v>
      </c>
    </row>
    <row r="150" spans="1:11" hidden="1" x14ac:dyDescent="0.25">
      <c r="A150">
        <v>6</v>
      </c>
      <c r="B150" s="1">
        <v>45500</v>
      </c>
      <c r="C150" t="s">
        <v>292</v>
      </c>
      <c r="D150" t="str">
        <f>VLOOKUP($C150,ТабКлиенты[#Data],MATCH(D$1,ТабКлиенты[#Headers],0),0)</f>
        <v>+79496019237</v>
      </c>
      <c r="E150" t="str">
        <f>VLOOKUP($C150,ТабКлиенты[#Data],MATCH(E$1,ТабКлиенты[#Headers],0),0)</f>
        <v>Металлургов 92</v>
      </c>
      <c r="G150" s="14" t="str">
        <f>VLOOKUP($C150,ТабКлиенты[#Data],MATCH(G$1,ТабКлиенты[#Headers],0),0)</f>
        <v>47.1053, 37.5483</v>
      </c>
      <c r="H150" s="14">
        <v>0</v>
      </c>
      <c r="I150" s="13">
        <v>182</v>
      </c>
      <c r="J150" s="13">
        <v>1</v>
      </c>
      <c r="K150" t="str">
        <f t="shared" si="4"/>
        <v>6. Людмила Эдельвейс
Тел.: +79496019237
Адрес: Металлургов 92
№ заказа: 182
Кол-во мест: 1
https://yandex.ru/maps/?text=47.1053%2C37.5483
https://maps.google.com/?daddr=47.1053%2C37.5483
К оплате: **0
**----------------------------------------------------------</v>
      </c>
    </row>
    <row r="151" spans="1:11" hidden="1" x14ac:dyDescent="0.25">
      <c r="A151">
        <v>7</v>
      </c>
      <c r="B151" s="1">
        <v>45500</v>
      </c>
      <c r="C151" t="s">
        <v>434</v>
      </c>
      <c r="D151">
        <f>VLOOKUP($C151,ТабКлиенты[#Data],MATCH(D$1,ТабКлиенты[#Headers],0),0)</f>
        <v>0</v>
      </c>
      <c r="E151" t="str">
        <f>VLOOKUP($C151,ТабКлиенты[#Data],MATCH(E$1,ТабКлиенты[#Headers],0),0)</f>
        <v>Троицкая 46</v>
      </c>
      <c r="G151" s="14" t="str">
        <f>VLOOKUP($C151,ТабКлиенты[#Data],MATCH(G$1,ТабКлиенты[#Headers],0),0)</f>
        <v>47.1119, 37.5147</v>
      </c>
      <c r="H151" s="14">
        <v>2900</v>
      </c>
      <c r="I151" s="13" t="s">
        <v>1271</v>
      </c>
      <c r="J151" s="13">
        <v>1</v>
      </c>
      <c r="K151" t="str">
        <f t="shared" si="4"/>
        <v>7. Оксна 17 Цветы
Тел.: 0
Адрес: Троицкая 46
№ заказа: Витамины
Кол-во мест: 1
https://yandex.ru/maps/?text=47.1119%2C37.5147
https://maps.google.com/?daddr=47.1119%2C37.5147
К оплате: **2900
**----------------------------------------------------------</v>
      </c>
    </row>
    <row r="152" spans="1:11" hidden="1" x14ac:dyDescent="0.25">
      <c r="A152">
        <v>1</v>
      </c>
      <c r="B152" s="1">
        <v>45506</v>
      </c>
      <c r="C152" t="s">
        <v>39</v>
      </c>
      <c r="D152" t="str">
        <f>VLOOKUP($C152,ТабКлиенты[#Data],MATCH(D$1,ТабКлиенты[#Headers],0),0)</f>
        <v>+79497132215</v>
      </c>
      <c r="E152" t="str">
        <f>VLOOKUP($C152,ТабКлиенты[#Data],MATCH(E$1,ТабКлиенты[#Headers],0),0)</f>
        <v>Гонды 42</v>
      </c>
      <c r="G152" s="14" t="str">
        <f>VLOOKUP($C152,ТабКлиенты[#Data],MATCH(G$1,ТабКлиенты[#Headers],0),0)</f>
        <v>47.1274, 37.5691</v>
      </c>
      <c r="H152" s="14">
        <v>5000</v>
      </c>
      <c r="I152" s="13">
        <v>186</v>
      </c>
      <c r="J152" s="13">
        <v>1</v>
      </c>
      <c r="K152" t="str">
        <f t="shared" si="4"/>
        <v>1. Алена шмалко
Тел.: +79497132215
Адрес: Гонды 42
№ заказа: 186
Кол-во мест: 1
https://yandex.ru/maps/?text=47.1274%2C37.5691
https://maps.google.com/?daddr=47.1274%2C37.5691
К оплате: **5000
**----------------------------------------------------------</v>
      </c>
    </row>
    <row r="153" spans="1:11" hidden="1" x14ac:dyDescent="0.25">
      <c r="A153">
        <v>2</v>
      </c>
      <c r="B153" s="1">
        <v>45506</v>
      </c>
      <c r="C153" t="s">
        <v>112</v>
      </c>
      <c r="D153" t="str">
        <f>VLOOKUP($C153,ТабКлиенты[#Data],MATCH(D$1,ТабКлиенты[#Headers],0),0)</f>
        <v>+79497340681</v>
      </c>
      <c r="E153" t="str">
        <f>VLOOKUP($C153,ТабКлиенты[#Data],MATCH(E$1,ТабКлиенты[#Headers],0),0)</f>
        <v>Покрышкина 99</v>
      </c>
      <c r="G153" s="14" t="str">
        <f>VLOOKUP($C153,ТабКлиенты[#Data],MATCH(G$1,ТабКлиенты[#Headers],0),0)</f>
        <v>47.1259, 37.5629</v>
      </c>
      <c r="H153" s="14">
        <v>0</v>
      </c>
      <c r="I153" s="13">
        <v>190</v>
      </c>
      <c r="J153" s="13">
        <v>2</v>
      </c>
      <c r="K153" t="str">
        <f t="shared" si="4"/>
        <v>2. Митрофанов Евгений
Тел.: +79497340681
Адрес: Покрышкина 99
№ заказа: 190
Кол-во мест: 2
https://yandex.ru/maps/?text=47.1259%2C37.5629
https://maps.google.com/?daddr=47.1259%2C37.5629
К оплате: **0
**----------------------------------------------------------</v>
      </c>
    </row>
    <row r="154" spans="1:11" hidden="1" x14ac:dyDescent="0.25">
      <c r="A154">
        <v>3</v>
      </c>
      <c r="B154" s="1">
        <v>45506</v>
      </c>
      <c r="C154" t="s">
        <v>11</v>
      </c>
      <c r="D154" t="str">
        <f>VLOOKUP($C154,ТабКлиенты[#Data],MATCH(D$1,ТабКлиенты[#Headers],0),0)</f>
        <v>+79497249384</v>
      </c>
      <c r="E154" t="str">
        <f>VLOOKUP($C154,ТабКлиенты[#Data],MATCH(E$1,ТабКлиенты[#Headers],0),0)</f>
        <v>Мичурина 26</v>
      </c>
      <c r="G154" s="14" t="str">
        <f>VLOOKUP($C154,ТабКлиенты[#Data],MATCH(G$1,ТабКлиенты[#Headers],0),0)</f>
        <v>47.1238, 37.5966</v>
      </c>
      <c r="H154" s="14">
        <v>-100</v>
      </c>
      <c r="I154" s="13">
        <v>185</v>
      </c>
      <c r="J154" s="13">
        <v>1</v>
      </c>
      <c r="K154" t="str">
        <f t="shared" si="4"/>
        <v>3. Полинка
Тел.: +79497249384
Адрес: Мичурина 26
№ заказа: 185
Кол-во мест: 1
https://yandex.ru/maps/?text=47.1238%2C37.5966
https://maps.google.com/?daddr=47.1238%2C37.5966
К оплате: **-100
**----------------------------------------------------------</v>
      </c>
    </row>
    <row r="155" spans="1:11" hidden="1" x14ac:dyDescent="0.25">
      <c r="A155">
        <v>4</v>
      </c>
      <c r="B155" s="1">
        <v>45506</v>
      </c>
      <c r="C155" t="s">
        <v>381</v>
      </c>
      <c r="D155" t="str">
        <f>VLOOKUP($C155,ТабКлиенты[#Data],MATCH(D$1,ТабКлиенты[#Headers],0),0)</f>
        <v>+79496334298</v>
      </c>
      <c r="E155" t="str">
        <f>VLOOKUP($C155,ТабКлиенты[#Data],MATCH(E$1,ТабКлиенты[#Headers],0),0)</f>
        <v>Сартана, Колхозная 21а</v>
      </c>
      <c r="G155" s="14" t="str">
        <f>VLOOKUP($C155,ТабКлиенты[#Data],MATCH(G$1,ТабКлиенты[#Headers],0),0)</f>
        <v>47.1786, 37.7015</v>
      </c>
      <c r="H155" s="14">
        <v>1155</v>
      </c>
      <c r="I155" s="13">
        <v>194</v>
      </c>
      <c r="J155" s="13">
        <v>3</v>
      </c>
      <c r="K155" t="str">
        <f t="shared" si="4"/>
        <v>4. Екатерина Сартана
Тел.: +79496334298
Адрес: Сартана, Колхозная 21а
№ заказа: 194
Кол-во мест: 3
https://yandex.ru/maps/?text=47.1786%2C37.7015
https://maps.google.com/?daddr=47.1786%2C37.7015
К оплате: **1155
**----------------------------------------------------------</v>
      </c>
    </row>
    <row r="156" spans="1:11" hidden="1" x14ac:dyDescent="0.25">
      <c r="A156">
        <v>5</v>
      </c>
      <c r="B156" s="1">
        <v>45506</v>
      </c>
      <c r="C156" t="s">
        <v>441</v>
      </c>
      <c r="D156" t="str">
        <f>VLOOKUP($C156,ТабКлиенты[#Data],MATCH(D$1,ТабКлиенты[#Headers],0),0)</f>
        <v>+79497213168</v>
      </c>
      <c r="E156" t="str">
        <f>VLOOKUP($C156,ТабКлиенты[#Data],MATCH(E$1,ТабКлиенты[#Headers],0),0)</f>
        <v>Шопена 92</v>
      </c>
      <c r="G156" s="14" t="str">
        <f>VLOOKUP($C156,ТабКлиенты[#Data],MATCH(G$1,ТабКлиенты[#Headers],0),0)</f>
        <v>47.1582, 37.6032</v>
      </c>
      <c r="H156" s="14">
        <v>3400</v>
      </c>
      <c r="I156" s="13" t="s">
        <v>1271</v>
      </c>
      <c r="J156" s="13">
        <v>1</v>
      </c>
      <c r="K156" t="str">
        <f t="shared" si="4"/>
        <v>5. Светлана Федоровна
Тел.: +79497213168
Адрес: Шопена 92
№ заказа: Витамины
Кол-во мест: 1
https://yandex.ru/maps/?text=47.1582%2C37.6032
https://maps.google.com/?daddr=47.1582%2C37.6032
К оплате: **3400
**----------------------------------------------------------</v>
      </c>
    </row>
    <row r="157" spans="1:11" hidden="1" x14ac:dyDescent="0.25">
      <c r="A157">
        <v>6</v>
      </c>
      <c r="B157" s="1">
        <v>45506</v>
      </c>
      <c r="C157" t="s">
        <v>437</v>
      </c>
      <c r="D157" t="str">
        <f>VLOOKUP($C157,ТабКлиенты[#Data],MATCH(D$1,ТабКлиенты[#Headers],0),0)</f>
        <v>+79497115237</v>
      </c>
      <c r="E157" t="str">
        <f>VLOOKUP($C157,ТабКлиенты[#Data],MATCH(E$1,ТабКлиенты[#Headers],0),0)</f>
        <v>пер Станционный 8</v>
      </c>
      <c r="G157" s="14" t="str">
        <f>VLOOKUP($C157,ТабКлиенты[#Data],MATCH(G$1,ТабКлиенты[#Headers],0),0)</f>
        <v>47.1640, 37.5780</v>
      </c>
      <c r="H157" s="14">
        <v>2300</v>
      </c>
      <c r="I157" s="13" t="s">
        <v>1271</v>
      </c>
      <c r="J157" s="13">
        <v>1</v>
      </c>
      <c r="K157" t="str">
        <f t="shared" si="4"/>
        <v>6. Аня Мирный
Тел.: +79497115237
Адрес: пер Станционный 8
№ заказа: Витамины
Кол-во мест: 1
https://yandex.ru/maps/?text=47.1640%2C37.5780
https://maps.google.com/?daddr=47.1640%2C37.5780
К оплате: **2300
**----------------------------------------------------------</v>
      </c>
    </row>
    <row r="158" spans="1:11" hidden="1" x14ac:dyDescent="0.25">
      <c r="A158">
        <v>7</v>
      </c>
      <c r="B158" s="1">
        <v>45506</v>
      </c>
      <c r="C158" t="s">
        <v>91</v>
      </c>
      <c r="D158" t="str">
        <f>VLOOKUP($C158,ТабКлиенты[#Data],MATCH(D$1,ТабКлиенты[#Headers],0),0)</f>
        <v>+79497284454</v>
      </c>
      <c r="E158" t="str">
        <f>VLOOKUP($C158,ТабКлиенты[#Data],MATCH(E$1,ТабКлиенты[#Headers],0),0)</f>
        <v>строителей 156</v>
      </c>
      <c r="G158" s="14" t="str">
        <f>VLOOKUP($C158,ТабКлиенты[#Data],MATCH(G$1,ТабКлиенты[#Headers],0),0)</f>
        <v>47.1186, 37.5244</v>
      </c>
      <c r="H158" s="14">
        <v>0</v>
      </c>
      <c r="I158" s="13">
        <v>193</v>
      </c>
      <c r="J158" s="13">
        <v>1</v>
      </c>
      <c r="K158" t="str">
        <f t="shared" si="4"/>
        <v>7. Елена гайдар
Тел.: +79497284454
Адрес: строителей 156
№ заказа: 193
Кол-во мест: 1
https://yandex.ru/maps/?text=47.1186%2C37.5244
https://maps.google.com/?daddr=47.1186%2C37.5244
К оплате: **0
**----------------------------------------------------------</v>
      </c>
    </row>
    <row r="159" spans="1:11" hidden="1" x14ac:dyDescent="0.25">
      <c r="A159">
        <v>8</v>
      </c>
      <c r="B159" s="1">
        <v>45506</v>
      </c>
      <c r="C159" t="s">
        <v>404</v>
      </c>
      <c r="D159" t="str">
        <f>VLOOKUP($C159,ТабКлиенты[#Data],MATCH(D$1,ТабКлиенты[#Headers],0),0)</f>
        <v>+79497386112</v>
      </c>
      <c r="E159" t="str">
        <f>VLOOKUP($C159,ТабКлиенты[#Data],MATCH(E$1,ТабКлиенты[#Headers],0),0)</f>
        <v>Шевченко 325</v>
      </c>
      <c r="G159" s="14" t="str">
        <f>VLOOKUP($C159,ТабКлиенты[#Data],MATCH(G$1,ТабКлиенты[#Headers],0),0)</f>
        <v>47.1193, 37.5172</v>
      </c>
      <c r="H159" s="14">
        <v>20000</v>
      </c>
      <c r="I159" s="13" t="s">
        <v>1271</v>
      </c>
      <c r="J159" s="13">
        <v>1</v>
      </c>
      <c r="K159" t="str">
        <f t="shared" si="4"/>
        <v>8. Любовь Виталий
Тел.: +79497386112
Адрес: Шевченко 325
№ заказа: Витамины
Кол-во мест: 1
https://yandex.ru/maps/?text=47.1193%2C37.5172
https://maps.google.com/?daddr=47.1193%2C37.5172
К оплате: **20000
**----------------------------------------------------------</v>
      </c>
    </row>
    <row r="160" spans="1:11" hidden="1" x14ac:dyDescent="0.25">
      <c r="A160">
        <v>9</v>
      </c>
      <c r="B160" s="1">
        <v>45506</v>
      </c>
      <c r="C160" t="s">
        <v>308</v>
      </c>
      <c r="D160" t="e">
        <f>VLOOKUP($C160,ТабКлиенты[#Data],MATCH(D$1,ТабКлиенты[#Headers],0),0)</f>
        <v>#N/A</v>
      </c>
      <c r="E160" t="e">
        <f>VLOOKUP($C160,ТабКлиенты[#Data],MATCH(E$1,ТабКлиенты[#Headers],0),0)</f>
        <v>#N/A</v>
      </c>
      <c r="G160" s="14" t="e">
        <f>VLOOKUP($C160,ТабКлиенты[#Data],MATCH(G$1,ТабКлиенты[#Headers],0),0)</f>
        <v>#N/A</v>
      </c>
      <c r="H160" s="14"/>
      <c r="I160" s="13" t="s">
        <v>1271</v>
      </c>
      <c r="J160" s="13">
        <v>1</v>
      </c>
      <c r="K160" t="e">
        <f t="shared" si="4"/>
        <v>#N/A</v>
      </c>
    </row>
    <row r="161" spans="1:11" hidden="1" x14ac:dyDescent="0.25">
      <c r="A161">
        <v>10</v>
      </c>
      <c r="B161" s="1">
        <v>45506</v>
      </c>
      <c r="C161" t="s">
        <v>353</v>
      </c>
      <c r="D161" t="str">
        <f>VLOOKUP($C161,ТабКлиенты[#Data],MATCH(D$1,ТабКлиенты[#Headers],0),0)</f>
        <v>+79496248226</v>
      </c>
      <c r="E161" t="str">
        <f>VLOOKUP($C161,ТабКлиенты[#Data],MATCH(E$1,ТабКлиенты[#Headers],0),0)</f>
        <v>Шевченко 274</v>
      </c>
      <c r="G161" s="14" t="str">
        <f>VLOOKUP($C161,ТабКлиенты[#Data],MATCH(G$1,ТабКлиенты[#Headers],0),0)</f>
        <v>47.1149, 37.5127</v>
      </c>
      <c r="H161" s="14">
        <v>2700</v>
      </c>
      <c r="I161" s="13" t="s">
        <v>1271</v>
      </c>
      <c r="J161" s="13">
        <v>1</v>
      </c>
      <c r="K161" t="str">
        <f t="shared" si="4"/>
        <v>10. Даша Калифорния
Тел.: +79496248226
Адрес: Шевченко 274
№ заказа: Витамины
Кол-во мест: 1
https://yandex.ru/maps/?text=47.1149%2C37.5127
https://maps.google.com/?daddr=47.1149%2C37.5127
К оплате: **2700
**----------------------------------------------------------</v>
      </c>
    </row>
    <row r="162" spans="1:11" hidden="1" x14ac:dyDescent="0.25">
      <c r="A162">
        <v>11</v>
      </c>
      <c r="B162" s="1">
        <v>45506</v>
      </c>
      <c r="C162" t="s">
        <v>385</v>
      </c>
      <c r="D162" t="str">
        <f>VLOOKUP($C162,ТабКлиенты[#Data],MATCH(D$1,ТабКлиенты[#Headers],0),0)</f>
        <v>+79497169864</v>
      </c>
      <c r="E162" t="str">
        <f>VLOOKUP($C162,ТабКлиенты[#Data],MATCH(E$1,ТабКлиенты[#Headers],0),0)</f>
        <v>пер. Ейский 9</v>
      </c>
      <c r="G162" s="14" t="str">
        <f>VLOOKUP($C162,ТабКлиенты[#Data],MATCH(G$1,ТабКлиенты[#Headers],0),0)</f>
        <v>47.0898, 37.5062</v>
      </c>
      <c r="H162" s="14">
        <v>10500</v>
      </c>
      <c r="I162" s="13" t="s">
        <v>1271</v>
      </c>
      <c r="J162" s="13">
        <v>1</v>
      </c>
      <c r="K162" t="str">
        <f t="shared" si="4"/>
        <v>11. Надежда Витамины
Тел.: +79497169864
Адрес: пер. Ейский 9
№ заказа: Витамины
Кол-во мест: 1
https://yandex.ru/maps/?text=47.0898%2C37.5062
https://maps.google.com/?daddr=47.0898%2C37.5062
К оплате: **10500
**----------------------------------------------------------</v>
      </c>
    </row>
    <row r="163" spans="1:11" hidden="1" x14ac:dyDescent="0.25">
      <c r="A163">
        <v>12</v>
      </c>
      <c r="B163" s="1">
        <v>45506</v>
      </c>
      <c r="C163" t="s">
        <v>231</v>
      </c>
      <c r="D163" t="str">
        <f>VLOOKUP($C163,ТабКлиенты[#Data],MATCH(D$1,ТабКлиенты[#Headers],0),0)</f>
        <v>+79497266403</v>
      </c>
      <c r="E163" t="str">
        <f>VLOOKUP($C163,ТабКлиенты[#Data],MATCH(E$1,ТабКлиенты[#Headers],0),0)</f>
        <v>Металлургов 102 1 подъезд 8 этаж</v>
      </c>
      <c r="G163" s="14" t="str">
        <f>VLOOKUP($C163,ТабКлиенты[#Data],MATCH(G$1,ТабКлиенты[#Headers],0),0)</f>
        <v>47.1099, 37.5543</v>
      </c>
      <c r="H163" s="14">
        <v>0</v>
      </c>
      <c r="I163" s="13">
        <v>189</v>
      </c>
      <c r="J163" s="13">
        <v>1</v>
      </c>
      <c r="K163" t="str">
        <f t="shared" si="4"/>
        <v>12. Лариса Кирова
Тел.: +79497266403
Адрес: Металлургов 102 1 подъезд 8 этаж
№ заказа: 189
Кол-во мест: 1
https://yandex.ru/maps/?text=47.1099%2C37.5543
https://maps.google.com/?daddr=47.1099%2C37.5543
К оплате: **0
**----------------------------------------------------------</v>
      </c>
    </row>
    <row r="164" spans="1:11" hidden="1" x14ac:dyDescent="0.25">
      <c r="A164">
        <v>1</v>
      </c>
      <c r="B164" s="1">
        <v>45514</v>
      </c>
      <c r="C164" t="s">
        <v>287</v>
      </c>
      <c r="D164" t="str">
        <f>VLOOKUP($C164,ТабКлиенты[#Data],MATCH(D$1,ТабКлиенты[#Headers],0),0)</f>
        <v>+79497398064</v>
      </c>
      <c r="E164" t="str">
        <f>VLOOKUP($C164,ТабКлиенты[#Data],MATCH(E$1,ТабКлиенты[#Headers],0),0)</f>
        <v>Металлургов, 97</v>
      </c>
      <c r="G164" s="14" t="str">
        <f>VLOOKUP($C164,ТабКлиенты[#Data],MATCH(G$1,ТабКлиенты[#Headers],0),0)</f>
        <v>47.1070, 37.5542</v>
      </c>
      <c r="H164" s="14">
        <v>-4799</v>
      </c>
      <c r="I164" s="13">
        <v>192</v>
      </c>
      <c r="K164" t="str">
        <f t="shared" si="4"/>
        <v>1. Елена Ларисына
Тел.: +79497398064
Адрес: Металлургов, 97
№ заказа: 192
Кол-во мест: 
https://yandex.ru/maps/?text=47.1070%2C37.5542
https://maps.google.com/?daddr=47.1070%2C37.5542
К оплате: **-4799
**----------------------------------------------------------</v>
      </c>
    </row>
    <row r="165" spans="1:11" hidden="1" x14ac:dyDescent="0.25">
      <c r="A165">
        <v>2</v>
      </c>
      <c r="B165" s="1">
        <v>45514</v>
      </c>
      <c r="C165" t="s">
        <v>445</v>
      </c>
      <c r="D165" t="str">
        <f>VLOOKUP($C165,ТабКлиенты[#Data],MATCH(D$1,ТабКлиенты[#Headers],0),0)</f>
        <v>+79497262176</v>
      </c>
      <c r="E165" t="str">
        <f>VLOOKUP($C165,ТабКлиенты[#Data],MATCH(E$1,ТабКлиенты[#Headers],0),0)</f>
        <v>Металлургов 179, кв 114</v>
      </c>
      <c r="G165" s="14" t="str">
        <f>VLOOKUP($C165,ТабКлиенты[#Data],MATCH(G$1,ТабКлиенты[#Headers],0),0)</f>
        <v>47.1248, 37.5657</v>
      </c>
      <c r="H165" s="14">
        <v>2872</v>
      </c>
      <c r="I165" s="13">
        <v>196</v>
      </c>
      <c r="K165" t="str">
        <f t="shared" si="4"/>
        <v>2. Светлана от Александра
Тел.: +79497262176
Адрес: Металлургов 179, кв 114
№ заказа: 196
Кол-во мест: 
https://yandex.ru/maps/?text=47.1248%2C37.5657
https://maps.google.com/?daddr=47.1248%2C37.5657
К оплате: **2872
**----------------------------------------------------------</v>
      </c>
    </row>
    <row r="166" spans="1:11" hidden="1" x14ac:dyDescent="0.25">
      <c r="A166">
        <v>3</v>
      </c>
      <c r="B166" s="1">
        <v>45514</v>
      </c>
      <c r="C166" t="s">
        <v>437</v>
      </c>
      <c r="D166" t="str">
        <f>VLOOKUP($C166,ТабКлиенты[#Data],MATCH(D$1,ТабКлиенты[#Headers],0),0)</f>
        <v>+79497115237</v>
      </c>
      <c r="E166" t="str">
        <f>VLOOKUP($C166,ТабКлиенты[#Data],MATCH(E$1,ТабКлиенты[#Headers],0),0)</f>
        <v>пер Станционный 8</v>
      </c>
      <c r="G166" s="14" t="str">
        <f>VLOOKUP($C166,ТабКлиенты[#Data],MATCH(G$1,ТабКлиенты[#Headers],0),0)</f>
        <v>47.1640, 37.5780</v>
      </c>
      <c r="H166" s="14">
        <v>2600</v>
      </c>
      <c r="I166" s="13" t="s">
        <v>1271</v>
      </c>
      <c r="K166" t="str">
        <f t="shared" si="4"/>
        <v>3. Аня Мирный
Тел.: +79497115237
Адрес: пер Станционный 8
№ заказа: Витамины
Кол-во мест: 
https://yandex.ru/maps/?text=47.1640%2C37.5780
https://maps.google.com/?daddr=47.1640%2C37.5780
К оплате: **2600
**----------------------------------------------------------</v>
      </c>
    </row>
    <row r="167" spans="1:11" hidden="1" x14ac:dyDescent="0.25">
      <c r="A167">
        <v>4</v>
      </c>
      <c r="B167" s="1">
        <v>45514</v>
      </c>
      <c r="C167" t="s">
        <v>346</v>
      </c>
      <c r="D167" t="str">
        <f>VLOOKUP($C167,ТабКлиенты[#Data],MATCH(D$1,ТабКлиенты[#Headers],0),0)</f>
        <v>@Filin9819</v>
      </c>
      <c r="E167" t="str">
        <f>VLOOKUP($C167,ТабКлиенты[#Data],MATCH(E$1,ТабКлиенты[#Headers],0),0)</f>
        <v>Заря</v>
      </c>
      <c r="G167" s="14" t="str">
        <f>VLOOKUP($C167,ТабКлиенты[#Data],MATCH(G$1,ТабКлиенты[#Headers],0),0)</f>
        <v>47.3002, 37.5931</v>
      </c>
      <c r="H167" s="14">
        <v>14800</v>
      </c>
      <c r="I167" s="13" t="s">
        <v>1271</v>
      </c>
      <c r="K167" t="str">
        <f t="shared" si="4"/>
        <v>4. Александр электростанция
Тел.: @Filin9819
Адрес: Заря
№ заказа: Витамины
Кол-во мест: 
https://yandex.ru/maps/?text=47.3002%2C37.5931
https://maps.google.com/?daddr=47.3002%2C37.5931
К оплате: **14800
**----------------------------------------------------------</v>
      </c>
    </row>
    <row r="168" spans="1:11" hidden="1" x14ac:dyDescent="0.25">
      <c r="A168">
        <v>5</v>
      </c>
      <c r="B168" s="1">
        <v>45514</v>
      </c>
      <c r="C168" t="s">
        <v>33</v>
      </c>
      <c r="D168" t="str">
        <f>VLOOKUP($C168,ТабКлиенты[#Data],MATCH(D$1,ТабКлиенты[#Headers],0),0)</f>
        <v>+79496069479</v>
      </c>
      <c r="E168" t="str">
        <f>VLOOKUP($C168,ТабКлиенты[#Data],MATCH(E$1,ТабКлиенты[#Headers],0),0)</f>
        <v>Марьинская 145 Новоселовка Церковь</v>
      </c>
      <c r="G168" s="14" t="str">
        <f>VLOOKUP($C168,ТабКлиенты[#Data],MATCH(G$1,ТабКлиенты[#Headers],0),0)</f>
        <v>47.1126, 37.5473</v>
      </c>
      <c r="H168" s="14">
        <v>3400</v>
      </c>
      <c r="I168" s="13">
        <v>199</v>
      </c>
      <c r="K168" t="str">
        <f t="shared" si="4"/>
        <v>5. Галина Агабекова(церковь)
Тел.: +79496069479
Адрес: Марьинская 145 Новоселовка Церковь
№ заказа: 199
Кол-во мест: 
https://yandex.ru/maps/?text=47.1126%2C37.5473
https://maps.google.com/?daddr=47.1126%2C37.5473
К оплате: **3400
**----------------------------------------------------------</v>
      </c>
    </row>
    <row r="169" spans="1:11" hidden="1" x14ac:dyDescent="0.25">
      <c r="A169">
        <v>6</v>
      </c>
      <c r="B169" s="1">
        <v>45514</v>
      </c>
      <c r="C169" t="s">
        <v>104</v>
      </c>
      <c r="D169" t="str">
        <f>VLOOKUP($C169,ТабКлиенты[#Data],MATCH(D$1,ТабКлиенты[#Headers],0),0)</f>
        <v>+79497065096</v>
      </c>
      <c r="E169" t="str">
        <f>VLOOKUP($C169,ТабКлиенты[#Data],MATCH(E$1,ТабКлиенты[#Headers],0),0)</f>
        <v>Урицкого 84</v>
      </c>
      <c r="G169" s="14" t="str">
        <f>VLOOKUP($C169,ТабКлиенты[#Data],MATCH(G$1,ТабКлиенты[#Headers],0),0)</f>
        <v>47.1209, 37.5237</v>
      </c>
      <c r="H169" s="14">
        <v>1020</v>
      </c>
      <c r="I169" s="13">
        <v>191</v>
      </c>
      <c r="K169" t="str">
        <f t="shared" si="4"/>
        <v>6. Максим телевизор
Тел.: +79497065096
Адрес: Урицкого 84
№ заказа: 191
Кол-во мест: 
https://yandex.ru/maps/?text=47.1209%2C37.5237
https://maps.google.com/?daddr=47.1209%2C37.5237
К оплате: **1020
**----------------------------------------------------------</v>
      </c>
    </row>
    <row r="170" spans="1:11" hidden="1" x14ac:dyDescent="0.25">
      <c r="A170">
        <v>7</v>
      </c>
      <c r="B170" s="1">
        <v>45514</v>
      </c>
      <c r="C170" t="s">
        <v>452</v>
      </c>
      <c r="D170" t="str">
        <f>VLOOKUP($C170,ТабКлиенты[#Data],MATCH(D$1,ТабКлиенты[#Headers],0),0)</f>
        <v>+79497106171</v>
      </c>
      <c r="E170" t="str">
        <f>VLOOKUP($C170,ТабКлиенты[#Data],MATCH(E$1,ТабКлиенты[#Headers],0),0)</f>
        <v>Шевченко 258, 4 подъезд</v>
      </c>
      <c r="G170" s="14" t="str">
        <f>VLOOKUP($C170,ТабКлиенты[#Data],MATCH(G$1,ТабКлиенты[#Headers],0),0)</f>
        <v>47.1157, 37.5176</v>
      </c>
      <c r="H170" s="14">
        <v>684</v>
      </c>
      <c r="I170" s="13">
        <v>202</v>
      </c>
      <c r="K170" t="str">
        <f t="shared" si="4"/>
        <v>7. Андрей Кулигин
Тел.: +79497106171
Адрес: Шевченко 258, 4 подъезд
№ заказа: 202
Кол-во мест: 
https://yandex.ru/maps/?text=47.1157%2C37.5176
https://maps.google.com/?daddr=47.1157%2C37.5176
К оплате: **684
**----------------------------------------------------------</v>
      </c>
    </row>
    <row r="171" spans="1:11" hidden="1" x14ac:dyDescent="0.25">
      <c r="A171">
        <v>8</v>
      </c>
      <c r="B171" s="1">
        <v>45514</v>
      </c>
      <c r="C171" t="s">
        <v>448</v>
      </c>
      <c r="D171" t="str">
        <f>VLOOKUP($C171,ТабКлиенты[#Data],MATCH(D$1,ТабКлиенты[#Headers],0),0)</f>
        <v>+79497010929</v>
      </c>
      <c r="E171" t="str">
        <f>VLOOKUP($C171,ТабКлиенты[#Data],MATCH(E$1,ТабКлиенты[#Headers],0),0)</f>
        <v>Строителей 145</v>
      </c>
      <c r="G171" s="14" t="str">
        <f>VLOOKUP($C171,ТабКлиенты[#Data],MATCH(G$1,ТабКлиенты[#Headers],0),0)</f>
        <v>47.1130, 37.5268</v>
      </c>
      <c r="H171" s="14">
        <v>2036</v>
      </c>
      <c r="I171" s="13">
        <v>198</v>
      </c>
      <c r="K171" t="str">
        <f t="shared" si="4"/>
        <v>8. Максим МВД
Тел.: +79497010929
Адрес: Строителей 145
№ заказа: 198
Кол-во мест: 
https://yandex.ru/maps/?text=47.1130%2C37.5268
https://maps.google.com/?daddr=47.1130%2C37.5268
К оплате: **2036
**----------------------------------------------------------</v>
      </c>
    </row>
    <row r="172" spans="1:11" hidden="1" x14ac:dyDescent="0.25">
      <c r="A172">
        <v>9</v>
      </c>
      <c r="B172" s="1">
        <v>45514</v>
      </c>
      <c r="C172" t="s">
        <v>456</v>
      </c>
      <c r="D172" t="str">
        <f>VLOOKUP($C172,ТабКлиенты[#Data],MATCH(D$1,ТабКлиенты[#Headers],0),0)</f>
        <v>+79497488953</v>
      </c>
      <c r="E172" t="str">
        <f>VLOOKUP($C172,ТабКлиенты[#Data],MATCH(E$1,ТабКлиенты[#Headers],0),0)</f>
        <v>Ленина 183 подъезд 1 (Изумрудный)</v>
      </c>
      <c r="G172" s="14" t="str">
        <f>VLOOKUP($C172,ТабКлиенты[#Data],MATCH(G$1,ТабКлиенты[#Headers],0),0)</f>
        <v>47.0982, 37.4785</v>
      </c>
      <c r="H172" s="14">
        <v>889</v>
      </c>
      <c r="I172" s="13">
        <v>203</v>
      </c>
      <c r="K172" t="str">
        <f t="shared" si="4"/>
        <v>9. Лана
Тел.: +79497488953
Адрес: Ленина 183 подъезд 1 (Изумрудный)
№ заказа: 203
Кол-во мест: 
https://yandex.ru/maps/?text=47.0982%2C37.4785
https://maps.google.com/?daddr=47.0982%2C37.4785
К оплате: **889
**----------------------------------------------------------</v>
      </c>
    </row>
    <row r="173" spans="1:11" hidden="1" x14ac:dyDescent="0.25">
      <c r="A173">
        <v>10</v>
      </c>
      <c r="B173" s="1">
        <v>45514</v>
      </c>
      <c r="C173" t="s">
        <v>459</v>
      </c>
      <c r="D173" t="str">
        <f>VLOOKUP($C173,ТабКлиенты[#Data],MATCH(D$1,ТабКлиенты[#Headers],0),0)</f>
        <v>+79490027060</v>
      </c>
      <c r="E173" t="str">
        <f>VLOOKUP($C173,ТабКлиенты[#Data],MATCH(E$1,ТабКлиенты[#Headers],0),0)</f>
        <v>Кронштадсткая 6</v>
      </c>
      <c r="G173" s="14" t="str">
        <f>VLOOKUP($C173,ТабКлиенты[#Data],MATCH(G$1,ТабКлиенты[#Headers],0),0)</f>
        <v>47.0797, 37.5153</v>
      </c>
      <c r="H173" s="14">
        <v>1700</v>
      </c>
      <c r="I173" s="13" t="s">
        <v>1271</v>
      </c>
      <c r="K173" t="str">
        <f t="shared" si="4"/>
        <v>10. ДонтГиВап
Тел.: +79490027060
Адрес: Кронштадсткая 6
№ заказа: Витамины
Кол-во мест: 
https://yandex.ru/maps/?text=47.0797%2C37.5153
https://maps.google.com/?daddr=47.0797%2C37.5153
К оплате: **1700
**----------------------------------------------------------</v>
      </c>
    </row>
    <row r="174" spans="1:11" hidden="1" x14ac:dyDescent="0.25">
      <c r="A174">
        <v>1</v>
      </c>
      <c r="B174" s="1">
        <v>45518</v>
      </c>
      <c r="C174" t="s">
        <v>385</v>
      </c>
      <c r="D174" t="str">
        <f>VLOOKUP($C174,ТабКлиенты[#Data],MATCH(D$1,ТабКлиенты[#Headers],0),0)</f>
        <v>+79497169864</v>
      </c>
      <c r="E174" t="str">
        <f>VLOOKUP($C174,ТабКлиенты[#Data],MATCH(E$1,ТабКлиенты[#Headers],0),0)</f>
        <v>пер. Ейский 9</v>
      </c>
      <c r="G174" s="14" t="str">
        <f>VLOOKUP($C174,ТабКлиенты[#Data],MATCH(G$1,ТабКлиенты[#Headers],0),0)</f>
        <v>47.0898, 37.5062</v>
      </c>
      <c r="H174" s="14">
        <v>11200</v>
      </c>
      <c r="I174" s="13" t="s">
        <v>1271</v>
      </c>
      <c r="K174" t="str">
        <f t="shared" si="4"/>
        <v>1. Надежда Витамины
Тел.: +79497169864
Адрес: пер. Ейский 9
№ заказа: Витамины
Кол-во мест: 
https://yandex.ru/maps/?text=47.0898%2C37.5062
https://maps.google.com/?daddr=47.0898%2C37.5062
К оплате: **11200
**----------------------------------------------------------</v>
      </c>
    </row>
    <row r="175" spans="1:11" hidden="1" x14ac:dyDescent="0.25">
      <c r="A175">
        <v>2</v>
      </c>
      <c r="B175" s="1">
        <v>45518</v>
      </c>
      <c r="C175" t="s">
        <v>456</v>
      </c>
      <c r="D175" t="str">
        <f>VLOOKUP($C175,ТабКлиенты[#Data],MATCH(D$1,ТабКлиенты[#Headers],0),0)</f>
        <v>+79497488953</v>
      </c>
      <c r="E175" t="str">
        <f>VLOOKUP($C175,ТабКлиенты[#Data],MATCH(E$1,ТабКлиенты[#Headers],0),0)</f>
        <v>Ленина 183 подъезд 1 (Изумрудный)</v>
      </c>
      <c r="G175" s="14" t="str">
        <f>VLOOKUP($C175,ТабКлиенты[#Data],MATCH(G$1,ТабКлиенты[#Headers],0),0)</f>
        <v>47.0982, 37.4785</v>
      </c>
      <c r="H175" s="14">
        <v>596</v>
      </c>
      <c r="I175" s="13">
        <v>208</v>
      </c>
      <c r="J175" s="13">
        <v>1</v>
      </c>
      <c r="K175" t="str">
        <f t="shared" si="4"/>
        <v>2. Лана
Тел.: +79497488953
Адрес: Ленина 183 подъезд 1 (Изумрудный)
№ заказа: 208
Кол-во мест: 1
https://yandex.ru/maps/?text=47.0982%2C37.4785
https://maps.google.com/?daddr=47.0982%2C37.4785
К оплате: **596
**----------------------------------------------------------</v>
      </c>
    </row>
    <row r="176" spans="1:11" hidden="1" x14ac:dyDescent="0.25">
      <c r="A176">
        <v>3</v>
      </c>
      <c r="B176" s="1">
        <v>45518</v>
      </c>
      <c r="C176" t="s">
        <v>463</v>
      </c>
      <c r="D176" t="str">
        <f>VLOOKUP($C176,ТабКлиенты[#Data],MATCH(D$1,ТабКлиенты[#Headers],0),0)</f>
        <v>+79497095480</v>
      </c>
      <c r="E176" t="str">
        <f>VLOOKUP($C176,ТабКлиенты[#Data],MATCH(E$1,ТабКлиенты[#Headers],0),0)</f>
        <v>Трамвайный 10</v>
      </c>
      <c r="G176" s="14" t="str">
        <f>VLOOKUP($C176,ТабКлиенты[#Data],MATCH(G$1,ТабКлиенты[#Headers],0),0)</f>
        <v>47.1044, 37.5233</v>
      </c>
      <c r="H176" s="14">
        <v>1600</v>
      </c>
      <c r="I176" s="13" t="s">
        <v>1271</v>
      </c>
      <c r="K176" t="str">
        <f t="shared" si="4"/>
        <v>3. Валентина
Тел.: +79497095480
Адрес: Трамвайный 10
№ заказа: Витамины
Кол-во мест: 
https://yandex.ru/maps/?text=47.1044%2C37.5233
https://maps.google.com/?daddr=47.1044%2C37.5233
К оплате: **1600
**----------------------------------------------------------</v>
      </c>
    </row>
    <row r="177" spans="1:11" hidden="1" x14ac:dyDescent="0.25">
      <c r="A177">
        <v>4</v>
      </c>
      <c r="B177" s="1">
        <v>45518</v>
      </c>
      <c r="C177" t="s">
        <v>467</v>
      </c>
      <c r="D177" t="e">
        <f>VLOOKUP($C177,ТабКлиенты[#Data],MATCH(D$1,ТабКлиенты[#Headers],0),0)</f>
        <v>#N/A</v>
      </c>
      <c r="E177" t="e">
        <f>VLOOKUP($C177,ТабКлиенты[#Data],MATCH(E$1,ТабКлиенты[#Headers],0),0)</f>
        <v>#N/A</v>
      </c>
      <c r="G177" s="14" t="e">
        <f>VLOOKUP($C177,ТабКлиенты[#Data],MATCH(G$1,ТабКлиенты[#Headers],0),0)</f>
        <v>#N/A</v>
      </c>
      <c r="H177" s="14">
        <v>2100</v>
      </c>
      <c r="I177" s="13" t="s">
        <v>1271</v>
      </c>
      <c r="K177" t="e">
        <f t="shared" si="4"/>
        <v>#N/A</v>
      </c>
    </row>
    <row r="178" spans="1:11" hidden="1" x14ac:dyDescent="0.25">
      <c r="A178">
        <v>5</v>
      </c>
      <c r="B178" s="1">
        <v>45518</v>
      </c>
      <c r="C178" t="s">
        <v>404</v>
      </c>
      <c r="D178" t="str">
        <f>VLOOKUP($C178,ТабКлиенты[#Data],MATCH(D$1,ТабКлиенты[#Headers],0),0)</f>
        <v>+79497386112</v>
      </c>
      <c r="E178" t="str">
        <f>VLOOKUP($C178,ТабКлиенты[#Data],MATCH(E$1,ТабКлиенты[#Headers],0),0)</f>
        <v>Шевченко 325</v>
      </c>
      <c r="G178" s="14" t="str">
        <f>VLOOKUP($C178,ТабКлиенты[#Data],MATCH(G$1,ТабКлиенты[#Headers],0),0)</f>
        <v>47.1193, 37.5172</v>
      </c>
      <c r="H178" s="14">
        <v>12100</v>
      </c>
      <c r="I178" s="13" t="s">
        <v>1271</v>
      </c>
      <c r="K178" t="str">
        <f t="shared" si="4"/>
        <v>5. Любовь Виталий
Тел.: +79497386112
Адрес: Шевченко 325
№ заказа: Витамины
Кол-во мест: 
https://yandex.ru/maps/?text=47.1193%2C37.5172
https://maps.google.com/?daddr=47.1193%2C37.5172
К оплате: **12100
**----------------------------------------------------------</v>
      </c>
    </row>
    <row r="179" spans="1:11" hidden="1" x14ac:dyDescent="0.25">
      <c r="A179">
        <v>6</v>
      </c>
      <c r="B179" s="1">
        <v>45518</v>
      </c>
      <c r="C179" t="s">
        <v>104</v>
      </c>
      <c r="D179" t="str">
        <f>VLOOKUP($C179,ТабКлиенты[#Data],MATCH(D$1,ТабКлиенты[#Headers],0),0)</f>
        <v>+79497065096</v>
      </c>
      <c r="E179" t="str">
        <f>VLOOKUP($C179,ТабКлиенты[#Data],MATCH(E$1,ТабКлиенты[#Headers],0),0)</f>
        <v>Урицкого 84</v>
      </c>
      <c r="G179" s="14" t="str">
        <f>VLOOKUP($C179,ТабКлиенты[#Data],MATCH(G$1,ТабКлиенты[#Headers],0),0)</f>
        <v>47.1209, 37.5237</v>
      </c>
      <c r="H179" s="14">
        <v>0</v>
      </c>
      <c r="I179" s="13">
        <v>204</v>
      </c>
      <c r="K179" t="str">
        <f t="shared" ref="K179:K194" si="5">A179&amp;". "&amp;C179&amp;CHAR(10)&amp;"Тел.: "&amp;D179&amp;CHAR(10)&amp;"Адрес: "&amp;E179&amp;CHAR(10)&amp;"№ заказа: "&amp;I179&amp;CHAR(10)&amp;"Кол-во мест: "&amp;J179&amp;CHAR(10)&amp;"https://yandex.ru/maps/?text="&amp;REPLACE(G179,SEARCH(",",G179),2,"%2C")&amp;CHAR(10)&amp;"https://maps.google.com/?daddr="&amp;REPLACE(G179,SEARCH(",",G179),2,"%2C")&amp;CHAR(10)&amp;"К оплате: "&amp;"**"&amp;H179&amp;CHAR(10)&amp;"**"&amp;"----------------------------------------------------------"</f>
        <v>6. Максим телевизор
Тел.: +79497065096
Адрес: Урицкого 84
№ заказа: 204
Кол-во мест: 
https://yandex.ru/maps/?text=47.1209%2C37.5237
https://maps.google.com/?daddr=47.1209%2C37.5237
К оплате: **0
**----------------------------------------------------------</v>
      </c>
    </row>
    <row r="180" spans="1:11" hidden="1" x14ac:dyDescent="0.25">
      <c r="A180">
        <v>7</v>
      </c>
      <c r="B180" s="1">
        <v>45518</v>
      </c>
      <c r="C180" t="s">
        <v>308</v>
      </c>
      <c r="D180" t="e">
        <f>VLOOKUP($C180,ТабКлиенты[#Data],MATCH(D$1,ТабКлиенты[#Headers],0),0)</f>
        <v>#N/A</v>
      </c>
      <c r="E180" t="e">
        <f>VLOOKUP($C180,ТабКлиенты[#Data],MATCH(E$1,ТабКлиенты[#Headers],0),0)</f>
        <v>#N/A</v>
      </c>
      <c r="G180" s="14" t="e">
        <f>VLOOKUP($C180,ТабКлиенты[#Data],MATCH(G$1,ТабКлиенты[#Headers],0),0)</f>
        <v>#N/A</v>
      </c>
      <c r="H180" s="14">
        <v>4000</v>
      </c>
      <c r="I180" s="13" t="s">
        <v>1271</v>
      </c>
      <c r="K180" t="e">
        <f t="shared" si="5"/>
        <v>#N/A</v>
      </c>
    </row>
    <row r="181" spans="1:11" hidden="1" x14ac:dyDescent="0.25">
      <c r="A181">
        <v>8</v>
      </c>
      <c r="B181" s="1">
        <v>45518</v>
      </c>
      <c r="C181" t="s">
        <v>469</v>
      </c>
      <c r="D181" t="str">
        <f>VLOOKUP($C181,ТабКлиенты[#Data],MATCH(D$1,ТабКлиенты[#Headers],0),0)</f>
        <v>+79496334882</v>
      </c>
      <c r="E181" t="str">
        <f>VLOOKUP($C181,ТабКлиенты[#Data],MATCH(E$1,ТабКлиенты[#Headers],0),0)</f>
        <v>Шевченко 217</v>
      </c>
      <c r="G181" s="14" t="str">
        <f>VLOOKUP($C181,ТабКлиенты[#Data],MATCH(G$1,ТабКлиенты[#Headers],0),0)</f>
        <v>47.1130, 37.5406</v>
      </c>
      <c r="H181" s="14">
        <v>6200</v>
      </c>
      <c r="I181" s="13" t="s">
        <v>1271</v>
      </c>
      <c r="K181" t="str">
        <f t="shared" si="5"/>
        <v>8. Елена Шевченко 217
Тел.: +79496334882
Адрес: Шевченко 217
№ заказа: Витамины
Кол-во мест: 
https://yandex.ru/maps/?text=47.1130%2C37.5406
https://maps.google.com/?daddr=47.1130%2C37.5406
К оплате: **6200
**----------------------------------------------------------</v>
      </c>
    </row>
    <row r="182" spans="1:11" hidden="1" x14ac:dyDescent="0.25">
      <c r="A182">
        <v>1</v>
      </c>
      <c r="B182" s="1">
        <v>45521</v>
      </c>
      <c r="C182" t="s">
        <v>204</v>
      </c>
      <c r="D182" t="str">
        <f>VLOOKUP($C182,ТабКлиенты[#Data],MATCH(D$1,ТабКлиенты[#Headers],0),0)</f>
        <v>+79497243297</v>
      </c>
      <c r="E182" t="str">
        <f>VLOOKUP($C182,ТабКлиенты[#Data],MATCH(E$1,ТабКлиенты[#Headers],0),0)</f>
        <v>Мариуполь, Митрополитская, 60</v>
      </c>
      <c r="G182" s="14" t="str">
        <f>VLOOKUP($C182,ТабКлиенты[#Data],MATCH(G$1,ТабКлиенты[#Headers],0),0)</f>
        <v>47.0999, 37.5500</v>
      </c>
      <c r="H182" s="14">
        <v>1988</v>
      </c>
      <c r="I182" s="13">
        <v>207</v>
      </c>
      <c r="J182" s="13">
        <v>1</v>
      </c>
      <c r="K182" t="str">
        <f t="shared" si="5"/>
        <v>1. Руденко Юля
Тел.: +79497243297
Адрес: Мариуполь, Митрополитская, 60
№ заказа: 207
Кол-во мест: 1
https://yandex.ru/maps/?text=47.0999%2C37.5500
https://maps.google.com/?daddr=47.0999%2C37.5500
К оплате: **1988
**----------------------------------------------------------</v>
      </c>
    </row>
    <row r="183" spans="1:11" hidden="1" x14ac:dyDescent="0.25">
      <c r="A183">
        <v>2</v>
      </c>
      <c r="B183" s="1">
        <v>45521</v>
      </c>
      <c r="C183" t="s">
        <v>292</v>
      </c>
      <c r="D183" t="str">
        <f>VLOOKUP($C183,ТабКлиенты[#Data],MATCH(D$1,ТабКлиенты[#Headers],0),0)</f>
        <v>+79496019237</v>
      </c>
      <c r="E183" t="str">
        <f>VLOOKUP($C183,ТабКлиенты[#Data],MATCH(E$1,ТабКлиенты[#Headers],0),0)</f>
        <v>Металлургов 92</v>
      </c>
      <c r="G183" s="14" t="str">
        <f>VLOOKUP($C183,ТабКлиенты[#Data],MATCH(G$1,ТабКлиенты[#Headers],0),0)</f>
        <v>47.1053, 37.5483</v>
      </c>
      <c r="H183" s="14">
        <v>1200</v>
      </c>
      <c r="I183" s="13" t="s">
        <v>1271</v>
      </c>
      <c r="J183" s="13">
        <v>1</v>
      </c>
      <c r="K183" t="str">
        <f t="shared" si="5"/>
        <v>2. Людмила Эдельвейс
Тел.: +79496019237
Адрес: Металлургов 92
№ заказа: Витамины
Кол-во мест: 1
https://yandex.ru/maps/?text=47.1053%2C37.5483
https://maps.google.com/?daddr=47.1053%2C37.5483
К оплате: **1200
**----------------------------------------------------------</v>
      </c>
    </row>
    <row r="184" spans="1:11" hidden="1" x14ac:dyDescent="0.25">
      <c r="A184">
        <v>3</v>
      </c>
      <c r="B184" s="1">
        <v>45521</v>
      </c>
      <c r="C184" t="s">
        <v>287</v>
      </c>
      <c r="D184" t="str">
        <f>VLOOKUP($C184,ТабКлиенты[#Data],MATCH(D$1,ТабКлиенты[#Headers],0),0)</f>
        <v>+79497398064</v>
      </c>
      <c r="E184" t="str">
        <f>VLOOKUP($C184,ТабКлиенты[#Data],MATCH(E$1,ТабКлиенты[#Headers],0),0)</f>
        <v>Металлургов, 97</v>
      </c>
      <c r="G184" s="14" t="str">
        <f>VLOOKUP($C184,ТабКлиенты[#Data],MATCH(G$1,ТабКлиенты[#Headers],0),0)</f>
        <v>47.1070, 37.5542</v>
      </c>
      <c r="H184" s="14">
        <v>6562</v>
      </c>
      <c r="I184" s="13">
        <v>205</v>
      </c>
      <c r="J184" s="13">
        <v>1</v>
      </c>
      <c r="K184" t="str">
        <f t="shared" si="5"/>
        <v>3. Елена Ларисына
Тел.: +79497398064
Адрес: Металлургов, 97
№ заказа: 205
Кол-во мест: 1
https://yandex.ru/maps/?text=47.1070%2C37.5542
https://maps.google.com/?daddr=47.1070%2C37.5542
К оплате: **6562
**----------------------------------------------------------</v>
      </c>
    </row>
    <row r="185" spans="1:11" hidden="1" x14ac:dyDescent="0.25">
      <c r="A185">
        <v>4</v>
      </c>
      <c r="B185" s="1">
        <v>45521</v>
      </c>
      <c r="C185" t="s">
        <v>33</v>
      </c>
      <c r="D185" t="str">
        <f>VLOOKUP($C185,ТабКлиенты[#Data],MATCH(D$1,ТабКлиенты[#Headers],0),0)</f>
        <v>+79496069479</v>
      </c>
      <c r="E185" t="str">
        <f>VLOOKUP($C185,ТабКлиенты[#Data],MATCH(E$1,ТабКлиенты[#Headers],0),0)</f>
        <v>Марьинская 145 Новоселовка Церковь</v>
      </c>
      <c r="G185" s="14" t="str">
        <f>VLOOKUP($C185,ТабКлиенты[#Data],MATCH(G$1,ТабКлиенты[#Headers],0),0)</f>
        <v>47.1126, 37.5473</v>
      </c>
      <c r="H185" s="14">
        <v>163</v>
      </c>
      <c r="I185" s="13">
        <v>199</v>
      </c>
      <c r="J185" s="13">
        <v>1</v>
      </c>
      <c r="K185" t="str">
        <f t="shared" si="5"/>
        <v>4. Галина Агабекова(церковь)
Тел.: +79496069479
Адрес: Марьинская 145 Новоселовка Церковь
№ заказа: 199
Кол-во мест: 1
https://yandex.ru/maps/?text=47.1126%2C37.5473
https://maps.google.com/?daddr=47.1126%2C37.5473
К оплате: **163
**----------------------------------------------------------</v>
      </c>
    </row>
    <row r="186" spans="1:11" hidden="1" x14ac:dyDescent="0.25">
      <c r="A186">
        <v>5</v>
      </c>
      <c r="B186" s="1">
        <v>45521</v>
      </c>
      <c r="C186" t="s">
        <v>477</v>
      </c>
      <c r="D186" t="str">
        <f>VLOOKUP($C186,ТабКлиенты[#Data],MATCH(D$1,ТабКлиенты[#Headers],0),0)</f>
        <v>+79497097873</v>
      </c>
      <c r="E186" t="str">
        <f>VLOOKUP($C186,ТабКлиенты[#Data],MATCH(E$1,ТабКлиенты[#Headers],0),0)</f>
        <v>Живописная 7 зеленая крыша</v>
      </c>
      <c r="G186" s="14" t="str">
        <f>VLOOKUP($C186,ТабКлиенты[#Data],MATCH(G$1,ТабКлиенты[#Headers],0),0)</f>
        <v>47.1237, 37.5313</v>
      </c>
      <c r="H186" s="14">
        <v>2000</v>
      </c>
      <c r="I186" s="13" t="s">
        <v>1271</v>
      </c>
      <c r="J186" s="13">
        <v>1</v>
      </c>
      <c r="K186" t="str">
        <f t="shared" si="5"/>
        <v>5. Лиия Живописная
Тел.: +79497097873
Адрес: Живописная 7 зеленая крыша
№ заказа: Витамины
Кол-во мест: 1
https://yandex.ru/maps/?text=47.1237%2C37.5313
https://maps.google.com/?daddr=47.1237%2C37.5313
К оплате: **2000
**----------------------------------------------------------</v>
      </c>
    </row>
    <row r="187" spans="1:11" hidden="1" x14ac:dyDescent="0.25">
      <c r="A187">
        <v>6</v>
      </c>
      <c r="B187" s="1">
        <v>45521</v>
      </c>
      <c r="C187" t="s">
        <v>108</v>
      </c>
      <c r="D187" t="str">
        <f>VLOOKUP($C187,ТабКлиенты[#Data],MATCH(D$1,ТабКлиенты[#Headers],0),0)</f>
        <v>+79497174095</v>
      </c>
      <c r="E187" t="str">
        <f>VLOOKUP($C187,ТабКлиенты[#Data],MATCH(E$1,ТабКлиенты[#Headers],0),0)</f>
        <v>авиационная 39</v>
      </c>
      <c r="G187" s="14" t="str">
        <f>VLOOKUP($C187,ТабКлиенты[#Data],MATCH(G$1,ТабКлиенты[#Headers],0),0)</f>
        <v>47.1250, 37.5332</v>
      </c>
      <c r="H187" s="14">
        <v>0</v>
      </c>
      <c r="I187" s="13">
        <v>206</v>
      </c>
      <c r="J187" s="13">
        <v>1</v>
      </c>
      <c r="K187" t="str">
        <f t="shared" si="5"/>
        <v>6. Вадим
Тел.: +79497174095
Адрес: авиационная 39
№ заказа: 206
Кол-во мест: 1
https://yandex.ru/maps/?text=47.1250%2C37.5332
https://maps.google.com/?daddr=47.1250%2C37.5332
К оплате: **0
**----------------------------------------------------------</v>
      </c>
    </row>
    <row r="188" spans="1:11" hidden="1" x14ac:dyDescent="0.25">
      <c r="A188">
        <v>7</v>
      </c>
      <c r="B188" s="1">
        <v>45521</v>
      </c>
      <c r="C188" t="s">
        <v>473</v>
      </c>
      <c r="D188" t="str">
        <f>VLOOKUP($C188,ТабКлиенты[#Data],MATCH(D$1,ТабКлиенты[#Headers],0),0)</f>
        <v>+79497145703</v>
      </c>
      <c r="E188" t="str">
        <f>VLOOKUP($C188,ТабКлиенты[#Data],MATCH(E$1,ТабКлиенты[#Headers],0),0)</f>
        <v>Строителей 164 подезд 1</v>
      </c>
      <c r="G188" s="14" t="str">
        <f>VLOOKUP($C188,ТабКлиенты[#Data],MATCH(G$1,ТабКлиенты[#Headers],0),0)</f>
        <v>47.1206, 37.5251</v>
      </c>
      <c r="H188" s="14">
        <v>1300</v>
      </c>
      <c r="I188" s="13">
        <v>213</v>
      </c>
      <c r="J188" s="13">
        <v>2</v>
      </c>
      <c r="K188" t="str">
        <f t="shared" si="5"/>
        <v>7. Диана
Тел.: +79497145703
Адрес: Строителей 164 подезд 1
№ заказа: 213
Кол-во мест: 2
https://yandex.ru/maps/?text=47.1206%2C37.5251
https://maps.google.com/?daddr=47.1206%2C37.5251
К оплате: **1300
**----------------------------------------------------------</v>
      </c>
    </row>
    <row r="189" spans="1:11" hidden="1" x14ac:dyDescent="0.25">
      <c r="A189">
        <v>8</v>
      </c>
      <c r="B189" s="1">
        <v>45521</v>
      </c>
      <c r="C189" t="s">
        <v>104</v>
      </c>
      <c r="D189" t="str">
        <f>VLOOKUP($C189,ТабКлиенты[#Data],MATCH(D$1,ТабКлиенты[#Headers],0),0)</f>
        <v>+79497065096</v>
      </c>
      <c r="E189" t="str">
        <f>VLOOKUP($C189,ТабКлиенты[#Data],MATCH(E$1,ТабКлиенты[#Headers],0),0)</f>
        <v>Урицкого 84</v>
      </c>
      <c r="G189" s="14" t="str">
        <f>VLOOKUP($C189,ТабКлиенты[#Data],MATCH(G$1,ТабКлиенты[#Headers],0),0)</f>
        <v>47.1209, 37.5237</v>
      </c>
      <c r="H189" s="14">
        <v>0</v>
      </c>
      <c r="I189" s="13">
        <v>204</v>
      </c>
      <c r="J189" s="13">
        <v>1</v>
      </c>
      <c r="K189" t="str">
        <f t="shared" si="5"/>
        <v>8. Максим телевизор
Тел.: +79497065096
Адрес: Урицкого 84
№ заказа: 204
Кол-во мест: 1
https://yandex.ru/maps/?text=47.1209%2C37.5237
https://maps.google.com/?daddr=47.1209%2C37.5237
К оплате: **0
**----------------------------------------------------------</v>
      </c>
    </row>
    <row r="190" spans="1:11" hidden="1" x14ac:dyDescent="0.25">
      <c r="A190">
        <v>9</v>
      </c>
      <c r="B190" s="1">
        <v>45521</v>
      </c>
      <c r="C190" t="s">
        <v>404</v>
      </c>
      <c r="D190" t="str">
        <f>VLOOKUP($C190,ТабКлиенты[#Data],MATCH(D$1,ТабКлиенты[#Headers],0),0)</f>
        <v>+79497386112</v>
      </c>
      <c r="E190" t="str">
        <f>VLOOKUP($C190,ТабКлиенты[#Data],MATCH(E$1,ТабКлиенты[#Headers],0),0)</f>
        <v>Шевченко 325</v>
      </c>
      <c r="G190" s="14" t="str">
        <f>VLOOKUP($C190,ТабКлиенты[#Data],MATCH(G$1,ТабКлиенты[#Headers],0),0)</f>
        <v>47.1193, 37.5172</v>
      </c>
      <c r="H190" s="14"/>
      <c r="I190" s="13" t="s">
        <v>1271</v>
      </c>
      <c r="J190" s="13">
        <v>1</v>
      </c>
      <c r="K190" t="str">
        <f t="shared" si="5"/>
        <v>9. Любовь Виталий
Тел.: +79497386112
Адрес: Шевченко 325
№ заказа: Витамины
Кол-во мест: 1
https://yandex.ru/maps/?text=47.1193%2C37.5172
https://maps.google.com/?daddr=47.1193%2C37.5172
К оплате: **
**----------------------------------------------------------</v>
      </c>
    </row>
    <row r="191" spans="1:11" hidden="1" x14ac:dyDescent="0.25">
      <c r="A191">
        <v>10</v>
      </c>
      <c r="B191" s="1">
        <v>45521</v>
      </c>
      <c r="C191" t="s">
        <v>452</v>
      </c>
      <c r="D191" t="str">
        <f>VLOOKUP($C191,ТабКлиенты[#Data],MATCH(D$1,ТабКлиенты[#Headers],0),0)</f>
        <v>+79497106171</v>
      </c>
      <c r="E191" t="str">
        <f>VLOOKUP($C191,ТабКлиенты[#Data],MATCH(E$1,ТабКлиенты[#Headers],0),0)</f>
        <v>Шевченко 258, 4 подъезд</v>
      </c>
      <c r="G191" s="14" t="str">
        <f>VLOOKUP($C191,ТабКлиенты[#Data],MATCH(G$1,ТабКлиенты[#Headers],0),0)</f>
        <v>47.1157, 37.5176</v>
      </c>
      <c r="H191" s="14"/>
      <c r="I191" s="13">
        <v>214</v>
      </c>
      <c r="J191" s="13">
        <v>1</v>
      </c>
      <c r="K191" t="str">
        <f t="shared" si="5"/>
        <v>10. Андрей Кулигин
Тел.: +79497106171
Адрес: Шевченко 258, 4 подъезд
№ заказа: 214
Кол-во мест: 1
https://yandex.ru/maps/?text=47.1157%2C37.5176
https://maps.google.com/?daddr=47.1157%2C37.5176
К оплате: **
**----------------------------------------------------------</v>
      </c>
    </row>
    <row r="192" spans="1:11" hidden="1" x14ac:dyDescent="0.25">
      <c r="A192">
        <v>11</v>
      </c>
      <c r="B192" s="1">
        <v>45521</v>
      </c>
      <c r="C192" t="s">
        <v>385</v>
      </c>
      <c r="D192" t="str">
        <f>VLOOKUP($C192,ТабКлиенты[#Data],MATCH(D$1,ТабКлиенты[#Headers],0),0)</f>
        <v>+79497169864</v>
      </c>
      <c r="E192" t="str">
        <f>VLOOKUP($C192,ТабКлиенты[#Data],MATCH(E$1,ТабКлиенты[#Headers],0),0)</f>
        <v>пер. Ейский 9</v>
      </c>
      <c r="G192" s="14" t="str">
        <f>VLOOKUP($C192,ТабКлиенты[#Data],MATCH(G$1,ТабКлиенты[#Headers],0),0)</f>
        <v>47.0898, 37.5062</v>
      </c>
      <c r="H192" s="14"/>
      <c r="I192" s="13" t="s">
        <v>1271</v>
      </c>
      <c r="J192" s="13">
        <v>1</v>
      </c>
      <c r="K192" t="str">
        <f t="shared" si="5"/>
        <v>11. Надежда Витамины
Тел.: +79497169864
Адрес: пер. Ейский 9
№ заказа: Витамины
Кол-во мест: 1
https://yandex.ru/maps/?text=47.0898%2C37.5062
https://maps.google.com/?daddr=47.0898%2C37.5062
К оплате: **
**----------------------------------------------------------</v>
      </c>
    </row>
    <row r="193" spans="1:11" hidden="1" x14ac:dyDescent="0.25">
      <c r="A193">
        <v>12</v>
      </c>
      <c r="B193" s="1">
        <v>45521</v>
      </c>
      <c r="C193" t="s">
        <v>400</v>
      </c>
      <c r="D193" t="str">
        <f>VLOOKUP($C193,ТабКлиенты[#Data],MATCH(D$1,ТабКлиенты[#Headers],0),0)</f>
        <v>+79497336840</v>
      </c>
      <c r="E193" t="str">
        <f>VLOOKUP($C193,ТабКлиенты[#Data],MATCH(E$1,ТабКлиенты[#Headers],0),0)</f>
        <v>Бригантина 152</v>
      </c>
      <c r="G193" s="14" t="str">
        <f>VLOOKUP($C193,ТабКлиенты[#Data],MATCH(G$1,ТабКлиенты[#Headers],0),0)</f>
        <v>47.0779, 37.4879</v>
      </c>
      <c r="H193" s="14">
        <v>6000</v>
      </c>
      <c r="I193" s="13" t="s">
        <v>1271</v>
      </c>
      <c r="J193" s="13">
        <v>1</v>
      </c>
      <c r="K193" t="str">
        <f t="shared" si="5"/>
        <v>12. Татьяна Бригантина
Тел.: +79497336840
Адрес: Бригантина 152
№ заказа: Витамины
Кол-во мест: 1
https://yandex.ru/maps/?text=47.0779%2C37.4879
https://maps.google.com/?daddr=47.0779%2C37.4879
К оплате: **6000
**----------------------------------------------------------</v>
      </c>
    </row>
    <row r="194" spans="1:11" hidden="1" x14ac:dyDescent="0.25">
      <c r="A194">
        <v>13</v>
      </c>
      <c r="B194" s="1">
        <v>45521</v>
      </c>
      <c r="C194" t="s">
        <v>210</v>
      </c>
      <c r="D194" t="str">
        <f>VLOOKUP($C194,ТабКлиенты[#Data],MATCH(D$1,ТабКлиенты[#Headers],0),0)</f>
        <v>+79498350206</v>
      </c>
      <c r="E194" t="str">
        <f>VLOOKUP($C194,ТабКлиенты[#Data],MATCH(E$1,ТабКлиенты[#Headers],0),0)</f>
        <v>Сумская 42</v>
      </c>
      <c r="G194" s="14" t="str">
        <f>VLOOKUP($C194,ТабКлиенты[#Data],MATCH(G$1,ТабКлиенты[#Headers],0),0)</f>
        <v>47.0740, 37.4893</v>
      </c>
      <c r="H194" s="14">
        <v>433</v>
      </c>
      <c r="I194" s="13">
        <v>212</v>
      </c>
      <c r="J194" s="13">
        <v>4</v>
      </c>
      <c r="K194" t="str">
        <f t="shared" si="5"/>
        <v>13. Максим рюкзак
Тел.: +79498350206
Адрес: Сумская 42
№ заказа: 212
Кол-во мест: 4
https://yandex.ru/maps/?text=47.0740%2C37.4893
https://maps.google.com/?daddr=47.0740%2C37.4893
К оплате: **433
**----------------------------------------------------------</v>
      </c>
    </row>
    <row r="195" spans="1:11" hidden="1" x14ac:dyDescent="0.25">
      <c r="A195">
        <v>1</v>
      </c>
      <c r="B195" s="1">
        <v>45527</v>
      </c>
      <c r="C195" t="s">
        <v>1331</v>
      </c>
      <c r="D195">
        <v>79495949180</v>
      </c>
      <c r="E195" t="s">
        <v>1332</v>
      </c>
      <c r="G195" s="14" t="s">
        <v>1333</v>
      </c>
      <c r="H195" s="14">
        <v>11900</v>
      </c>
      <c r="I195" s="13" t="s">
        <v>1271</v>
      </c>
      <c r="J195" s="13">
        <v>1</v>
      </c>
      <c r="K195" t="str">
        <f t="shared" ref="K195:K211" si="6">A195&amp;". "&amp;C195&amp;CHAR(10)&amp;"Тел.: "&amp;D195&amp;CHAR(10)&amp;"Адрес: "&amp;E195&amp;CHAR(10)&amp;"№ заказа: "&amp;I195&amp;CHAR(10)&amp;"Кол-во мест: "&amp;J195&amp;CHAR(10)&amp;"https://yandex.ru/maps/?text="&amp;REPLACE(G195,SEARCH(",",G195),2,"%2C")&amp;CHAR(10)&amp;"https://maps.google.com/?daddr="&amp;REPLACE(G195,SEARCH(",",G195),2,"%2C")&amp;CHAR(10)&amp;"К оплате: "&amp;"**"&amp;H195&amp;CHAR(10)&amp;"**"&amp;"----------------------------------------------------------"</f>
        <v>1. Денис
Тел.: 79495949180
Адрес: Ц. рынок
№ заказа: Витамины
Кол-во мест: 1
https://yandex.ru/maps/?text=47.1005%2C37.5466
https://maps.google.com/?daddr=47.1005%2C37.5466
К оплате: **11900
**----------------------------------------------------------</v>
      </c>
    </row>
    <row r="196" spans="1:11" hidden="1" x14ac:dyDescent="0.25">
      <c r="A196">
        <v>2</v>
      </c>
      <c r="B196" s="1">
        <v>45527</v>
      </c>
      <c r="C196" t="s">
        <v>1334</v>
      </c>
      <c r="D196" s="19" t="s">
        <v>1335</v>
      </c>
      <c r="E196" t="s">
        <v>1336</v>
      </c>
      <c r="G196" s="14" t="s">
        <v>1337</v>
      </c>
      <c r="H196" s="14">
        <v>2000</v>
      </c>
      <c r="I196" s="13" t="s">
        <v>1271</v>
      </c>
      <c r="J196" s="13">
        <v>1</v>
      </c>
      <c r="K196" t="str">
        <f t="shared" si="6"/>
        <v>2. Екатерина
Тел.: +79490351867
Адрес: Нахимова 204
№ заказа: Витамины
Кол-во мест: 1
https://yandex.ru/maps/?text=47.0956%2C37.5382
https://maps.google.com/?daddr=47.0956%2C37.5382
К оплате: **2000
**----------------------------------------------------------</v>
      </c>
    </row>
    <row r="197" spans="1:11" hidden="1" x14ac:dyDescent="0.25">
      <c r="A197">
        <v>3</v>
      </c>
      <c r="B197" s="1">
        <v>45527</v>
      </c>
      <c r="C197" t="s">
        <v>283</v>
      </c>
      <c r="D197" t="str">
        <f>VLOOKUP($C197,ТабКлиенты[#Data],MATCH(D$1,ТабКлиенты[#Headers],0),0)</f>
        <v>+79497172395</v>
      </c>
      <c r="E197" t="str">
        <f>VLOOKUP($C197,ТабКлиенты[#Data],MATCH(E$1,ТабКлиенты[#Headers],0),0)</f>
        <v>Торговая 45</v>
      </c>
      <c r="G197" s="14" t="str">
        <f>VLOOKUP($C197,ТабКлиенты[#Data],MATCH(G$1,ТабКлиенты[#Headers],0),0)</f>
        <v>47.0982, 37.5627</v>
      </c>
      <c r="H197" s="14">
        <v>-858</v>
      </c>
      <c r="I197" s="13">
        <v>216</v>
      </c>
      <c r="J197" s="13">
        <v>2</v>
      </c>
      <c r="K197" t="str">
        <f t="shared" si="6"/>
        <v>3. Александр Каскад
Тел.: +79497172395
Адрес: Торговая 45
№ заказа: 216
Кол-во мест: 2
https://yandex.ru/maps/?text=47.0982%2C37.5627
https://maps.google.com/?daddr=47.0982%2C37.5627
К оплате: **-858
**----------------------------------------------------------</v>
      </c>
    </row>
    <row r="198" spans="1:11" hidden="1" x14ac:dyDescent="0.25">
      <c r="A198">
        <v>4</v>
      </c>
      <c r="B198" s="1">
        <v>45527</v>
      </c>
      <c r="C198" t="s">
        <v>287</v>
      </c>
      <c r="D198" t="str">
        <f>VLOOKUP($C198,ТабКлиенты[#Data],MATCH(D$1,ТабКлиенты[#Headers],0),0)</f>
        <v>+79497398064</v>
      </c>
      <c r="E198" t="str">
        <f>VLOOKUP($C198,ТабКлиенты[#Data],MATCH(E$1,ТабКлиенты[#Headers],0),0)</f>
        <v>Металлургов, 97</v>
      </c>
      <c r="G198" s="14" t="str">
        <f>VLOOKUP($C198,ТабКлиенты[#Data],MATCH(G$1,ТабКлиенты[#Headers],0),0)</f>
        <v>47.1070, 37.5542</v>
      </c>
      <c r="H198" s="14">
        <v>0</v>
      </c>
      <c r="I198" s="13" t="s">
        <v>1338</v>
      </c>
      <c r="J198" s="13">
        <v>4</v>
      </c>
      <c r="K198" t="str">
        <f t="shared" si="6"/>
        <v>4. Елена Ларисына
Тел.: +79497398064
Адрес: Металлургов, 97
№ заказа: 192  205  211
Кол-во мест: 4
https://yandex.ru/maps/?text=47.1070%2C37.5542
https://maps.google.com/?daddr=47.1070%2C37.5542
К оплате: **0
**----------------------------------------------------------</v>
      </c>
    </row>
    <row r="199" spans="1:11" hidden="1" x14ac:dyDescent="0.25">
      <c r="A199">
        <v>5</v>
      </c>
      <c r="B199" s="1">
        <v>45527</v>
      </c>
      <c r="C199" t="s">
        <v>231</v>
      </c>
      <c r="D199" t="str">
        <f>VLOOKUP($C199,ТабКлиенты[#Data],MATCH(D$1,ТабКлиенты[#Headers],0),0)</f>
        <v>+79497266403</v>
      </c>
      <c r="E199" t="str">
        <f>VLOOKUP($C199,ТабКлиенты[#Data],MATCH(E$1,ТабКлиенты[#Headers],0),0)</f>
        <v>Металлургов 102 1 подъезд 8 этаж</v>
      </c>
      <c r="G199" s="14" t="str">
        <f>VLOOKUP($C199,ТабКлиенты[#Data],MATCH(G$1,ТабКлиенты[#Headers],0),0)</f>
        <v>47.1099, 37.5543</v>
      </c>
      <c r="H199" s="14">
        <v>0</v>
      </c>
      <c r="I199" s="13" t="s">
        <v>1339</v>
      </c>
      <c r="J199" s="13">
        <v>1</v>
      </c>
      <c r="K199" t="str">
        <f t="shared" si="6"/>
        <v>5. Лариса Кирова
Тел.: +79497266403
Адрес: Металлургов 102 1 подъезд 8 этаж
№ заказа: 189  215
Кол-во мест: 1
https://yandex.ru/maps/?text=47.1099%2C37.5543
https://maps.google.com/?daddr=47.1099%2C37.5543
К оплате: **0
**----------------------------------------------------------</v>
      </c>
    </row>
    <row r="200" spans="1:11" hidden="1" x14ac:dyDescent="0.25">
      <c r="A200">
        <v>6</v>
      </c>
      <c r="B200" s="1">
        <v>45527</v>
      </c>
      <c r="C200" t="s">
        <v>39</v>
      </c>
      <c r="D200" t="str">
        <f>VLOOKUP($C200,ТабКлиенты[#Data],MATCH(D$1,ТабКлиенты[#Headers],0),0)</f>
        <v>+79497132215</v>
      </c>
      <c r="E200" t="str">
        <f>VLOOKUP($C200,ТабКлиенты[#Data],MATCH(E$1,ТабКлиенты[#Headers],0),0)</f>
        <v>Гонды 42</v>
      </c>
      <c r="G200" s="14" t="str">
        <f>VLOOKUP($C200,ТабКлиенты[#Data],MATCH(G$1,ТабКлиенты[#Headers],0),0)</f>
        <v>47.1274, 37.5691</v>
      </c>
      <c r="H200" s="14">
        <v>3000</v>
      </c>
      <c r="I200" s="13">
        <v>219</v>
      </c>
      <c r="J200" s="13">
        <v>1</v>
      </c>
      <c r="K200" t="str">
        <f t="shared" si="6"/>
        <v>6. Алена шмалко
Тел.: +79497132215
Адрес: Гонды 42
№ заказа: 219
Кол-во мест: 1
https://yandex.ru/maps/?text=47.1274%2C37.5691
https://maps.google.com/?daddr=47.1274%2C37.5691
К оплате: **3000
**----------------------------------------------------------</v>
      </c>
    </row>
    <row r="201" spans="1:11" hidden="1" x14ac:dyDescent="0.25">
      <c r="A201">
        <v>7</v>
      </c>
      <c r="B201" s="1">
        <v>45527</v>
      </c>
      <c r="C201" t="s">
        <v>357</v>
      </c>
      <c r="D201" t="str">
        <f>VLOOKUP($C201,ТабКлиенты[#Data],MATCH(D$1,ТабКлиенты[#Headers],0),0)</f>
        <v>+79497114644</v>
      </c>
      <c r="E201" t="str">
        <f>VLOOKUP($C201,ТабКлиенты[#Data],MATCH(E$1,ТабКлиенты[#Headers],0),0)</f>
        <v>Металлургов 143</v>
      </c>
      <c r="G201" s="14" t="str">
        <f>VLOOKUP($C201,ТабКлиенты[#Data],MATCH(G$1,ТабКлиенты[#Headers],0),0)</f>
        <v>47.1199, 37.5643</v>
      </c>
      <c r="H201" s="14">
        <v>0</v>
      </c>
      <c r="I201" s="13">
        <v>217</v>
      </c>
      <c r="J201" s="13">
        <v>1</v>
      </c>
      <c r="K201" t="str">
        <f t="shared" si="6"/>
        <v>7. Юля Ларисына
Тел.: +79497114644
Адрес: Металлургов 143
№ заказа: 217
Кол-во мест: 1
https://yandex.ru/maps/?text=47.1199%2C37.5643
https://maps.google.com/?daddr=47.1199%2C37.5643
К оплате: **0
**----------------------------------------------------------</v>
      </c>
    </row>
    <row r="202" spans="1:11" hidden="1" x14ac:dyDescent="0.25">
      <c r="A202">
        <v>8</v>
      </c>
      <c r="B202" s="1">
        <v>45527</v>
      </c>
      <c r="C202" t="s">
        <v>437</v>
      </c>
      <c r="D202" t="str">
        <f>VLOOKUP($C202,ТабКлиенты[#Data],MATCH(D$1,ТабКлиенты[#Headers],0),0)</f>
        <v>+79497115237</v>
      </c>
      <c r="E202" t="str">
        <f>VLOOKUP($C202,ТабКлиенты[#Data],MATCH(E$1,ТабКлиенты[#Headers],0),0)</f>
        <v>пер Станционный 8</v>
      </c>
      <c r="G202" s="14" t="str">
        <f>VLOOKUP($C202,ТабКлиенты[#Data],MATCH(G$1,ТабКлиенты[#Headers],0),0)</f>
        <v>47.1640, 37.5780</v>
      </c>
      <c r="H202" s="14">
        <v>5400</v>
      </c>
      <c r="I202" s="13" t="s">
        <v>1271</v>
      </c>
      <c r="J202" s="13">
        <v>1</v>
      </c>
      <c r="K202" t="str">
        <f t="shared" si="6"/>
        <v>8. Аня Мирный
Тел.: +79497115237
Адрес: пер Станционный 8
№ заказа: Витамины
Кол-во мест: 1
https://yandex.ru/maps/?text=47.1640%2C37.5780
https://maps.google.com/?daddr=47.1640%2C37.5780
К оплате: **5400
**----------------------------------------------------------</v>
      </c>
    </row>
    <row r="203" spans="1:11" hidden="1" x14ac:dyDescent="0.25">
      <c r="A203">
        <v>9</v>
      </c>
      <c r="B203" s="1">
        <v>45527</v>
      </c>
      <c r="C203" t="s">
        <v>485</v>
      </c>
      <c r="D203" t="str">
        <f>VLOOKUP($C203,ТабКлиенты[#Data],MATCH(D$1,ТабКлиенты[#Headers],0),0)</f>
        <v>+79498429781</v>
      </c>
      <c r="E203" t="str">
        <f>VLOOKUP($C203,ТабКлиенты[#Data],MATCH(E$1,ТабКлиенты[#Headers],0),0)</f>
        <v>Крымская 42</v>
      </c>
      <c r="G203" s="14" t="str">
        <f>VLOOKUP($C203,ТабКлиенты[#Data],MATCH(G$1,ТабКлиенты[#Headers],0),0)</f>
        <v>47.1389, 37.5091</v>
      </c>
      <c r="H203" s="14">
        <v>2273</v>
      </c>
      <c r="I203" s="13">
        <v>220</v>
      </c>
      <c r="J203" s="13">
        <v>4</v>
      </c>
      <c r="K203" t="str">
        <f t="shared" si="6"/>
        <v>9. Аннет
Тел.: +79498429781
Адрес: Крымская 42
№ заказа: 220
Кол-во мест: 4
https://yandex.ru/maps/?text=47.1389%2C37.5091
https://maps.google.com/?daddr=47.1389%2C37.5091
К оплате: **2273
**----------------------------------------------------------</v>
      </c>
    </row>
    <row r="204" spans="1:11" hidden="1" x14ac:dyDescent="0.25">
      <c r="A204">
        <v>10</v>
      </c>
      <c r="B204" s="1">
        <v>45527</v>
      </c>
      <c r="C204" t="s">
        <v>104</v>
      </c>
      <c r="D204" t="str">
        <f>VLOOKUP($C204,ТабКлиенты[#Data],MATCH(D$1,ТабКлиенты[#Headers],0),0)</f>
        <v>+79497065096</v>
      </c>
      <c r="E204" t="str">
        <f>VLOOKUP($C204,ТабКлиенты[#Data],MATCH(E$1,ТабКлиенты[#Headers],0),0)</f>
        <v>Урицкого 84</v>
      </c>
      <c r="G204" s="14" t="str">
        <f>VLOOKUP($C204,ТабКлиенты[#Data],MATCH(G$1,ТабКлиенты[#Headers],0),0)</f>
        <v>47.1209, 37.5237</v>
      </c>
      <c r="H204" s="14">
        <v>0</v>
      </c>
      <c r="I204" s="13" t="s">
        <v>1340</v>
      </c>
      <c r="J204" s="13">
        <v>3</v>
      </c>
      <c r="K204" t="str">
        <f t="shared" si="6"/>
        <v>10. Максим телевизор
Тел.: +79497065096
Адрес: Урицкого 84
№ заказа: 204  191
Кол-во мест: 3
https://yandex.ru/maps/?text=47.1209%2C37.5237
https://maps.google.com/?daddr=47.1209%2C37.5237
К оплате: **0
**----------------------------------------------------------</v>
      </c>
    </row>
    <row r="205" spans="1:11" hidden="1" x14ac:dyDescent="0.25">
      <c r="A205">
        <v>11</v>
      </c>
      <c r="B205" s="1">
        <v>45527</v>
      </c>
      <c r="C205" t="s">
        <v>404</v>
      </c>
      <c r="D205" t="str">
        <f>VLOOKUP($C205,ТабКлиенты[#Data],MATCH(D$1,ТабКлиенты[#Headers],0),0)</f>
        <v>+79497386112</v>
      </c>
      <c r="E205" t="str">
        <f>VLOOKUP($C205,ТабКлиенты[#Data],MATCH(E$1,ТабКлиенты[#Headers],0),0)</f>
        <v>Шевченко 325</v>
      </c>
      <c r="G205" s="14" t="str">
        <f>VLOOKUP($C205,ТабКлиенты[#Data],MATCH(G$1,ТабКлиенты[#Headers],0),0)</f>
        <v>47.1193, 37.5172</v>
      </c>
      <c r="H205" s="14">
        <f>6200+5500+2500</f>
        <v>14200</v>
      </c>
      <c r="I205" s="13" t="s">
        <v>1271</v>
      </c>
      <c r="J205" s="13">
        <v>1</v>
      </c>
      <c r="K205" t="str">
        <f t="shared" si="6"/>
        <v>11. Любовь Виталий
Тел.: +79497386112
Адрес: Шевченко 325
№ заказа: Витамины
Кол-во мест: 1
https://yandex.ru/maps/?text=47.1193%2C37.5172
https://maps.google.com/?daddr=47.1193%2C37.5172
К оплате: **14200
**----------------------------------------------------------</v>
      </c>
    </row>
    <row r="206" spans="1:11" hidden="1" x14ac:dyDescent="0.25">
      <c r="A206">
        <v>12</v>
      </c>
      <c r="B206" s="1">
        <v>45527</v>
      </c>
      <c r="C206" t="s">
        <v>492</v>
      </c>
      <c r="D206" t="str">
        <f>VLOOKUP($C206,ТабКлиенты[#Data],MATCH(D$1,ТабКлиенты[#Headers],0),0)</f>
        <v>Телеграм</v>
      </c>
      <c r="E206" t="str">
        <f>VLOOKUP($C206,ТабКлиенты[#Data],MATCH(E$1,ТабКлиенты[#Headers],0),0)</f>
        <v>Грушевского 2б</v>
      </c>
      <c r="G206" s="14" t="str">
        <f>VLOOKUP($C206,ТабКлиенты[#Data],MATCH(G$1,ТабКлиенты[#Headers],0),0)</f>
        <v>47.1178, 37.5121</v>
      </c>
      <c r="H206" s="14">
        <v>5000</v>
      </c>
      <c r="I206" s="13" t="s">
        <v>1271</v>
      </c>
      <c r="J206" s="13">
        <v>1</v>
      </c>
      <c r="K206" t="str">
        <f t="shared" si="6"/>
        <v>12. Наталья магазин
Тел.: Телеграм
Адрес: Грушевского 2б
№ заказа: Витамины
Кол-во мест: 1
https://yandex.ru/maps/?text=47.1178%2C37.5121
https://maps.google.com/?daddr=47.1178%2C37.5121
К оплате: **5000
**----------------------------------------------------------</v>
      </c>
    </row>
    <row r="207" spans="1:11" hidden="1" x14ac:dyDescent="0.25">
      <c r="A207">
        <v>13</v>
      </c>
      <c r="B207" s="1">
        <v>45527</v>
      </c>
      <c r="C207" t="s">
        <v>418</v>
      </c>
      <c r="D207" t="str">
        <f>VLOOKUP($C207,ТабКлиенты[#Data],MATCH(D$1,ТабКлиенты[#Headers],0),0)</f>
        <v>+79497064345</v>
      </c>
      <c r="E207" t="str">
        <f>VLOOKUP($C207,ТабКлиенты[#Data],MATCH(E$1,ТабКлиенты[#Headers],0),0)</f>
        <v>Шевченко 270</v>
      </c>
      <c r="G207" s="14" t="str">
        <f>VLOOKUP($C207,ТабКлиенты[#Data],MATCH(G$1,ТабКлиенты[#Headers],0),0)</f>
        <v>47.1157, 37.5138</v>
      </c>
      <c r="H207" s="14">
        <v>3400</v>
      </c>
      <c r="I207" s="13" t="s">
        <v>1271</v>
      </c>
      <c r="J207" s="13">
        <v>1</v>
      </c>
      <c r="K207" t="str">
        <f t="shared" si="6"/>
        <v>13. Татьяна Леонидовна
Тел.: +79497064345
Адрес: Шевченко 270
№ заказа: Витамины
Кол-во мест: 1
https://yandex.ru/maps/?text=47.1157%2C37.5138
https://maps.google.com/?daddr=47.1157%2C37.5138
К оплате: **3400
**----------------------------------------------------------</v>
      </c>
    </row>
    <row r="208" spans="1:11" hidden="1" x14ac:dyDescent="0.25">
      <c r="A208">
        <v>14</v>
      </c>
      <c r="B208" s="1">
        <v>45527</v>
      </c>
      <c r="C208" t="s">
        <v>434</v>
      </c>
      <c r="D208">
        <f>VLOOKUP($C208,ТабКлиенты[#Data],MATCH(D$1,ТабКлиенты[#Headers],0),0)</f>
        <v>0</v>
      </c>
      <c r="E208" t="str">
        <f>VLOOKUP($C208,ТабКлиенты[#Data],MATCH(E$1,ТабКлиенты[#Headers],0),0)</f>
        <v>Троицкая 46</v>
      </c>
      <c r="G208" s="14" t="str">
        <f>VLOOKUP($C208,ТабКлиенты[#Data],MATCH(G$1,ТабКлиенты[#Headers],0),0)</f>
        <v>47.1119, 37.5147</v>
      </c>
      <c r="H208" s="14">
        <v>5900</v>
      </c>
      <c r="I208" s="13" t="s">
        <v>1271</v>
      </c>
      <c r="J208" s="13">
        <v>1</v>
      </c>
      <c r="K208" t="str">
        <f t="shared" si="6"/>
        <v>14. Оксна 17 Цветы
Тел.: 0
Адрес: Троицкая 46
№ заказа: Витамины
Кол-во мест: 1
https://yandex.ru/maps/?text=47.1119%2C37.5147
https://maps.google.com/?daddr=47.1119%2C37.5147
К оплате: **5900
**----------------------------------------------------------</v>
      </c>
    </row>
    <row r="209" spans="1:11" hidden="1" x14ac:dyDescent="0.25">
      <c r="A209">
        <v>15</v>
      </c>
      <c r="B209" s="1">
        <v>45527</v>
      </c>
      <c r="C209" t="s">
        <v>1341</v>
      </c>
      <c r="D209" t="s">
        <v>1342</v>
      </c>
      <c r="E209" t="s">
        <v>1343</v>
      </c>
      <c r="G209" s="14" t="s">
        <v>1344</v>
      </c>
      <c r="H209" s="14"/>
      <c r="K209" t="str">
        <f t="shared" si="6"/>
        <v>15. Почта 37 отделение
Тел.: Нет данных
Адрес: Куприна 11
№ заказа: 
Кол-во мест: 
https://yandex.ru/maps/?text=47.1023%2C37.5129
https://maps.google.com/?daddr=47.1023%2C37.5129
К оплате: **
**----------------------------------------------------------</v>
      </c>
    </row>
    <row r="210" spans="1:11" hidden="1" x14ac:dyDescent="0.25">
      <c r="A210">
        <v>16</v>
      </c>
      <c r="B210" s="1">
        <v>45527</v>
      </c>
      <c r="C210" t="s">
        <v>456</v>
      </c>
      <c r="D210" t="str">
        <f>VLOOKUP($C210,ТабКлиенты[#Data],MATCH(D$1,ТабКлиенты[#Headers],0),0)</f>
        <v>+79497488953</v>
      </c>
      <c r="E210" t="str">
        <f>VLOOKUP($C210,ТабКлиенты[#Data],MATCH(E$1,ТабКлиенты[#Headers],0),0)</f>
        <v>Ленина 183 подъезд 1 (Изумрудный)</v>
      </c>
      <c r="G210" s="14" t="str">
        <f>VLOOKUP($C210,ТабКлиенты[#Data],MATCH(G$1,ТабКлиенты[#Headers],0),0)</f>
        <v>47.0982, 37.4785</v>
      </c>
      <c r="H210" s="14">
        <v>834</v>
      </c>
      <c r="I210" s="13">
        <v>221</v>
      </c>
      <c r="J210" s="13">
        <v>3</v>
      </c>
      <c r="K210" t="str">
        <f t="shared" si="6"/>
        <v>16. Лана
Тел.: +79497488953
Адрес: Ленина 183 подъезд 1 (Изумрудный)
№ заказа: 221
Кол-во мест: 3
https://yandex.ru/maps/?text=47.0982%2C37.4785
https://maps.google.com/?daddr=47.0982%2C37.4785
К оплате: **834
**----------------------------------------------------------</v>
      </c>
    </row>
    <row r="211" spans="1:11" hidden="1" x14ac:dyDescent="0.25">
      <c r="A211">
        <v>17</v>
      </c>
      <c r="B211" s="1">
        <v>45527</v>
      </c>
      <c r="C211" t="s">
        <v>33</v>
      </c>
      <c r="D211" t="str">
        <f>VLOOKUP($C211,ТабКлиенты[#Data],MATCH(D$1,ТабКлиенты[#Headers],0),0)</f>
        <v>+79496069479</v>
      </c>
      <c r="E211" t="str">
        <f>VLOOKUP($C211,ТабКлиенты[#Data],MATCH(E$1,ТабКлиенты[#Headers],0),0)</f>
        <v>Марьинская 145 Новоселовка Церковь</v>
      </c>
      <c r="G211" s="14" t="str">
        <f>VLOOKUP($C211,ТабКлиенты[#Data],MATCH(G$1,ТабКлиенты[#Headers],0),0)</f>
        <v>47.1126, 37.5473</v>
      </c>
      <c r="H211" s="14">
        <v>0</v>
      </c>
      <c r="I211" s="13">
        <v>199</v>
      </c>
      <c r="J211" s="13">
        <v>1</v>
      </c>
      <c r="K211" t="str">
        <f t="shared" si="6"/>
        <v>17. Галина Агабекова(церковь)
Тел.: +79496069479
Адрес: Марьинская 145 Новоселовка Церковь
№ заказа: 199
Кол-во мест: 1
https://yandex.ru/maps/?text=47.1126%2C37.5473
https://maps.google.com/?daddr=47.1126%2C37.5473
К оплате: **0
**----------------------------------------------------------</v>
      </c>
    </row>
    <row r="212" spans="1:11" hidden="1" x14ac:dyDescent="0.25">
      <c r="A212">
        <v>1</v>
      </c>
      <c r="B212" s="1">
        <v>45535</v>
      </c>
      <c r="C212" t="s">
        <v>287</v>
      </c>
      <c r="D212" t="str">
        <f>VLOOKUP($C212,ТабКлиенты[#Data],MATCH(D$1,ТабКлиенты[#Headers],0),0)</f>
        <v>+79497398064</v>
      </c>
      <c r="E212" t="str">
        <f>VLOOKUP($C212,ТабКлиенты[#Data],MATCH(E$1,ТабКлиенты[#Headers],0),0)</f>
        <v>Металлургов, 97</v>
      </c>
      <c r="G212" s="14" t="str">
        <f>VLOOKUP($C212,ТабКлиенты[#Data],MATCH(G$1,ТабКлиенты[#Headers],0),0)</f>
        <v>47.1070, 37.5542</v>
      </c>
      <c r="H212" s="14">
        <v>7106</v>
      </c>
      <c r="I212" s="13">
        <v>222</v>
      </c>
      <c r="J212" s="13">
        <v>1</v>
      </c>
      <c r="K212" t="str">
        <f t="shared" ref="K212:K226" si="7">A212&amp;". "&amp;C212&amp;CHAR(10)&amp;"Тел.: "&amp;D212&amp;CHAR(10)&amp;"Адрес: "&amp;E212&amp;CHAR(10)&amp;"№ заказа: "&amp;I212&amp;CHAR(10)&amp;"Кол-во мест: "&amp;J212&amp;CHAR(10)&amp;"https://yandex.ru/maps/?text="&amp;REPLACE(G212,SEARCH(",",G212),2,"%2C")&amp;CHAR(10)&amp;"https://maps.google.com/?daddr="&amp;REPLACE(G212,SEARCH(",",G212),2,"%2C")&amp;CHAR(10)&amp;"К оплате: "&amp;"**"&amp;H212&amp;CHAR(10)&amp;"**"&amp;"----------------------------------------------------------"</f>
        <v>1. Елена Ларисына
Тел.: +79497398064
Адрес: Металлургов, 97
№ заказа: 222
Кол-во мест: 1
https://yandex.ru/maps/?text=47.1070%2C37.5542
https://maps.google.com/?daddr=47.1070%2C37.5542
К оплате: **7106
**----------------------------------------------------------</v>
      </c>
    </row>
    <row r="213" spans="1:11" hidden="1" x14ac:dyDescent="0.25">
      <c r="A213">
        <v>3</v>
      </c>
      <c r="B213" s="1">
        <v>45535</v>
      </c>
      <c r="C213" t="s">
        <v>357</v>
      </c>
      <c r="D213" t="str">
        <f>VLOOKUP($C213,ТабКлиенты[#Data],MATCH(D$1,ТабКлиенты[#Headers],0),0)</f>
        <v>+79497114644</v>
      </c>
      <c r="E213" t="s">
        <v>1327</v>
      </c>
      <c r="G213" s="14" t="s">
        <v>1345</v>
      </c>
      <c r="H213" s="14">
        <v>0</v>
      </c>
      <c r="I213" s="13" t="s">
        <v>1346</v>
      </c>
      <c r="J213" s="13">
        <v>1</v>
      </c>
      <c r="K213" t="str">
        <f t="shared" si="7"/>
        <v>3. Юля Ларисына
Тел.: +79497114644
Адрес: Металлургов 143 подъезд 4
№ заказа: 217  226
Кол-во мест: 1
https://yandex.ru/maps/?text=47.1200%2C37.5645
https://maps.google.com/?daddr=47.1200%2C37.5645
К оплате: **0
**----------------------------------------------------------</v>
      </c>
    </row>
    <row r="214" spans="1:11" hidden="1" x14ac:dyDescent="0.25">
      <c r="A214">
        <v>4</v>
      </c>
      <c r="B214" s="1">
        <v>45535</v>
      </c>
      <c r="C214" t="s">
        <v>39</v>
      </c>
      <c r="D214" t="str">
        <f>VLOOKUP($C214,ТабКлиенты[#Data],MATCH(D$1,ТабКлиенты[#Headers],0),0)</f>
        <v>+79497132215</v>
      </c>
      <c r="E214" t="str">
        <f>VLOOKUP($C214,ТабКлиенты[#Data],MATCH(E$1,ТабКлиенты[#Headers],0),0)</f>
        <v>Гонды 42</v>
      </c>
      <c r="G214" s="14" t="str">
        <f>VLOOKUP($C214,ТабКлиенты[#Data],MATCH(G$1,ТабКлиенты[#Headers],0),0)</f>
        <v>47.1274, 37.5691</v>
      </c>
      <c r="H214" s="14">
        <v>3000</v>
      </c>
      <c r="I214" s="13">
        <v>219</v>
      </c>
      <c r="J214" s="13">
        <v>2</v>
      </c>
      <c r="K214" t="str">
        <f t="shared" si="7"/>
        <v>4. Алена шмалко
Тел.: +79497132215
Адрес: Гонды 42
№ заказа: 219
Кол-во мест: 2
https://yandex.ru/maps/?text=47.1274%2C37.5691
https://maps.google.com/?daddr=47.1274%2C37.5691
К оплате: **3000
**----------------------------------------------------------</v>
      </c>
    </row>
    <row r="215" spans="1:11" hidden="1" x14ac:dyDescent="0.25">
      <c r="A215">
        <v>5</v>
      </c>
      <c r="B215" s="1">
        <v>45535</v>
      </c>
      <c r="C215" t="s">
        <v>508</v>
      </c>
      <c r="D215" t="str">
        <f>VLOOKUP($C215,ТабКлиенты[#Data],MATCH(D$1,ТабКлиенты[#Headers],0),0)</f>
        <v>+79497087468</v>
      </c>
      <c r="E215" t="str">
        <f>VLOOKUP($C215,ТабКлиенты[#Data],MATCH(E$1,ТабКлиенты[#Headers],0),0)</f>
        <v>Фрунзе 20</v>
      </c>
      <c r="G215" s="14" t="str">
        <f>VLOOKUP($C215,ТабКлиенты[#Data],MATCH(G$1,ТабКлиенты[#Headers],0),0)</f>
        <v>47.1190, 37.5418</v>
      </c>
      <c r="H215" s="14">
        <v>0</v>
      </c>
      <c r="I215" s="13">
        <v>223</v>
      </c>
      <c r="J215" s="13">
        <v>1</v>
      </c>
      <c r="K215" t="str">
        <f t="shared" si="7"/>
        <v>5. Подруга Ларисы
Тел.: +79497087468
Адрес: Фрунзе 20
№ заказа: 223
Кол-во мест: 1
https://yandex.ru/maps/?text=47.1190%2C37.5418
https://maps.google.com/?daddr=47.1190%2C37.5418
К оплате: **0
**----------------------------------------------------------</v>
      </c>
    </row>
    <row r="216" spans="1:11" hidden="1" x14ac:dyDescent="0.25">
      <c r="A216">
        <v>6</v>
      </c>
      <c r="B216" s="1">
        <v>45535</v>
      </c>
      <c r="C216" t="s">
        <v>500</v>
      </c>
      <c r="D216" t="str">
        <f>VLOOKUP($C216,ТабКлиенты[#Data],MATCH(D$1,ТабКлиенты[#Headers],0),0)</f>
        <v>+79497057045</v>
      </c>
      <c r="E216" t="str">
        <f>VLOOKUP($C216,ТабКлиенты[#Data],MATCH(E$1,ТабКлиенты[#Headers],0),0)</f>
        <v>Бахмутская 20</v>
      </c>
      <c r="G216" s="14" t="str">
        <f>VLOOKUP($C216,ТабКлиенты[#Data],MATCH(G$1,ТабКлиенты[#Headers],0),0)</f>
        <v>47.1157, 37.5479</v>
      </c>
      <c r="H216" s="14">
        <v>5700</v>
      </c>
      <c r="I216" s="13" t="s">
        <v>1271</v>
      </c>
      <c r="J216" s="13">
        <v>1</v>
      </c>
      <c r="K216" t="str">
        <f t="shared" si="7"/>
        <v>6. Виктория операционная
Тел.: +79497057045
Адрес: Бахмутская 20
№ заказа: Витамины
Кол-во мест: 1
https://yandex.ru/maps/?text=47.1157%2C37.5479
https://maps.google.com/?daddr=47.1157%2C37.5479
К оплате: **5700
**----------------------------------------------------------</v>
      </c>
    </row>
    <row r="217" spans="1:11" hidden="1" x14ac:dyDescent="0.25">
      <c r="A217">
        <v>7</v>
      </c>
      <c r="B217" s="1">
        <v>45535</v>
      </c>
      <c r="C217" t="s">
        <v>104</v>
      </c>
      <c r="D217" t="str">
        <f>VLOOKUP($C217,ТабКлиенты[#Data],MATCH(D$1,ТабКлиенты[#Headers],0),0)</f>
        <v>+79497065096</v>
      </c>
      <c r="E217" t="str">
        <f>VLOOKUP($C217,ТабКлиенты[#Data],MATCH(E$1,ТабКлиенты[#Headers],0),0)</f>
        <v>Урицкого 84</v>
      </c>
      <c r="G217" s="14" t="str">
        <f>VLOOKUP($C217,ТабКлиенты[#Data],MATCH(G$1,ТабКлиенты[#Headers],0),0)</f>
        <v>47.1209, 37.5237</v>
      </c>
      <c r="H217" s="14">
        <v>6958</v>
      </c>
      <c r="I217" s="13">
        <v>191</v>
      </c>
      <c r="J217" s="13">
        <v>4</v>
      </c>
      <c r="K217" t="str">
        <f t="shared" si="7"/>
        <v>7. Максим телевизор
Тел.: +79497065096
Адрес: Урицкого 84
№ заказа: 191
Кол-во мест: 4
https://yandex.ru/maps/?text=47.1209%2C37.5237
https://maps.google.com/?daddr=47.1209%2C37.5237
К оплате: **6958
**----------------------------------------------------------</v>
      </c>
    </row>
    <row r="218" spans="1:11" hidden="1" x14ac:dyDescent="0.25">
      <c r="A218">
        <v>8</v>
      </c>
      <c r="B218" s="1">
        <v>45535</v>
      </c>
      <c r="C218" t="s">
        <v>308</v>
      </c>
      <c r="D218" t="e">
        <f>VLOOKUP($C218,ТабКлиенты[#Data],MATCH(D$1,ТабКлиенты[#Headers],0),0)</f>
        <v>#N/A</v>
      </c>
      <c r="E218" t="e">
        <f>VLOOKUP($C218,ТабКлиенты[#Data],MATCH(E$1,ТабКлиенты[#Headers],0),0)</f>
        <v>#N/A</v>
      </c>
      <c r="G218" s="14" t="e">
        <f>VLOOKUP($C218,ТабКлиенты[#Data],MATCH(G$1,ТабКлиенты[#Headers],0),0)</f>
        <v>#N/A</v>
      </c>
      <c r="H218" s="14">
        <v>26340</v>
      </c>
      <c r="I218" s="13" t="s">
        <v>1271</v>
      </c>
      <c r="J218" s="13">
        <v>1</v>
      </c>
      <c r="K218" t="e">
        <f t="shared" si="7"/>
        <v>#N/A</v>
      </c>
    </row>
    <row r="219" spans="1:11" hidden="1" x14ac:dyDescent="0.25">
      <c r="A219">
        <v>9</v>
      </c>
      <c r="B219" s="1">
        <v>45535</v>
      </c>
      <c r="C219" t="s">
        <v>404</v>
      </c>
      <c r="D219" t="str">
        <f>VLOOKUP($C219,ТабКлиенты[#Data],MATCH(D$1,ТабКлиенты[#Headers],0),0)</f>
        <v>+79497386112</v>
      </c>
      <c r="E219" t="str">
        <f>VLOOKUP($C219,ТабКлиенты[#Data],MATCH(E$1,ТабКлиенты[#Headers],0),0)</f>
        <v>Шевченко 325</v>
      </c>
      <c r="G219" s="14" t="str">
        <f>VLOOKUP($C219,ТабКлиенты[#Data],MATCH(G$1,ТабКлиенты[#Headers],0),0)</f>
        <v>47.1193, 37.5172</v>
      </c>
      <c r="H219" s="14">
        <v>3500</v>
      </c>
      <c r="I219" s="13" t="s">
        <v>1271</v>
      </c>
      <c r="J219" s="13">
        <v>1</v>
      </c>
      <c r="K219" t="str">
        <f t="shared" si="7"/>
        <v>9. Любовь Виталий
Тел.: +79497386112
Адрес: Шевченко 325
№ заказа: Витамины
Кол-во мест: 1
https://yandex.ru/maps/?text=47.1193%2C37.5172
https://maps.google.com/?daddr=47.1193%2C37.5172
К оплате: **3500
**----------------------------------------------------------</v>
      </c>
    </row>
    <row r="220" spans="1:11" hidden="1" x14ac:dyDescent="0.25">
      <c r="A220">
        <v>10</v>
      </c>
      <c r="B220" s="1">
        <v>45535</v>
      </c>
      <c r="C220" t="s">
        <v>452</v>
      </c>
      <c r="D220" t="str">
        <f>VLOOKUP($C220,ТабКлиенты[#Data],MATCH(D$1,ТабКлиенты[#Headers],0),0)</f>
        <v>+79497106171</v>
      </c>
      <c r="E220" t="str">
        <f>VLOOKUP($C220,ТабКлиенты[#Data],MATCH(E$1,ТабКлиенты[#Headers],0),0)</f>
        <v>Шевченко 258, 4 подъезд</v>
      </c>
      <c r="G220" s="14" t="str">
        <f>VLOOKUP($C220,ТабКлиенты[#Data],MATCH(G$1,ТабКлиенты[#Headers],0),0)</f>
        <v>47.1157, 37.5176</v>
      </c>
      <c r="H220" s="14">
        <v>346</v>
      </c>
      <c r="I220" s="13">
        <v>229</v>
      </c>
      <c r="J220" s="13">
        <v>1</v>
      </c>
      <c r="K220" t="str">
        <f t="shared" si="7"/>
        <v>10. Андрей Кулигин
Тел.: +79497106171
Адрес: Шевченко 258, 4 подъезд
№ заказа: 229
Кол-во мест: 1
https://yandex.ru/maps/?text=47.1157%2C37.5176
https://maps.google.com/?daddr=47.1157%2C37.5176
К оплате: **346
**----------------------------------------------------------</v>
      </c>
    </row>
    <row r="221" spans="1:11" hidden="1" x14ac:dyDescent="0.25">
      <c r="A221">
        <v>11</v>
      </c>
      <c r="B221" s="1">
        <v>45535</v>
      </c>
      <c r="C221" t="s">
        <v>497</v>
      </c>
      <c r="D221" t="str">
        <f>VLOOKUP($C221,ТабКлиенты[#Data],MATCH(D$1,ТабКлиенты[#Headers],0),0)</f>
        <v>+79497054056</v>
      </c>
      <c r="E221" t="str">
        <f>VLOOKUP($C221,ТабКлиенты[#Data],MATCH(E$1,ТабКлиенты[#Headers],0),0)</f>
        <v>пер. Новгородский 41</v>
      </c>
      <c r="G221" s="14" t="str">
        <f>VLOOKUP($C221,ТабКлиенты[#Data],MATCH(G$1,ТабКлиенты[#Headers],0),0)</f>
        <v>47.1100, 37.5242</v>
      </c>
      <c r="H221" s="14">
        <v>23400</v>
      </c>
      <c r="I221" s="13" t="s">
        <v>1271</v>
      </c>
      <c r="J221" s="13">
        <v>2</v>
      </c>
      <c r="K221" t="str">
        <f t="shared" si="7"/>
        <v>11. Лариса Терраспорт
Тел.: +79497054056
Адрес: пер. Новгородский 41
№ заказа: Витамины
Кол-во мест: 2
https://yandex.ru/maps/?text=47.1100%2C37.5242
https://maps.google.com/?daddr=47.1100%2C37.5242
К оплате: **23400
**----------------------------------------------------------</v>
      </c>
    </row>
    <row r="222" spans="1:11" hidden="1" x14ac:dyDescent="0.25">
      <c r="A222">
        <v>12</v>
      </c>
      <c r="B222" s="1">
        <v>45535</v>
      </c>
      <c r="C222" t="s">
        <v>456</v>
      </c>
      <c r="D222" t="str">
        <f>VLOOKUP($C222,ТабКлиенты[#Data],MATCH(D$1,ТабКлиенты[#Headers],0),0)</f>
        <v>+79497488953</v>
      </c>
      <c r="E222" t="str">
        <f>VLOOKUP($C222,ТабКлиенты[#Data],MATCH(E$1,ТабКлиенты[#Headers],0),0)</f>
        <v>Ленина 183 подъезд 1 (Изумрудный)</v>
      </c>
      <c r="G222" s="14" t="str">
        <f>VLOOKUP($C222,ТабКлиенты[#Data],MATCH(G$1,ТабКлиенты[#Headers],0),0)</f>
        <v>47.0982, 37.4785</v>
      </c>
      <c r="H222" s="14">
        <v>303</v>
      </c>
      <c r="I222" s="13">
        <v>228</v>
      </c>
      <c r="J222" s="13">
        <v>1</v>
      </c>
      <c r="K222" t="str">
        <f t="shared" si="7"/>
        <v>12. Лана
Тел.: +79497488953
Адрес: Ленина 183 подъезд 1 (Изумрудный)
№ заказа: 228
Кол-во мест: 1
https://yandex.ru/maps/?text=47.0982%2C37.4785
https://maps.google.com/?daddr=47.0982%2C37.4785
К оплате: **303
**----------------------------------------------------------</v>
      </c>
    </row>
    <row r="223" spans="1:11" hidden="1" x14ac:dyDescent="0.25">
      <c r="A223">
        <v>13</v>
      </c>
      <c r="B223" s="1">
        <v>45535</v>
      </c>
      <c r="C223" t="s">
        <v>385</v>
      </c>
      <c r="D223" t="str">
        <f>VLOOKUP($C223,ТабКлиенты[#Data],MATCH(D$1,ТабКлиенты[#Headers],0),0)</f>
        <v>+79497169864</v>
      </c>
      <c r="E223" t="str">
        <f>VLOOKUP($C223,ТабКлиенты[#Data],MATCH(E$1,ТабКлиенты[#Headers],0),0)</f>
        <v>пер. Ейский 9</v>
      </c>
      <c r="G223" s="14" t="str">
        <f>VLOOKUP($C223,ТабКлиенты[#Data],MATCH(G$1,ТабКлиенты[#Headers],0),0)</f>
        <v>47.0898, 37.5062</v>
      </c>
      <c r="H223" s="14">
        <v>3500</v>
      </c>
      <c r="I223" s="13" t="s">
        <v>1271</v>
      </c>
      <c r="J223" s="13">
        <v>1</v>
      </c>
      <c r="K223" t="str">
        <f t="shared" si="7"/>
        <v>13. Надежда Витамины
Тел.: +79497169864
Адрес: пер. Ейский 9
№ заказа: Витамины
Кол-во мест: 1
https://yandex.ru/maps/?text=47.0898%2C37.5062
https://maps.google.com/?daddr=47.0898%2C37.5062
К оплате: **3500
**----------------------------------------------------------</v>
      </c>
    </row>
    <row r="224" spans="1:11" hidden="1" x14ac:dyDescent="0.25">
      <c r="A224">
        <v>14</v>
      </c>
      <c r="B224" s="1">
        <v>45535</v>
      </c>
      <c r="C224" t="s">
        <v>504</v>
      </c>
      <c r="D224" t="str">
        <f>VLOOKUP($C224,ТабКлиенты[#Data],MATCH(D$1,ТабКлиенты[#Headers],0),0)</f>
        <v>+79497179245</v>
      </c>
      <c r="E224" t="str">
        <f>VLOOKUP($C224,ТабКлиенты[#Data],MATCH(E$1,ТабКлиенты[#Headers],0),0)</f>
        <v>Ткаченко Петренко 3</v>
      </c>
      <c r="G224" s="14" t="str">
        <f>VLOOKUP($C224,ТабКлиенты[#Data],MATCH(G$1,ТабКлиенты[#Headers],0),0)</f>
        <v>47.0853, 37.5071</v>
      </c>
      <c r="H224" s="14">
        <v>2100</v>
      </c>
      <c r="I224" s="13" t="s">
        <v>1271</v>
      </c>
      <c r="J224" s="13">
        <v>1</v>
      </c>
      <c r="K224" t="str">
        <f t="shared" si="7"/>
        <v>14. Светлана Кулаки
Тел.: +79497179245
Адрес: Ткаченко Петренко 3
№ заказа: Витамины
Кол-во мест: 1
https://yandex.ru/maps/?text=47.0853%2C37.5071
https://maps.google.com/?daddr=47.0853%2C37.5071
К оплате: **2100
**----------------------------------------------------------</v>
      </c>
    </row>
    <row r="225" spans="1:11" hidden="1" x14ac:dyDescent="0.25">
      <c r="A225">
        <v>15</v>
      </c>
      <c r="B225" s="1">
        <v>45535</v>
      </c>
      <c r="C225" t="s">
        <v>493</v>
      </c>
      <c r="D225" t="str">
        <f>VLOOKUP($C225,ТабКлиенты[#Data],MATCH(D$1,ТабКлиенты[#Headers],0),0)</f>
        <v>+79495521868, +79495332409</v>
      </c>
      <c r="E225" t="str">
        <f>VLOOKUP($C225,ТабКлиенты[#Data],MATCH(E$1,ТабКлиенты[#Headers],0),0)</f>
        <v>Нахимова 100</v>
      </c>
      <c r="G225" s="14" t="str">
        <f>VLOOKUP($C225,ТабКлиенты[#Data],MATCH(G$1,ТабКлиенты[#Headers],0),0)</f>
        <v>47.0793, 37.5157</v>
      </c>
      <c r="H225" s="14">
        <v>0</v>
      </c>
      <c r="I225" s="13">
        <v>225</v>
      </c>
      <c r="J225" s="13">
        <v>1</v>
      </c>
      <c r="K225" t="str">
        <f t="shared" si="7"/>
        <v>15. АлисаСофия
Тел.: +79495521868, +79495332409
Адрес: Нахимова 100
№ заказа: 225
Кол-во мест: 1
https://yandex.ru/maps/?text=47.0793%2C37.5157
https://maps.google.com/?daddr=47.0793%2C37.5157
К оплате: **0
**----------------------------------------------------------</v>
      </c>
    </row>
    <row r="226" spans="1:11" hidden="1" x14ac:dyDescent="0.25">
      <c r="A226">
        <v>16</v>
      </c>
      <c r="B226" s="1">
        <v>45535</v>
      </c>
      <c r="C226" t="s">
        <v>204</v>
      </c>
      <c r="D226" t="str">
        <f>VLOOKUP($C226,ТабКлиенты[#Data],MATCH(D$1,ТабКлиенты[#Headers],0),0)</f>
        <v>+79497243297</v>
      </c>
      <c r="E226" t="str">
        <f>VLOOKUP($C226,ТабКлиенты[#Data],MATCH(E$1,ТабКлиенты[#Headers],0),0)</f>
        <v>Мариуполь, Митрополитская, 60</v>
      </c>
      <c r="G226" s="14" t="str">
        <f>VLOOKUP($C226,ТабКлиенты[#Data],MATCH(G$1,ТабКлиенты[#Headers],0),0)</f>
        <v>47.0999, 37.5500</v>
      </c>
      <c r="H226" s="14">
        <v>1012</v>
      </c>
      <c r="I226" s="13">
        <v>197</v>
      </c>
      <c r="J226" s="13">
        <v>1</v>
      </c>
      <c r="K226" t="str">
        <f t="shared" si="7"/>
        <v>16. Руденко Юля
Тел.: +79497243297
Адрес: Мариуполь, Митрополитская, 60
№ заказа: 197
Кол-во мест: 1
https://yandex.ru/maps/?text=47.0999%2C37.5500
https://maps.google.com/?daddr=47.0999%2C37.5500
К оплате: **1012
**----------------------------------------------------------</v>
      </c>
    </row>
    <row r="227" spans="1:11" hidden="1" x14ac:dyDescent="0.25">
      <c r="A227">
        <v>1</v>
      </c>
      <c r="B227" s="1">
        <v>45542</v>
      </c>
      <c r="C227" t="s">
        <v>287</v>
      </c>
      <c r="D227" t="str">
        <f>VLOOKUP($C227,ТабКлиенты[#Data],MATCH(D$1,ТабКлиенты[#Headers],0),0)</f>
        <v>+79497398064</v>
      </c>
      <c r="E227" t="str">
        <f>VLOOKUP($C227,ТабКлиенты[#Data],MATCH(E$1,ТабКлиенты[#Headers],0),0)</f>
        <v>Металлургов, 97</v>
      </c>
      <c r="G227" s="14" t="str">
        <f>VLOOKUP($C227,ТабКлиенты[#Data],MATCH(G$1,ТабКлиенты[#Headers],0),0)</f>
        <v>47.1070, 37.5542</v>
      </c>
      <c r="H227" s="14">
        <v>0</v>
      </c>
      <c r="I227" s="13" t="s">
        <v>1376</v>
      </c>
      <c r="J227" s="13">
        <v>1</v>
      </c>
      <c r="K227" t="str">
        <f t="shared" ref="K227:K241" si="8">A227&amp;". "&amp;C227&amp;CHAR(10)&amp;"Тел.: "&amp;D227&amp;CHAR(10)&amp;"Адрес: "&amp;E227&amp;CHAR(10)&amp;"№ заказа: "&amp;I227&amp;CHAR(10)&amp;"Кол-во мест: "&amp;J227&amp;CHAR(10)&amp;"https://yandex.ru/maps/?text="&amp;REPLACE(G227,SEARCH(",",G227),2,"%2C")&amp;CHAR(10)&amp;"https://maps.google.com/?daddr="&amp;REPLACE(G227,SEARCH(",",G227),2,"%2C")&amp;CHAR(10)&amp;"К оплате: "&amp;"**"&amp;H227&amp;CHAR(10)&amp;"**"&amp;"----------------------------------------------------------"</f>
        <v>1. Елена Ларисына
Тел.: +79497398064
Адрес: Металлургов, 97
№ заказа: 211  222
Кол-во мест: 1
https://yandex.ru/maps/?text=47.1070%2C37.5542
https://maps.google.com/?daddr=47.1070%2C37.5542
К оплате: **0
**----------------------------------------------------------</v>
      </c>
    </row>
    <row r="228" spans="1:11" hidden="1" x14ac:dyDescent="0.25">
      <c r="A228">
        <v>2</v>
      </c>
      <c r="B228" s="1">
        <v>45542</v>
      </c>
      <c r="C228" t="s">
        <v>357</v>
      </c>
      <c r="D228" t="str">
        <f>VLOOKUP($C228,ТабКлиенты[#Data],MATCH(D$1,ТабКлиенты[#Headers],0),0)</f>
        <v>+79497114644</v>
      </c>
      <c r="E228" t="str">
        <f>VLOOKUP($C228,ТабКлиенты[#Data],MATCH(E$1,ТабКлиенты[#Headers],0),0)</f>
        <v>Металлургов 143</v>
      </c>
      <c r="G228" s="14" t="str">
        <f>VLOOKUP($C228,ТабКлиенты[#Data],MATCH(G$1,ТабКлиенты[#Headers],0),0)</f>
        <v>47.1199, 37.5643</v>
      </c>
      <c r="H228" s="14">
        <v>0</v>
      </c>
      <c r="I228" s="13" t="s">
        <v>1374</v>
      </c>
      <c r="J228" s="13">
        <v>1</v>
      </c>
      <c r="K228" t="str">
        <f t="shared" si="8"/>
        <v>2. Юля Ларисына
Тел.: +79497114644
Адрес: Металлургов 143
№ заказа: 217  235
Кол-во мест: 1
https://yandex.ru/maps/?text=47.1199%2C37.5643
https://maps.google.com/?daddr=47.1199%2C37.5643
К оплате: **0
**----------------------------------------------------------</v>
      </c>
    </row>
    <row r="229" spans="1:11" hidden="1" x14ac:dyDescent="0.25">
      <c r="A229">
        <v>3</v>
      </c>
      <c r="B229" s="1">
        <v>45542</v>
      </c>
      <c r="C229" t="s">
        <v>33</v>
      </c>
      <c r="D229" t="str">
        <f>VLOOKUP($C229,ТабКлиенты[#Data],MATCH(D$1,ТабКлиенты[#Headers],0),0)</f>
        <v>+79496069479</v>
      </c>
      <c r="E229" t="str">
        <f>VLOOKUP($C229,ТабКлиенты[#Data],MATCH(E$1,ТабКлиенты[#Headers],0),0)</f>
        <v>Марьинская 145 Новоселовка Церковь</v>
      </c>
      <c r="G229" s="14" t="str">
        <f>VLOOKUP($C229,ТабКлиенты[#Data],MATCH(G$1,ТабКлиенты[#Headers],0),0)</f>
        <v>47.1126, 37.5473</v>
      </c>
      <c r="H229" s="14">
        <v>6056</v>
      </c>
      <c r="I229" s="13">
        <v>233</v>
      </c>
      <c r="J229" s="13">
        <v>1</v>
      </c>
      <c r="K229" t="str">
        <f t="shared" si="8"/>
        <v>3. Галина Агабекова(церковь)
Тел.: +79496069479
Адрес: Марьинская 145 Новоселовка Церковь
№ заказа: 233
Кол-во мест: 1
https://yandex.ru/maps/?text=47.1126%2C37.5473
https://maps.google.com/?daddr=47.1126%2C37.5473
К оплате: **6056
**----------------------------------------------------------</v>
      </c>
    </row>
    <row r="230" spans="1:11" hidden="1" x14ac:dyDescent="0.25">
      <c r="A230">
        <v>4</v>
      </c>
      <c r="B230" s="1">
        <v>45542</v>
      </c>
      <c r="C230" t="s">
        <v>1391</v>
      </c>
      <c r="D230" t="str">
        <f>VLOOKUP($C230,ТабКлиенты[#Data],MATCH(D$1,ТабКлиенты[#Headers],0),0)</f>
        <v>+79497251443</v>
      </c>
      <c r="E230" t="str">
        <f>VLOOKUP($C230,ТабКлиенты[#Data],MATCH(E$1,ТабКлиенты[#Headers],0),0)</f>
        <v>Шота 18</v>
      </c>
      <c r="G230" s="14" t="str">
        <f>VLOOKUP($C230,ТабКлиенты[#Data],MATCH(G$1,ТабКлиенты[#Headers],0),0)</f>
        <v>47.1194, 37.5396</v>
      </c>
      <c r="H230" s="14">
        <v>1800</v>
      </c>
      <c r="I230" s="13" t="s">
        <v>1271</v>
      </c>
      <c r="J230" s="13">
        <v>1</v>
      </c>
      <c r="K230" t="str">
        <f t="shared" si="8"/>
        <v>4. Светлана Шота 18
Тел.: +79497251443
Адрес: Шота 18
№ заказа: Витамины
Кол-во мест: 1
https://yandex.ru/maps/?text=47.1194%2C37.5396
https://maps.google.com/?daddr=47.1194%2C37.5396
К оплате: **1800
**----------------------------------------------------------</v>
      </c>
    </row>
    <row r="231" spans="1:11" hidden="1" x14ac:dyDescent="0.25">
      <c r="A231">
        <v>5</v>
      </c>
      <c r="B231" s="1">
        <v>45542</v>
      </c>
      <c r="C231" t="s">
        <v>104</v>
      </c>
      <c r="D231" t="str">
        <f>VLOOKUP($C231,ТабКлиенты[#Data],MATCH(D$1,ТабКлиенты[#Headers],0),0)</f>
        <v>+79497065096</v>
      </c>
      <c r="E231" t="str">
        <f>VLOOKUP($C231,ТабКлиенты[#Data],MATCH(E$1,ТабКлиенты[#Headers],0),0)</f>
        <v>Урицкого 84</v>
      </c>
      <c r="G231" s="14" t="str">
        <f>VLOOKUP($C231,ТабКлиенты[#Data],MATCH(G$1,ТабКлиенты[#Headers],0),0)</f>
        <v>47.1209, 37.5237</v>
      </c>
      <c r="H231" s="14">
        <v>4539</v>
      </c>
      <c r="I231" s="13" t="s">
        <v>1375</v>
      </c>
      <c r="J231" s="13">
        <v>5</v>
      </c>
      <c r="K231" t="str">
        <f t="shared" si="8"/>
        <v>5. Максим телевизор
Тел.: +79497065096
Адрес: Урицкого 84
№ заказа: 191  234
Кол-во мест: 5
https://yandex.ru/maps/?text=47.1209%2C37.5237
https://maps.google.com/?daddr=47.1209%2C37.5237
К оплате: **4539
**----------------------------------------------------------</v>
      </c>
    </row>
    <row r="232" spans="1:11" hidden="1" x14ac:dyDescent="0.25">
      <c r="A232">
        <v>6</v>
      </c>
      <c r="B232" s="1">
        <v>45542</v>
      </c>
      <c r="C232" t="s">
        <v>1351</v>
      </c>
      <c r="D232" t="str">
        <f>VLOOKUP($C232,ТабКлиенты[#Data],MATCH(D$1,ТабКлиенты[#Headers],0),0)</f>
        <v>+79497090163</v>
      </c>
      <c r="E232" t="str">
        <f>VLOOKUP($C232,ТабКлиенты[#Data],MATCH(E$1,ТабКлиенты[#Headers],0),0)</f>
        <v>Грушевского 5 подъезд 1</v>
      </c>
      <c r="G232" s="14" t="str">
        <f>VLOOKUP($C232,ТабКлиенты[#Data],MATCH(G$1,ТабКлиенты[#Headers],0),0)</f>
        <v>47.1194, 37.5141</v>
      </c>
      <c r="H232" s="14">
        <v>0</v>
      </c>
      <c r="I232" s="13">
        <v>231</v>
      </c>
      <c r="J232" s="13">
        <v>1</v>
      </c>
      <c r="K232" t="str">
        <f t="shared" si="8"/>
        <v>6. Владимир Зайцев
Тел.: +79497090163
Адрес: Грушевского 5 подъезд 1
№ заказа: 231
Кол-во мест: 1
https://yandex.ru/maps/?text=47.1194%2C37.5141
https://maps.google.com/?daddr=47.1194%2C37.5141
К оплате: **0
**----------------------------------------------------------</v>
      </c>
    </row>
    <row r="233" spans="1:11" hidden="1" x14ac:dyDescent="0.25">
      <c r="A233">
        <v>7</v>
      </c>
      <c r="B233" s="1">
        <v>45542</v>
      </c>
      <c r="C233" t="s">
        <v>308</v>
      </c>
      <c r="D233" t="e">
        <f>VLOOKUP($C233,ТабКлиенты[#Data],MATCH(D$1,ТабКлиенты[#Headers],0),0)</f>
        <v>#N/A</v>
      </c>
      <c r="E233" t="e">
        <f>VLOOKUP($C233,ТабКлиенты[#Data],MATCH(E$1,ТабКлиенты[#Headers],0),0)</f>
        <v>#N/A</v>
      </c>
      <c r="G233" s="14" t="e">
        <f>VLOOKUP($C233,ТабКлиенты[#Data],MATCH(G$1,ТабКлиенты[#Headers],0),0)</f>
        <v>#N/A</v>
      </c>
      <c r="H233" s="14">
        <v>0</v>
      </c>
      <c r="I233" s="13" t="s">
        <v>1271</v>
      </c>
      <c r="J233" s="13">
        <v>1</v>
      </c>
      <c r="K233" t="e">
        <f t="shared" si="8"/>
        <v>#N/A</v>
      </c>
    </row>
    <row r="234" spans="1:11" hidden="1" x14ac:dyDescent="0.25">
      <c r="A234">
        <v>8</v>
      </c>
      <c r="B234" s="1">
        <v>45542</v>
      </c>
      <c r="C234" t="s">
        <v>485</v>
      </c>
      <c r="D234" t="str">
        <f>VLOOKUP($C234,ТабКлиенты[#Data],MATCH(D$1,ТабКлиенты[#Headers],0),0)</f>
        <v>+79498429781</v>
      </c>
      <c r="E234" t="str">
        <f>VLOOKUP($C234,ТабКлиенты[#Data],MATCH(E$1,ТабКлиенты[#Headers],0),0)</f>
        <v>Крымская 42</v>
      </c>
      <c r="G234" s="14" t="str">
        <f>VLOOKUP($C234,ТабКлиенты[#Data],MATCH(G$1,ТабКлиенты[#Headers],0),0)</f>
        <v>47.1389, 37.5091</v>
      </c>
      <c r="H234" s="14">
        <v>725</v>
      </c>
      <c r="I234" s="13">
        <v>239</v>
      </c>
      <c r="J234" s="13">
        <v>1</v>
      </c>
      <c r="K234" t="str">
        <f t="shared" si="8"/>
        <v>8. Аннет
Тел.: +79498429781
Адрес: Крымская 42
№ заказа: 239
Кол-во мест: 1
https://yandex.ru/maps/?text=47.1389%2C37.5091
https://maps.google.com/?daddr=47.1389%2C37.5091
К оплате: **725
**----------------------------------------------------------</v>
      </c>
    </row>
    <row r="235" spans="1:11" hidden="1" x14ac:dyDescent="0.25">
      <c r="A235">
        <v>9</v>
      </c>
      <c r="B235" s="1">
        <v>45542</v>
      </c>
      <c r="C235" t="s">
        <v>1381</v>
      </c>
      <c r="D235" t="str">
        <f>VLOOKUP($C235,ТабКлиенты[#Data],MATCH(D$1,ТабКлиенты[#Headers],0),0)</f>
        <v>+79497263506</v>
      </c>
      <c r="E235" t="str">
        <f>VLOOKUP($C235,ТабКлиенты[#Data],MATCH(E$1,ТабКлиенты[#Headers],0),0)</f>
        <v>Аэродромная 4</v>
      </c>
      <c r="G235" s="14" t="str">
        <f>VLOOKUP($C235,ТабКлиенты[#Data],MATCH(G$1,ТабКлиенты[#Headers],0),0)</f>
        <v>47.1087, 37.5254</v>
      </c>
      <c r="H235" s="14">
        <v>1300</v>
      </c>
      <c r="I235" s="13" t="s">
        <v>1271</v>
      </c>
      <c r="J235" s="13">
        <v>1</v>
      </c>
      <c r="K235" t="str">
        <f t="shared" si="8"/>
        <v>9. Евгения Охотник
Тел.: +79497263506
Адрес: Аэродромная 4
№ заказа: Витамины
Кол-во мест: 1
https://yandex.ru/maps/?text=47.1087%2C37.5254
https://maps.google.com/?daddr=47.1087%2C37.5254
К оплате: **1300
**----------------------------------------------------------</v>
      </c>
    </row>
    <row r="236" spans="1:11" hidden="1" x14ac:dyDescent="0.25">
      <c r="A236">
        <v>10</v>
      </c>
      <c r="B236" s="1">
        <v>45542</v>
      </c>
      <c r="C236" t="s">
        <v>1395</v>
      </c>
      <c r="D236" t="str">
        <f>VLOOKUP($C236,ТабКлиенты[#Data],MATCH(D$1,ТабКлиенты[#Headers],0),0)</f>
        <v>+79495529124</v>
      </c>
      <c r="E236" t="str">
        <f>VLOOKUP($C236,ТабКлиенты[#Data],MATCH(E$1,ТабКлиенты[#Headers],0),0)</f>
        <v>Зелинского 98а</v>
      </c>
      <c r="G236" s="14" t="str">
        <f>VLOOKUP($C236,ТабКлиенты[#Data],MATCH(G$1,ТабКлиенты[#Headers],0),0)</f>
        <v>47.1022, 37.5165</v>
      </c>
      <c r="H236" s="14">
        <v>2400</v>
      </c>
      <c r="I236" s="13" t="s">
        <v>1271</v>
      </c>
      <c r="J236" s="13">
        <v>1</v>
      </c>
      <c r="K236" t="str">
        <f t="shared" si="8"/>
        <v>10. Жанна Наташина
Тел.: +79495529124
Адрес: Зелинского 98а
№ заказа: Витамины
Кол-во мест: 1
https://yandex.ru/maps/?text=47.1022%2C37.5165
https://maps.google.com/?daddr=47.1022%2C37.5165
К оплате: **2400
**----------------------------------------------------------</v>
      </c>
    </row>
    <row r="237" spans="1:11" hidden="1" x14ac:dyDescent="0.25">
      <c r="A237">
        <v>11</v>
      </c>
      <c r="B237" s="1">
        <v>45542</v>
      </c>
      <c r="C237" t="s">
        <v>456</v>
      </c>
      <c r="D237" t="str">
        <f>VLOOKUP($C237,ТабКлиенты[#Data],MATCH(D$1,ТабКлиенты[#Headers],0),0)</f>
        <v>+79497488953</v>
      </c>
      <c r="E237" t="str">
        <f>VLOOKUP($C237,ТабКлиенты[#Data],MATCH(E$1,ТабКлиенты[#Headers],0),0)</f>
        <v>Ленина 183 подъезд 1 (Изумрудный)</v>
      </c>
      <c r="G237" s="14" t="str">
        <f>VLOOKUP($C237,ТабКлиенты[#Data],MATCH(G$1,ТабКлиенты[#Headers],0),0)</f>
        <v>47.0982, 37.4785</v>
      </c>
      <c r="H237" s="14">
        <v>542</v>
      </c>
      <c r="I237" s="13">
        <v>237</v>
      </c>
      <c r="J237" s="13">
        <v>1</v>
      </c>
      <c r="K237" t="str">
        <f t="shared" si="8"/>
        <v>11. Лана
Тел.: +79497488953
Адрес: Ленина 183 подъезд 1 (Изумрудный)
№ заказа: 237
Кол-во мест: 1
https://yandex.ru/maps/?text=47.0982%2C37.4785
https://maps.google.com/?daddr=47.0982%2C37.4785
К оплате: **542
**----------------------------------------------------------</v>
      </c>
    </row>
    <row r="238" spans="1:11" hidden="1" x14ac:dyDescent="0.25">
      <c r="A238">
        <v>12</v>
      </c>
      <c r="B238" s="1">
        <v>45542</v>
      </c>
      <c r="C238" t="s">
        <v>385</v>
      </c>
      <c r="D238" t="str">
        <f>VLOOKUP($C238,ТабКлиенты[#Data],MATCH(D$1,ТабКлиенты[#Headers],0),0)</f>
        <v>+79497169864</v>
      </c>
      <c r="E238" t="str">
        <f>VLOOKUP($C238,ТабКлиенты[#Data],MATCH(E$1,ТабКлиенты[#Headers],0),0)</f>
        <v>пер. Ейский 9</v>
      </c>
      <c r="G238" s="14" t="str">
        <f>VLOOKUP($C238,ТабКлиенты[#Data],MATCH(G$1,ТабКлиенты[#Headers],0),0)</f>
        <v>47.0898, 37.5062</v>
      </c>
      <c r="H238" s="14">
        <v>7000</v>
      </c>
      <c r="I238" s="13" t="s">
        <v>1271</v>
      </c>
      <c r="J238" s="13">
        <v>1</v>
      </c>
      <c r="K238" t="str">
        <f t="shared" si="8"/>
        <v>12. Надежда Витамины
Тел.: +79497169864
Адрес: пер. Ейский 9
№ заказа: Витамины
Кол-во мест: 1
https://yandex.ru/maps/?text=47.0898%2C37.5062
https://maps.google.com/?daddr=47.0898%2C37.5062
К оплате: **7000
**----------------------------------------------------------</v>
      </c>
    </row>
    <row r="239" spans="1:11" hidden="1" x14ac:dyDescent="0.25">
      <c r="A239">
        <v>13</v>
      </c>
      <c r="B239" s="1">
        <v>45542</v>
      </c>
      <c r="C239" t="s">
        <v>400</v>
      </c>
      <c r="D239" t="str">
        <f>VLOOKUP($C239,ТабКлиенты[#Data],MATCH(D$1,ТабКлиенты[#Headers],0),0)</f>
        <v>+79497336840</v>
      </c>
      <c r="E239" t="str">
        <f>VLOOKUP($C239,ТабКлиенты[#Data],MATCH(E$1,ТабКлиенты[#Headers],0),0)</f>
        <v>Бригантина 152</v>
      </c>
      <c r="G239" s="14" t="str">
        <f>VLOOKUP($C239,ТабКлиенты[#Data],MATCH(G$1,ТабКлиенты[#Headers],0),0)</f>
        <v>47.0779, 37.4879</v>
      </c>
      <c r="H239" s="14">
        <v>5000</v>
      </c>
      <c r="I239" s="13" t="s">
        <v>1271</v>
      </c>
      <c r="J239" s="13">
        <v>1</v>
      </c>
      <c r="K239" t="str">
        <f t="shared" si="8"/>
        <v>13. Татьяна Бригантина
Тел.: +79497336840
Адрес: Бригантина 152
№ заказа: Витамины
Кол-во мест: 1
https://yandex.ru/maps/?text=47.0779%2C37.4879
https://maps.google.com/?daddr=47.0779%2C37.4879
К оплате: **5000
**----------------------------------------------------------</v>
      </c>
    </row>
    <row r="240" spans="1:11" hidden="1" x14ac:dyDescent="0.25">
      <c r="A240">
        <v>14</v>
      </c>
      <c r="B240" s="1">
        <v>45542</v>
      </c>
      <c r="C240" t="s">
        <v>210</v>
      </c>
      <c r="D240" t="str">
        <f>VLOOKUP($C240,ТабКлиенты[#Data],MATCH(D$1,ТабКлиенты[#Headers],0),0)</f>
        <v>+79498350206</v>
      </c>
      <c r="E240" t="str">
        <f>VLOOKUP($C240,ТабКлиенты[#Data],MATCH(E$1,ТабКлиенты[#Headers],0),0)</f>
        <v>Сумская 42</v>
      </c>
      <c r="G240" s="14" t="str">
        <f>VLOOKUP($C240,ТабКлиенты[#Data],MATCH(G$1,ТабКлиенты[#Headers],0),0)</f>
        <v>47.0740, 37.4893</v>
      </c>
      <c r="H240" s="14">
        <v>0</v>
      </c>
      <c r="I240" s="13">
        <v>230</v>
      </c>
      <c r="J240" s="13">
        <v>1</v>
      </c>
      <c r="K240" t="str">
        <f t="shared" si="8"/>
        <v>14. Максим рюкзак
Тел.: +79498350206
Адрес: Сумская 42
№ заказа: 230
Кол-во мест: 1
https://yandex.ru/maps/?text=47.0740%2C37.4893
https://maps.google.com/?daddr=47.0740%2C37.4893
К оплате: **0
**----------------------------------------------------------</v>
      </c>
    </row>
    <row r="241" spans="1:11" hidden="1" x14ac:dyDescent="0.25">
      <c r="A241">
        <v>15</v>
      </c>
      <c r="B241" s="1">
        <v>45542</v>
      </c>
      <c r="C241" t="s">
        <v>204</v>
      </c>
      <c r="D241" t="str">
        <f>VLOOKUP($C241,ТабКлиенты[#Data],MATCH(D$1,ТабКлиенты[#Headers],0),0)</f>
        <v>+79497243297</v>
      </c>
      <c r="E241" t="str">
        <f>VLOOKUP($C241,ТабКлиенты[#Data],MATCH(E$1,ТабКлиенты[#Headers],0),0)</f>
        <v>Мариуполь, Митрополитская, 60</v>
      </c>
      <c r="G241" s="14" t="str">
        <f>VLOOKUP($C241,ТабКлиенты[#Data],MATCH(G$1,ТабКлиенты[#Headers],0),0)</f>
        <v>47.0999, 37.5500</v>
      </c>
      <c r="H241" s="14">
        <v>1012</v>
      </c>
      <c r="I241" s="13">
        <v>197</v>
      </c>
      <c r="J241" s="13">
        <v>1</v>
      </c>
      <c r="K241" t="str">
        <f t="shared" si="8"/>
        <v>15. Руденко Юля
Тел.: +79497243297
Адрес: Мариуполь, Митрополитская, 60
№ заказа: 197
Кол-во мест: 1
https://yandex.ru/maps/?text=47.0999%2C37.5500
https://maps.google.com/?daddr=47.0999%2C37.5500
К оплате: **1012
**----------------------------------------------------------</v>
      </c>
    </row>
    <row r="242" spans="1:11" hidden="1" x14ac:dyDescent="0.25">
      <c r="A242">
        <v>1</v>
      </c>
      <c r="B242" s="1">
        <v>45548</v>
      </c>
      <c r="C242" t="s">
        <v>287</v>
      </c>
      <c r="D242" t="str">
        <f>VLOOKUP($C242,ТабКлиенты[#Data],MATCH(D$1,ТабКлиенты[#Headers],0),0)</f>
        <v>+79497398064</v>
      </c>
      <c r="E242" t="str">
        <f>VLOOKUP($C242,ТабКлиенты[#Data],MATCH(E$1,ТабКлиенты[#Headers],0),0)</f>
        <v>Металлургов, 97</v>
      </c>
      <c r="G242" s="14" t="str">
        <f>VLOOKUP($C242,ТабКлиенты[#Data],MATCH(G$1,ТабКлиенты[#Headers],0),0)</f>
        <v>47.1070, 37.5542</v>
      </c>
      <c r="H242" s="14">
        <v>0</v>
      </c>
      <c r="I242" s="13">
        <v>222</v>
      </c>
      <c r="J242" s="13">
        <v>5</v>
      </c>
      <c r="K242" t="str">
        <f t="shared" ref="K242:K262" si="9">A242&amp;". "&amp;C242&amp;CHAR(10)&amp;"Тел.: "&amp;D242&amp;CHAR(10)&amp;"Адрес: "&amp;E242&amp;CHAR(10)&amp;"№ заказа: "&amp;I242&amp;CHAR(10)&amp;"Кол-во мест: "&amp;J242&amp;CHAR(10)&amp;"https://yandex.ru/maps/?text="&amp;REPLACE(G242,SEARCH(",",G242),2,"%2C")&amp;CHAR(10)&amp;"https://maps.google.com/?daddr="&amp;REPLACE(G242,SEARCH(",",G242),2,"%2C")&amp;CHAR(10)&amp;"К оплате: "&amp;"**"&amp;H242&amp;CHAR(10)&amp;"**"&amp;"----------------------------------------------------------"</f>
        <v>1. Елена Ларисына
Тел.: +79497398064
Адрес: Металлургов, 97
№ заказа: 222
Кол-во мест: 5
https://yandex.ru/maps/?text=47.1070%2C37.5542
https://maps.google.com/?daddr=47.1070%2C37.5542
К оплате: **0
**----------------------------------------------------------</v>
      </c>
    </row>
    <row r="243" spans="1:11" hidden="1" x14ac:dyDescent="0.25">
      <c r="A243">
        <v>2</v>
      </c>
      <c r="B243" s="1">
        <v>45548</v>
      </c>
      <c r="C243" t="s">
        <v>231</v>
      </c>
      <c r="D243" t="str">
        <f>VLOOKUP($C243,ТабКлиенты[#Data],MATCH(D$1,ТабКлиенты[#Headers],0),0)</f>
        <v>+79497266403</v>
      </c>
      <c r="E243" t="str">
        <f>VLOOKUP($C243,ТабКлиенты[#Data],MATCH(E$1,ТабКлиенты[#Headers],0),0)</f>
        <v>Металлургов 102 1 подъезд 8 этаж</v>
      </c>
      <c r="G243" s="14" t="str">
        <f>VLOOKUP($C243,ТабКлиенты[#Data],MATCH(G$1,ТабКлиенты[#Headers],0),0)</f>
        <v>47.1099, 37.5543</v>
      </c>
      <c r="H243" s="14">
        <v>0</v>
      </c>
      <c r="I243" s="13">
        <v>241</v>
      </c>
      <c r="J243" s="13">
        <v>2</v>
      </c>
      <c r="K243" t="str">
        <f t="shared" si="9"/>
        <v>2. Лариса Кирова
Тел.: +79497266403
Адрес: Металлургов 102 1 подъезд 8 этаж
№ заказа: 241
Кол-во мест: 2
https://yandex.ru/maps/?text=47.1099%2C37.5543
https://maps.google.com/?daddr=47.1099%2C37.5543
К оплате: **0
**----------------------------------------------------------</v>
      </c>
    </row>
    <row r="244" spans="1:11" hidden="1" x14ac:dyDescent="0.25">
      <c r="A244">
        <v>3</v>
      </c>
      <c r="B244" s="1">
        <v>45548</v>
      </c>
      <c r="C244" t="s">
        <v>445</v>
      </c>
      <c r="D244" t="str">
        <f>VLOOKUP($C244,ТабКлиенты[#Data],MATCH(D$1,ТабКлиенты[#Headers],0),0)</f>
        <v>+79497262176</v>
      </c>
      <c r="E244" t="str">
        <f>VLOOKUP($C244,ТабКлиенты[#Data],MATCH(E$1,ТабКлиенты[#Headers],0),0)</f>
        <v>Металлургов 179, кв 114</v>
      </c>
      <c r="G244" s="14" t="str">
        <f>VLOOKUP($C244,ТабКлиенты[#Data],MATCH(G$1,ТабКлиенты[#Headers],0),0)</f>
        <v>47.1248, 37.5657</v>
      </c>
      <c r="H244" s="14">
        <v>0</v>
      </c>
      <c r="I244" s="13">
        <v>236</v>
      </c>
      <c r="J244" s="13">
        <v>1</v>
      </c>
      <c r="K244" t="str">
        <f t="shared" si="9"/>
        <v>3. Светлана от Александра
Тел.: +79497262176
Адрес: Металлургов 179, кв 114
№ заказа: 236
Кол-во мест: 1
https://yandex.ru/maps/?text=47.1248%2C37.5657
https://maps.google.com/?daddr=47.1248%2C37.5657
К оплате: **0
**----------------------------------------------------------</v>
      </c>
    </row>
    <row r="245" spans="1:11" hidden="1" x14ac:dyDescent="0.25">
      <c r="A245">
        <v>4</v>
      </c>
      <c r="B245" s="1">
        <v>45548</v>
      </c>
      <c r="C245" t="s">
        <v>357</v>
      </c>
      <c r="D245" t="str">
        <f>VLOOKUP($C245,ТабКлиенты[#Data],MATCH(D$1,ТабКлиенты[#Headers],0),0)</f>
        <v>+79497114644</v>
      </c>
      <c r="E245" t="str">
        <f>VLOOKUP($C245,ТабКлиенты[#Data],MATCH(E$1,ТабКлиенты[#Headers],0),0)</f>
        <v>Металлургов 143</v>
      </c>
      <c r="G245" s="14" t="str">
        <f>VLOOKUP($C245,ТабКлиенты[#Data],MATCH(G$1,ТабКлиенты[#Headers],0),0)</f>
        <v>47.1199, 37.5643</v>
      </c>
      <c r="H245" s="14">
        <v>0</v>
      </c>
      <c r="I245" s="13" t="s">
        <v>1430</v>
      </c>
      <c r="J245" s="13">
        <v>1</v>
      </c>
      <c r="K245" t="str">
        <f t="shared" si="9"/>
        <v>4. Юля Ларисына
Тел.: +79497114644
Адрес: Металлургов 143
№ заказа: 235  245
Кол-во мест: 1
https://yandex.ru/maps/?text=47.1199%2C37.5643
https://maps.google.com/?daddr=47.1199%2C37.5643
К оплате: **0
**----------------------------------------------------------</v>
      </c>
    </row>
    <row r="246" spans="1:11" hidden="1" x14ac:dyDescent="0.25">
      <c r="A246">
        <v>5</v>
      </c>
      <c r="B246" s="1">
        <v>45548</v>
      </c>
      <c r="C246" t="s">
        <v>33</v>
      </c>
      <c r="D246" t="str">
        <f>VLOOKUP($C246,ТабКлиенты[#Data],MATCH(D$1,ТабКлиенты[#Headers],0),0)</f>
        <v>+79496069479</v>
      </c>
      <c r="E246" t="str">
        <f>VLOOKUP($C246,ТабКлиенты[#Data],MATCH(E$1,ТабКлиенты[#Headers],0),0)</f>
        <v>Марьинская 145 Новоселовка Церковь</v>
      </c>
      <c r="G246" s="14" t="str">
        <f>VLOOKUP($C246,ТабКлиенты[#Data],MATCH(G$1,ТабКлиенты[#Headers],0),0)</f>
        <v>47.1126, 37.5473</v>
      </c>
      <c r="H246" s="14">
        <v>3602</v>
      </c>
      <c r="I246" s="13" t="s">
        <v>1429</v>
      </c>
      <c r="J246" s="13">
        <v>2</v>
      </c>
      <c r="K246" t="str">
        <f t="shared" si="9"/>
        <v>5. Галина Агабекова(церковь)
Тел.: +79496069479
Адрес: Марьинская 145 Новоселовка Церковь
№ заказа: 233  244
Кол-во мест: 2
https://yandex.ru/maps/?text=47.1126%2C37.5473
https://maps.google.com/?daddr=47.1126%2C37.5473
К оплате: **3602
**----------------------------------------------------------</v>
      </c>
    </row>
    <row r="247" spans="1:11" hidden="1" x14ac:dyDescent="0.25">
      <c r="A247">
        <v>6</v>
      </c>
      <c r="B247" s="1">
        <v>45548</v>
      </c>
      <c r="C247" t="s">
        <v>104</v>
      </c>
      <c r="D247" t="str">
        <f>VLOOKUP($C247,ТабКлиенты[#Data],MATCH(D$1,ТабКлиенты[#Headers],0),0)</f>
        <v>+79497065096</v>
      </c>
      <c r="E247" t="str">
        <f>VLOOKUP($C247,ТабКлиенты[#Data],MATCH(E$1,ТабКлиенты[#Headers],0),0)</f>
        <v>Урицкого 84</v>
      </c>
      <c r="G247" s="14" t="str">
        <f>VLOOKUP($C247,ТабКлиенты[#Data],MATCH(G$1,ТабКлиенты[#Headers],0),0)</f>
        <v>47.1209, 37.5237</v>
      </c>
      <c r="H247" s="14">
        <v>0</v>
      </c>
      <c r="I247" s="13">
        <v>234</v>
      </c>
      <c r="J247" s="13">
        <v>1</v>
      </c>
      <c r="K247" t="str">
        <f t="shared" si="9"/>
        <v>6. Максим телевизор
Тел.: +79497065096
Адрес: Урицкого 84
№ заказа: 234
Кол-во мест: 1
https://yandex.ru/maps/?text=47.1209%2C37.5237
https://maps.google.com/?daddr=47.1209%2C37.5237
К оплате: **0
**----------------------------------------------------------</v>
      </c>
    </row>
    <row r="248" spans="1:11" hidden="1" x14ac:dyDescent="0.25">
      <c r="A248">
        <v>7</v>
      </c>
      <c r="B248" s="1">
        <v>45548</v>
      </c>
      <c r="C248" t="s">
        <v>1432</v>
      </c>
      <c r="D248" t="str">
        <f>VLOOKUP($C248,ТабКлиенты[#Data],MATCH(D$1,ТабКлиенты[#Headers],0),0)</f>
        <v>+79497095528</v>
      </c>
      <c r="E248" t="str">
        <f>VLOOKUP($C248,ТабКлиенты[#Data],MATCH(E$1,ТабКлиенты[#Headers],0),0)</f>
        <v>9 Авиадивизии 28</v>
      </c>
      <c r="G248" s="14" t="str">
        <f>VLOOKUP($C248,ТабКлиенты[#Data],MATCH(G$1,ТабКлиенты[#Headers],0),0)</f>
        <v>47.1235, 37.5191</v>
      </c>
      <c r="H248" s="14">
        <v>2900</v>
      </c>
      <c r="I248" s="13" t="s">
        <v>1271</v>
      </c>
      <c r="J248" s="13">
        <v>1</v>
      </c>
      <c r="K248" t="str">
        <f t="shared" si="9"/>
        <v>7. Людмила Кордицепс
Тел.: +79497095528
Адрес: 9 Авиадивизии 28
№ заказа: Витамины
Кол-во мест: 1
https://yandex.ru/maps/?text=47.1235%2C37.5191
https://maps.google.com/?daddr=47.1235%2C37.5191
К оплате: **2900
**----------------------------------------------------------</v>
      </c>
    </row>
    <row r="249" spans="1:11" hidden="1" x14ac:dyDescent="0.25">
      <c r="A249">
        <v>8</v>
      </c>
      <c r="B249" s="1">
        <v>45548</v>
      </c>
      <c r="C249" t="s">
        <v>308</v>
      </c>
      <c r="D249" t="e">
        <f>VLOOKUP($C249,ТабКлиенты[#Data],MATCH(D$1,ТабКлиенты[#Headers],0),0)</f>
        <v>#N/A</v>
      </c>
      <c r="E249" t="e">
        <f>VLOOKUP($C249,ТабКлиенты[#Data],MATCH(E$1,ТабКлиенты[#Headers],0),0)</f>
        <v>#N/A</v>
      </c>
      <c r="G249" s="14" t="e">
        <f>VLOOKUP($C249,ТабКлиенты[#Data],MATCH(G$1,ТабКлиенты[#Headers],0),0)</f>
        <v>#N/A</v>
      </c>
      <c r="H249" s="14">
        <v>4500</v>
      </c>
      <c r="I249" s="13" t="s">
        <v>1271</v>
      </c>
      <c r="J249" s="13">
        <v>1</v>
      </c>
      <c r="K249" t="e">
        <f t="shared" si="9"/>
        <v>#N/A</v>
      </c>
    </row>
    <row r="250" spans="1:11" hidden="1" x14ac:dyDescent="0.25">
      <c r="A250">
        <v>9</v>
      </c>
      <c r="B250" s="1">
        <v>45548</v>
      </c>
      <c r="C250" t="s">
        <v>485</v>
      </c>
      <c r="D250" t="str">
        <f>VLOOKUP($C250,ТабКлиенты[#Data],MATCH(D$1,ТабКлиенты[#Headers],0),0)</f>
        <v>+79498429781</v>
      </c>
      <c r="E250" t="str">
        <f>VLOOKUP($C250,ТабКлиенты[#Data],MATCH(E$1,ТабКлиенты[#Headers],0),0)</f>
        <v>Крымская 42</v>
      </c>
      <c r="G250" s="14" t="str">
        <f>VLOOKUP($C250,ТабКлиенты[#Data],MATCH(G$1,ТабКлиенты[#Headers],0),0)</f>
        <v>47.1389, 37.5091</v>
      </c>
      <c r="H250" s="14">
        <v>1784</v>
      </c>
      <c r="I250" s="13">
        <v>249</v>
      </c>
      <c r="J250" s="13">
        <v>1</v>
      </c>
      <c r="K250" t="str">
        <f t="shared" si="9"/>
        <v>9. Аннет
Тел.: +79498429781
Адрес: Крымская 42
№ заказа: 249
Кол-во мест: 1
https://yandex.ru/maps/?text=47.1389%2C37.5091
https://maps.google.com/?daddr=47.1389%2C37.5091
К оплате: **1784
**----------------------------------------------------------</v>
      </c>
    </row>
    <row r="251" spans="1:11" hidden="1" x14ac:dyDescent="0.25">
      <c r="A251">
        <v>10</v>
      </c>
      <c r="B251" s="1">
        <v>45548</v>
      </c>
      <c r="C251" t="s">
        <v>373</v>
      </c>
      <c r="D251" t="str">
        <f>VLOOKUP($C251,ТабКлиенты[#Data],MATCH(D$1,ТабКлиенты[#Headers],0),0)</f>
        <v>+79497081831</v>
      </c>
      <c r="E251" t="str">
        <f>VLOOKUP($C251,ТабКлиенты[#Data],MATCH(E$1,ТабКлиенты[#Headers],0),0)</f>
        <v>Шевченко 289А</v>
      </c>
      <c r="G251" s="14" t="str">
        <f>VLOOKUP($C251,ТабКлиенты[#Data],MATCH(G$1,ТабКлиенты[#Headers],0),0)</f>
        <v>47.1168, 37.5229</v>
      </c>
      <c r="H251" s="14">
        <v>2200</v>
      </c>
      <c r="I251" s="13" t="s">
        <v>1271</v>
      </c>
      <c r="J251" s="13">
        <v>1</v>
      </c>
      <c r="K251" t="str">
        <f t="shared" si="9"/>
        <v>10. Лида корма
Тел.: +79497081831
Адрес: Шевченко 289А
№ заказа: Витамины
Кол-во мест: 1
https://yandex.ru/maps/?text=47.1168%2C37.5229
https://maps.google.com/?daddr=47.1168%2C37.5229
К оплате: **2200
**----------------------------------------------------------</v>
      </c>
    </row>
    <row r="252" spans="1:11" hidden="1" x14ac:dyDescent="0.25">
      <c r="A252">
        <v>11</v>
      </c>
      <c r="B252" s="1">
        <v>45548</v>
      </c>
      <c r="C252" t="s">
        <v>404</v>
      </c>
      <c r="D252" t="str">
        <f>VLOOKUP($C252,ТабКлиенты[#Data],MATCH(D$1,ТабКлиенты[#Headers],0),0)</f>
        <v>+79497386112</v>
      </c>
      <c r="E252" t="str">
        <f>VLOOKUP($C252,ТабКлиенты[#Data],MATCH(E$1,ТабКлиенты[#Headers],0),0)</f>
        <v>Шевченко 325</v>
      </c>
      <c r="G252" s="14" t="str">
        <f>VLOOKUP($C252,ТабКлиенты[#Data],MATCH(G$1,ТабКлиенты[#Headers],0),0)</f>
        <v>47.1193, 37.5172</v>
      </c>
      <c r="H252" s="14">
        <f>23870+2400</f>
        <v>26270</v>
      </c>
      <c r="I252" s="13" t="s">
        <v>1271</v>
      </c>
      <c r="J252" s="13">
        <v>2</v>
      </c>
      <c r="K252" t="str">
        <f t="shared" si="9"/>
        <v>11. Любовь Виталий
Тел.: +79497386112
Адрес: Шевченко 325
№ заказа: Витамины
Кол-во мест: 2
https://yandex.ru/maps/?text=47.1193%2C37.5172
https://maps.google.com/?daddr=47.1193%2C37.5172
К оплате: **26270
**----------------------------------------------------------</v>
      </c>
    </row>
    <row r="253" spans="1:11" hidden="1" x14ac:dyDescent="0.25">
      <c r="A253">
        <v>12</v>
      </c>
      <c r="B253" s="1">
        <v>45548</v>
      </c>
      <c r="C253" t="s">
        <v>1447</v>
      </c>
      <c r="D253" t="str">
        <f>VLOOKUP($C253,ТабКлиенты[#Data],MATCH(D$1,ТабКлиенты[#Headers],0),0)</f>
        <v>+79497288148</v>
      </c>
      <c r="E253" t="str">
        <f>VLOOKUP($C253,ТабКлиенты[#Data],MATCH(E$1,ТабКлиенты[#Headers],0),0)</f>
        <v>Шевченко 317 Грация</v>
      </c>
      <c r="G253" s="14" t="str">
        <f>VLOOKUP($C253,ТабКлиенты[#Data],MATCH(G$1,ТабКлиенты[#Headers],0),0)</f>
        <v>47.1179, 37.5163</v>
      </c>
      <c r="H253" s="14">
        <v>8800</v>
      </c>
      <c r="I253" s="13" t="s">
        <v>1271</v>
      </c>
      <c r="J253" s="13">
        <v>1</v>
      </c>
      <c r="K253" t="str">
        <f t="shared" si="9"/>
        <v>12. Елена Трансфер
Тел.: +79497288148
Адрес: Шевченко 317 Грация
№ заказа: Витамины
Кол-во мест: 1
https://yandex.ru/maps/?text=47.1179%2C37.5163
https://maps.google.com/?daddr=47.1179%2C37.5163
К оплате: **8800
**----------------------------------------------------------</v>
      </c>
    </row>
    <row r="254" spans="1:11" hidden="1" x14ac:dyDescent="0.25">
      <c r="A254">
        <v>13</v>
      </c>
      <c r="B254" s="1">
        <v>45548</v>
      </c>
      <c r="C254" t="s">
        <v>1442</v>
      </c>
      <c r="D254" t="str">
        <f>VLOOKUP($C254,ТабКлиенты[#Data],MATCH(D$1,ТабКлиенты[#Headers],0),0)</f>
        <v>+79497177018</v>
      </c>
      <c r="E254" t="str">
        <f>VLOOKUP($C254,ТабКлиенты[#Data],MATCH(E$1,ТабКлиенты[#Headers],0),0)</f>
        <v>Троицка 75, Рынок Юмовила</v>
      </c>
      <c r="G254" s="14" t="str">
        <f>VLOOKUP($C254,ТабКлиенты[#Data],MATCH(G$1,ТабКлиенты[#Headers],0),0)</f>
        <v>47.1121, 37.5156</v>
      </c>
      <c r="H254" s="14">
        <v>1800</v>
      </c>
      <c r="I254" s="13" t="s">
        <v>1271</v>
      </c>
      <c r="J254" s="13">
        <v>1</v>
      </c>
      <c r="K254" t="str">
        <f t="shared" si="9"/>
        <v>13. Елена Индол
Тел.: +79497177018
Адрес: Троицка 75, Рынок Юмовила
№ заказа: Витамины
Кол-во мест: 1
https://yandex.ru/maps/?text=47.1121%2C37.5156
https://maps.google.com/?daddr=47.1121%2C37.5156
К оплате: **1800
**----------------------------------------------------------</v>
      </c>
    </row>
    <row r="255" spans="1:11" hidden="1" x14ac:dyDescent="0.25">
      <c r="A255">
        <v>14</v>
      </c>
      <c r="B255" s="1">
        <v>45548</v>
      </c>
      <c r="C255" t="s">
        <v>448</v>
      </c>
      <c r="D255" t="str">
        <f>VLOOKUP($C255,ТабКлиенты[#Data],MATCH(D$1,ТабКлиенты[#Headers],0),0)</f>
        <v>+79497010929</v>
      </c>
      <c r="E255" t="str">
        <f>VLOOKUP($C255,ТабКлиенты[#Data],MATCH(E$1,ТабКлиенты[#Headers],0),0)</f>
        <v>Строителей 145</v>
      </c>
      <c r="G255" s="14" t="str">
        <f>VLOOKUP($C255,ТабКлиенты[#Data],MATCH(G$1,ТабКлиенты[#Headers],0),0)</f>
        <v>47.1130, 37.5268</v>
      </c>
      <c r="H255" s="14">
        <v>3000</v>
      </c>
      <c r="I255" s="13">
        <v>243</v>
      </c>
      <c r="J255" s="13">
        <v>1</v>
      </c>
      <c r="K255" t="str">
        <f t="shared" si="9"/>
        <v>14. Максим МВД
Тел.: +79497010929
Адрес: Строителей 145
№ заказа: 243
Кол-во мест: 1
https://yandex.ru/maps/?text=47.1130%2C37.5268
https://maps.google.com/?daddr=47.1130%2C37.5268
К оплате: **3000
**----------------------------------------------------------</v>
      </c>
    </row>
    <row r="256" spans="1:11" hidden="1" x14ac:dyDescent="0.25">
      <c r="A256">
        <v>15</v>
      </c>
      <c r="B256" s="1">
        <v>45548</v>
      </c>
      <c r="C256" t="s">
        <v>452</v>
      </c>
      <c r="D256" t="str">
        <f>VLOOKUP($C256,ТабКлиенты[#Data],MATCH(D$1,ТабКлиенты[#Headers],0),0)</f>
        <v>+79497106171</v>
      </c>
      <c r="E256" t="str">
        <f>VLOOKUP($C256,ТабКлиенты[#Data],MATCH(E$1,ТабКлиенты[#Headers],0),0)</f>
        <v>Шевченко 258, 4 подъезд</v>
      </c>
      <c r="G256" s="14" t="str">
        <f>VLOOKUP($C256,ТабКлиенты[#Data],MATCH(G$1,ТабКлиенты[#Headers],0),0)</f>
        <v>47.1157, 37.5176</v>
      </c>
      <c r="H256" s="14">
        <v>0</v>
      </c>
      <c r="I256" s="13">
        <v>248</v>
      </c>
      <c r="J256" s="13">
        <v>1</v>
      </c>
      <c r="K256" t="str">
        <f t="shared" si="9"/>
        <v>15. Андрей Кулигин
Тел.: +79497106171
Адрес: Шевченко 258, 4 подъезд
№ заказа: 248
Кол-во мест: 1
https://yandex.ru/maps/?text=47.1157%2C37.5176
https://maps.google.com/?daddr=47.1157%2C37.5176
К оплате: **0
**----------------------------------------------------------</v>
      </c>
    </row>
    <row r="257" spans="1:11" hidden="1" x14ac:dyDescent="0.25">
      <c r="A257">
        <v>16</v>
      </c>
      <c r="B257" s="1">
        <v>45548</v>
      </c>
      <c r="C257" t="s">
        <v>418</v>
      </c>
      <c r="D257" t="str">
        <f>VLOOKUP($C257,ТабКлиенты[#Data],MATCH(D$1,ТабКлиенты[#Headers],0),0)</f>
        <v>+79497064345</v>
      </c>
      <c r="E257" t="str">
        <f>VLOOKUP($C257,ТабКлиенты[#Data],MATCH(E$1,ТабКлиенты[#Headers],0),0)</f>
        <v>Шевченко 270</v>
      </c>
      <c r="G257" s="14" t="str">
        <f>VLOOKUP($C257,ТабКлиенты[#Data],MATCH(G$1,ТабКлиенты[#Headers],0),0)</f>
        <v>47.1157, 37.5138</v>
      </c>
      <c r="H257" s="14">
        <f>1700*3</f>
        <v>5100</v>
      </c>
      <c r="I257" s="13" t="s">
        <v>1271</v>
      </c>
      <c r="J257" s="13">
        <v>1</v>
      </c>
      <c r="K257" t="str">
        <f t="shared" si="9"/>
        <v>16. Татьяна Леонидовна
Тел.: +79497064345
Адрес: Шевченко 270
№ заказа: Витамины
Кол-во мест: 1
https://yandex.ru/maps/?text=47.1157%2C37.5138
https://maps.google.com/?daddr=47.1157%2C37.5138
К оплате: **5100
**----------------------------------------------------------</v>
      </c>
    </row>
    <row r="258" spans="1:11" hidden="1" x14ac:dyDescent="0.25">
      <c r="A258">
        <v>17</v>
      </c>
      <c r="B258" s="1">
        <v>45548</v>
      </c>
      <c r="C258" t="s">
        <v>1441</v>
      </c>
      <c r="D258" t="str">
        <f>VLOOKUP($C258,ТабКлиенты[#Data],MATCH(D$1,ТабКлиенты[#Headers],0),0)</f>
        <v>+79497196221</v>
      </c>
      <c r="E258" t="str">
        <f>VLOOKUP($C258,ТабКлиенты[#Data],MATCH(E$1,ТабКлиенты[#Headers],0),0)</f>
        <v>Краснофлотская 132</v>
      </c>
      <c r="G258" s="14" t="str">
        <f>VLOOKUP($C258,ТабКлиенты[#Data],MATCH(G$1,ТабКлиенты[#Headers],0),0)</f>
        <v>47.0917, 37.4968</v>
      </c>
      <c r="H258" s="14">
        <v>4000</v>
      </c>
      <c r="I258" s="13" t="s">
        <v>1271</v>
      </c>
      <c r="J258" s="13">
        <v>1</v>
      </c>
      <c r="K258" t="str">
        <f t="shared" si="9"/>
        <v>17. Валерий Фагот
Тел.: +79497196221
Адрес: Краснофлотская 132
№ заказа: Витамины
Кол-во мест: 1
https://yandex.ru/maps/?text=47.0917%2C37.4968
https://maps.google.com/?daddr=47.0917%2C37.4968
К оплате: **4000
**----------------------------------------------------------</v>
      </c>
    </row>
    <row r="259" spans="1:11" hidden="1" x14ac:dyDescent="0.25">
      <c r="A259">
        <v>18</v>
      </c>
      <c r="B259" s="1">
        <v>45548</v>
      </c>
      <c r="C259" t="s">
        <v>210</v>
      </c>
      <c r="D259" t="str">
        <f>VLOOKUP($C259,ТабКлиенты[#Data],MATCH(D$1,ТабКлиенты[#Headers],0),0)</f>
        <v>+79498350206</v>
      </c>
      <c r="E259" t="str">
        <f>VLOOKUP($C259,ТабКлиенты[#Data],MATCH(E$1,ТабКлиенты[#Headers],0),0)</f>
        <v>Сумская 42</v>
      </c>
      <c r="G259" s="14" t="str">
        <f>VLOOKUP($C259,ТабКлиенты[#Data],MATCH(G$1,ТабКлиенты[#Headers],0),0)</f>
        <v>47.0740, 37.4893</v>
      </c>
      <c r="H259" s="14">
        <v>0</v>
      </c>
      <c r="I259" s="13">
        <v>230</v>
      </c>
      <c r="J259" s="13">
        <v>1</v>
      </c>
      <c r="K259" t="str">
        <f t="shared" si="9"/>
        <v>18. Максим рюкзак
Тел.: +79498350206
Адрес: Сумская 42
№ заказа: 230
Кол-во мест: 1
https://yandex.ru/maps/?text=47.0740%2C37.4893
https://maps.google.com/?daddr=47.0740%2C37.4893
К оплате: **0
**----------------------------------------------------------</v>
      </c>
    </row>
    <row r="260" spans="1:11" hidden="1" x14ac:dyDescent="0.25">
      <c r="A260">
        <v>19</v>
      </c>
      <c r="B260" s="1">
        <v>45548</v>
      </c>
      <c r="C260" t="s">
        <v>493</v>
      </c>
      <c r="D260" t="str">
        <f>VLOOKUP($C260,ТабКлиенты[#Data],MATCH(D$1,ТабКлиенты[#Headers],0),0)</f>
        <v>+79495521868, +79495332409</v>
      </c>
      <c r="E260" t="str">
        <f>VLOOKUP($C260,ТабКлиенты[#Data],MATCH(E$1,ТабКлиенты[#Headers],0),0)</f>
        <v>Нахимова 100</v>
      </c>
      <c r="G260" s="14" t="str">
        <f>VLOOKUP($C260,ТабКлиенты[#Data],MATCH(G$1,ТабКлиенты[#Headers],0),0)</f>
        <v>47.0793, 37.5157</v>
      </c>
      <c r="H260" s="14">
        <v>0</v>
      </c>
      <c r="I260" s="13">
        <v>242</v>
      </c>
      <c r="J260" s="13">
        <v>1</v>
      </c>
      <c r="K260" t="str">
        <f t="shared" si="9"/>
        <v>19. АлисаСофия
Тел.: +79495521868, +79495332409
Адрес: Нахимова 100
№ заказа: 242
Кол-во мест: 1
https://yandex.ru/maps/?text=47.0793%2C37.5157
https://maps.google.com/?daddr=47.0793%2C37.5157
К оплате: **0
**----------------------------------------------------------</v>
      </c>
    </row>
    <row r="261" spans="1:11" hidden="1" x14ac:dyDescent="0.25">
      <c r="A261">
        <v>20</v>
      </c>
      <c r="B261" s="1">
        <v>45548</v>
      </c>
      <c r="C261" t="s">
        <v>385</v>
      </c>
      <c r="D261" t="str">
        <f>VLOOKUP($C261,ТабКлиенты[#Data],MATCH(D$1,ТабКлиенты[#Headers],0),0)</f>
        <v>+79497169864</v>
      </c>
      <c r="E261" t="str">
        <f>VLOOKUP($C261,ТабКлиенты[#Data],MATCH(E$1,ТабКлиенты[#Headers],0),0)</f>
        <v>пер. Ейский 9</v>
      </c>
      <c r="G261" s="14" t="str">
        <f>VLOOKUP($C261,ТабКлиенты[#Data],MATCH(G$1,ТабКлиенты[#Headers],0),0)</f>
        <v>47.0898, 37.5062</v>
      </c>
      <c r="H261" s="14">
        <v>13910</v>
      </c>
      <c r="I261" s="13" t="s">
        <v>1271</v>
      </c>
      <c r="J261" s="13">
        <v>1</v>
      </c>
      <c r="K261" t="str">
        <f t="shared" si="9"/>
        <v>20. Надежда Витамины
Тел.: +79497169864
Адрес: пер. Ейский 9
№ заказа: Витамины
Кол-во мест: 1
https://yandex.ru/maps/?text=47.0898%2C37.5062
https://maps.google.com/?daddr=47.0898%2C37.5062
К оплате: **13910
**----------------------------------------------------------</v>
      </c>
    </row>
    <row r="262" spans="1:11" hidden="1" x14ac:dyDescent="0.25">
      <c r="A262">
        <v>21</v>
      </c>
      <c r="B262" s="1">
        <v>45548</v>
      </c>
      <c r="C262" t="s">
        <v>1435</v>
      </c>
      <c r="D262" t="str">
        <f>VLOOKUP($C262,ТабКлиенты[#Data],MATCH(D$1,ТабКлиенты[#Headers],0),0)</f>
        <v>+79497369642</v>
      </c>
      <c r="E262" t="str">
        <f>VLOOKUP($C262,ТабКлиенты[#Data],MATCH(E$1,ТабКлиенты[#Headers],0),0)</f>
        <v>Ленина 63/2</v>
      </c>
      <c r="G262" s="14" t="str">
        <f>VLOOKUP($C262,ТабКлиенты[#Data],MATCH(G$1,ТабКлиенты[#Headers],0),0)</f>
        <v>47.0971, 37.5481</v>
      </c>
      <c r="H262" s="14">
        <v>6500</v>
      </c>
      <c r="I262" s="13" t="s">
        <v>1271</v>
      </c>
      <c r="J262" s="13">
        <v>1</v>
      </c>
      <c r="K262" t="str">
        <f t="shared" si="9"/>
        <v>21. Наталья Сергеевна
Тел.: +79497369642
Адрес: Ленина 63/2
№ заказа: Витамины
Кол-во мест: 1
https://yandex.ru/maps/?text=47.0971%2C37.5481
https://maps.google.com/?daddr=47.0971%2C37.5481
К оплате: **6500
**----------------------------------------------------------</v>
      </c>
    </row>
    <row r="263" spans="1:11" hidden="1" x14ac:dyDescent="0.25">
      <c r="A263">
        <v>1</v>
      </c>
      <c r="B263" s="1">
        <v>45556</v>
      </c>
      <c r="C263" t="s">
        <v>231</v>
      </c>
      <c r="D263" t="str">
        <f>VLOOKUP($C263,ТабКлиенты[#Data],MATCH(D$1,ТабКлиенты[#Headers],0),0)</f>
        <v>+79497266403</v>
      </c>
      <c r="E263" t="str">
        <f>VLOOKUP($C263,ТабКлиенты[#Data],MATCH(E$1,ТабКлиенты[#Headers],0),0)</f>
        <v>Металлургов 102 1 подъезд 8 этаж</v>
      </c>
      <c r="G263" s="14" t="str">
        <f>VLOOKUP($C263,ТабКлиенты[#Data],MATCH(G$1,ТабКлиенты[#Headers],0),0)</f>
        <v>47.1099, 37.5543</v>
      </c>
      <c r="H263" s="14">
        <v>0</v>
      </c>
      <c r="I263" s="13">
        <v>250</v>
      </c>
      <c r="J263" s="13">
        <v>1</v>
      </c>
      <c r="K263" t="str">
        <f t="shared" ref="K263:K276" si="10">A263&amp;". "&amp;C263&amp;CHAR(10)&amp;"Тел.: "&amp;D263&amp;CHAR(10)&amp;"Адрес: "&amp;E263&amp;CHAR(10)&amp;"№ заказа: "&amp;I263&amp;CHAR(10)&amp;"Кол-во мест: "&amp;J263&amp;CHAR(10)&amp;"https://yandex.ru/maps/?text="&amp;REPLACE(G263,SEARCH(",",G263),2,"%2C")&amp;CHAR(10)&amp;"https://maps.google.com/?daddr="&amp;REPLACE(G263,SEARCH(",",G263),2,"%2C")&amp;CHAR(10)&amp;"К оплате: "&amp;"**"&amp;H263&amp;CHAR(10)&amp;"**"&amp;"----------------------------------------------------------"</f>
        <v>1. Лариса Кирова
Тел.: +79497266403
Адрес: Металлургов 102 1 подъезд 8 этаж
№ заказа: 250
Кол-во мест: 1
https://yandex.ru/maps/?text=47.1099%2C37.5543
https://maps.google.com/?daddr=47.1099%2C37.5543
К оплате: **0
**----------------------------------------------------------</v>
      </c>
    </row>
    <row r="264" spans="1:11" hidden="1" x14ac:dyDescent="0.25">
      <c r="A264">
        <v>2</v>
      </c>
      <c r="B264" s="1">
        <v>45556</v>
      </c>
      <c r="C264" t="s">
        <v>357</v>
      </c>
      <c r="D264" t="str">
        <f>VLOOKUP($C264,ТабКлиенты[#Data],MATCH(D$1,ТабКлиенты[#Headers],0),0)</f>
        <v>+79497114644</v>
      </c>
      <c r="E264" t="s">
        <v>1327</v>
      </c>
      <c r="G264" s="14" t="s">
        <v>1345</v>
      </c>
      <c r="H264" s="14">
        <v>0</v>
      </c>
      <c r="I264" s="13">
        <v>245</v>
      </c>
      <c r="J264" s="13">
        <v>2</v>
      </c>
      <c r="K264" t="str">
        <f t="shared" si="10"/>
        <v>2. Юля Ларисына
Тел.: +79497114644
Адрес: Металлургов 143 подъезд 4
№ заказа: 245
Кол-во мест: 2
https://yandex.ru/maps/?text=47.1200%2C37.5645
https://maps.google.com/?daddr=47.1200%2C37.5645
К оплате: **0
**----------------------------------------------------------</v>
      </c>
    </row>
    <row r="265" spans="1:11" hidden="1" x14ac:dyDescent="0.25">
      <c r="A265">
        <v>3</v>
      </c>
      <c r="B265" s="1">
        <v>45556</v>
      </c>
      <c r="C265" t="s">
        <v>123</v>
      </c>
      <c r="D265" t="str">
        <f>VLOOKUP($C265,ТабКлиенты[#Data],MATCH(D$1,ТабКлиенты[#Headers],0),0)</f>
        <v>+79497176548</v>
      </c>
      <c r="E265" t="str">
        <f>VLOOKUP($C265,ТабКлиенты[#Data],MATCH(E$1,ТабКлиенты[#Headers],0),0)</f>
        <v>металлургов 179</v>
      </c>
      <c r="G265" s="14" t="str">
        <f>VLOOKUP($C265,ТабКлиенты[#Data],MATCH(G$1,ТабКлиенты[#Headers],0),0)</f>
        <v>47.1248, 37.5657</v>
      </c>
      <c r="H265" s="14">
        <v>1205</v>
      </c>
      <c r="I265" s="13">
        <v>254</v>
      </c>
      <c r="J265" s="13">
        <v>1</v>
      </c>
      <c r="K265" t="str">
        <f t="shared" si="10"/>
        <v>3. Александр 3 Металлургов
Тел.: +79497176548
Адрес: металлургов 179
№ заказа: 254
Кол-во мест: 1
https://yandex.ru/maps/?text=47.1248%2C37.5657
https://maps.google.com/?daddr=47.1248%2C37.5657
К оплате: **1205
**----------------------------------------------------------</v>
      </c>
    </row>
    <row r="266" spans="1:11" hidden="1" x14ac:dyDescent="0.25">
      <c r="A266">
        <v>4</v>
      </c>
      <c r="B266" s="1">
        <v>45556</v>
      </c>
      <c r="C266" t="s">
        <v>441</v>
      </c>
      <c r="D266" t="str">
        <f>VLOOKUP($C266,ТабКлиенты[#Data],MATCH(D$1,ТабКлиенты[#Headers],0),0)</f>
        <v>+79497213168</v>
      </c>
      <c r="E266" t="str">
        <f>VLOOKUP($C266,ТабКлиенты[#Data],MATCH(E$1,ТабКлиенты[#Headers],0),0)</f>
        <v>Шопена 92</v>
      </c>
      <c r="G266" s="14" t="str">
        <f>VLOOKUP($C266,ТабКлиенты[#Data],MATCH(G$1,ТабКлиенты[#Headers],0),0)</f>
        <v>47.1582, 37.6032</v>
      </c>
      <c r="H266" s="14">
        <v>3300</v>
      </c>
      <c r="I266" s="13" t="s">
        <v>1271</v>
      </c>
      <c r="J266" s="13">
        <v>1</v>
      </c>
      <c r="K266" t="str">
        <f t="shared" si="10"/>
        <v>4. Светлана Федоровна
Тел.: +79497213168
Адрес: Шопена 92
№ заказа: Витамины
Кол-во мест: 1
https://yandex.ru/maps/?text=47.1582%2C37.6032
https://maps.google.com/?daddr=47.1582%2C37.6032
К оплате: **3300
**----------------------------------------------------------</v>
      </c>
    </row>
    <row r="267" spans="1:11" hidden="1" x14ac:dyDescent="0.25">
      <c r="A267">
        <v>5</v>
      </c>
      <c r="B267" s="1">
        <v>45556</v>
      </c>
      <c r="C267" t="s">
        <v>437</v>
      </c>
      <c r="D267" t="str">
        <f>VLOOKUP($C267,ТабКлиенты[#Data],MATCH(D$1,ТабКлиенты[#Headers],0),0)</f>
        <v>+79497115237</v>
      </c>
      <c r="E267" t="str">
        <f>VLOOKUP($C267,ТабКлиенты[#Data],MATCH(E$1,ТабКлиенты[#Headers],0),0)</f>
        <v>пер Станционный 8</v>
      </c>
      <c r="G267" s="14" t="str">
        <f>VLOOKUP($C267,ТабКлиенты[#Data],MATCH(G$1,ТабКлиенты[#Headers],0),0)</f>
        <v>47.1640, 37.5780</v>
      </c>
      <c r="H267" s="14">
        <v>2200</v>
      </c>
      <c r="I267" s="13" t="s">
        <v>1271</v>
      </c>
      <c r="J267" s="13">
        <v>1</v>
      </c>
      <c r="K267" t="str">
        <f t="shared" si="10"/>
        <v>5. Аня Мирный
Тел.: +79497115237
Адрес: пер Станционный 8
№ заказа: Витамины
Кол-во мест: 1
https://yandex.ru/maps/?text=47.1640%2C37.5780
https://maps.google.com/?daddr=47.1640%2C37.5780
К оплате: **2200
**----------------------------------------------------------</v>
      </c>
    </row>
    <row r="268" spans="1:11" hidden="1" x14ac:dyDescent="0.25">
      <c r="A268">
        <v>6</v>
      </c>
      <c r="B268" s="1">
        <v>45556</v>
      </c>
      <c r="C268" t="s">
        <v>1463</v>
      </c>
      <c r="D268">
        <f>VLOOKUP($C268,ТабКлиенты[#Data],MATCH(D$1,ТабКлиенты[#Headers],0),0)</f>
        <v>0</v>
      </c>
      <c r="E268" t="str">
        <f>VLOOKUP($C268,ТабКлиенты[#Data],MATCH(E$1,ТабКлиенты[#Headers],0),0)</f>
        <v>Мирный электростанция</v>
      </c>
      <c r="G268" s="14" t="str">
        <f>VLOOKUP($C268,ТабКлиенты[#Data],MATCH(G$1,ТабКлиенты[#Headers],0),0)</f>
        <v>47.1846, 37.5596</v>
      </c>
      <c r="H268" s="14">
        <v>9300</v>
      </c>
      <c r="I268" s="13">
        <v>255</v>
      </c>
      <c r="J268" s="13">
        <v>3</v>
      </c>
      <c r="K268" t="str">
        <f t="shared" si="10"/>
        <v>6. Аюр Гармаев Мирный
Тел.: 0
Адрес: Мирный электростанция
№ заказа: 255
Кол-во мест: 3
https://yandex.ru/maps/?text=47.1846%2C37.5596
https://maps.google.com/?daddr=47.1846%2C37.5596
К оплате: **9300
**----------------------------------------------------------</v>
      </c>
    </row>
    <row r="269" spans="1:11" hidden="1" x14ac:dyDescent="0.25">
      <c r="A269">
        <v>7</v>
      </c>
      <c r="B269" s="1">
        <v>45556</v>
      </c>
      <c r="C269" t="s">
        <v>485</v>
      </c>
      <c r="D269" t="str">
        <f>VLOOKUP($C269,ТабКлиенты[#Data],MATCH(D$1,ТабКлиенты[#Headers],0),0)</f>
        <v>+79498429781</v>
      </c>
      <c r="E269" t="str">
        <f>VLOOKUP($C269,ТабКлиенты[#Data],MATCH(E$1,ТабКлиенты[#Headers],0),0)</f>
        <v>Крымская 42</v>
      </c>
      <c r="G269" s="14" t="str">
        <f>VLOOKUP($C269,ТабКлиенты[#Data],MATCH(G$1,ТабКлиенты[#Headers],0),0)</f>
        <v>47.1389, 37.5091</v>
      </c>
      <c r="H269" s="14">
        <v>1265</v>
      </c>
      <c r="I269" s="13">
        <v>232</v>
      </c>
      <c r="J269" s="13">
        <v>1</v>
      </c>
      <c r="K269" t="str">
        <f t="shared" si="10"/>
        <v>7. Аннет
Тел.: +79498429781
Адрес: Крымская 42
№ заказа: 232
Кол-во мест: 1
https://yandex.ru/maps/?text=47.1389%2C37.5091
https://maps.google.com/?daddr=47.1389%2C37.5091
К оплате: **1265
**----------------------------------------------------------</v>
      </c>
    </row>
    <row r="270" spans="1:11" hidden="1" x14ac:dyDescent="0.25">
      <c r="A270">
        <v>8</v>
      </c>
      <c r="B270" s="1">
        <v>45556</v>
      </c>
      <c r="C270" t="s">
        <v>404</v>
      </c>
      <c r="D270" t="str">
        <f>VLOOKUP($C270,ТабКлиенты[#Data],MATCH(D$1,ТабКлиенты[#Headers],0),0)</f>
        <v>+79497386112</v>
      </c>
      <c r="E270" t="str">
        <f>VLOOKUP($C270,ТабКлиенты[#Data],MATCH(E$1,ТабКлиенты[#Headers],0),0)</f>
        <v>Шевченко 325</v>
      </c>
      <c r="G270" s="14" t="str">
        <f>VLOOKUP($C270,ТабКлиенты[#Data],MATCH(G$1,ТабКлиенты[#Headers],0),0)</f>
        <v>47.1193, 37.5172</v>
      </c>
      <c r="H270" s="14">
        <v>0</v>
      </c>
      <c r="I270" s="13" t="s">
        <v>1271</v>
      </c>
      <c r="J270" s="13">
        <v>1</v>
      </c>
      <c r="K270" t="str">
        <f t="shared" si="10"/>
        <v>8. Любовь Виталий
Тел.: +79497386112
Адрес: Шевченко 325
№ заказа: Витамины
Кол-во мест: 1
https://yandex.ru/maps/?text=47.1193%2C37.5172
https://maps.google.com/?daddr=47.1193%2C37.5172
К оплате: **0
**----------------------------------------------------------</v>
      </c>
    </row>
    <row r="271" spans="1:11" hidden="1" x14ac:dyDescent="0.25">
      <c r="A271">
        <v>9</v>
      </c>
      <c r="B271" s="1">
        <v>45556</v>
      </c>
      <c r="C271" t="s">
        <v>452</v>
      </c>
      <c r="D271" t="str">
        <f>VLOOKUP($C271,ТабКлиенты[#Data],MATCH(D$1,ТабКлиенты[#Headers],0),0)</f>
        <v>+79497106171</v>
      </c>
      <c r="E271" t="str">
        <f>VLOOKUP($C271,ТабКлиенты[#Data],MATCH(E$1,ТабКлиенты[#Headers],0),0)</f>
        <v>Шевченко 258, 4 подъезд</v>
      </c>
      <c r="G271" s="14" t="str">
        <f>VLOOKUP($C271,ТабКлиенты[#Data],MATCH(G$1,ТабКлиенты[#Headers],0),0)</f>
        <v>47.1157, 37.5176</v>
      </c>
      <c r="H271" s="14">
        <v>672</v>
      </c>
      <c r="I271" s="13">
        <v>246</v>
      </c>
      <c r="J271" s="13">
        <v>1</v>
      </c>
      <c r="K271" t="str">
        <f t="shared" si="10"/>
        <v>9. Андрей Кулигин
Тел.: +79497106171
Адрес: Шевченко 258, 4 подъезд
№ заказа: 246
Кол-во мест: 1
https://yandex.ru/maps/?text=47.1157%2C37.5176
https://maps.google.com/?daddr=47.1157%2C37.5176
К оплате: **672
**----------------------------------------------------------</v>
      </c>
    </row>
    <row r="272" spans="1:11" hidden="1" x14ac:dyDescent="0.25">
      <c r="A272">
        <v>10</v>
      </c>
      <c r="B272" s="1">
        <v>45556</v>
      </c>
      <c r="C272" t="s">
        <v>456</v>
      </c>
      <c r="D272" t="str">
        <f>VLOOKUP($C272,ТабКлиенты[#Data],MATCH(D$1,ТабКлиенты[#Headers],0),0)</f>
        <v>+79497488953</v>
      </c>
      <c r="E272" t="str">
        <f>VLOOKUP($C272,ТабКлиенты[#Data],MATCH(E$1,ТабКлиенты[#Headers],0),0)</f>
        <v>Ленина 183 подъезд 1 (Изумрудный)</v>
      </c>
      <c r="G272" s="14" t="str">
        <f>VLOOKUP($C272,ТабКлиенты[#Data],MATCH(G$1,ТабКлиенты[#Headers],0),0)</f>
        <v>47.0982, 37.4785</v>
      </c>
      <c r="H272" s="14">
        <v>719</v>
      </c>
      <c r="I272" s="13">
        <v>259</v>
      </c>
      <c r="J272" s="13">
        <v>2</v>
      </c>
      <c r="K272" t="str">
        <f t="shared" si="10"/>
        <v>10. Лана
Тел.: +79497488953
Адрес: Ленина 183 подъезд 1 (Изумрудный)
№ заказа: 259
Кол-во мест: 2
https://yandex.ru/maps/?text=47.0982%2C37.4785
https://maps.google.com/?daddr=47.0982%2C37.4785
К оплате: **719
**----------------------------------------------------------</v>
      </c>
    </row>
    <row r="273" spans="1:11" hidden="1" x14ac:dyDescent="0.25">
      <c r="A273">
        <v>11</v>
      </c>
      <c r="B273" s="1">
        <v>45556</v>
      </c>
      <c r="C273" t="s">
        <v>385</v>
      </c>
      <c r="D273" t="str">
        <f>VLOOKUP($C273,ТабКлиенты[#Data],MATCH(D$1,ТабКлиенты[#Headers],0),0)</f>
        <v>+79497169864</v>
      </c>
      <c r="E273" t="str">
        <f>VLOOKUP($C273,ТабКлиенты[#Data],MATCH(E$1,ТабКлиенты[#Headers],0),0)</f>
        <v>пер. Ейский 9</v>
      </c>
      <c r="G273" s="14" t="str">
        <f>VLOOKUP($C273,ТабКлиенты[#Data],MATCH(G$1,ТабКлиенты[#Headers],0),0)</f>
        <v>47.0898, 37.5062</v>
      </c>
      <c r="H273" s="14">
        <v>0</v>
      </c>
      <c r="I273" s="13" t="s">
        <v>1271</v>
      </c>
      <c r="J273" s="13">
        <v>1</v>
      </c>
      <c r="K273" t="str">
        <f t="shared" si="10"/>
        <v>11. Надежда Витамины
Тел.: +79497169864
Адрес: пер. Ейский 9
№ заказа: Витамины
Кол-во мест: 1
https://yandex.ru/maps/?text=47.0898%2C37.5062
https://maps.google.com/?daddr=47.0898%2C37.5062
К оплате: **0
**----------------------------------------------------------</v>
      </c>
    </row>
    <row r="274" spans="1:11" hidden="1" x14ac:dyDescent="0.25">
      <c r="A274">
        <v>12</v>
      </c>
      <c r="B274" s="1">
        <v>45556</v>
      </c>
      <c r="C274" t="s">
        <v>1488</v>
      </c>
      <c r="D274" t="str">
        <f>VLOOKUP($C274,ТабКлиенты[#Data],MATCH(D$1,ТабКлиенты[#Headers],0),0)</f>
        <v>+79497050485</v>
      </c>
      <c r="E274" t="str">
        <f>VLOOKUP($C274,ТабКлиенты[#Data],MATCH(E$1,ТабКлиенты[#Headers],0),0)</f>
        <v>Лавицкого 20</v>
      </c>
      <c r="G274" s="14" t="str">
        <f>VLOOKUP($C274,ТабКлиенты[#Data],MATCH(G$1,ТабКлиенты[#Headers],0),0)</f>
        <v>47.0877, 37.5175</v>
      </c>
      <c r="H274" s="14">
        <v>1118</v>
      </c>
      <c r="I274" s="13">
        <v>260</v>
      </c>
      <c r="J274" s="13">
        <v>1</v>
      </c>
      <c r="K274" t="str">
        <f t="shared" si="10"/>
        <v>12. Анна Лавицкого
Тел.: +79497050485
Адрес: Лавицкого 20
№ заказа: 260
Кол-во мест: 1
https://yandex.ru/maps/?text=47.0877%2C37.5175
https://maps.google.com/?daddr=47.0877%2C37.5175
К оплате: **1118
**----------------------------------------------------------</v>
      </c>
    </row>
    <row r="275" spans="1:11" hidden="1" x14ac:dyDescent="0.25">
      <c r="A275">
        <v>13</v>
      </c>
      <c r="B275" s="1">
        <v>45556</v>
      </c>
      <c r="C275" t="s">
        <v>1424</v>
      </c>
      <c r="D275" t="str">
        <f>VLOOKUP($C275,ТабКлиенты[#Data],MATCH(D$1,ТабКлиенты[#Headers],0),0)</f>
        <v>+79495529137</v>
      </c>
      <c r="E275" t="s">
        <v>1492</v>
      </c>
      <c r="G275" s="14" t="s">
        <v>1491</v>
      </c>
      <c r="H275" s="14">
        <v>3000</v>
      </c>
      <c r="I275" s="13">
        <v>247</v>
      </c>
      <c r="J275" s="13">
        <v>1</v>
      </c>
      <c r="K275" t="str">
        <f t="shared" si="10"/>
        <v>13. Данил Шевченко
Тел.: +79495529137
Адрес: Азовской флотилии 2
№ заказа: 247
Кол-во мест: 1
https://yandex.ru/maps/?text=47.0450%2C37.4792
https://maps.google.com/?daddr=47.0450%2C37.4792
К оплате: **3000
**----------------------------------------------------------</v>
      </c>
    </row>
    <row r="276" spans="1:11" hidden="1" x14ac:dyDescent="0.25">
      <c r="A276">
        <v>14</v>
      </c>
      <c r="B276" s="1">
        <v>45556</v>
      </c>
      <c r="C276" t="s">
        <v>204</v>
      </c>
      <c r="D276" t="str">
        <f>VLOOKUP($C276,ТабКлиенты[#Data],MATCH(D$1,ТабКлиенты[#Headers],0),0)</f>
        <v>+79497243297</v>
      </c>
      <c r="E276" t="str">
        <f>VLOOKUP($C276,ТабКлиенты[#Data],MATCH(E$1,ТабКлиенты[#Headers],0),0)</f>
        <v>Мариуполь, Митрополитская, 60</v>
      </c>
      <c r="G276" s="14" t="str">
        <f>VLOOKUP($C276,ТабКлиенты[#Data],MATCH(G$1,ТабКлиенты[#Headers],0),0)</f>
        <v>47.0999, 37.5500</v>
      </c>
      <c r="H276" s="14">
        <v>4274</v>
      </c>
      <c r="I276" s="13">
        <v>253</v>
      </c>
      <c r="J276" s="13">
        <v>1</v>
      </c>
      <c r="K276" t="str">
        <f t="shared" si="10"/>
        <v>14. Руденко Юля
Тел.: +79497243297
Адрес: Мариуполь, Митрополитская, 60
№ заказа: 253
Кол-во мест: 1
https://yandex.ru/maps/?text=47.0999%2C37.5500
https://maps.google.com/?daddr=47.0999%2C37.5500
К оплате: **4274
**----------------------------------------------------------</v>
      </c>
    </row>
    <row r="277" spans="1:11" hidden="1" x14ac:dyDescent="0.25">
      <c r="A277">
        <v>1</v>
      </c>
      <c r="B277" s="1">
        <v>45563</v>
      </c>
      <c r="C277" t="s">
        <v>231</v>
      </c>
      <c r="D277" t="str">
        <f>VLOOKUP($C277,ТабКлиенты[#Data],MATCH(D$1,ТабКлиенты[#Headers],0),0)</f>
        <v>+79497266403</v>
      </c>
      <c r="E277" t="str">
        <f>VLOOKUP($C277,ТабКлиенты[#Data],MATCH(E$1,ТабКлиенты[#Headers],0),0)</f>
        <v>Металлургов 102 1 подъезд 8 этаж</v>
      </c>
      <c r="G277" s="14" t="str">
        <f>VLOOKUP($C277,ТабКлиенты[#Data],MATCH(G$1,ТабКлиенты[#Headers],0),0)</f>
        <v>47.1099, 37.5543</v>
      </c>
      <c r="H277" s="14">
        <v>0</v>
      </c>
      <c r="I277" s="13">
        <v>261</v>
      </c>
      <c r="J277" s="13">
        <v>1</v>
      </c>
      <c r="K277" t="str">
        <f t="shared" ref="K277:K284" si="11">A277&amp;". "&amp;C277&amp;CHAR(10)&amp;"Тел.: "&amp;D277&amp;CHAR(10)&amp;"Адрес: "&amp;E277&amp;CHAR(10)&amp;"№ заказа: "&amp;I277&amp;CHAR(10)&amp;"Кол-во мест: "&amp;J277&amp;CHAR(10)&amp;"https://yandex.ru/maps/?text="&amp;REPLACE(G277,SEARCH(",",G277),2,"%2C")&amp;CHAR(10)&amp;"https://maps.google.com/?daddr="&amp;REPLACE(G277,SEARCH(",",G277),2,"%2C")&amp;CHAR(10)&amp;"К оплате: "&amp;"**"&amp;H277&amp;CHAR(10)&amp;"**"&amp;"----------------------------------------------------------"</f>
        <v>1. Лариса Кирова
Тел.: +79497266403
Адрес: Металлургов 102 1 подъезд 8 этаж
№ заказа: 261
Кол-во мест: 1
https://yandex.ru/maps/?text=47.1099%2C37.5543
https://maps.google.com/?daddr=47.1099%2C37.5543
К оплате: **0
**----------------------------------------------------------</v>
      </c>
    </row>
    <row r="278" spans="1:11" hidden="1" x14ac:dyDescent="0.25">
      <c r="A278">
        <v>2</v>
      </c>
      <c r="B278" s="1">
        <v>45563</v>
      </c>
      <c r="C278" t="s">
        <v>1497</v>
      </c>
      <c r="D278" t="str">
        <f>VLOOKUP($C278,ТабКлиенты[#Data],MATCH(D$1,ТабКлиенты[#Headers],0),0)</f>
        <v>+79498018213, +79498018178</v>
      </c>
      <c r="E278" t="str">
        <f>VLOOKUP($C278,ТабКлиенты[#Data],MATCH(E$1,ТабКлиенты[#Headers],0),0)</f>
        <v>Мамина Сибиряка, 16</v>
      </c>
      <c r="G278" s="14" t="str">
        <f>VLOOKUP($C278,ТабКлиенты[#Data],MATCH(G$1,ТабКлиенты[#Headers],0),0)</f>
        <v>47.1496, 37.6041</v>
      </c>
      <c r="H278" s="14">
        <v>493</v>
      </c>
      <c r="I278" s="13">
        <v>262</v>
      </c>
      <c r="J278" s="13">
        <v>1</v>
      </c>
      <c r="K278" t="str">
        <f t="shared" si="11"/>
        <v>2. Валентин Елена
Тел.: +79498018213, +79498018178
Адрес: Мамина Сибиряка, 16
№ заказа: 262
Кол-во мест: 1
https://yandex.ru/maps/?text=47.1496%2C37.6041
https://maps.google.com/?daddr=47.1496%2C37.6041
К оплате: **493
**----------------------------------------------------------</v>
      </c>
    </row>
    <row r="279" spans="1:11" hidden="1" x14ac:dyDescent="0.25">
      <c r="A279">
        <v>3</v>
      </c>
      <c r="B279" s="1">
        <v>45563</v>
      </c>
      <c r="C279" t="s">
        <v>108</v>
      </c>
      <c r="D279" t="str">
        <f>VLOOKUP($C279,ТабКлиенты[#Data],MATCH(D$1,ТабКлиенты[#Headers],0),0)</f>
        <v>+79497174095</v>
      </c>
      <c r="E279" t="str">
        <f>VLOOKUP($C279,ТабКлиенты[#Data],MATCH(E$1,ТабКлиенты[#Headers],0),0)</f>
        <v>авиационная 39</v>
      </c>
      <c r="G279" s="14" t="str">
        <f>VLOOKUP($C279,ТабКлиенты[#Data],MATCH(G$1,ТабКлиенты[#Headers],0),0)</f>
        <v>47.1250, 37.5332</v>
      </c>
      <c r="H279" s="14">
        <v>-507</v>
      </c>
      <c r="I279" s="13">
        <v>251</v>
      </c>
      <c r="J279" s="13">
        <v>1</v>
      </c>
      <c r="K279" t="str">
        <f t="shared" si="11"/>
        <v>3. Вадим
Тел.: +79497174095
Адрес: авиационная 39
№ заказа: 251
Кол-во мест: 1
https://yandex.ru/maps/?text=47.1250%2C37.5332
https://maps.google.com/?daddr=47.1250%2C37.5332
К оплате: **-507
**----------------------------------------------------------</v>
      </c>
    </row>
    <row r="280" spans="1:11" hidden="1" x14ac:dyDescent="0.25">
      <c r="A280">
        <v>4</v>
      </c>
      <c r="B280" s="1">
        <v>45563</v>
      </c>
      <c r="C280" t="s">
        <v>485</v>
      </c>
      <c r="D280" t="str">
        <f>VLOOKUP($C280,ТабКлиенты[#Data],MATCH(D$1,ТабКлиенты[#Headers],0),0)</f>
        <v>+79498429781</v>
      </c>
      <c r="E280" t="str">
        <f>VLOOKUP($C280,ТабКлиенты[#Data],MATCH(E$1,ТабКлиенты[#Headers],0),0)</f>
        <v>Крымская 42</v>
      </c>
      <c r="G280" s="14" t="str">
        <f>VLOOKUP($C280,ТабКлиенты[#Data],MATCH(G$1,ТабКлиенты[#Headers],0),0)</f>
        <v>47.1389, 37.5091</v>
      </c>
      <c r="H280" s="14">
        <v>600</v>
      </c>
      <c r="I280" s="13">
        <v>266</v>
      </c>
      <c r="J280" s="13">
        <v>1</v>
      </c>
      <c r="K280" t="str">
        <f t="shared" si="11"/>
        <v>4. Аннет
Тел.: +79498429781
Адрес: Крымская 42
№ заказа: 266
Кол-во мест: 1
https://yandex.ru/maps/?text=47.1389%2C37.5091
https://maps.google.com/?daddr=47.1389%2C37.5091
К оплате: **600
**----------------------------------------------------------</v>
      </c>
    </row>
    <row r="281" spans="1:11" hidden="1" x14ac:dyDescent="0.25">
      <c r="A281">
        <v>5</v>
      </c>
      <c r="B281" s="1">
        <v>45563</v>
      </c>
      <c r="C281" t="s">
        <v>1502</v>
      </c>
      <c r="D281" t="str">
        <f>VLOOKUP($C281,ТабКлиенты[#Data],MATCH(D$1,ТабКлиенты[#Headers],0),0)</f>
        <v>+79497284454</v>
      </c>
      <c r="E281" t="str">
        <f>VLOOKUP($C281,ТабКлиенты[#Data],MATCH(E$1,ТабКлиенты[#Headers],0),0)</f>
        <v>строителей 156</v>
      </c>
      <c r="G281" s="14" t="str">
        <f>VLOOKUP($C281,ТабКлиенты[#Data],MATCH(G$1,ТабКлиенты[#Headers],0),0)</f>
        <v>47.1186, 37.5244</v>
      </c>
      <c r="H281" s="14">
        <v>0</v>
      </c>
      <c r="I281" s="13">
        <v>218</v>
      </c>
      <c r="J281" s="13">
        <v>1</v>
      </c>
      <c r="K281" t="str">
        <f t="shared" si="11"/>
        <v>5. Елена Гайдар
Тел.: +79497284454
Адрес: строителей 156
№ заказа: 218
Кол-во мест: 1
https://yandex.ru/maps/?text=47.1186%2C37.5244
https://maps.google.com/?daddr=47.1186%2C37.5244
К оплате: **0
**----------------------------------------------------------</v>
      </c>
    </row>
    <row r="282" spans="1:11" hidden="1" x14ac:dyDescent="0.25">
      <c r="A282">
        <v>6</v>
      </c>
      <c r="B282" s="1">
        <v>45563</v>
      </c>
      <c r="C282" t="s">
        <v>456</v>
      </c>
      <c r="D282" t="str">
        <f>VLOOKUP($C282,ТабКлиенты[#Data],MATCH(D$1,ТабКлиенты[#Headers],0),0)</f>
        <v>+79497488953</v>
      </c>
      <c r="E282" t="str">
        <f>VLOOKUP($C282,ТабКлиенты[#Data],MATCH(E$1,ТабКлиенты[#Headers],0),0)</f>
        <v>Ленина 183 подъезд 1 (Изумрудный)</v>
      </c>
      <c r="G282" s="14" t="str">
        <f>VLOOKUP($C282,ТабКлиенты[#Data],MATCH(G$1,ТабКлиенты[#Headers],0),0)</f>
        <v>47.0982, 37.4785</v>
      </c>
      <c r="H282" s="14">
        <v>664</v>
      </c>
      <c r="I282" s="13">
        <v>269</v>
      </c>
      <c r="J282" s="13">
        <v>1</v>
      </c>
      <c r="K282" t="str">
        <f t="shared" si="11"/>
        <v>6. Лана
Тел.: +79497488953
Адрес: Ленина 183 подъезд 1 (Изумрудный)
№ заказа: 269
Кол-во мест: 1
https://yandex.ru/maps/?text=47.0982%2C37.4785
https://maps.google.com/?daddr=47.0982%2C37.4785
К оплате: **664
**----------------------------------------------------------</v>
      </c>
    </row>
    <row r="283" spans="1:11" hidden="1" x14ac:dyDescent="0.25">
      <c r="A283">
        <v>7</v>
      </c>
      <c r="B283" s="1">
        <v>45563</v>
      </c>
      <c r="C283" t="s">
        <v>1509</v>
      </c>
      <c r="D283" t="str">
        <f>VLOOKUP($C283,ТабКлиенты[#Data],MATCH(D$1,ТабКлиенты[#Headers],0),0)</f>
        <v>+79498025966</v>
      </c>
      <c r="E283" t="str">
        <f>VLOOKUP($C283,ТабКлиенты[#Data],MATCH(E$1,ТабКлиенты[#Headers],0),0)</f>
        <v>Демократическая, 27</v>
      </c>
      <c r="G283" s="14" t="str">
        <f>VLOOKUP($C283,ТабКлиенты[#Data],MATCH(G$1,ТабКлиенты[#Headers],0),0)</f>
        <v>47.0730, 37.4997</v>
      </c>
      <c r="H283" s="14">
        <v>200</v>
      </c>
      <c r="I283" s="13">
        <v>265</v>
      </c>
      <c r="J283" s="13">
        <v>1</v>
      </c>
      <c r="K283" t="str">
        <f t="shared" si="11"/>
        <v>7. Даня Краснофлотская
Тел.: +79498025966
Адрес: Демократическая, 27
№ заказа: 265
Кол-во мест: 1
https://yandex.ru/maps/?text=47.0730%2C37.4997
https://maps.google.com/?daddr=47.0730%2C37.4997
К оплате: **200
**----------------------------------------------------------</v>
      </c>
    </row>
    <row r="284" spans="1:11" hidden="1" x14ac:dyDescent="0.25">
      <c r="A284">
        <v>8</v>
      </c>
      <c r="B284" s="1">
        <v>45563</v>
      </c>
      <c r="C284" t="s">
        <v>295</v>
      </c>
      <c r="D284" t="str">
        <f>VLOOKUP($C284,ТабКлиенты[#Data],MATCH(D$1,ТабКлиенты[#Headers],0),0)</f>
        <v>+79497277100</v>
      </c>
      <c r="E284" t="str">
        <f>VLOOKUP($C284,ТабКлиенты[#Data],MATCH(E$1,ТабКлиенты[#Headers],0),0)</f>
        <v>Артема 132</v>
      </c>
      <c r="G284" s="14" t="str">
        <f>VLOOKUP($C284,ТабКлиенты[#Data],MATCH(G$1,ТабКлиенты[#Headers],0),0)</f>
        <v>47.1085, 37.5599</v>
      </c>
      <c r="H284" s="14">
        <f>758+8700</f>
        <v>9458</v>
      </c>
      <c r="I284" s="13">
        <v>257</v>
      </c>
      <c r="J284" s="13">
        <v>1</v>
      </c>
      <c r="K284" t="str">
        <f t="shared" si="11"/>
        <v>8. Александр Радин
Тел.: +79497277100
Адрес: Артема 132
№ заказа: 257
Кол-во мест: 1
https://yandex.ru/maps/?text=47.1085%2C37.5599
https://maps.google.com/?daddr=47.1085%2C37.5599
К оплате: **9458
**----------------------------------------------------------</v>
      </c>
    </row>
    <row r="285" spans="1:11" hidden="1" x14ac:dyDescent="0.25">
      <c r="A285">
        <v>1</v>
      </c>
      <c r="B285" s="1">
        <v>45570</v>
      </c>
      <c r="C285" t="s">
        <v>112</v>
      </c>
      <c r="D285" t="str">
        <f>VLOOKUP($C285,ТабКлиенты[#Data],MATCH(D$1,ТабКлиенты[#Headers],0),0)</f>
        <v>+79497340681</v>
      </c>
      <c r="E285" t="str">
        <f>VLOOKUP($C285,ТабКлиенты[#Data],MATCH(E$1,ТабКлиенты[#Headers],0),0)</f>
        <v>Покрышкина 99</v>
      </c>
      <c r="G285" s="14" t="str">
        <f>VLOOKUP($C285,ТабКлиенты[#Data],MATCH(G$1,ТабКлиенты[#Headers],0),0)</f>
        <v>47.1259, 37.5629</v>
      </c>
      <c r="H285" s="14">
        <v>604</v>
      </c>
      <c r="I285" s="13">
        <v>264</v>
      </c>
      <c r="J285" s="13">
        <v>1</v>
      </c>
      <c r="K285" t="str">
        <f t="shared" ref="K285:K294" si="12">A285&amp;". "&amp;C285&amp;CHAR(10)&amp;"Тел.: "&amp;D285&amp;CHAR(10)&amp;"Адрес: "&amp;E285&amp;CHAR(10)&amp;"№ заказа: "&amp;I285&amp;CHAR(10)&amp;"Кол-во мест: "&amp;J285&amp;CHAR(10)&amp;"https://yandex.ru/maps/?text="&amp;REPLACE(G285,SEARCH(",",G285),2,"%2C")&amp;CHAR(10)&amp;"https://maps.google.com/?daddr="&amp;REPLACE(G285,SEARCH(",",G285),2,"%2C")&amp;CHAR(10)&amp;"К оплате: "&amp;"**"&amp;H285&amp;CHAR(10)&amp;"**"&amp;"----------------------------------------------------------"</f>
        <v>1. Митрофанов Евгений
Тел.: +79497340681
Адрес: Покрышкина 99
№ заказа: 264
Кол-во мест: 1
https://yandex.ru/maps/?text=47.1259%2C37.5629
https://maps.google.com/?daddr=47.1259%2C37.5629
К оплате: **604
**----------------------------------------------------------</v>
      </c>
    </row>
    <row r="286" spans="1:11" hidden="1" x14ac:dyDescent="0.25">
      <c r="A286">
        <v>2</v>
      </c>
      <c r="B286" s="1">
        <v>45570</v>
      </c>
      <c r="C286" t="s">
        <v>231</v>
      </c>
      <c r="D286" t="str">
        <f>VLOOKUP($C286,ТабКлиенты[#Data],MATCH(D$1,ТабКлиенты[#Headers],0),0)</f>
        <v>+79497266403</v>
      </c>
      <c r="E286" t="str">
        <f>VLOOKUP($C286,ТабКлиенты[#Data],MATCH(E$1,ТабКлиенты[#Headers],0),0)</f>
        <v>Металлургов 102 1 подъезд 8 этаж</v>
      </c>
      <c r="G286" s="14" t="str">
        <f>VLOOKUP($C286,ТабКлиенты[#Data],MATCH(G$1,ТабКлиенты[#Headers],0),0)</f>
        <v>47.1099, 37.5543</v>
      </c>
      <c r="H286" s="14"/>
      <c r="I286" s="13">
        <v>271</v>
      </c>
      <c r="J286" s="13">
        <v>1</v>
      </c>
      <c r="K286" t="str">
        <f t="shared" si="12"/>
        <v>2. Лариса Кирова
Тел.: +79497266403
Адрес: Металлургов 102 1 подъезд 8 этаж
№ заказа: 271
Кол-во мест: 1
https://yandex.ru/maps/?text=47.1099%2C37.5543
https://maps.google.com/?daddr=47.1099%2C37.5543
К оплате: **
**----------------------------------------------------------</v>
      </c>
    </row>
    <row r="287" spans="1:11" hidden="1" x14ac:dyDescent="0.25">
      <c r="A287">
        <v>3</v>
      </c>
      <c r="B287" s="1">
        <v>45570</v>
      </c>
      <c r="C287" t="s">
        <v>33</v>
      </c>
      <c r="D287" t="str">
        <f>VLOOKUP($C287,ТабКлиенты[#Data],MATCH(D$1,ТабКлиенты[#Headers],0),0)</f>
        <v>+79496069479</v>
      </c>
      <c r="E287" t="str">
        <f>VLOOKUP($C287,ТабКлиенты[#Data],MATCH(E$1,ТабКлиенты[#Headers],0),0)</f>
        <v>Марьинская 145 Новоселовка Церковь</v>
      </c>
      <c r="G287" s="14" t="str">
        <f>VLOOKUP($C287,ТабКлиенты[#Data],MATCH(G$1,ТабКлиенты[#Headers],0),0)</f>
        <v>47.1126, 37.5473</v>
      </c>
      <c r="H287" s="14"/>
      <c r="I287" s="13">
        <v>272</v>
      </c>
      <c r="J287" s="13">
        <v>1</v>
      </c>
      <c r="K287" t="str">
        <f t="shared" si="12"/>
        <v>3. Галина Агабекова(церковь)
Тел.: +79496069479
Адрес: Марьинская 145 Новоселовка Церковь
№ заказа: 272
Кол-во мест: 1
https://yandex.ru/maps/?text=47.1126%2C37.5473
https://maps.google.com/?daddr=47.1126%2C37.5473
К оплате: **
**----------------------------------------------------------</v>
      </c>
    </row>
    <row r="288" spans="1:11" hidden="1" x14ac:dyDescent="0.25">
      <c r="A288">
        <v>4</v>
      </c>
      <c r="B288" s="1">
        <v>45570</v>
      </c>
      <c r="C288" t="s">
        <v>1424</v>
      </c>
      <c r="D288" t="str">
        <f>VLOOKUP($C288,ТабКлиенты[#Data],MATCH(D$1,ТабКлиенты[#Headers],0),0)</f>
        <v>+79495529137</v>
      </c>
      <c r="E288" t="str">
        <f>VLOOKUP($C288,ТабКлиенты[#Data],MATCH(E$1,ТабКлиенты[#Headers],0),0)</f>
        <v>Гранитная 138</v>
      </c>
      <c r="G288" s="14" t="str">
        <f>VLOOKUP($C288,ТабКлиенты[#Data],MATCH(G$1,ТабКлиенты[#Headers],0),0)</f>
        <v>47.1260, 37.5132</v>
      </c>
      <c r="H288" s="14">
        <v>562</v>
      </c>
      <c r="I288" s="13">
        <v>247</v>
      </c>
      <c r="J288" s="13">
        <v>1</v>
      </c>
      <c r="K288" t="str">
        <f t="shared" si="12"/>
        <v>4. Данил Шевченко
Тел.: +79495529137
Адрес: Гранитная 138
№ заказа: 247
Кол-во мест: 1
https://yandex.ru/maps/?text=47.1260%2C37.5132
https://maps.google.com/?daddr=47.1260%2C37.5132
К оплате: **562
**----------------------------------------------------------</v>
      </c>
    </row>
    <row r="289" spans="1:11" hidden="1" x14ac:dyDescent="0.25">
      <c r="A289">
        <v>5</v>
      </c>
      <c r="B289" s="1">
        <v>45570</v>
      </c>
      <c r="C289" t="s">
        <v>404</v>
      </c>
      <c r="D289" t="str">
        <f>VLOOKUP($C289,ТабКлиенты[#Data],MATCH(D$1,ТабКлиенты[#Headers],0),0)</f>
        <v>+79497386112</v>
      </c>
      <c r="E289" t="str">
        <f>VLOOKUP($C289,ТабКлиенты[#Data],MATCH(E$1,ТабКлиенты[#Headers],0),0)</f>
        <v>Шевченко 325</v>
      </c>
      <c r="G289" s="14" t="str">
        <f>VLOOKUP($C289,ТабКлиенты[#Data],MATCH(G$1,ТабКлиенты[#Headers],0),0)</f>
        <v>47.1193, 37.5172</v>
      </c>
      <c r="H289" s="14"/>
      <c r="I289" s="13" t="s">
        <v>1271</v>
      </c>
      <c r="J289" s="13">
        <v>1</v>
      </c>
      <c r="K289" t="str">
        <f t="shared" si="12"/>
        <v>5. Любовь Виталий
Тел.: +79497386112
Адрес: Шевченко 325
№ заказа: Витамины
Кол-во мест: 1
https://yandex.ru/maps/?text=47.1193%2C37.5172
https://maps.google.com/?daddr=47.1193%2C37.5172
К оплате: **
**----------------------------------------------------------</v>
      </c>
    </row>
    <row r="290" spans="1:11" hidden="1" x14ac:dyDescent="0.25">
      <c r="A290">
        <v>6</v>
      </c>
      <c r="B290" s="1">
        <v>45570</v>
      </c>
      <c r="C290" t="s">
        <v>1523</v>
      </c>
      <c r="D290" t="str">
        <f>VLOOKUP($C290,ТабКлиенты[#Data],MATCH(D$1,ТабКлиенты[#Headers],0),0)</f>
        <v>+79494015912</v>
      </c>
      <c r="E290" t="s">
        <v>450</v>
      </c>
      <c r="G290" s="14" t="s">
        <v>451</v>
      </c>
      <c r="H290" s="14">
        <v>0</v>
      </c>
      <c r="I290" s="13">
        <v>270</v>
      </c>
      <c r="J290" s="13">
        <v>1</v>
      </c>
      <c r="K290" t="str">
        <f t="shared" si="12"/>
        <v>6. Кирилл Куприна
Тел.: +79494015912
Адрес: Строителей 145
№ заказа: 270
Кол-во мест: 1
https://yandex.ru/maps/?text=47.1130%2C37.5268
https://maps.google.com/?daddr=47.1130%2C37.5268
К оплате: **0
**----------------------------------------------------------</v>
      </c>
    </row>
    <row r="291" spans="1:11" hidden="1" x14ac:dyDescent="0.25">
      <c r="A291">
        <v>7</v>
      </c>
      <c r="B291" s="1">
        <v>45570</v>
      </c>
      <c r="C291" t="s">
        <v>1596</v>
      </c>
      <c r="D291" t="str">
        <f>VLOOKUP($C291,ТабКлиенты[#Data],MATCH(D$1,ТабКлиенты[#Headers],0),0)</f>
        <v>+79497169849</v>
      </c>
      <c r="E291" t="str">
        <f>VLOOKUP($C291,ТабКлиенты[#Data],MATCH(E$1,ТабКлиенты[#Headers],0),0)</f>
        <v>17 рынок Грация</v>
      </c>
      <c r="G291" s="14" t="str">
        <f>VLOOKUP($C291,ТабКлиенты[#Data],MATCH(G$1,ТабКлиенты[#Headers],0),0)</f>
        <v>47.1122, 37.5146</v>
      </c>
      <c r="H291" s="14"/>
      <c r="I291" s="13" t="s">
        <v>1271</v>
      </c>
      <c r="J291" s="13">
        <v>1</v>
      </c>
      <c r="K291" t="str">
        <f t="shared" si="12"/>
        <v>7. Вера Надеждына
Тел.: +79497169849
Адрес: 17 рынок Грация
№ заказа: Витамины
Кол-во мест: 1
https://yandex.ru/maps/?text=47.1122%2C37.5146
https://maps.google.com/?daddr=47.1122%2C37.5146
К оплате: **
**----------------------------------------------------------</v>
      </c>
    </row>
    <row r="292" spans="1:11" hidden="1" x14ac:dyDescent="0.25">
      <c r="A292">
        <v>8</v>
      </c>
      <c r="B292" s="1">
        <v>45570</v>
      </c>
      <c r="C292" t="s">
        <v>1580</v>
      </c>
      <c r="D292" t="str">
        <f>VLOOKUP($C292,ТабКлиенты[#Data],MATCH(D$1,ТабКлиенты[#Headers],0),0)</f>
        <v>+79494631318</v>
      </c>
      <c r="E292" t="str">
        <f>VLOOKUP($C292,ТабКлиенты[#Data],MATCH(E$1,ТабКлиенты[#Headers],0),0)</f>
        <v>Зелинского 69</v>
      </c>
      <c r="G292" s="14" t="str">
        <f>VLOOKUP($C292,ТабКлиенты[#Data],MATCH(G$1,ТабКлиенты[#Headers],0),0)</f>
        <v>47.1043, 37.5188</v>
      </c>
      <c r="H292" s="14">
        <v>670</v>
      </c>
      <c r="I292" s="13">
        <v>277</v>
      </c>
      <c r="J292" s="13">
        <v>1</v>
      </c>
      <c r="K292" t="str">
        <f t="shared" si="12"/>
        <v>8. Алена Зелинского
Тел.: +79494631318
Адрес: Зелинского 69
№ заказа: 277
Кол-во мест: 1
https://yandex.ru/maps/?text=47.1043%2C37.5188
https://maps.google.com/?daddr=47.1043%2C37.5188
К оплате: **670
**----------------------------------------------------------</v>
      </c>
    </row>
    <row r="293" spans="1:11" hidden="1" x14ac:dyDescent="0.25">
      <c r="A293">
        <v>9</v>
      </c>
      <c r="B293" s="1">
        <v>45570</v>
      </c>
      <c r="C293" t="s">
        <v>1488</v>
      </c>
      <c r="D293" t="str">
        <f>VLOOKUP($C293,ТабКлиенты[#Data],MATCH(D$1,ТабКлиенты[#Headers],0),0)</f>
        <v>+79497050485</v>
      </c>
      <c r="E293" t="str">
        <f>VLOOKUP($C293,ТабКлиенты[#Data],MATCH(E$1,ТабКлиенты[#Headers],0),0)</f>
        <v>Лавицкого 20</v>
      </c>
      <c r="G293" s="14" t="str">
        <f>VLOOKUP($C293,ТабКлиенты[#Data],MATCH(G$1,ТабКлиенты[#Headers],0),0)</f>
        <v>47.0877, 37.5175</v>
      </c>
      <c r="H293" s="14">
        <v>1326</v>
      </c>
      <c r="I293" s="13" t="s">
        <v>1583</v>
      </c>
      <c r="J293" s="13">
        <v>1</v>
      </c>
      <c r="K293" t="str">
        <f t="shared" si="12"/>
        <v>9. Анна Лавицкого
Тел.: +79497050485
Адрес: Лавицкого 20
№ заказа: 267  276
Кол-во мест: 1
https://yandex.ru/maps/?text=47.0877%2C37.5175
https://maps.google.com/?daddr=47.0877%2C37.5175
К оплате: **1326
**----------------------------------------------------------</v>
      </c>
    </row>
    <row r="294" spans="1:11" hidden="1" x14ac:dyDescent="0.25">
      <c r="A294">
        <v>10</v>
      </c>
      <c r="B294" s="1">
        <v>45570</v>
      </c>
      <c r="C294" t="s">
        <v>1590</v>
      </c>
      <c r="D294" t="str">
        <f>VLOOKUP($C294,ТабКлиенты[#Data],MATCH(D$1,ТабКлиенты[#Headers],0),0)</f>
        <v>+79497084226</v>
      </c>
      <c r="E294" t="s">
        <v>1595</v>
      </c>
      <c r="G294" s="14" t="s">
        <v>1594</v>
      </c>
      <c r="H294" s="14"/>
      <c r="I294" s="13" t="s">
        <v>1271</v>
      </c>
      <c r="J294" s="13">
        <v>1</v>
      </c>
      <c r="K294" t="str">
        <f t="shared" si="12"/>
        <v>10. Татьяна Дьяченко
Тел.: +79497084226
Адрес: Площадь Комсомола
№ заказа: Витамины
Кол-во мест: 1
https://yandex.ru/maps/?text=47.0874%2C37.5265
https://maps.google.com/?daddr=47.0874%2C37.5265
К оплате: **
**----------------------------------------------------------</v>
      </c>
    </row>
    <row r="295" spans="1:11" hidden="1" x14ac:dyDescent="0.25">
      <c r="A295">
        <v>1</v>
      </c>
      <c r="B295" s="1">
        <v>45577</v>
      </c>
      <c r="C295" t="s">
        <v>231</v>
      </c>
      <c r="D295" t="str">
        <f>VLOOKUP($C295,ТабКлиенты[#Data],MATCH(D$1,ТабКлиенты[#Headers],0),0)</f>
        <v>+79497266403</v>
      </c>
      <c r="E295" t="str">
        <f>VLOOKUP($C295,ТабКлиенты[#Data],MATCH(E$1,ТабКлиенты[#Headers],0),0)</f>
        <v>Металлургов 102 1 подъезд 8 этаж</v>
      </c>
      <c r="G295" s="14" t="str">
        <f>VLOOKUP($C295,ТабКлиенты[#Data],MATCH(G$1,ТабКлиенты[#Headers],0),0)</f>
        <v>47.1099, 37.5543</v>
      </c>
      <c r="H295" s="14">
        <v>2400</v>
      </c>
      <c r="I295" s="13">
        <v>278</v>
      </c>
      <c r="J295" s="13">
        <v>1</v>
      </c>
      <c r="K295" t="str">
        <f t="shared" ref="K295:K302" si="13">A295&amp;". "&amp;C295&amp;CHAR(10)&amp;"Тел.: "&amp;D295&amp;CHAR(10)&amp;"Адрес: "&amp;E295&amp;CHAR(10)&amp;"№ заказа: "&amp;I295&amp;CHAR(10)&amp;"Кол-во мест: "&amp;J295&amp;CHAR(10)&amp;"https://yandex.ru/maps/?text="&amp;REPLACE(G295,SEARCH(",",G295),2,"%2C")&amp;CHAR(10)&amp;"https://maps.google.com/?daddr="&amp;REPLACE(G295,SEARCH(",",G295),2,"%2C")&amp;CHAR(10)&amp;"К оплате: "&amp;"**"&amp;H295&amp;CHAR(10)&amp;"**"&amp;"----------------------------------------------------------"</f>
        <v>1. Лариса Кирова
Тел.: +79497266403
Адрес: Металлургов 102 1 подъезд 8 этаж
№ заказа: 278
Кол-во мест: 1
https://yandex.ru/maps/?text=47.1099%2C37.5543
https://maps.google.com/?daddr=47.1099%2C37.5543
К оплате: **2400
**----------------------------------------------------------</v>
      </c>
    </row>
    <row r="296" spans="1:11" hidden="1" x14ac:dyDescent="0.25">
      <c r="A296">
        <v>2</v>
      </c>
      <c r="B296" s="1">
        <v>45577</v>
      </c>
      <c r="C296" t="s">
        <v>357</v>
      </c>
      <c r="D296" t="str">
        <f>VLOOKUP($C296,ТабКлиенты[#Data],MATCH(D$1,ТабКлиенты[#Headers],0),0)</f>
        <v>+79497114644</v>
      </c>
      <c r="E296" t="s">
        <v>1327</v>
      </c>
      <c r="G296" s="14" t="s">
        <v>1345</v>
      </c>
      <c r="H296" s="14">
        <v>-393</v>
      </c>
      <c r="I296" s="13">
        <v>273</v>
      </c>
      <c r="J296" s="13">
        <v>1</v>
      </c>
      <c r="K296" t="str">
        <f t="shared" si="13"/>
        <v>2. Юля Ларисына
Тел.: +79497114644
Адрес: Металлургов 143 подъезд 4
№ заказа: 273
Кол-во мест: 1
https://yandex.ru/maps/?text=47.1200%2C37.5645
https://maps.google.com/?daddr=47.1200%2C37.5645
К оплате: **-393
**----------------------------------------------------------</v>
      </c>
    </row>
    <row r="297" spans="1:11" hidden="1" x14ac:dyDescent="0.25">
      <c r="A297">
        <v>3</v>
      </c>
      <c r="B297" s="1">
        <v>45577</v>
      </c>
      <c r="C297" t="s">
        <v>39</v>
      </c>
      <c r="D297" t="str">
        <f>VLOOKUP($C297,ТабКлиенты[#Data],MATCH(D$1,ТабКлиенты[#Headers],0),0)</f>
        <v>+79497132215</v>
      </c>
      <c r="E297" t="str">
        <f>VLOOKUP($C297,ТабКлиенты[#Data],MATCH(E$1,ТабКлиенты[#Headers],0),0)</f>
        <v>Гонды 42</v>
      </c>
      <c r="G297" s="14" t="str">
        <f>VLOOKUP($C297,ТабКлиенты[#Data],MATCH(G$1,ТабКлиенты[#Headers],0),0)</f>
        <v>47.1274, 37.5691</v>
      </c>
      <c r="H297" s="14">
        <v>2000</v>
      </c>
      <c r="I297" s="13">
        <v>279</v>
      </c>
      <c r="J297" s="13">
        <v>1</v>
      </c>
      <c r="K297" t="str">
        <f t="shared" si="13"/>
        <v>3. Алена шмалко
Тел.: +79497132215
Адрес: Гонды 42
№ заказа: 279
Кол-во мест: 1
https://yandex.ru/maps/?text=47.1274%2C37.5691
https://maps.google.com/?daddr=47.1274%2C37.5691
К оплате: **2000
**----------------------------------------------------------</v>
      </c>
    </row>
    <row r="298" spans="1:11" hidden="1" x14ac:dyDescent="0.25">
      <c r="A298">
        <v>4</v>
      </c>
      <c r="B298" s="1">
        <v>45577</v>
      </c>
      <c r="C298" t="s">
        <v>33</v>
      </c>
      <c r="D298" t="str">
        <f>VLOOKUP($C298,ТабКлиенты[#Data],MATCH(D$1,ТабКлиенты[#Headers],0),0)</f>
        <v>+79496069479</v>
      </c>
      <c r="E298" t="str">
        <f>VLOOKUP($C298,ТабКлиенты[#Data],MATCH(E$1,ТабКлиенты[#Headers],0),0)</f>
        <v>Марьинская 145 Новоселовка Церковь</v>
      </c>
      <c r="G298" s="14" t="str">
        <f>VLOOKUP($C298,ТабКлиенты[#Data],MATCH(G$1,ТабКлиенты[#Headers],0),0)</f>
        <v>47.1126, 37.5473</v>
      </c>
      <c r="H298" s="14">
        <v>0</v>
      </c>
      <c r="I298" s="13">
        <v>272</v>
      </c>
      <c r="J298" s="13">
        <v>1</v>
      </c>
      <c r="K298" t="str">
        <f t="shared" si="13"/>
        <v>4. Галина Агабекова(церковь)
Тел.: +79496069479
Адрес: Марьинская 145 Новоселовка Церковь
№ заказа: 272
Кол-во мест: 1
https://yandex.ru/maps/?text=47.1126%2C37.5473
https://maps.google.com/?daddr=47.1126%2C37.5473
К оплате: **0
**----------------------------------------------------------</v>
      </c>
    </row>
    <row r="299" spans="1:11" hidden="1" x14ac:dyDescent="0.25">
      <c r="A299">
        <v>5</v>
      </c>
      <c r="B299" s="1">
        <v>45577</v>
      </c>
      <c r="C299" t="s">
        <v>485</v>
      </c>
      <c r="D299" t="str">
        <f>VLOOKUP($C299,ТабКлиенты[#Data],MATCH(D$1,ТабКлиенты[#Headers],0),0)</f>
        <v>+79498429781</v>
      </c>
      <c r="E299" t="str">
        <f>VLOOKUP($C299,ТабКлиенты[#Data],MATCH(E$1,ТабКлиенты[#Headers],0),0)</f>
        <v>Крымская 42</v>
      </c>
      <c r="G299" s="14" t="str">
        <f>VLOOKUP($C299,ТабКлиенты[#Data],MATCH(G$1,ТабКлиенты[#Headers],0),0)</f>
        <v>47.1389, 37.5091</v>
      </c>
      <c r="H299" s="14">
        <v>3896</v>
      </c>
      <c r="I299" s="13">
        <v>286</v>
      </c>
      <c r="J299" s="13">
        <v>3</v>
      </c>
      <c r="K299" t="str">
        <f t="shared" si="13"/>
        <v>5. Аннет
Тел.: +79498429781
Адрес: Крымская 42
№ заказа: 286
Кол-во мест: 3
https://yandex.ru/maps/?text=47.1389%2C37.5091
https://maps.google.com/?daddr=47.1389%2C37.5091
К оплате: **3896
**----------------------------------------------------------</v>
      </c>
    </row>
    <row r="300" spans="1:11" hidden="1" x14ac:dyDescent="0.25">
      <c r="A300">
        <v>6</v>
      </c>
      <c r="B300" s="1">
        <v>45577</v>
      </c>
      <c r="C300" t="s">
        <v>456</v>
      </c>
      <c r="D300" t="str">
        <f>VLOOKUP($C300,ТабКлиенты[#Data],MATCH(D$1,ТабКлиенты[#Headers],0),0)</f>
        <v>+79497488953</v>
      </c>
      <c r="E300" t="str">
        <f>VLOOKUP($C300,ТабКлиенты[#Data],MATCH(E$1,ТабКлиенты[#Headers],0),0)</f>
        <v>Ленина 183 подъезд 1 (Изумрудный)</v>
      </c>
      <c r="G300" s="14" t="str">
        <f>VLOOKUP($C300,ТабКлиенты[#Data],MATCH(G$1,ТабКлиенты[#Headers],0),0)</f>
        <v>47.0982, 37.4785</v>
      </c>
      <c r="H300" s="14">
        <v>-134</v>
      </c>
      <c r="I300" s="13">
        <v>287</v>
      </c>
      <c r="J300" s="13">
        <v>1</v>
      </c>
      <c r="K300" t="str">
        <f t="shared" si="13"/>
        <v>6. Лана
Тел.: +79497488953
Адрес: Ленина 183 подъезд 1 (Изумрудный)
№ заказа: 287
Кол-во мест: 1
https://yandex.ru/maps/?text=47.0982%2C37.4785
https://maps.google.com/?daddr=47.0982%2C37.4785
К оплате: **-134
**----------------------------------------------------------</v>
      </c>
    </row>
    <row r="301" spans="1:11" hidden="1" x14ac:dyDescent="0.25">
      <c r="A301">
        <v>7</v>
      </c>
      <c r="B301" s="1">
        <v>45577</v>
      </c>
      <c r="C301" t="s">
        <v>210</v>
      </c>
      <c r="D301" t="str">
        <f>VLOOKUP($C301,ТабКлиенты[#Data],MATCH(D$1,ТабКлиенты[#Headers],0),0)</f>
        <v>+79498350206</v>
      </c>
      <c r="E301" t="str">
        <f>VLOOKUP($C301,ТабКлиенты[#Data],MATCH(E$1,ТабКлиенты[#Headers],0),0)</f>
        <v>Сумская 42</v>
      </c>
      <c r="G301" s="14" t="str">
        <f>VLOOKUP($C301,ТабКлиенты[#Data],MATCH(G$1,ТабКлиенты[#Headers],0),0)</f>
        <v>47.0740, 37.4893</v>
      </c>
      <c r="H301" s="14">
        <v>0</v>
      </c>
      <c r="I301" s="13">
        <v>281</v>
      </c>
      <c r="J301" s="13">
        <v>1</v>
      </c>
      <c r="K301" t="str">
        <f t="shared" si="13"/>
        <v>7. Максим рюкзак
Тел.: +79498350206
Адрес: Сумская 42
№ заказа: 281
Кол-во мест: 1
https://yandex.ru/maps/?text=47.0740%2C37.4893
https://maps.google.com/?daddr=47.0740%2C37.4893
К оплате: **0
**----------------------------------------------------------</v>
      </c>
    </row>
    <row r="302" spans="1:11" hidden="1" x14ac:dyDescent="0.25">
      <c r="A302">
        <v>8</v>
      </c>
      <c r="B302" s="1">
        <v>45577</v>
      </c>
      <c r="C302" t="s">
        <v>1629</v>
      </c>
      <c r="D302" t="str">
        <f>VLOOKUP($C302,ТабКлиенты[#Data],MATCH(D$1,ТабКлиенты[#Headers],0),0)</f>
        <v>+79493770183</v>
      </c>
      <c r="E302" t="str">
        <f>VLOOKUP($C302,ТабКлиенты[#Data],MATCH(E$1,ТабКлиенты[#Headers],0),0)</f>
        <v>Лунина 13а</v>
      </c>
      <c r="G302" s="14" t="str">
        <f>VLOOKUP($C302,ТабКлиенты[#Data],MATCH(G$1,ТабКлиенты[#Headers],0),0)</f>
        <v>47.0682, 37.5102</v>
      </c>
      <c r="H302" s="14">
        <v>421</v>
      </c>
      <c r="I302" s="13">
        <v>285</v>
      </c>
      <c r="J302" s="13">
        <v>1</v>
      </c>
      <c r="K302" t="str">
        <f t="shared" si="13"/>
        <v>8. Наталья Лунина 13
Тел.: +79493770183
Адрес: Лунина 13а
№ заказа: 285
Кол-во мест: 1
https://yandex.ru/maps/?text=47.0682%2C37.5102
https://maps.google.com/?daddr=47.0682%2C37.5102
К оплате: **421
**----------------------------------------------------------</v>
      </c>
    </row>
    <row r="303" spans="1:11" hidden="1" x14ac:dyDescent="0.25">
      <c r="A303">
        <v>1</v>
      </c>
      <c r="B303" s="1">
        <v>45583</v>
      </c>
      <c r="C303" t="s">
        <v>231</v>
      </c>
      <c r="D303" t="str">
        <f>VLOOKUP($C303,ТабКлиенты[#Data],MATCH(D$1,ТабКлиенты[#Headers],0),0)</f>
        <v>+79497266403</v>
      </c>
      <c r="E303" t="str">
        <f>VLOOKUP($C303,ТабКлиенты[#Data],MATCH(E$1,ТабКлиенты[#Headers],0),0)</f>
        <v>Металлургов 102 1 подъезд 8 этаж</v>
      </c>
      <c r="G303" s="14" t="str">
        <f>VLOOKUP($C303,ТабКлиенты[#Data],MATCH(G$1,ТабКлиенты[#Headers],0),0)</f>
        <v>47.1099, 37.5543</v>
      </c>
      <c r="H303" s="14">
        <v>0</v>
      </c>
      <c r="I303" s="13">
        <v>291</v>
      </c>
      <c r="J303" s="13">
        <v>1</v>
      </c>
      <c r="K303" t="str">
        <f t="shared" ref="K303:K317" si="14">A303&amp;". "&amp;C303&amp;CHAR(10)&amp;"Тел.: "&amp;D303&amp;CHAR(10)&amp;"Адрес: "&amp;E303&amp;CHAR(10)&amp;"№ заказа: "&amp;I303&amp;CHAR(10)&amp;"Кол-во мест: "&amp;J303&amp;CHAR(10)&amp;"https://yandex.ru/maps/?text="&amp;REPLACE(G303,SEARCH(",",G303),2,"%2C")&amp;CHAR(10)&amp;"https://maps.google.com/?daddr="&amp;REPLACE(G303,SEARCH(",",G303),2,"%2C")&amp;CHAR(10)&amp;"К оплате: "&amp;"**"&amp;H303&amp;CHAR(10)&amp;"**"&amp;"----------------------------------------------------------"</f>
        <v>1. Лариса Кирова
Тел.: +79497266403
Адрес: Металлургов 102 1 подъезд 8 этаж
№ заказа: 291
Кол-во мест: 1
https://yandex.ru/maps/?text=47.1099%2C37.5543
https://maps.google.com/?daddr=47.1099%2C37.5543
К оплате: **0
**----------------------------------------------------------</v>
      </c>
    </row>
    <row r="304" spans="1:11" hidden="1" x14ac:dyDescent="0.25">
      <c r="A304">
        <v>2</v>
      </c>
      <c r="B304" s="1">
        <v>45583</v>
      </c>
      <c r="C304" t="s">
        <v>357</v>
      </c>
      <c r="D304" t="str">
        <f>VLOOKUP($C304,ТабКлиенты[#Data],MATCH(D$1,ТабКлиенты[#Headers],0),0)</f>
        <v>+79497114644</v>
      </c>
      <c r="E304" t="str">
        <f>VLOOKUP($C304,ТабКлиенты[#Data],MATCH(E$1,ТабКлиенты[#Headers],0),0)</f>
        <v>Металлургов 143</v>
      </c>
      <c r="G304" s="14" t="str">
        <f>VLOOKUP($C304,ТабКлиенты[#Data],MATCH(G$1,ТабКлиенты[#Headers],0),0)</f>
        <v>47.1199, 37.5643</v>
      </c>
      <c r="H304" s="14">
        <v>0</v>
      </c>
      <c r="I304" s="13" t="s">
        <v>1672</v>
      </c>
      <c r="J304" s="13">
        <v>1</v>
      </c>
      <c r="K304" t="str">
        <f t="shared" si="14"/>
        <v>2. Юля Ларисына
Тел.: +79497114644
Адрес: Металлургов 143
№ заказа: 273  295
Кол-во мест: 1
https://yandex.ru/maps/?text=47.1199%2C37.5643
https://maps.google.com/?daddr=47.1199%2C37.5643
К оплате: **0
**----------------------------------------------------------</v>
      </c>
    </row>
    <row r="305" spans="1:11" hidden="1" x14ac:dyDescent="0.25">
      <c r="A305">
        <v>3</v>
      </c>
      <c r="B305" s="1">
        <v>45583</v>
      </c>
      <c r="C305" t="s">
        <v>123</v>
      </c>
      <c r="D305" t="str">
        <f>VLOOKUP($C305,ТабКлиенты[#Data],MATCH(D$1,ТабКлиенты[#Headers],0),0)</f>
        <v>+79497176548</v>
      </c>
      <c r="E305" t="str">
        <f>VLOOKUP($C305,ТабКлиенты[#Data],MATCH(E$1,ТабКлиенты[#Headers],0),0)</f>
        <v>металлургов 179</v>
      </c>
      <c r="G305" s="14" t="str">
        <f>VLOOKUP($C305,ТабКлиенты[#Data],MATCH(G$1,ТабКлиенты[#Headers],0),0)</f>
        <v>47.1248, 37.5657</v>
      </c>
      <c r="H305" s="14">
        <v>2913</v>
      </c>
      <c r="I305" s="13">
        <v>290</v>
      </c>
      <c r="J305" s="13">
        <v>1</v>
      </c>
      <c r="K305" t="str">
        <f t="shared" si="14"/>
        <v>3. Александр 3 Металлургов
Тел.: +79497176548
Адрес: металлургов 179
№ заказа: 290
Кол-во мест: 1
https://yandex.ru/maps/?text=47.1248%2C37.5657
https://maps.google.com/?daddr=47.1248%2C37.5657
К оплате: **2913
**----------------------------------------------------------</v>
      </c>
    </row>
    <row r="306" spans="1:11" hidden="1" x14ac:dyDescent="0.25">
      <c r="A306">
        <v>4</v>
      </c>
      <c r="B306" s="1">
        <v>45583</v>
      </c>
      <c r="C306" t="s">
        <v>112</v>
      </c>
      <c r="D306" t="str">
        <f>VLOOKUP($C306,ТабКлиенты[#Data],MATCH(D$1,ТабКлиенты[#Headers],0),0)</f>
        <v>+79497340681</v>
      </c>
      <c r="E306" t="str">
        <f>VLOOKUP($C306,ТабКлиенты[#Data],MATCH(E$1,ТабКлиенты[#Headers],0),0)</f>
        <v>Покрышкина 99</v>
      </c>
      <c r="G306" s="14" t="str">
        <f>VLOOKUP($C306,ТабКлиенты[#Data],MATCH(G$1,ТабКлиенты[#Headers],0),0)</f>
        <v>47.1259, 37.5629</v>
      </c>
      <c r="H306" s="14">
        <v>0</v>
      </c>
      <c r="I306" s="13">
        <v>282</v>
      </c>
      <c r="J306" s="13">
        <v>1</v>
      </c>
      <c r="K306" t="str">
        <f t="shared" si="14"/>
        <v>4. Митрофанов Евгений
Тел.: +79497340681
Адрес: Покрышкина 99
№ заказа: 282
Кол-во мест: 1
https://yandex.ru/maps/?text=47.1259%2C37.5629
https://maps.google.com/?daddr=47.1259%2C37.5629
К оплате: **0
**----------------------------------------------------------</v>
      </c>
    </row>
    <row r="307" spans="1:11" hidden="1" x14ac:dyDescent="0.25">
      <c r="A307">
        <v>5</v>
      </c>
      <c r="B307" s="1">
        <v>45583</v>
      </c>
      <c r="C307" t="s">
        <v>308</v>
      </c>
      <c r="D307" t="e">
        <f>VLOOKUP($C307,ТабКлиенты[#Data],MATCH(D$1,ТабКлиенты[#Headers],0),0)</f>
        <v>#N/A</v>
      </c>
      <c r="E307" t="e">
        <f>VLOOKUP($C307,ТабКлиенты[#Data],MATCH(E$1,ТабКлиенты[#Headers],0),0)</f>
        <v>#N/A</v>
      </c>
      <c r="G307" s="14" t="e">
        <f>VLOOKUP($C307,ТабКлиенты[#Data],MATCH(G$1,ТабКлиенты[#Headers],0),0)</f>
        <v>#N/A</v>
      </c>
      <c r="H307" s="14">
        <v>26680</v>
      </c>
      <c r="I307" s="13" t="s">
        <v>1271</v>
      </c>
      <c r="J307" s="13">
        <v>1</v>
      </c>
      <c r="K307" t="e">
        <f t="shared" si="14"/>
        <v>#N/A</v>
      </c>
    </row>
    <row r="308" spans="1:11" hidden="1" x14ac:dyDescent="0.25">
      <c r="A308">
        <v>6</v>
      </c>
      <c r="B308" s="1">
        <v>45583</v>
      </c>
      <c r="C308" t="s">
        <v>485</v>
      </c>
      <c r="D308" t="str">
        <f>VLOOKUP($C308,ТабКлиенты[#Data],MATCH(D$1,ТабКлиенты[#Headers],0),0)</f>
        <v>+79498429781</v>
      </c>
      <c r="E308" t="str">
        <f>VLOOKUP($C308,ТабКлиенты[#Data],MATCH(E$1,ТабКлиенты[#Headers],0),0)</f>
        <v>Крымская 42</v>
      </c>
      <c r="G308" s="14" t="str">
        <f>VLOOKUP($C308,ТабКлиенты[#Data],MATCH(G$1,ТабКлиенты[#Headers],0),0)</f>
        <v>47.1389, 37.5091</v>
      </c>
      <c r="H308" s="14">
        <v>1242</v>
      </c>
      <c r="I308" s="13">
        <v>296</v>
      </c>
      <c r="J308" s="13">
        <v>1</v>
      </c>
      <c r="K308" t="str">
        <f t="shared" si="14"/>
        <v>6. Аннет
Тел.: +79498429781
Адрес: Крымская 42
№ заказа: 296
Кол-во мест: 1
https://yandex.ru/maps/?text=47.1389%2C37.5091
https://maps.google.com/?daddr=47.1389%2C37.5091
К оплате: **1242
**----------------------------------------------------------</v>
      </c>
    </row>
    <row r="309" spans="1:11" hidden="1" x14ac:dyDescent="0.25">
      <c r="A309">
        <v>7</v>
      </c>
      <c r="B309" s="1">
        <v>45583</v>
      </c>
      <c r="C309" t="s">
        <v>1502</v>
      </c>
      <c r="D309" t="str">
        <f>VLOOKUP($C309,ТабКлиенты[#Data],MATCH(D$1,ТабКлиенты[#Headers],0),0)</f>
        <v>+79497284454</v>
      </c>
      <c r="E309" t="str">
        <f>VLOOKUP($C309,ТабКлиенты[#Data],MATCH(E$1,ТабКлиенты[#Headers],0),0)</f>
        <v>строителей 156</v>
      </c>
      <c r="G309" s="14" t="str">
        <f>VLOOKUP($C309,ТабКлиенты[#Data],MATCH(G$1,ТабКлиенты[#Headers],0),0)</f>
        <v>47.1186, 37.5244</v>
      </c>
      <c r="H309" s="14">
        <v>0</v>
      </c>
      <c r="I309" s="13">
        <v>293</v>
      </c>
      <c r="J309" s="13">
        <v>1</v>
      </c>
      <c r="K309" t="str">
        <f t="shared" si="14"/>
        <v>7. Елена Гайдар
Тел.: +79497284454
Адрес: строителей 156
№ заказа: 293
Кол-во мест: 1
https://yandex.ru/maps/?text=47.1186%2C37.5244
https://maps.google.com/?daddr=47.1186%2C37.5244
К оплате: **0
**----------------------------------------------------------</v>
      </c>
    </row>
    <row r="310" spans="1:11" hidden="1" x14ac:dyDescent="0.25">
      <c r="A310">
        <v>8</v>
      </c>
      <c r="B310" s="1">
        <v>45583</v>
      </c>
      <c r="C310" t="s">
        <v>1673</v>
      </c>
      <c r="D310" s="19" t="s">
        <v>1680</v>
      </c>
      <c r="E310" t="s">
        <v>1674</v>
      </c>
      <c r="G310" s="14" t="s">
        <v>1675</v>
      </c>
      <c r="H310" s="14">
        <v>14850</v>
      </c>
      <c r="I310" s="13" t="s">
        <v>1271</v>
      </c>
      <c r="J310" s="13">
        <v>1</v>
      </c>
      <c r="K310" t="str">
        <f t="shared" si="14"/>
        <v>8. Ирина Станция крови
Тел.: +79497301213
Адрес: Шевченко 317 Грация
№ заказа: Витамины
Кол-во мест: 1
https://yandex.ru/maps/?text=47.1179%2C37.5162
https://maps.google.com/?daddr=47.1179%2C37.5162
К оплате: **14850
**----------------------------------------------------------</v>
      </c>
    </row>
    <row r="311" spans="1:11" hidden="1" x14ac:dyDescent="0.25">
      <c r="A311">
        <v>9</v>
      </c>
      <c r="B311" s="1">
        <v>45583</v>
      </c>
      <c r="C311" t="s">
        <v>1676</v>
      </c>
      <c r="D311" s="19" t="s">
        <v>1677</v>
      </c>
      <c r="E311" t="s">
        <v>1674</v>
      </c>
      <c r="G311" s="14" t="s">
        <v>1675</v>
      </c>
      <c r="H311" s="14">
        <v>4600</v>
      </c>
      <c r="I311" s="13" t="s">
        <v>1271</v>
      </c>
      <c r="J311" s="13">
        <v>1</v>
      </c>
      <c r="K311" t="str">
        <f t="shared" si="14"/>
        <v>9. Татьяна коллаген
Тел.: +79497182166, +79498485245
Адрес: Шевченко 317 Грация
№ заказа: Витамины
Кол-во мест: 1
https://yandex.ru/maps/?text=47.1179%2C37.5162
https://maps.google.com/?daddr=47.1179%2C37.5162
К оплате: **4600
**----------------------------------------------------------</v>
      </c>
    </row>
    <row r="312" spans="1:11" hidden="1" x14ac:dyDescent="0.25">
      <c r="A312">
        <v>10</v>
      </c>
      <c r="B312" s="1">
        <v>45583</v>
      </c>
      <c r="C312" t="s">
        <v>1482</v>
      </c>
      <c r="D312" t="str">
        <f>VLOOKUP($C312,ТабКлиенты[#Data],MATCH(D$1,ТабКлиенты[#Headers],0),0)</f>
        <v>+79497178586</v>
      </c>
      <c r="E312" t="str">
        <f>VLOOKUP($C312,ТабКлиенты[#Data],MATCH(E$1,ТабКлиенты[#Headers],0),0)</f>
        <v>Куприна 51</v>
      </c>
      <c r="G312" s="14" t="str">
        <f>VLOOKUP($C312,ТабКлиенты[#Data],MATCH(G$1,ТабКлиенты[#Headers],0),0)</f>
        <v>47.1094, 37.5104</v>
      </c>
      <c r="H312" s="14">
        <v>0</v>
      </c>
      <c r="I312" s="13">
        <v>258</v>
      </c>
      <c r="J312" s="13">
        <v>1</v>
      </c>
      <c r="K312" t="str">
        <f t="shared" si="14"/>
        <v>10. Михаил Куприна
Тел.: +79497178586
Адрес: Куприна 51
№ заказа: 258
Кол-во мест: 1
https://yandex.ru/maps/?text=47.1094%2C37.5104
https://maps.google.com/?daddr=47.1094%2C37.5104
К оплате: **0
**----------------------------------------------------------</v>
      </c>
    </row>
    <row r="313" spans="1:11" hidden="1" x14ac:dyDescent="0.25">
      <c r="A313">
        <v>11</v>
      </c>
      <c r="B313" s="1">
        <v>45583</v>
      </c>
      <c r="C313" t="s">
        <v>456</v>
      </c>
      <c r="D313" t="str">
        <f>VLOOKUP($C313,ТабКлиенты[#Data],MATCH(D$1,ТабКлиенты[#Headers],0),0)</f>
        <v>+79497488953</v>
      </c>
      <c r="E313" t="str">
        <f>VLOOKUP($C313,ТабКлиенты[#Data],MATCH(E$1,ТабКлиенты[#Headers],0),0)</f>
        <v>Ленина 183 подъезд 1 (Изумрудный)</v>
      </c>
      <c r="G313" s="14" t="str">
        <f>VLOOKUP($C313,ТабКлиенты[#Data],MATCH(G$1,ТабКлиенты[#Headers],0),0)</f>
        <v>47.0982, 37.4785</v>
      </c>
      <c r="H313" s="14">
        <v>104</v>
      </c>
      <c r="I313" s="13">
        <v>297</v>
      </c>
      <c r="J313" s="13">
        <v>1</v>
      </c>
      <c r="K313" t="str">
        <f t="shared" si="14"/>
        <v>11. Лана
Тел.: +79497488953
Адрес: Ленина 183 подъезд 1 (Изумрудный)
№ заказа: 297
Кол-во мест: 1
https://yandex.ru/maps/?text=47.0982%2C37.4785
https://maps.google.com/?daddr=47.0982%2C37.4785
К оплате: **104
**----------------------------------------------------------</v>
      </c>
    </row>
    <row r="314" spans="1:11" hidden="1" x14ac:dyDescent="0.25">
      <c r="A314">
        <v>12</v>
      </c>
      <c r="B314" s="1">
        <v>45583</v>
      </c>
      <c r="C314" t="s">
        <v>1441</v>
      </c>
      <c r="D314" t="str">
        <f>VLOOKUP($C314,ТабКлиенты[#Data],MATCH(D$1,ТабКлиенты[#Headers],0),0)</f>
        <v>+79497196221</v>
      </c>
      <c r="E314" t="str">
        <f>VLOOKUP($C314,ТабКлиенты[#Data],MATCH(E$1,ТабКлиенты[#Headers],0),0)</f>
        <v>Краснофлотская 132</v>
      </c>
      <c r="G314" s="14" t="str">
        <f>VLOOKUP($C314,ТабКлиенты[#Data],MATCH(G$1,ТабКлиенты[#Headers],0),0)</f>
        <v>47.0917, 37.4968</v>
      </c>
      <c r="H314" s="14">
        <v>11800</v>
      </c>
      <c r="I314" s="13" t="s">
        <v>1271</v>
      </c>
      <c r="J314" s="13">
        <v>1</v>
      </c>
      <c r="K314" t="str">
        <f t="shared" si="14"/>
        <v>12. Валерий Фагот
Тел.: +79497196221
Адрес: Краснофлотская 132
№ заказа: Витамины
Кол-во мест: 1
https://yandex.ru/maps/?text=47.0917%2C37.4968
https://maps.google.com/?daddr=47.0917%2C37.4968
К оплате: **11800
**----------------------------------------------------------</v>
      </c>
    </row>
    <row r="315" spans="1:11" hidden="1" x14ac:dyDescent="0.25">
      <c r="A315">
        <v>13</v>
      </c>
      <c r="B315" s="1">
        <v>45583</v>
      </c>
      <c r="C315" t="s">
        <v>210</v>
      </c>
      <c r="D315" t="str">
        <f>VLOOKUP($C315,ТабКлиенты[#Data],MATCH(D$1,ТабКлиенты[#Headers],0),0)</f>
        <v>+79498350206</v>
      </c>
      <c r="E315" t="str">
        <f>VLOOKUP($C315,ТабКлиенты[#Data],MATCH(E$1,ТабКлиенты[#Headers],0),0)</f>
        <v>Сумская 42</v>
      </c>
      <c r="G315" s="14" t="str">
        <f>VLOOKUP($C315,ТабКлиенты[#Data],MATCH(G$1,ТабКлиенты[#Headers],0),0)</f>
        <v>47.0740, 37.4893</v>
      </c>
      <c r="H315" s="14">
        <v>0</v>
      </c>
      <c r="I315" s="13">
        <v>281</v>
      </c>
      <c r="J315" s="13">
        <v>1</v>
      </c>
      <c r="K315" t="str">
        <f t="shared" si="14"/>
        <v>13. Максим рюкзак
Тел.: +79498350206
Адрес: Сумская 42
№ заказа: 281
Кол-во мест: 1
https://yandex.ru/maps/?text=47.0740%2C37.4893
https://maps.google.com/?daddr=47.0740%2C37.4893
К оплате: **0
**----------------------------------------------------------</v>
      </c>
    </row>
    <row r="316" spans="1:11" hidden="1" x14ac:dyDescent="0.25">
      <c r="A316">
        <v>14</v>
      </c>
      <c r="B316" s="1">
        <v>45583</v>
      </c>
      <c r="C316" t="s">
        <v>1629</v>
      </c>
      <c r="D316" t="str">
        <f>VLOOKUP($C316,ТабКлиенты[#Data],MATCH(D$1,ТабКлиенты[#Headers],0),0)</f>
        <v>+79493770183</v>
      </c>
      <c r="E316" t="str">
        <f>VLOOKUP($C316,ТабКлиенты[#Data],MATCH(E$1,ТабКлиенты[#Headers],0),0)</f>
        <v>Лунина 13а</v>
      </c>
      <c r="G316" s="14" t="str">
        <f>VLOOKUP($C316,ТабКлиенты[#Data],MATCH(G$1,ТабКлиенты[#Headers],0),0)</f>
        <v>47.0682, 37.5102</v>
      </c>
      <c r="H316" s="14">
        <v>478</v>
      </c>
      <c r="I316" s="13">
        <v>298</v>
      </c>
      <c r="J316" s="13">
        <v>1</v>
      </c>
      <c r="K316" t="str">
        <f t="shared" si="14"/>
        <v>14. Наталья Лунина 13
Тел.: +79493770183
Адрес: Лунина 13а
№ заказа: 298
Кол-во мест: 1
https://yandex.ru/maps/?text=47.0682%2C37.5102
https://maps.google.com/?daddr=47.0682%2C37.5102
К оплате: **478
**----------------------------------------------------------</v>
      </c>
    </row>
    <row r="317" spans="1:11" hidden="1" x14ac:dyDescent="0.25">
      <c r="A317">
        <v>15</v>
      </c>
      <c r="B317" s="1">
        <v>45583</v>
      </c>
      <c r="C317" t="s">
        <v>1646</v>
      </c>
      <c r="D317" t="str">
        <f>VLOOKUP($C317,ТабКлиенты[#Data],MATCH(D$1,ТабКлиенты[#Headers],0),0)</f>
        <v>+79786814650</v>
      </c>
      <c r="E317" t="str">
        <f>VLOOKUP($C317,ТабКлиенты[#Data],MATCH(E$1,ТабКлиенты[#Headers],0),0)</f>
        <v>Мира 48</v>
      </c>
      <c r="G317" s="14" t="str">
        <f>VLOOKUP($C317,ТабКлиенты[#Data],MATCH(G$1,ТабКлиенты[#Headers],0),0)</f>
        <v>47.0946, 37.5506</v>
      </c>
      <c r="H317" s="14">
        <v>0</v>
      </c>
      <c r="I317" s="13">
        <v>292</v>
      </c>
      <c r="J317" s="13">
        <v>1</v>
      </c>
      <c r="K317" t="str">
        <f t="shared" si="14"/>
        <v>15. Александр экскаваторщик
Тел.: +79786814650
Адрес: Мира 48
№ заказа: 292
Кол-во мест: 1
https://yandex.ru/maps/?text=47.0946%2C37.5506
https://maps.google.com/?daddr=47.0946%2C37.5506
К оплате: **0
**----------------------------------------------------------</v>
      </c>
    </row>
    <row r="318" spans="1:11" hidden="1" x14ac:dyDescent="0.25">
      <c r="A318">
        <v>1</v>
      </c>
      <c r="B318" s="1">
        <v>45591</v>
      </c>
      <c r="C318" t="s">
        <v>357</v>
      </c>
      <c r="D318" t="str">
        <f>VLOOKUP($C318,ТабКлиенты[#Data],MATCH(D$1,ТабКлиенты[#Headers],0),0)</f>
        <v>+79497114644</v>
      </c>
      <c r="E318" t="str">
        <f>VLOOKUP($C318,ТабКлиенты[#Data],MATCH(E$1,ТабКлиенты[#Headers],0),0)</f>
        <v>Металлургов 143</v>
      </c>
      <c r="G318" s="14" t="str">
        <f>VLOOKUP($C318,ТабКлиенты[#Data],MATCH(G$1,ТабКлиенты[#Headers],0),0)</f>
        <v>47.1199, 37.5643</v>
      </c>
      <c r="H318" s="14">
        <v>0</v>
      </c>
      <c r="I318" s="13">
        <v>295</v>
      </c>
      <c r="J318" s="13">
        <v>2</v>
      </c>
      <c r="K318" t="str">
        <f t="shared" ref="K318:K329" si="15">A318&amp;". "&amp;C318&amp;CHAR(10)&amp;"Тел.: "&amp;D318&amp;CHAR(10)&amp;"Адрес: "&amp;E318&amp;CHAR(10)&amp;"№ заказа: "&amp;I318&amp;CHAR(10)&amp;"Кол-во мест: "&amp;J318&amp;CHAR(10)&amp;"https://yandex.ru/maps/?text="&amp;REPLACE(G318,SEARCH(",",G318),2,"%2C")&amp;CHAR(10)&amp;"https://maps.google.com/?daddr="&amp;REPLACE(G318,SEARCH(",",G318),2,"%2C")&amp;CHAR(10)&amp;"К оплате: "&amp;"**"&amp;H318&amp;CHAR(10)&amp;"**"&amp;"----------------------------------------------------------"</f>
        <v>1. Юля Ларисына
Тел.: +79497114644
Адрес: Металлургов 143
№ заказа: 295
Кол-во мест: 2
https://yandex.ru/maps/?text=47.1199%2C37.5643
https://maps.google.com/?daddr=47.1199%2C37.5643
К оплате: **0
**----------------------------------------------------------</v>
      </c>
    </row>
    <row r="319" spans="1:11" hidden="1" x14ac:dyDescent="0.25">
      <c r="A319">
        <v>2</v>
      </c>
      <c r="B319" s="1">
        <v>45591</v>
      </c>
      <c r="C319" t="s">
        <v>123</v>
      </c>
      <c r="D319" t="str">
        <f>VLOOKUP($C319,ТабКлиенты[#Data],MATCH(D$1,ТабКлиенты[#Headers],0),0)</f>
        <v>+79497176548</v>
      </c>
      <c r="E319" t="str">
        <f>VLOOKUP($C319,ТабКлиенты[#Data],MATCH(E$1,ТабКлиенты[#Headers],0),0)</f>
        <v>металлургов 179</v>
      </c>
      <c r="G319" s="14" t="str">
        <f>VLOOKUP($C319,ТабКлиенты[#Data],MATCH(G$1,ТабКлиенты[#Headers],0),0)</f>
        <v>47.1248, 37.5657</v>
      </c>
      <c r="H319" s="14">
        <v>4202</v>
      </c>
      <c r="I319" s="13">
        <v>290</v>
      </c>
      <c r="J319" s="13">
        <v>1</v>
      </c>
      <c r="K319" t="str">
        <f t="shared" si="15"/>
        <v>2. Александр 3 Металлургов
Тел.: +79497176548
Адрес: металлургов 179
№ заказа: 290
Кол-во мест: 1
https://yandex.ru/maps/?text=47.1248%2C37.5657
https://maps.google.com/?daddr=47.1248%2C37.5657
К оплате: **4202
**----------------------------------------------------------</v>
      </c>
    </row>
    <row r="320" spans="1:11" hidden="1" x14ac:dyDescent="0.25">
      <c r="A320">
        <v>3</v>
      </c>
      <c r="B320" s="1">
        <v>45591</v>
      </c>
      <c r="C320" t="s">
        <v>112</v>
      </c>
      <c r="D320" t="str">
        <f>VLOOKUP($C320,ТабКлиенты[#Data],MATCH(D$1,ТабКлиенты[#Headers],0),0)</f>
        <v>+79497340681</v>
      </c>
      <c r="E320" t="str">
        <f>VLOOKUP($C320,ТабКлиенты[#Data],MATCH(E$1,ТабКлиенты[#Headers],0),0)</f>
        <v>Покрышкина 99</v>
      </c>
      <c r="G320" s="14" t="str">
        <f>VLOOKUP($C320,ТабКлиенты[#Data],MATCH(G$1,ТабКлиенты[#Headers],0),0)</f>
        <v>47.1259, 37.5629</v>
      </c>
      <c r="H320" s="14">
        <v>200</v>
      </c>
      <c r="I320" s="13">
        <v>308</v>
      </c>
      <c r="J320" s="13">
        <v>1</v>
      </c>
      <c r="K320" t="str">
        <f t="shared" si="15"/>
        <v>3. Митрофанов Евгений
Тел.: +79497340681
Адрес: Покрышкина 99
№ заказа: 308
Кол-во мест: 1
https://yandex.ru/maps/?text=47.1259%2C37.5629
https://maps.google.com/?daddr=47.1259%2C37.5629
К оплате: **200
**----------------------------------------------------------</v>
      </c>
    </row>
    <row r="321" spans="1:11" hidden="1" x14ac:dyDescent="0.25">
      <c r="A321">
        <v>4</v>
      </c>
      <c r="B321" s="1">
        <v>45591</v>
      </c>
      <c r="C321" t="s">
        <v>231</v>
      </c>
      <c r="D321" t="str">
        <f>VLOOKUP($C321,ТабКлиенты[#Data],MATCH(D$1,ТабКлиенты[#Headers],0),0)</f>
        <v>+79497266403</v>
      </c>
      <c r="E321" t="str">
        <f>VLOOKUP($C321,ТабКлиенты[#Data],MATCH(E$1,ТабКлиенты[#Headers],0),0)</f>
        <v>Металлургов 102 1 подъезд 8 этаж</v>
      </c>
      <c r="G321" s="14" t="str">
        <f>VLOOKUP($C321,ТабКлиенты[#Data],MATCH(G$1,ТабКлиенты[#Headers],0),0)</f>
        <v>47.1099, 37.5543</v>
      </c>
      <c r="H321" s="14">
        <v>0</v>
      </c>
      <c r="I321" s="13">
        <v>302</v>
      </c>
      <c r="J321" s="13">
        <v>1</v>
      </c>
      <c r="K321" t="str">
        <f t="shared" si="15"/>
        <v>4. Лариса Кирова
Тел.: +79497266403
Адрес: Металлургов 102 1 подъезд 8 этаж
№ заказа: 302
Кол-во мест: 1
https://yandex.ru/maps/?text=47.1099%2C37.5543
https://maps.google.com/?daddr=47.1099%2C37.5543
К оплате: **0
**----------------------------------------------------------</v>
      </c>
    </row>
    <row r="322" spans="1:11" hidden="1" x14ac:dyDescent="0.25">
      <c r="A322">
        <v>5</v>
      </c>
      <c r="B322" s="1">
        <v>45591</v>
      </c>
      <c r="C322" t="s">
        <v>33</v>
      </c>
      <c r="D322" t="str">
        <f>VLOOKUP($C322,ТабКлиенты[#Data],MATCH(D$1,ТабКлиенты[#Headers],0),0)</f>
        <v>+79496069479</v>
      </c>
      <c r="E322" t="str">
        <f>VLOOKUP($C322,ТабКлиенты[#Data],MATCH(E$1,ТабКлиенты[#Headers],0),0)</f>
        <v>Марьинская 145 Новоселовка Церковь</v>
      </c>
      <c r="G322" s="14" t="str">
        <f>VLOOKUP($C322,ТабКлиенты[#Data],MATCH(G$1,ТабКлиенты[#Headers],0),0)</f>
        <v>47.1126, 37.5473</v>
      </c>
      <c r="H322" s="14">
        <v>0</v>
      </c>
      <c r="I322" s="13" t="s">
        <v>1728</v>
      </c>
      <c r="J322" s="13">
        <v>1</v>
      </c>
      <c r="K322" t="str">
        <f t="shared" si="15"/>
        <v>5. Галина Агабекова(церковь)
Тел.: +79496069479
Адрес: Марьинская 145 Новоселовка Церковь
№ заказа: 272  294
Кол-во мест: 1
https://yandex.ru/maps/?text=47.1126%2C37.5473
https://maps.google.com/?daddr=47.1126%2C37.5473
К оплате: **0
**----------------------------------------------------------</v>
      </c>
    </row>
    <row r="323" spans="1:11" hidden="1" x14ac:dyDescent="0.25">
      <c r="A323">
        <v>6</v>
      </c>
      <c r="B323" s="1">
        <v>45591</v>
      </c>
      <c r="C323" t="s">
        <v>1502</v>
      </c>
      <c r="D323" t="str">
        <f>VLOOKUP($C323,ТабКлиенты[#Data],MATCH(D$1,ТабКлиенты[#Headers],0),0)</f>
        <v>+79497284454</v>
      </c>
      <c r="E323" t="str">
        <f>VLOOKUP($C323,ТабКлиенты[#Data],MATCH(E$1,ТабКлиенты[#Headers],0),0)</f>
        <v>строителей 156</v>
      </c>
      <c r="G323" s="14" t="str">
        <f>VLOOKUP($C323,ТабКлиенты[#Data],MATCH(G$1,ТабКлиенты[#Headers],0),0)</f>
        <v>47.1186, 37.5244</v>
      </c>
      <c r="H323" s="14">
        <v>0</v>
      </c>
      <c r="I323" s="13" t="s">
        <v>1729</v>
      </c>
      <c r="J323" s="13">
        <v>2</v>
      </c>
      <c r="K323" t="str">
        <f t="shared" si="15"/>
        <v>6. Елена Гайдар
Тел.: +79497284454
Адрес: строителей 156
№ заказа: 293  304
Кол-во мест: 2
https://yandex.ru/maps/?text=47.1186%2C37.5244
https://maps.google.com/?daddr=47.1186%2C37.5244
К оплате: **0
**----------------------------------------------------------</v>
      </c>
    </row>
    <row r="324" spans="1:11" hidden="1" x14ac:dyDescent="0.25">
      <c r="A324">
        <v>7</v>
      </c>
      <c r="B324" s="1">
        <v>45591</v>
      </c>
      <c r="C324" t="s">
        <v>308</v>
      </c>
      <c r="D324" t="e">
        <f>VLOOKUP($C324,ТабКлиенты[#Data],MATCH(D$1,ТабКлиенты[#Headers],0),0)</f>
        <v>#N/A</v>
      </c>
      <c r="E324" t="e">
        <f>VLOOKUP($C324,ТабКлиенты[#Data],MATCH(E$1,ТабКлиенты[#Headers],0),0)</f>
        <v>#N/A</v>
      </c>
      <c r="G324" s="14" t="e">
        <f>VLOOKUP($C324,ТабКлиенты[#Data],MATCH(G$1,ТабКлиенты[#Headers],0),0)</f>
        <v>#N/A</v>
      </c>
      <c r="H324" s="14">
        <v>0</v>
      </c>
      <c r="I324" s="13" t="s">
        <v>1271</v>
      </c>
      <c r="J324" s="13">
        <v>1</v>
      </c>
      <c r="K324" t="e">
        <f t="shared" si="15"/>
        <v>#N/A</v>
      </c>
    </row>
    <row r="325" spans="1:11" hidden="1" x14ac:dyDescent="0.25">
      <c r="A325">
        <v>8</v>
      </c>
      <c r="B325" s="1">
        <v>45591</v>
      </c>
      <c r="C325" t="s">
        <v>1735</v>
      </c>
      <c r="D325" t="str">
        <f>VLOOKUP($C325,ТабКлиенты[#Data],MATCH(D$1,ТабКлиенты[#Headers],0),0)</f>
        <v>+79496299684</v>
      </c>
      <c r="E325" t="str">
        <f>VLOOKUP($C325,ТабКлиенты[#Data],MATCH(E$1,ТабКлиенты[#Headers],0),0)</f>
        <v>Шевченко 313</v>
      </c>
      <c r="G325" s="14" t="str">
        <f>VLOOKUP($C325,ТабКлиенты[#Data],MATCH(G$1,ТабКлиенты[#Headers],0),0)</f>
        <v>47.1174, 37.5172</v>
      </c>
      <c r="H325" s="14">
        <v>1400</v>
      </c>
      <c r="I325" s="13" t="s">
        <v>1271</v>
      </c>
      <c r="J325" s="13">
        <v>1</v>
      </c>
      <c r="K325" t="str">
        <f t="shared" si="15"/>
        <v>8. Светлана Стамбул
Тел.: +79496299684
Адрес: Шевченко 313
№ заказа: Витамины
Кол-во мест: 1
https://yandex.ru/maps/?text=47.1174%2C37.5172
https://maps.google.com/?daddr=47.1174%2C37.5172
К оплате: **1400
**----------------------------------------------------------</v>
      </c>
    </row>
    <row r="326" spans="1:11" hidden="1" x14ac:dyDescent="0.25">
      <c r="A326">
        <v>9</v>
      </c>
      <c r="B326" s="1">
        <v>45591</v>
      </c>
      <c r="C326" t="s">
        <v>1482</v>
      </c>
      <c r="D326" t="str">
        <f>VLOOKUP($C326,ТабКлиенты[#Data],MATCH(D$1,ТабКлиенты[#Headers],0),0)</f>
        <v>+79497178586</v>
      </c>
      <c r="E326" t="str">
        <f>VLOOKUP($C326,ТабКлиенты[#Data],MATCH(E$1,ТабКлиенты[#Headers],0),0)</f>
        <v>Куприна 51</v>
      </c>
      <c r="G326" s="14" t="str">
        <f>VLOOKUP($C326,ТабКлиенты[#Data],MATCH(G$1,ТабКлиенты[#Headers],0),0)</f>
        <v>47.1094, 37.5104</v>
      </c>
      <c r="H326" s="14">
        <v>0</v>
      </c>
      <c r="I326" s="13" t="s">
        <v>1730</v>
      </c>
      <c r="J326" s="13">
        <v>1</v>
      </c>
      <c r="K326" t="str">
        <f t="shared" si="15"/>
        <v>9. Михаил Куприна
Тел.: +79497178586
Адрес: Куприна 51
№ заказа: 258  299
Кол-во мест: 1
https://yandex.ru/maps/?text=47.1094%2C37.5104
https://maps.google.com/?daddr=47.1094%2C37.5104
К оплате: **0
**----------------------------------------------------------</v>
      </c>
    </row>
    <row r="327" spans="1:11" hidden="1" x14ac:dyDescent="0.25">
      <c r="A327">
        <v>10</v>
      </c>
      <c r="B327" s="1">
        <v>45591</v>
      </c>
      <c r="C327" t="s">
        <v>210</v>
      </c>
      <c r="D327" t="str">
        <f>VLOOKUP($C327,ТабКлиенты[#Data],MATCH(D$1,ТабКлиенты[#Headers],0),0)</f>
        <v>+79498350206</v>
      </c>
      <c r="E327" t="str">
        <f>VLOOKUP($C327,ТабКлиенты[#Data],MATCH(E$1,ТабКлиенты[#Headers],0),0)</f>
        <v>Сумская 42</v>
      </c>
      <c r="G327" s="14" t="str">
        <f>VLOOKUP($C327,ТабКлиенты[#Data],MATCH(G$1,ТабКлиенты[#Headers],0),0)</f>
        <v>47.0740, 37.4893</v>
      </c>
      <c r="H327" s="14">
        <v>0</v>
      </c>
      <c r="I327" s="13">
        <v>300</v>
      </c>
      <c r="J327" s="13">
        <v>1</v>
      </c>
      <c r="K327" t="str">
        <f t="shared" si="15"/>
        <v>10. Максим рюкзак
Тел.: +79498350206
Адрес: Сумская 42
№ заказа: 300
Кол-во мест: 1
https://yandex.ru/maps/?text=47.0740%2C37.4893
https://maps.google.com/?daddr=47.0740%2C37.4893
К оплате: **0
**----------------------------------------------------------</v>
      </c>
    </row>
    <row r="328" spans="1:11" hidden="1" x14ac:dyDescent="0.25">
      <c r="A328">
        <v>11</v>
      </c>
      <c r="B328" s="1">
        <v>45591</v>
      </c>
      <c r="C328" t="s">
        <v>1629</v>
      </c>
      <c r="D328" t="str">
        <f>VLOOKUP($C328,ТабКлиенты[#Data],MATCH(D$1,ТабКлиенты[#Headers],0),0)</f>
        <v>+79493770183</v>
      </c>
      <c r="E328" t="str">
        <f>VLOOKUP($C328,ТабКлиенты[#Data],MATCH(E$1,ТабКлиенты[#Headers],0),0)</f>
        <v>Лунина 13а</v>
      </c>
      <c r="G328" s="14" t="str">
        <f>VLOOKUP($C328,ТабКлиенты[#Data],MATCH(G$1,ТабКлиенты[#Headers],0),0)</f>
        <v>47.0682, 37.5102</v>
      </c>
      <c r="H328" s="14">
        <v>557</v>
      </c>
      <c r="I328" s="13">
        <v>309</v>
      </c>
      <c r="J328" s="13">
        <v>1</v>
      </c>
      <c r="K328" t="str">
        <f t="shared" si="15"/>
        <v>11. Наталья Лунина 13
Тел.: +79493770183
Адрес: Лунина 13а
№ заказа: 309
Кол-во мест: 1
https://yandex.ru/maps/?text=47.0682%2C37.5102
https://maps.google.com/?daddr=47.0682%2C37.5102
К оплате: **557
**----------------------------------------------------------</v>
      </c>
    </row>
    <row r="329" spans="1:11" hidden="1" x14ac:dyDescent="0.25">
      <c r="A329">
        <v>12</v>
      </c>
      <c r="B329" s="1">
        <v>45591</v>
      </c>
      <c r="C329" t="s">
        <v>1731</v>
      </c>
      <c r="D329" t="str">
        <f>VLOOKUP($C329,ТабКлиенты[#Data],MATCH(D$1,ТабКлиенты[#Headers],0),0)</f>
        <v>+79497253811</v>
      </c>
      <c r="E329" t="str">
        <f>VLOOKUP($C329,ТабКлиенты[#Data],MATCH(E$1,ТабКлиенты[#Headers],0),0)</f>
        <v>Ленина 91</v>
      </c>
      <c r="G329" s="14" t="str">
        <f>VLOOKUP($C329,ТабКлиенты[#Data],MATCH(G$1,ТабКлиенты[#Headers],0),0)</f>
        <v>47.0992, 37.5338</v>
      </c>
      <c r="H329" s="14">
        <v>3200</v>
      </c>
      <c r="I329" s="13" t="s">
        <v>1271</v>
      </c>
      <c r="J329" s="13">
        <v>1</v>
      </c>
      <c r="K329" t="str">
        <f t="shared" si="15"/>
        <v>12. Татьяна маг Лидия
Тел.: +79497253811
Адрес: Ленина 91
№ заказа: Витамины
Кол-во мест: 1
https://yandex.ru/maps/?text=47.0992%2C37.5338
https://maps.google.com/?daddr=47.0992%2C37.5338
К оплате: **3200
**----------------------------------------------------------</v>
      </c>
    </row>
    <row r="330" spans="1:11" hidden="1" x14ac:dyDescent="0.25">
      <c r="A330">
        <v>1</v>
      </c>
      <c r="B330" s="1">
        <v>45598</v>
      </c>
      <c r="C330" t="s">
        <v>287</v>
      </c>
      <c r="D330" t="str">
        <f>VLOOKUP($C330,ТабКлиенты[#Data],MATCH(D$1,ТабКлиенты[#Headers],0),0)</f>
        <v>+79497398064</v>
      </c>
      <c r="E330" t="str">
        <f>VLOOKUP($C330,ТабКлиенты[#Data],MATCH(E$1,ТабКлиенты[#Headers],0),0)</f>
        <v>Металлургов, 97</v>
      </c>
      <c r="G330" s="14" t="str">
        <f>VLOOKUP($C330,ТабКлиенты[#Data],MATCH(G$1,ТабКлиенты[#Headers],0),0)</f>
        <v>47.1070, 37.5542</v>
      </c>
      <c r="H330" s="14">
        <v>0</v>
      </c>
      <c r="I330" s="13">
        <v>312</v>
      </c>
      <c r="J330" s="13">
        <v>1</v>
      </c>
      <c r="K330" t="str">
        <f t="shared" ref="K330:K340" si="16">A330&amp;". "&amp;C330&amp;CHAR(10)&amp;"Тел.: "&amp;D330&amp;CHAR(10)&amp;"Адрес: "&amp;E330&amp;CHAR(10)&amp;"№ заказа: "&amp;I330&amp;CHAR(10)&amp;"Кол-во мест: "&amp;J330&amp;CHAR(10)&amp;"https://yandex.ru/maps/?text="&amp;REPLACE(G330,SEARCH(",",G330),2,"%2C")&amp;CHAR(10)&amp;"https://maps.google.com/?daddr="&amp;REPLACE(G330,SEARCH(",",G330),2,"%2C")&amp;CHAR(10)&amp;"К оплате: "&amp;"**"&amp;H330&amp;CHAR(10)&amp;"**"&amp;"----------------------------------------------------------"</f>
        <v>1. Елена Ларисына
Тел.: +79497398064
Адрес: Металлургов, 97
№ заказа: 312
Кол-во мест: 1
https://yandex.ru/maps/?text=47.1070%2C37.5542
https://maps.google.com/?daddr=47.1070%2C37.5542
К оплате: **0
**----------------------------------------------------------</v>
      </c>
    </row>
    <row r="331" spans="1:11" hidden="1" x14ac:dyDescent="0.25">
      <c r="A331">
        <v>2</v>
      </c>
      <c r="B331" s="1">
        <v>45598</v>
      </c>
      <c r="C331" t="s">
        <v>231</v>
      </c>
      <c r="D331" t="str">
        <f>VLOOKUP($C331,ТабКлиенты[#Data],MATCH(D$1,ТабКлиенты[#Headers],0),0)</f>
        <v>+79497266403</v>
      </c>
      <c r="E331" t="str">
        <f>VLOOKUP($C331,ТабКлиенты[#Data],MATCH(E$1,ТабКлиенты[#Headers],0),0)</f>
        <v>Металлургов 102 1 подъезд 8 этаж</v>
      </c>
      <c r="G331" s="14" t="str">
        <f>VLOOKUP($C331,ТабКлиенты[#Data],MATCH(G$1,ТабКлиенты[#Headers],0),0)</f>
        <v>47.1099, 37.5543</v>
      </c>
      <c r="H331" s="14">
        <v>0</v>
      </c>
      <c r="I331" s="13">
        <v>302</v>
      </c>
      <c r="J331" s="13">
        <v>1</v>
      </c>
      <c r="K331" t="str">
        <f t="shared" si="16"/>
        <v>2. Лариса Кирова
Тел.: +79497266403
Адрес: Металлургов 102 1 подъезд 8 этаж
№ заказа: 302
Кол-во мест: 1
https://yandex.ru/maps/?text=47.1099%2C37.5543
https://maps.google.com/?daddr=47.1099%2C37.5543
К оплате: **0
**----------------------------------------------------------</v>
      </c>
    </row>
    <row r="332" spans="1:11" hidden="1" x14ac:dyDescent="0.25">
      <c r="A332">
        <v>3</v>
      </c>
      <c r="B332" s="1">
        <v>45598</v>
      </c>
      <c r="C332" t="s">
        <v>357</v>
      </c>
      <c r="D332" t="str">
        <f>VLOOKUP($C332,ТабКлиенты[#Data],MATCH(D$1,ТабКлиенты[#Headers],0),0)</f>
        <v>+79497114644</v>
      </c>
      <c r="E332" t="str">
        <f>VLOOKUP($C332,ТабКлиенты[#Data],MATCH(E$1,ТабКлиенты[#Headers],0),0)</f>
        <v>Металлургов 143</v>
      </c>
      <c r="G332" s="14" t="str">
        <f>VLOOKUP($C332,ТабКлиенты[#Data],MATCH(G$1,ТабКлиенты[#Headers],0),0)</f>
        <v>47.1199, 37.5643</v>
      </c>
      <c r="H332" s="14">
        <v>0</v>
      </c>
      <c r="I332" s="13" t="s">
        <v>1784</v>
      </c>
      <c r="J332" s="13">
        <v>1</v>
      </c>
      <c r="K332" t="str">
        <f t="shared" si="16"/>
        <v>3. Юля Ларисына
Тел.: +79497114644
Адрес: Металлургов 143
№ заказа: 295  307
Кол-во мест: 1
https://yandex.ru/maps/?text=47.1199%2C37.5643
https://maps.google.com/?daddr=47.1199%2C37.5643
К оплате: **0
**----------------------------------------------------------</v>
      </c>
    </row>
    <row r="333" spans="1:11" hidden="1" x14ac:dyDescent="0.25">
      <c r="A333">
        <v>4</v>
      </c>
      <c r="B333" s="1">
        <v>45598</v>
      </c>
      <c r="C333" t="s">
        <v>445</v>
      </c>
      <c r="D333" t="str">
        <f>VLOOKUP($C333,ТабКлиенты[#Data],MATCH(D$1,ТабКлиенты[#Headers],0),0)</f>
        <v>+79497262176</v>
      </c>
      <c r="E333" t="str">
        <f>VLOOKUP($C333,ТабКлиенты[#Data],MATCH(E$1,ТабКлиенты[#Headers],0),0)</f>
        <v>Металлургов 179, кв 114</v>
      </c>
      <c r="G333" s="14" t="str">
        <f>VLOOKUP($C333,ТабКлиенты[#Data],MATCH(G$1,ТабКлиенты[#Headers],0),0)</f>
        <v>47.1248, 37.5657</v>
      </c>
      <c r="H333" s="14">
        <v>3201</v>
      </c>
      <c r="I333" s="13" t="s">
        <v>1783</v>
      </c>
      <c r="J333" s="13">
        <v>1</v>
      </c>
      <c r="K333" t="str">
        <f t="shared" si="16"/>
        <v>4. Светлана от Александра
Тел.: +79497262176
Адрес: Металлургов 179, кв 114
№ заказа: 306  314  317
Кол-во мест: 1
https://yandex.ru/maps/?text=47.1248%2C37.5657
https://maps.google.com/?daddr=47.1248%2C37.5657
К оплате: **3201
**----------------------------------------------------------</v>
      </c>
    </row>
    <row r="334" spans="1:11" hidden="1" x14ac:dyDescent="0.25">
      <c r="A334">
        <v>5</v>
      </c>
      <c r="B334" s="1">
        <v>45598</v>
      </c>
      <c r="C334" t="s">
        <v>1726</v>
      </c>
      <c r="D334" t="str">
        <f>VLOOKUP($C334,ТабКлиенты[#Data],MATCH(D$1,ТабКлиенты[#Headers],0),0)</f>
        <v>+79497336592</v>
      </c>
      <c r="E334" t="str">
        <f>VLOOKUP($C334,ТабКлиенты[#Data],MATCH(E$1,ТабКлиенты[#Headers],0),0)</f>
        <v>Металлургов 171</v>
      </c>
      <c r="G334" s="14" t="str">
        <f>VLOOKUP($C334,ТабКлиенты[#Data],MATCH(G$1,ТабКлиенты[#Headers],0),0)</f>
        <v>47.1242, 37.5652</v>
      </c>
      <c r="H334" s="14">
        <v>516</v>
      </c>
      <c r="I334" s="13">
        <v>301</v>
      </c>
      <c r="J334" s="13">
        <v>1</v>
      </c>
      <c r="K334" t="str">
        <f t="shared" si="16"/>
        <v>5. Кирил Креатин
Тел.: +79497336592
Адрес: Металлургов 171
№ заказа: 301
Кол-во мест: 1
https://yandex.ru/maps/?text=47.1242%2C37.5652
https://maps.google.com/?daddr=47.1242%2C37.5652
К оплате: **516
**----------------------------------------------------------</v>
      </c>
    </row>
    <row r="335" spans="1:11" hidden="1" x14ac:dyDescent="0.25">
      <c r="A335">
        <v>6</v>
      </c>
      <c r="B335" s="1">
        <v>45598</v>
      </c>
      <c r="C335" t="s">
        <v>485</v>
      </c>
      <c r="D335" t="str">
        <f>VLOOKUP($C335,ТабКлиенты[#Data],MATCH(D$1,ТабКлиенты[#Headers],0),0)</f>
        <v>+79498429781</v>
      </c>
      <c r="E335" t="str">
        <f>VLOOKUP($C335,ТабКлиенты[#Data],MATCH(E$1,ТабКлиенты[#Headers],0),0)</f>
        <v>Крымская 42</v>
      </c>
      <c r="G335" s="14" t="str">
        <f>VLOOKUP($C335,ТабКлиенты[#Data],MATCH(G$1,ТабКлиенты[#Headers],0),0)</f>
        <v>47.1389, 37.5091</v>
      </c>
      <c r="H335" s="14">
        <v>505</v>
      </c>
      <c r="I335" s="13">
        <v>321</v>
      </c>
      <c r="J335" s="13">
        <v>1</v>
      </c>
      <c r="K335" t="str">
        <f t="shared" si="16"/>
        <v>6. Аннет
Тел.: +79498429781
Адрес: Крымская 42
№ заказа: 321
Кол-во мест: 1
https://yandex.ru/maps/?text=47.1389%2C37.5091
https://maps.google.com/?daddr=47.1389%2C37.5091
К оплате: **505
**----------------------------------------------------------</v>
      </c>
    </row>
    <row r="336" spans="1:11" hidden="1" x14ac:dyDescent="0.25">
      <c r="A336">
        <v>7</v>
      </c>
      <c r="B336" s="1">
        <v>45598</v>
      </c>
      <c r="C336" t="s">
        <v>1502</v>
      </c>
      <c r="D336" t="str">
        <f>VLOOKUP($C336,ТабКлиенты[#Data],MATCH(D$1,ТабКлиенты[#Headers],0),0)</f>
        <v>+79497284454</v>
      </c>
      <c r="E336" t="str">
        <f>VLOOKUP($C336,ТабКлиенты[#Data],MATCH(E$1,ТабКлиенты[#Headers],0),0)</f>
        <v>строителей 156</v>
      </c>
      <c r="G336" s="14" t="str">
        <f>VLOOKUP($C336,ТабКлиенты[#Data],MATCH(G$1,ТабКлиенты[#Headers],0),0)</f>
        <v>47.1186, 37.5244</v>
      </c>
      <c r="H336" s="14">
        <v>0</v>
      </c>
      <c r="I336" s="13">
        <v>304</v>
      </c>
      <c r="J336" s="13">
        <v>1</v>
      </c>
      <c r="K336" t="str">
        <f t="shared" si="16"/>
        <v>7. Елена Гайдар
Тел.: +79497284454
Адрес: строителей 156
№ заказа: 304
Кол-во мест: 1
https://yandex.ru/maps/?text=47.1186%2C37.5244
https://maps.google.com/?daddr=47.1186%2C37.5244
К оплате: **0
**----------------------------------------------------------</v>
      </c>
    </row>
    <row r="337" spans="1:11" hidden="1" x14ac:dyDescent="0.25">
      <c r="A337">
        <v>8</v>
      </c>
      <c r="B337" s="1">
        <v>45598</v>
      </c>
      <c r="C337" t="s">
        <v>1482</v>
      </c>
      <c r="D337" t="str">
        <f>VLOOKUP($C337,ТабКлиенты[#Data],MATCH(D$1,ТабКлиенты[#Headers],0),0)</f>
        <v>+79497178586</v>
      </c>
      <c r="E337" t="str">
        <f>VLOOKUP($C337,ТабКлиенты[#Data],MATCH(E$1,ТабКлиенты[#Headers],0),0)</f>
        <v>Куприна 51</v>
      </c>
      <c r="G337" s="14" t="str">
        <f>VLOOKUP($C337,ТабКлиенты[#Data],MATCH(G$1,ТабКлиенты[#Headers],0),0)</f>
        <v>47.1094, 37.5104</v>
      </c>
      <c r="H337" s="14">
        <v>0</v>
      </c>
      <c r="I337" s="13">
        <v>299</v>
      </c>
      <c r="J337" s="13">
        <v>1</v>
      </c>
      <c r="K337" t="str">
        <f t="shared" si="16"/>
        <v>8. Михаил Куприна
Тел.: +79497178586
Адрес: Куприна 51
№ заказа: 299
Кол-во мест: 1
https://yandex.ru/maps/?text=47.1094%2C37.5104
https://maps.google.com/?daddr=47.1094%2C37.5104
К оплате: **0
**----------------------------------------------------------</v>
      </c>
    </row>
    <row r="338" spans="1:11" hidden="1" x14ac:dyDescent="0.25">
      <c r="A338">
        <v>9</v>
      </c>
      <c r="B338" s="1">
        <v>45598</v>
      </c>
      <c r="C338" t="s">
        <v>1523</v>
      </c>
      <c r="D338" t="str">
        <f>VLOOKUP($C338,ТабКлиенты[#Data],MATCH(D$1,ТабКлиенты[#Headers],0),0)</f>
        <v>+79494015912</v>
      </c>
      <c r="E338" t="str">
        <f>VLOOKUP($C338,ТабКлиенты[#Data],MATCH(E$1,ТабКлиенты[#Headers],0),0)</f>
        <v>Куприна 17</v>
      </c>
      <c r="G338" s="14" t="str">
        <f>VLOOKUP($C338,ТабКлиенты[#Data],MATCH(G$1,ТабКлиенты[#Headers],0),0)</f>
        <v>47.1034, 37.5110</v>
      </c>
      <c r="H338" s="14">
        <v>0</v>
      </c>
      <c r="I338" s="13">
        <v>315</v>
      </c>
      <c r="J338" s="13">
        <v>1</v>
      </c>
      <c r="K338" t="str">
        <f t="shared" si="16"/>
        <v>9. Кирилл Куприна
Тел.: +79494015912
Адрес: Куприна 17
№ заказа: 315
Кол-во мест: 1
https://yandex.ru/maps/?text=47.1034%2C37.5110
https://maps.google.com/?daddr=47.1034%2C37.5110
К оплате: **0
**----------------------------------------------------------</v>
      </c>
    </row>
    <row r="339" spans="1:11" hidden="1" x14ac:dyDescent="0.25">
      <c r="A339">
        <v>10</v>
      </c>
      <c r="B339" s="1">
        <v>45598</v>
      </c>
      <c r="C339" t="s">
        <v>210</v>
      </c>
      <c r="D339" t="str">
        <f>VLOOKUP($C339,ТабКлиенты[#Data],MATCH(D$1,ТабКлиенты[#Headers],0),0)</f>
        <v>+79498350206</v>
      </c>
      <c r="E339" t="str">
        <f>VLOOKUP($C339,ТабКлиенты[#Data],MATCH(E$1,ТабКлиенты[#Headers],0),0)</f>
        <v>Сумская 42</v>
      </c>
      <c r="G339" s="14" t="str">
        <f>VLOOKUP($C339,ТабКлиенты[#Data],MATCH(G$1,ТабКлиенты[#Headers],0),0)</f>
        <v>47.0740, 37.4893</v>
      </c>
      <c r="H339" s="14">
        <v>0</v>
      </c>
      <c r="I339" s="13">
        <v>303</v>
      </c>
      <c r="J339" s="13">
        <v>1</v>
      </c>
      <c r="K339" t="str">
        <f t="shared" si="16"/>
        <v>10. Максим рюкзак
Тел.: +79498350206
Адрес: Сумская 42
№ заказа: 303
Кол-во мест: 1
https://yandex.ru/maps/?text=47.0740%2C37.4893
https://maps.google.com/?daddr=47.0740%2C37.4893
К оплате: **0
**----------------------------------------------------------</v>
      </c>
    </row>
    <row r="340" spans="1:11" hidden="1" x14ac:dyDescent="0.25">
      <c r="A340">
        <v>11</v>
      </c>
      <c r="B340" s="1">
        <v>45598</v>
      </c>
      <c r="C340" t="s">
        <v>1629</v>
      </c>
      <c r="D340" t="str">
        <f>VLOOKUP($C340,ТабКлиенты[#Data],MATCH(D$1,ТабКлиенты[#Headers],0),0)</f>
        <v>+79493770183</v>
      </c>
      <c r="E340" t="str">
        <f>VLOOKUP($C340,ТабКлиенты[#Data],MATCH(E$1,ТабКлиенты[#Headers],0),0)</f>
        <v>Лунина 13а</v>
      </c>
      <c r="G340" s="14" t="str">
        <f>VLOOKUP($C340,ТабКлиенты[#Data],MATCH(G$1,ТабКлиенты[#Headers],0),0)</f>
        <v>47.0682, 37.5102</v>
      </c>
      <c r="H340" s="14">
        <v>633</v>
      </c>
      <c r="I340" s="13">
        <v>322</v>
      </c>
      <c r="J340" s="13">
        <v>1</v>
      </c>
      <c r="K340" t="str">
        <f t="shared" si="16"/>
        <v>11. Наталья Лунина 13
Тел.: +79493770183
Адрес: Лунина 13а
№ заказа: 322
Кол-во мест: 1
https://yandex.ru/maps/?text=47.0682%2C37.5102
https://maps.google.com/?daddr=47.0682%2C37.5102
К оплате: **633
**----------------------------------------------------------</v>
      </c>
    </row>
    <row r="341" spans="1:11" hidden="1" x14ac:dyDescent="0.25">
      <c r="A341">
        <v>1</v>
      </c>
      <c r="B341" s="1">
        <v>45605</v>
      </c>
      <c r="C341" s="9" t="s">
        <v>1797</v>
      </c>
      <c r="D341" t="str">
        <f>VLOOKUP($C341,ТабКлиенты[#Data],MATCH(D$1,ТабКлиенты[#Headers],0),0)</f>
        <v>+79497273525</v>
      </c>
      <c r="E341" t="str">
        <f>VLOOKUP($C341,ТабКлиенты[#Data],MATCH(E$1,ТабКлиенты[#Headers],0),0)</f>
        <v>Металлургов 169</v>
      </c>
      <c r="G341" s="14" t="str">
        <f>VLOOKUP($C341,ТабКлиенты[#Data],MATCH(G$1,ТабКлиенты[#Headers],0),0)</f>
        <v>47.1244, 37.5643</v>
      </c>
      <c r="H341" s="14">
        <v>0</v>
      </c>
      <c r="I341" s="13">
        <v>324</v>
      </c>
      <c r="J341" s="13">
        <v>1</v>
      </c>
      <c r="K341" t="str">
        <f t="shared" ref="K341:K360" si="17">A341&amp;". "&amp;C341&amp;CHAR(10)&amp;"Тел.: "&amp;D341&amp;CHAR(10)&amp;"Адрес: "&amp;E341&amp;CHAR(10)&amp;"№ заказа: "&amp;I341&amp;CHAR(10)&amp;"Кол-во мест: "&amp;J341&amp;CHAR(10)&amp;"https://yandex.ru/maps/?text="&amp;REPLACE(G341,SEARCH(",",G341),2,"%2C")&amp;CHAR(10)&amp;"https://maps.google.com/?daddr="&amp;REPLACE(G341,SEARCH(",",G341),2,"%2C")&amp;CHAR(10)&amp;"К оплате: "&amp;"**"&amp;H341&amp;CHAR(10)&amp;"**"&amp;"----------------------------------------------------------"</f>
        <v>1. Валентина от Светланы
Тел.: +79497273525
Адрес: Металлургов 169
№ заказа: 324
Кол-во мест: 1
https://yandex.ru/maps/?text=47.1244%2C37.5643
https://maps.google.com/?daddr=47.1244%2C37.5643
К оплате: **0
**----------------------------------------------------------</v>
      </c>
    </row>
    <row r="342" spans="1:11" hidden="1" x14ac:dyDescent="0.25">
      <c r="A342">
        <v>2</v>
      </c>
      <c r="B342" s="1">
        <v>45605</v>
      </c>
      <c r="C342" s="9" t="s">
        <v>445</v>
      </c>
      <c r="D342" t="str">
        <f>VLOOKUP($C342,ТабКлиенты[#Data],MATCH(D$1,ТабКлиенты[#Headers],0),0)</f>
        <v>+79497262176</v>
      </c>
      <c r="E342" t="str">
        <f>VLOOKUP($C342,ТабКлиенты[#Data],MATCH(E$1,ТабКлиенты[#Headers],0),0)</f>
        <v>Металлургов 179, кв 114</v>
      </c>
      <c r="G342" s="14" t="str">
        <f>VLOOKUP($C342,ТабКлиенты[#Data],MATCH(G$1,ТабКлиенты[#Headers],0),0)</f>
        <v>47.1248, 37.5657</v>
      </c>
      <c r="H342" s="14">
        <v>0</v>
      </c>
      <c r="I342" s="13" t="s">
        <v>1826</v>
      </c>
      <c r="J342" s="13">
        <v>1</v>
      </c>
      <c r="K342" t="str">
        <f t="shared" si="17"/>
        <v>2. Светлана от Александра
Тел.: +79497262176
Адрес: Металлургов 179, кв 114
№ заказа: 314  317
Кол-во мест: 1
https://yandex.ru/maps/?text=47.1248%2C37.5657
https://maps.google.com/?daddr=47.1248%2C37.5657
К оплате: **0
**----------------------------------------------------------</v>
      </c>
    </row>
    <row r="343" spans="1:11" hidden="1" x14ac:dyDescent="0.25">
      <c r="A343">
        <v>3</v>
      </c>
      <c r="B343" s="1">
        <v>45605</v>
      </c>
      <c r="C343" t="s">
        <v>1818</v>
      </c>
      <c r="D343" t="str">
        <f>VLOOKUP($C343,ТабКлиенты[#Data],MATCH(D$1,ТабКлиенты[#Headers],0),0)</f>
        <v>+79497183446</v>
      </c>
      <c r="E343" t="str">
        <f>VLOOKUP($C343,ТабКлиенты[#Data],MATCH(E$1,ТабКлиенты[#Headers],0),0)</f>
        <v>Металлургов 199</v>
      </c>
      <c r="G343" s="14" t="str">
        <f>VLOOKUP($C343,ТабКлиенты[#Data],MATCH(G$1,ТабКлиенты[#Headers],0),0)</f>
        <v>47.1286, 37.5670</v>
      </c>
      <c r="H343" s="14">
        <v>2560</v>
      </c>
      <c r="I343" s="13">
        <v>327</v>
      </c>
      <c r="J343" s="13">
        <v>1</v>
      </c>
      <c r="K343" t="str">
        <f t="shared" si="17"/>
        <v>3. Елена сахар
Тел.: +79497183446
Адрес: Металлургов 199
№ заказа: 327
Кол-во мест: 1
https://yandex.ru/maps/?text=47.1286%2C37.5670
https://maps.google.com/?daddr=47.1286%2C37.5670
К оплате: **2560
**----------------------------------------------------------</v>
      </c>
    </row>
    <row r="344" spans="1:11" hidden="1" x14ac:dyDescent="0.25">
      <c r="A344">
        <v>4</v>
      </c>
      <c r="B344" s="1">
        <v>45605</v>
      </c>
      <c r="C344" t="s">
        <v>123</v>
      </c>
      <c r="D344" t="str">
        <f>VLOOKUP($C344,ТабКлиенты[#Data],MATCH(D$1,ТабКлиенты[#Headers],0),0)</f>
        <v>+79497176548</v>
      </c>
      <c r="E344" t="str">
        <f>VLOOKUP($C344,ТабКлиенты[#Data],MATCH(E$1,ТабКлиенты[#Headers],0),0)</f>
        <v>металлургов 179</v>
      </c>
      <c r="G344" s="14" t="str">
        <f>VLOOKUP($C344,ТабКлиенты[#Data],MATCH(G$1,ТабКлиенты[#Headers],0),0)</f>
        <v>47.1248, 37.5657</v>
      </c>
      <c r="H344" s="14">
        <v>5462</v>
      </c>
      <c r="I344" s="13">
        <v>313</v>
      </c>
      <c r="J344" s="13">
        <v>1</v>
      </c>
      <c r="K344" t="str">
        <f t="shared" si="17"/>
        <v>4. Александр 3 Металлургов
Тел.: +79497176548
Адрес: металлургов 179
№ заказа: 313
Кол-во мест: 1
https://yandex.ru/maps/?text=47.1248%2C37.5657
https://maps.google.com/?daddr=47.1248%2C37.5657
К оплате: **5462
**----------------------------------------------------------</v>
      </c>
    </row>
    <row r="345" spans="1:11" hidden="1" x14ac:dyDescent="0.25">
      <c r="A345">
        <v>5</v>
      </c>
      <c r="B345" s="1">
        <v>45605</v>
      </c>
      <c r="C345" s="9" t="s">
        <v>1771</v>
      </c>
      <c r="D345" t="str">
        <f>VLOOKUP($C345,ТабКлиенты[#Data],MATCH(D$1,ТабКлиенты[#Headers],0),0)</f>
        <v>+79497237937</v>
      </c>
      <c r="E345" t="str">
        <f>VLOOKUP($C345,ТабКлиенты[#Data],MATCH(E$1,ТабКлиенты[#Headers],0),0)</f>
        <v>Сеченова 96 подъезд 1</v>
      </c>
      <c r="G345" s="14" t="str">
        <f>VLOOKUP($C345,ТабКлиенты[#Data],MATCH(G$1,ТабКлиенты[#Headers],0),0)</f>
        <v>47.1263, 37.5623</v>
      </c>
      <c r="H345" s="14">
        <v>0</v>
      </c>
      <c r="I345" s="13">
        <v>319</v>
      </c>
      <c r="J345" s="13">
        <v>1</v>
      </c>
      <c r="K345" t="str">
        <f t="shared" si="17"/>
        <v>5. Елена от Светланы
Тел.: +79497237937
Адрес: Сеченова 96 подъезд 1
№ заказа: 319
Кол-во мест: 1
https://yandex.ru/maps/?text=47.1263%2C37.5623
https://maps.google.com/?daddr=47.1263%2C37.5623
К оплате: **0
**----------------------------------------------------------</v>
      </c>
    </row>
    <row r="346" spans="1:11" hidden="1" x14ac:dyDescent="0.25">
      <c r="A346">
        <v>6</v>
      </c>
      <c r="B346" s="1">
        <v>45605</v>
      </c>
      <c r="C346" s="9" t="s">
        <v>108</v>
      </c>
      <c r="D346" t="str">
        <f>VLOOKUP($C346,ТабКлиенты[#Data],MATCH(D$1,ТабКлиенты[#Headers],0),0)</f>
        <v>+79497174095</v>
      </c>
      <c r="E346" t="str">
        <f>VLOOKUP($C346,ТабКлиенты[#Data],MATCH(E$1,ТабКлиенты[#Headers],0),0)</f>
        <v>авиационная 39</v>
      </c>
      <c r="G346" s="14" t="str">
        <f>VLOOKUP($C346,ТабКлиенты[#Data],MATCH(G$1,ТабКлиенты[#Headers],0),0)</f>
        <v>47.1250, 37.5332</v>
      </c>
      <c r="H346" s="14">
        <v>-150</v>
      </c>
      <c r="I346" s="13">
        <v>311</v>
      </c>
      <c r="J346" s="13">
        <v>1</v>
      </c>
      <c r="K346" t="str">
        <f t="shared" si="17"/>
        <v>6. Вадим
Тел.: +79497174095
Адрес: авиационная 39
№ заказа: 311
Кол-во мест: 1
https://yandex.ru/maps/?text=47.1250%2C37.5332
https://maps.google.com/?daddr=47.1250%2C37.5332
К оплате: **-150
**----------------------------------------------------------</v>
      </c>
    </row>
    <row r="347" spans="1:11" hidden="1" x14ac:dyDescent="0.25">
      <c r="A347">
        <v>7</v>
      </c>
      <c r="B347" s="1">
        <v>45605</v>
      </c>
      <c r="C347" t="s">
        <v>497</v>
      </c>
      <c r="D347" t="str">
        <f>VLOOKUP($C347,ТабКлиенты[#Data],MATCH(D$1,ТабКлиенты[#Headers],0),0)</f>
        <v>+79497054056</v>
      </c>
      <c r="E347" t="s">
        <v>1840</v>
      </c>
      <c r="G347" s="14" t="s">
        <v>1841</v>
      </c>
      <c r="H347" s="14">
        <v>1900</v>
      </c>
      <c r="I347" s="13" t="s">
        <v>1271</v>
      </c>
      <c r="J347" s="13">
        <v>1</v>
      </c>
      <c r="K347" t="str">
        <f t="shared" si="17"/>
        <v>7. Лариса Терраспорт
Тел.: +79497054056
Адрес: Урицкого 118/16
№ заказа: Витамины
Кол-во мест: 1
https://yandex.ru/maps/?text=47.1223%2C37.5125
https://maps.google.com/?daddr=47.1223%2C37.5125
К оплате: **1900
**----------------------------------------------------------</v>
      </c>
    </row>
    <row r="348" spans="1:11" hidden="1" x14ac:dyDescent="0.25">
      <c r="A348">
        <v>8</v>
      </c>
      <c r="B348" s="1">
        <v>45605</v>
      </c>
      <c r="C348" t="s">
        <v>404</v>
      </c>
      <c r="D348" t="str">
        <f>VLOOKUP($C348,ТабКлиенты[#Data],MATCH(D$1,ТабКлиенты[#Headers],0),0)</f>
        <v>+79497386112</v>
      </c>
      <c r="E348" t="str">
        <f>VLOOKUP($C348,ТабКлиенты[#Data],MATCH(E$1,ТабКлиенты[#Headers],0),0)</f>
        <v>Шевченко 325</v>
      </c>
      <c r="G348" s="14" t="str">
        <f>VLOOKUP($C348,ТабКлиенты[#Data],MATCH(G$1,ТабКлиенты[#Headers],0),0)</f>
        <v>47.1193, 37.5172</v>
      </c>
      <c r="H348" s="14">
        <v>2400</v>
      </c>
      <c r="I348" s="13" t="s">
        <v>1271</v>
      </c>
      <c r="J348" s="13">
        <v>1</v>
      </c>
      <c r="K348" t="str">
        <f t="shared" si="17"/>
        <v>8. Любовь Виталий
Тел.: +79497386112
Адрес: Шевченко 325
№ заказа: Витамины
Кол-во мест: 1
https://yandex.ru/maps/?text=47.1193%2C37.5172
https://maps.google.com/?daddr=47.1193%2C37.5172
К оплате: **2400
**----------------------------------------------------------</v>
      </c>
    </row>
    <row r="349" spans="1:11" hidden="1" x14ac:dyDescent="0.25">
      <c r="A349">
        <v>9</v>
      </c>
      <c r="B349" s="1">
        <v>45605</v>
      </c>
      <c r="C349" t="s">
        <v>1834</v>
      </c>
      <c r="D349" t="str">
        <f>VLOOKUP($C349,ТабКлиенты[#Data],MATCH(D$1,ТабКлиенты[#Headers],0),0)</f>
        <v>+79497271852</v>
      </c>
      <c r="E349" t="str">
        <f>VLOOKUP($C349,ТабКлиенты[#Data],MATCH(E$1,ТабКлиенты[#Headers],0),0)</f>
        <v>Запорожское шоссе 2</v>
      </c>
      <c r="G349" s="14" t="str">
        <f>VLOOKUP($C349,ТабКлиенты[#Data],MATCH(G$1,ТабКлиенты[#Headers],0),0)</f>
        <v>47.1176, 37.5083</v>
      </c>
      <c r="H349" s="14">
        <v>1000</v>
      </c>
      <c r="I349" s="13" t="s">
        <v>1271</v>
      </c>
      <c r="J349" s="13">
        <v>1</v>
      </c>
      <c r="K349" t="str">
        <f t="shared" si="17"/>
        <v>9. Виктория Порт Сити
Тел.: +79497271852
Адрес: Запорожское шоссе 2
№ заказа: Витамины
Кол-во мест: 1
https://yandex.ru/maps/?text=47.1176%2C37.5083
https://maps.google.com/?daddr=47.1176%2C37.5083
К оплате: **1000
**----------------------------------------------------------</v>
      </c>
    </row>
    <row r="350" spans="1:11" hidden="1" x14ac:dyDescent="0.25">
      <c r="A350">
        <v>10</v>
      </c>
      <c r="B350" s="1">
        <v>45605</v>
      </c>
      <c r="C350" t="s">
        <v>1482</v>
      </c>
      <c r="D350" t="str">
        <f>VLOOKUP($C350,ТабКлиенты[#Data],MATCH(D$1,ТабКлиенты[#Headers],0),0)</f>
        <v>+79497178586</v>
      </c>
      <c r="E350" t="str">
        <f>VLOOKUP($C350,ТабКлиенты[#Data],MATCH(E$1,ТабКлиенты[#Headers],0),0)</f>
        <v>Куприна 51</v>
      </c>
      <c r="G350" s="14" t="str">
        <f>VLOOKUP($C350,ТабКлиенты[#Data],MATCH(G$1,ТабКлиенты[#Headers],0),0)</f>
        <v>47.1094, 37.5104</v>
      </c>
      <c r="H350" s="14">
        <v>0</v>
      </c>
      <c r="I350" s="13">
        <v>323</v>
      </c>
      <c r="J350" s="13">
        <v>1</v>
      </c>
      <c r="K350" t="str">
        <f t="shared" si="17"/>
        <v>10. Михаил Куприна
Тел.: +79497178586
Адрес: Куприна 51
№ заказа: 323
Кол-во мест: 1
https://yandex.ru/maps/?text=47.1094%2C37.5104
https://maps.google.com/?daddr=47.1094%2C37.5104
К оплате: **0
**----------------------------------------------------------</v>
      </c>
    </row>
    <row r="351" spans="1:11" hidden="1" x14ac:dyDescent="0.25">
      <c r="A351">
        <v>11</v>
      </c>
      <c r="B351" s="1">
        <v>45605</v>
      </c>
      <c r="C351" t="s">
        <v>456</v>
      </c>
      <c r="D351" t="str">
        <f>VLOOKUP($C351,ТабКлиенты[#Data],MATCH(D$1,ТабКлиенты[#Headers],0),0)</f>
        <v>+79497488953</v>
      </c>
      <c r="E351" t="str">
        <f>VLOOKUP($C351,ТабКлиенты[#Data],MATCH(E$1,ТабКлиенты[#Headers],0),0)</f>
        <v>Ленина 183 подъезд 1 (Изумрудный)</v>
      </c>
      <c r="G351" s="14" t="str">
        <f>VLOOKUP($C351,ТабКлиенты[#Data],MATCH(G$1,ТабКлиенты[#Headers],0),0)</f>
        <v>47.0982, 37.4785</v>
      </c>
      <c r="H351" s="14">
        <v>529</v>
      </c>
      <c r="I351" s="13">
        <v>329</v>
      </c>
      <c r="J351" s="13">
        <v>1</v>
      </c>
      <c r="K351" t="str">
        <f t="shared" si="17"/>
        <v>11. Лана
Тел.: +79497488953
Адрес: Ленина 183 подъезд 1 (Изумрудный)
№ заказа: 329
Кол-во мест: 1
https://yandex.ru/maps/?text=47.0982%2C37.4785
https://maps.google.com/?daddr=47.0982%2C37.4785
К оплате: **529
**----------------------------------------------------------</v>
      </c>
    </row>
    <row r="352" spans="1:11" hidden="1" x14ac:dyDescent="0.25">
      <c r="A352">
        <v>12</v>
      </c>
      <c r="B352" s="1">
        <v>45605</v>
      </c>
      <c r="C352" t="s">
        <v>385</v>
      </c>
      <c r="D352" t="str">
        <f>VLOOKUP($C352,ТабКлиенты[#Data],MATCH(D$1,ТабКлиенты[#Headers],0),0)</f>
        <v>+79497169864</v>
      </c>
      <c r="E352" t="str">
        <f>VLOOKUP($C352,ТабКлиенты[#Data],MATCH(E$1,ТабКлиенты[#Headers],0),0)</f>
        <v>пер. Ейский 9</v>
      </c>
      <c r="G352" s="14" t="str">
        <f>VLOOKUP($C352,ТабКлиенты[#Data],MATCH(G$1,ТабКлиенты[#Headers],0),0)</f>
        <v>47.0898, 37.5062</v>
      </c>
      <c r="H352" s="14">
        <v>8700</v>
      </c>
      <c r="I352" s="13" t="s">
        <v>1271</v>
      </c>
      <c r="J352" s="13">
        <v>1</v>
      </c>
      <c r="K352" t="str">
        <f t="shared" si="17"/>
        <v>12. Надежда Витамины
Тел.: +79497169864
Адрес: пер. Ейский 9
№ заказа: Витамины
Кол-во мест: 1
https://yandex.ru/maps/?text=47.0898%2C37.5062
https://maps.google.com/?daddr=47.0898%2C37.5062
К оплате: **8700
**----------------------------------------------------------</v>
      </c>
    </row>
    <row r="353" spans="1:11" hidden="1" x14ac:dyDescent="0.25">
      <c r="A353">
        <v>13</v>
      </c>
      <c r="B353" s="1">
        <v>45605</v>
      </c>
      <c r="C353" t="s">
        <v>504</v>
      </c>
      <c r="D353" t="str">
        <f>VLOOKUP($C353,ТабКлиенты[#Data],MATCH(D$1,ТабКлиенты[#Headers],0),0)</f>
        <v>+79497179245</v>
      </c>
      <c r="E353" t="str">
        <f>VLOOKUP($C353,ТабКлиенты[#Data],MATCH(E$1,ТабКлиенты[#Headers],0),0)</f>
        <v>Ткаченко Петренко 3</v>
      </c>
      <c r="G353" s="14" t="str">
        <f>VLOOKUP($C353,ТабКлиенты[#Data],MATCH(G$1,ТабКлиенты[#Headers],0),0)</f>
        <v>47.0853, 37.5071</v>
      </c>
      <c r="H353" s="14">
        <v>18800</v>
      </c>
      <c r="I353" s="13" t="s">
        <v>1271</v>
      </c>
      <c r="J353" s="13">
        <v>1</v>
      </c>
      <c r="K353" t="str">
        <f t="shared" si="17"/>
        <v>13. Светлана Кулаки
Тел.: +79497179245
Адрес: Ткаченко Петренко 3
№ заказа: Витамины
Кол-во мест: 1
https://yandex.ru/maps/?text=47.0853%2C37.5071
https://maps.google.com/?daddr=47.0853%2C37.5071
К оплате: **18800
**----------------------------------------------------------</v>
      </c>
    </row>
    <row r="354" spans="1:11" hidden="1" x14ac:dyDescent="0.25">
      <c r="A354">
        <v>14</v>
      </c>
      <c r="B354" s="1">
        <v>45605</v>
      </c>
      <c r="C354" t="s">
        <v>400</v>
      </c>
      <c r="D354" t="str">
        <f>VLOOKUP($C354,ТабКлиенты[#Data],MATCH(D$1,ТабКлиенты[#Headers],0),0)</f>
        <v>+79497336840</v>
      </c>
      <c r="E354" t="str">
        <f>VLOOKUP($C354,ТабКлиенты[#Data],MATCH(E$1,ТабКлиенты[#Headers],0),0)</f>
        <v>Бригантина 152</v>
      </c>
      <c r="G354" s="14" t="str">
        <f>VLOOKUP($C354,ТабКлиенты[#Data],MATCH(G$1,ТабКлиенты[#Headers],0),0)</f>
        <v>47.0779, 37.4879</v>
      </c>
      <c r="H354" s="14">
        <v>800</v>
      </c>
      <c r="I354" s="13" t="s">
        <v>1271</v>
      </c>
      <c r="J354" s="13">
        <v>1</v>
      </c>
      <c r="K354" t="str">
        <f t="shared" si="17"/>
        <v>14. Татьяна Бригантина
Тел.: +79497336840
Адрес: Бригантина 152
№ заказа: Витамины
Кол-во мест: 1
https://yandex.ru/maps/?text=47.0779%2C37.4879
https://maps.google.com/?daddr=47.0779%2C37.4879
К оплате: **800
**----------------------------------------------------------</v>
      </c>
    </row>
    <row r="355" spans="1:11" hidden="1" x14ac:dyDescent="0.25">
      <c r="A355">
        <v>15</v>
      </c>
      <c r="B355" s="1">
        <v>45605</v>
      </c>
      <c r="C355" t="s">
        <v>1629</v>
      </c>
      <c r="D355" t="str">
        <f>VLOOKUP($C355,ТабКлиенты[#Data],MATCH(D$1,ТабКлиенты[#Headers],0),0)</f>
        <v>+79493770183</v>
      </c>
      <c r="E355" t="str">
        <f>VLOOKUP($C355,ТабКлиенты[#Data],MATCH(E$1,ТабКлиенты[#Headers],0),0)</f>
        <v>Лунина 13а</v>
      </c>
      <c r="G355" s="14" t="str">
        <f>VLOOKUP($C355,ТабКлиенты[#Data],MATCH(G$1,ТабКлиенты[#Headers],0),0)</f>
        <v>47.0682, 37.5102</v>
      </c>
      <c r="H355" s="14">
        <v>246</v>
      </c>
      <c r="I355" s="13">
        <v>330</v>
      </c>
      <c r="J355" s="13">
        <v>1</v>
      </c>
      <c r="K355" t="str">
        <f t="shared" si="17"/>
        <v>15. Наталья Лунина 13
Тел.: +79493770183
Адрес: Лунина 13а
№ заказа: 330
Кол-во мест: 1
https://yandex.ru/maps/?text=47.0682%2C37.5102
https://maps.google.com/?daddr=47.0682%2C37.5102
К оплате: **246
**----------------------------------------------------------</v>
      </c>
    </row>
    <row r="356" spans="1:11" hidden="1" x14ac:dyDescent="0.25">
      <c r="A356">
        <v>16</v>
      </c>
      <c r="B356" s="1">
        <v>45605</v>
      </c>
      <c r="C356" t="s">
        <v>1828</v>
      </c>
      <c r="D356" t="str">
        <f>VLOOKUP($C356,ТабКлиенты[#Data],MATCH(D$1,ТабКлиенты[#Headers],0),0)</f>
        <v>+79490023562</v>
      </c>
      <c r="E356" t="str">
        <f>VLOOKUP($C356,ТабКлиенты[#Data],MATCH(E$1,ТабКлиенты[#Headers],0),0)</f>
        <v>Ленина 46/54</v>
      </c>
      <c r="G356" s="14" t="str">
        <f>VLOOKUP($C356,ТабКлиенты[#Data],MATCH(G$1,ТабКлиенты[#Headers],0),0)</f>
        <v>47.0947, 37.5488</v>
      </c>
      <c r="H356" s="14">
        <v>2300</v>
      </c>
      <c r="I356" s="13" t="s">
        <v>1271</v>
      </c>
      <c r="J356" s="13">
        <v>1</v>
      </c>
      <c r="K356" t="str">
        <f t="shared" si="17"/>
        <v>16. Ольга Мелованова
Тел.: +79490023562
Адрес: Ленина 46/54
№ заказа: Витамины
Кол-во мест: 1
https://yandex.ru/maps/?text=47.0947%2C37.5488
https://maps.google.com/?daddr=47.0947%2C37.5488
К оплате: **2300
**----------------------------------------------------------</v>
      </c>
    </row>
    <row r="357" spans="1:11" hidden="1" x14ac:dyDescent="0.25">
      <c r="A357">
        <v>17</v>
      </c>
      <c r="B357" s="1">
        <v>45605</v>
      </c>
      <c r="C357" t="s">
        <v>283</v>
      </c>
      <c r="D357" t="str">
        <f>VLOOKUP($C357,ТабКлиенты[#Data],MATCH(D$1,ТабКлиенты[#Headers],0),0)</f>
        <v>+79497172395</v>
      </c>
      <c r="E357" t="str">
        <f>VLOOKUP($C357,ТабКлиенты[#Data],MATCH(E$1,ТабКлиенты[#Headers],0),0)</f>
        <v>Торговая 45</v>
      </c>
      <c r="G357" s="14" t="str">
        <f>VLOOKUP($C357,ТабКлиенты[#Data],MATCH(G$1,ТабКлиенты[#Headers],0),0)</f>
        <v>47.0982, 37.5627</v>
      </c>
      <c r="H357" s="14">
        <v>5838</v>
      </c>
      <c r="I357" s="13">
        <v>316</v>
      </c>
      <c r="J357" s="13">
        <v>7</v>
      </c>
      <c r="K357" t="str">
        <f t="shared" si="17"/>
        <v>17. Александр Каскад
Тел.: +79497172395
Адрес: Торговая 45
№ заказа: 316
Кол-во мест: 7
https://yandex.ru/maps/?text=47.0982%2C37.5627
https://maps.google.com/?daddr=47.0982%2C37.5627
К оплате: **5838
**----------------------------------------------------------</v>
      </c>
    </row>
    <row r="358" spans="1:11" hidden="1" x14ac:dyDescent="0.25">
      <c r="A358">
        <v>18</v>
      </c>
      <c r="B358" s="1">
        <v>45605</v>
      </c>
      <c r="C358" t="s">
        <v>295</v>
      </c>
      <c r="D358" t="str">
        <f>VLOOKUP($C358,ТабКлиенты[#Data],MATCH(D$1,ТабКлиенты[#Headers],0),0)</f>
        <v>+79497277100</v>
      </c>
      <c r="E358" t="str">
        <f>VLOOKUP($C358,ТабКлиенты[#Data],MATCH(E$1,ТабКлиенты[#Headers],0),0)</f>
        <v>Артема 132</v>
      </c>
      <c r="G358" s="14" t="str">
        <f>VLOOKUP($C358,ТабКлиенты[#Data],MATCH(G$1,ТабКлиенты[#Headers],0),0)</f>
        <v>47.1085, 37.5599</v>
      </c>
      <c r="H358" s="14">
        <f>1500+7020</f>
        <v>8520</v>
      </c>
      <c r="I358" s="13">
        <v>328</v>
      </c>
      <c r="J358" s="13">
        <v>1</v>
      </c>
      <c r="K358" t="str">
        <f t="shared" si="17"/>
        <v>18. Александр Радин
Тел.: +79497277100
Адрес: Артема 132
№ заказа: 328
Кол-во мест: 1
https://yandex.ru/maps/?text=47.1085%2C37.5599
https://maps.google.com/?daddr=47.1085%2C37.5599
К оплате: **8520
**----------------------------------------------------------</v>
      </c>
    </row>
    <row r="359" spans="1:11" hidden="1" x14ac:dyDescent="0.25">
      <c r="A359">
        <v>19</v>
      </c>
      <c r="B359" s="1">
        <v>45605</v>
      </c>
      <c r="C359" t="s">
        <v>287</v>
      </c>
      <c r="D359" t="str">
        <f>VLOOKUP($C359,ТабКлиенты[#Data],MATCH(D$1,ТабКлиенты[#Headers],0),0)</f>
        <v>+79497398064</v>
      </c>
      <c r="E359" t="str">
        <f>VLOOKUP($C359,ТабКлиенты[#Data],MATCH(E$1,ТабКлиенты[#Headers],0),0)</f>
        <v>Металлургов, 97</v>
      </c>
      <c r="G359" s="14" t="str">
        <f>VLOOKUP($C359,ТабКлиенты[#Data],MATCH(G$1,ТабКлиенты[#Headers],0),0)</f>
        <v>47.1070, 37.5542</v>
      </c>
      <c r="H359" s="14">
        <v>0</v>
      </c>
      <c r="I359" s="13">
        <v>312</v>
      </c>
      <c r="J359" s="13">
        <v>1</v>
      </c>
      <c r="K359" t="str">
        <f t="shared" si="17"/>
        <v>19. Елена Ларисына
Тел.: +79497398064
Адрес: Металлургов, 97
№ заказа: 312
Кол-во мест: 1
https://yandex.ru/maps/?text=47.1070%2C37.5542
https://maps.google.com/?daddr=47.1070%2C37.5542
К оплате: **0
**----------------------------------------------------------</v>
      </c>
    </row>
    <row r="360" spans="1:11" hidden="1" x14ac:dyDescent="0.25">
      <c r="A360">
        <v>20</v>
      </c>
      <c r="B360" s="1">
        <v>45605</v>
      </c>
      <c r="C360" t="s">
        <v>231</v>
      </c>
      <c r="D360" t="str">
        <f>VLOOKUP($C360,ТабКлиенты[#Data],MATCH(D$1,ТабКлиенты[#Headers],0),0)</f>
        <v>+79497266403</v>
      </c>
      <c r="E360" t="str">
        <f>VLOOKUP($C360,ТабКлиенты[#Data],MATCH(E$1,ТабКлиенты[#Headers],0),0)</f>
        <v>Металлургов 102 1 подъезд 8 этаж</v>
      </c>
      <c r="G360" s="14" t="str">
        <f>VLOOKUP($C360,ТабКлиенты[#Data],MATCH(G$1,ТабКлиенты[#Headers],0),0)</f>
        <v>47.1099, 37.5543</v>
      </c>
      <c r="H360" s="14">
        <v>0</v>
      </c>
      <c r="I360" s="13">
        <v>318</v>
      </c>
      <c r="J360" s="13">
        <v>1</v>
      </c>
      <c r="K360" t="str">
        <f t="shared" si="17"/>
        <v>20. Лариса Кирова
Тел.: +79497266403
Адрес: Металлургов 102 1 подъезд 8 этаж
№ заказа: 318
Кол-во мест: 1
https://yandex.ru/maps/?text=47.1099%2C37.5543
https://maps.google.com/?daddr=47.1099%2C37.5543
К оплате: **0
**----------------------------------------------------------</v>
      </c>
    </row>
    <row r="361" spans="1:11" hidden="1" x14ac:dyDescent="0.25">
      <c r="A361">
        <v>1</v>
      </c>
      <c r="B361" s="1">
        <v>45612</v>
      </c>
      <c r="C361" t="s">
        <v>231</v>
      </c>
      <c r="D361" t="str">
        <f>VLOOKUP($C361,ТабКлиенты[#Data],MATCH(D$1,ТабКлиенты[#Headers],0),0)</f>
        <v>+79497266403</v>
      </c>
      <c r="E361" t="str">
        <f>VLOOKUP($C361,ТабКлиенты[#Data],MATCH(E$1,ТабКлиенты[#Headers],0),0)</f>
        <v>Металлургов 102 1 подъезд 8 этаж</v>
      </c>
      <c r="G361" s="14" t="str">
        <f>VLOOKUP($C361,ТабКлиенты[#Data],MATCH(G$1,ТабКлиенты[#Headers],0),0)</f>
        <v>47.1099, 37.5543</v>
      </c>
      <c r="H361" s="14">
        <v>0</v>
      </c>
      <c r="I361" s="13">
        <v>331</v>
      </c>
      <c r="J361" s="13">
        <v>2</v>
      </c>
      <c r="K361" t="str">
        <f t="shared" ref="K361:K373" si="18">A361&amp;". "&amp;C361&amp;CHAR(10)&amp;"Тел.: "&amp;D361&amp;CHAR(10)&amp;"Адрес: "&amp;E361&amp;CHAR(10)&amp;"№ заказа: "&amp;I361&amp;CHAR(10)&amp;"Кол-во мест: "&amp;J361&amp;CHAR(10)&amp;"https://yandex.ru/maps/?text="&amp;REPLACE(G361,SEARCH(",",G361),2,"%2C")&amp;CHAR(10)&amp;"https://maps.google.com/?daddr="&amp;REPLACE(G361,SEARCH(",",G361),2,"%2C")&amp;CHAR(10)&amp;"К оплате: "&amp;"**"&amp;H361&amp;CHAR(10)&amp;"**"&amp;"----------------------------------------------------------"</f>
        <v>1. Лариса Кирова
Тел.: +79497266403
Адрес: Металлургов 102 1 подъезд 8 этаж
№ заказа: 331
Кол-во мест: 2
https://yandex.ru/maps/?text=47.1099%2C37.5543
https://maps.google.com/?daddr=47.1099%2C37.5543
К оплате: **0
**----------------------------------------------------------</v>
      </c>
    </row>
    <row r="362" spans="1:11" hidden="1" x14ac:dyDescent="0.25">
      <c r="A362">
        <v>2</v>
      </c>
      <c r="B362" s="1">
        <v>45612</v>
      </c>
      <c r="C362" t="s">
        <v>295</v>
      </c>
      <c r="D362" t="str">
        <f>VLOOKUP($C362,ТабКлиенты[#Data],MATCH(D$1,ТабКлиенты[#Headers],0),0)</f>
        <v>+79497277100</v>
      </c>
      <c r="E362" t="str">
        <f>VLOOKUP($C362,ТабКлиенты[#Data],MATCH(E$1,ТабКлиенты[#Headers],0),0)</f>
        <v>Артема 132</v>
      </c>
      <c r="G362" s="14" t="str">
        <f>VLOOKUP($C362,ТабКлиенты[#Data],MATCH(G$1,ТабКлиенты[#Headers],0),0)</f>
        <v>47.1085, 37.5599</v>
      </c>
      <c r="H362" s="14">
        <v>7400</v>
      </c>
      <c r="I362" s="13" t="s">
        <v>1271</v>
      </c>
      <c r="J362" s="13">
        <v>1</v>
      </c>
      <c r="K362" t="str">
        <f t="shared" si="18"/>
        <v>2. Александр Радин
Тел.: +79497277100
Адрес: Артема 132
№ заказа: Витамины
Кол-во мест: 1
https://yandex.ru/maps/?text=47.1085%2C37.5599
https://maps.google.com/?daddr=47.1085%2C37.5599
К оплате: **7400
**----------------------------------------------------------</v>
      </c>
    </row>
    <row r="363" spans="1:11" hidden="1" x14ac:dyDescent="0.25">
      <c r="A363">
        <v>3</v>
      </c>
      <c r="B363" s="1">
        <v>45612</v>
      </c>
      <c r="C363" t="s">
        <v>357</v>
      </c>
      <c r="D363" t="str">
        <f>VLOOKUP($C363,ТабКлиенты[#Data],MATCH(D$1,ТабКлиенты[#Headers],0),0)</f>
        <v>+79497114644</v>
      </c>
      <c r="E363" t="str">
        <f>VLOOKUP($C363,ТабКлиенты[#Data],MATCH(E$1,ТабКлиенты[#Headers],0),0)</f>
        <v>Металлургов 143</v>
      </c>
      <c r="G363" s="14" t="str">
        <f>VLOOKUP($C363,ТабКлиенты[#Data],MATCH(G$1,ТабКлиенты[#Headers],0),0)</f>
        <v>47.1199, 37.5643</v>
      </c>
      <c r="H363" s="14">
        <v>0</v>
      </c>
      <c r="I363" s="13">
        <v>332</v>
      </c>
      <c r="J363" s="13">
        <v>1</v>
      </c>
      <c r="K363" t="str">
        <f t="shared" si="18"/>
        <v>3. Юля Ларисына
Тел.: +79497114644
Адрес: Металлургов 143
№ заказа: 332
Кол-во мест: 1
https://yandex.ru/maps/?text=47.1199%2C37.5643
https://maps.google.com/?daddr=47.1199%2C37.5643
К оплате: **0
**----------------------------------------------------------</v>
      </c>
    </row>
    <row r="364" spans="1:11" hidden="1" x14ac:dyDescent="0.25">
      <c r="A364">
        <v>4</v>
      </c>
      <c r="B364" s="1">
        <v>45612</v>
      </c>
      <c r="C364" t="s">
        <v>1797</v>
      </c>
      <c r="D364" t="str">
        <f>VLOOKUP($C364,ТабКлиенты[#Data],MATCH(D$1,ТабКлиенты[#Headers],0),0)</f>
        <v>+79497273525</v>
      </c>
      <c r="E364" t="s">
        <v>1904</v>
      </c>
      <c r="G364" s="14" t="s">
        <v>1905</v>
      </c>
      <c r="H364" s="14">
        <v>0</v>
      </c>
      <c r="I364" s="13">
        <v>324</v>
      </c>
      <c r="J364" s="13">
        <v>2</v>
      </c>
      <c r="K364" t="str">
        <f t="shared" si="18"/>
        <v>4. Валентина от Светланы
Тел.: +79497273525
Адрес: Гонды 46
№ заказа: 324
Кол-во мест: 2
https://yandex.ru/maps/?text=47.1282%2C37.5697
https://maps.google.com/?daddr=47.1282%2C37.5697
К оплате: **0
**----------------------------------------------------------</v>
      </c>
    </row>
    <row r="365" spans="1:11" hidden="1" x14ac:dyDescent="0.25">
      <c r="A365">
        <v>5</v>
      </c>
      <c r="B365" s="1">
        <v>45612</v>
      </c>
      <c r="C365" t="s">
        <v>445</v>
      </c>
      <c r="D365" t="str">
        <f>VLOOKUP($C365,ТабКлиенты[#Data],MATCH(D$1,ТабКлиенты[#Headers],0),0)</f>
        <v>+79497262176</v>
      </c>
      <c r="E365" t="s">
        <v>1904</v>
      </c>
      <c r="G365" s="14" t="s">
        <v>1905</v>
      </c>
      <c r="H365" s="14">
        <v>0</v>
      </c>
      <c r="I365" s="13">
        <v>317</v>
      </c>
      <c r="J365" s="13">
        <v>1</v>
      </c>
      <c r="K365" t="str">
        <f t="shared" si="18"/>
        <v>5. Светлана от Александра
Тел.: +79497262176
Адрес: Гонды 46
№ заказа: 317
Кол-во мест: 1
https://yandex.ru/maps/?text=47.1282%2C37.5697
https://maps.google.com/?daddr=47.1282%2C37.5697
К оплате: **0
**----------------------------------------------------------</v>
      </c>
    </row>
    <row r="366" spans="1:11" hidden="1" x14ac:dyDescent="0.25">
      <c r="A366">
        <v>6</v>
      </c>
      <c r="B366" s="1">
        <v>45612</v>
      </c>
      <c r="C366" t="s">
        <v>39</v>
      </c>
      <c r="D366" t="str">
        <f>VLOOKUP($C366,ТабКлиенты[#Data],MATCH(D$1,ТабКлиенты[#Headers],0),0)</f>
        <v>+79497132215</v>
      </c>
      <c r="E366" t="str">
        <f>VLOOKUP($C366,ТабКлиенты[#Data],MATCH(E$1,ТабКлиенты[#Headers],0),0)</f>
        <v>Гонды 42</v>
      </c>
      <c r="G366" s="14" t="str">
        <f>VLOOKUP($C366,ТабКлиенты[#Data],MATCH(G$1,ТабКлиенты[#Headers],0),0)</f>
        <v>47.1274, 37.5691</v>
      </c>
      <c r="H366" s="14">
        <v>2000</v>
      </c>
      <c r="I366" s="13">
        <v>336</v>
      </c>
      <c r="J366" s="13">
        <v>1</v>
      </c>
      <c r="K366" t="str">
        <f t="shared" si="18"/>
        <v>6. Алена шмалко
Тел.: +79497132215
Адрес: Гонды 42
№ заказа: 336
Кол-во мест: 1
https://yandex.ru/maps/?text=47.1274%2C37.5691
https://maps.google.com/?daddr=47.1274%2C37.5691
К оплате: **2000
**----------------------------------------------------------</v>
      </c>
    </row>
    <row r="367" spans="1:11" hidden="1" x14ac:dyDescent="0.25">
      <c r="A367">
        <v>7</v>
      </c>
      <c r="B367" s="1">
        <v>45612</v>
      </c>
      <c r="C367" t="s">
        <v>33</v>
      </c>
      <c r="D367" t="str">
        <f>VLOOKUP($C367,ТабКлиенты[#Data],MATCH(D$1,ТабКлиенты[#Headers],0),0)</f>
        <v>+79496069479</v>
      </c>
      <c r="E367" t="str">
        <f>VLOOKUP($C367,ТабКлиенты[#Data],MATCH(E$1,ТабКлиенты[#Headers],0),0)</f>
        <v>Марьинская 145 Новоселовка Церковь</v>
      </c>
      <c r="G367" s="14" t="str">
        <f>VLOOKUP($C367,ТабКлиенты[#Data],MATCH(G$1,ТабКлиенты[#Headers],0),0)</f>
        <v>47.1126, 37.5473</v>
      </c>
      <c r="H367" s="14">
        <v>6091</v>
      </c>
      <c r="I367" s="13">
        <v>335</v>
      </c>
      <c r="J367" s="13">
        <v>1</v>
      </c>
      <c r="K367" t="str">
        <f t="shared" si="18"/>
        <v>7. Галина Агабекова(церковь)
Тел.: +79496069479
Адрес: Марьинская 145 Новоселовка Церковь
№ заказа: 335
Кол-во мест: 1
https://yandex.ru/maps/?text=47.1126%2C37.5473
https://maps.google.com/?daddr=47.1126%2C37.5473
К оплате: **6091
**----------------------------------------------------------</v>
      </c>
    </row>
    <row r="368" spans="1:11" hidden="1" x14ac:dyDescent="0.25">
      <c r="A368">
        <v>8</v>
      </c>
      <c r="B368" s="1">
        <v>45612</v>
      </c>
      <c r="C368" t="s">
        <v>308</v>
      </c>
      <c r="D368" t="e">
        <f>VLOOKUP($C368,ТабКлиенты[#Data],MATCH(D$1,ТабКлиенты[#Headers],0),0)</f>
        <v>#N/A</v>
      </c>
      <c r="E368" t="e">
        <f>VLOOKUP($C368,ТабКлиенты[#Data],MATCH(E$1,ТабКлиенты[#Headers],0),0)</f>
        <v>#N/A</v>
      </c>
      <c r="G368" s="14" t="e">
        <f>VLOOKUP($C368,ТабКлиенты[#Data],MATCH(G$1,ТабКлиенты[#Headers],0),0)</f>
        <v>#N/A</v>
      </c>
      <c r="H368" s="14">
        <v>0</v>
      </c>
      <c r="I368" s="13" t="s">
        <v>1271</v>
      </c>
      <c r="J368" s="13">
        <v>1</v>
      </c>
      <c r="K368" t="e">
        <f t="shared" si="18"/>
        <v>#N/A</v>
      </c>
    </row>
    <row r="369" spans="1:11" hidden="1" x14ac:dyDescent="0.25">
      <c r="A369">
        <v>9</v>
      </c>
      <c r="B369" s="1">
        <v>45612</v>
      </c>
      <c r="C369" t="s">
        <v>485</v>
      </c>
      <c r="D369" t="str">
        <f>VLOOKUP($C369,ТабКлиенты[#Data],MATCH(D$1,ТабКлиенты[#Headers],0),0)</f>
        <v>+79498429781</v>
      </c>
      <c r="E369" t="str">
        <f>VLOOKUP($C369,ТабКлиенты[#Data],MATCH(E$1,ТабКлиенты[#Headers],0),0)</f>
        <v>Крымская 42</v>
      </c>
      <c r="G369" s="14" t="str">
        <f>VLOOKUP($C369,ТабКлиенты[#Data],MATCH(G$1,ТабКлиенты[#Headers],0),0)</f>
        <v>47.1389, 37.5091</v>
      </c>
      <c r="H369" s="14">
        <v>200</v>
      </c>
      <c r="I369" s="13">
        <v>341</v>
      </c>
      <c r="J369" s="13">
        <v>1</v>
      </c>
      <c r="K369" t="str">
        <f t="shared" si="18"/>
        <v>9. Аннет
Тел.: +79498429781
Адрес: Крымская 42
№ заказа: 341
Кол-во мест: 1
https://yandex.ru/maps/?text=47.1389%2C37.5091
https://maps.google.com/?daddr=47.1389%2C37.5091
К оплате: **200
**----------------------------------------------------------</v>
      </c>
    </row>
    <row r="370" spans="1:11" hidden="1" x14ac:dyDescent="0.25">
      <c r="A370">
        <v>10</v>
      </c>
      <c r="B370" s="1">
        <v>45612</v>
      </c>
      <c r="C370" t="s">
        <v>1482</v>
      </c>
      <c r="D370" t="str">
        <f>VLOOKUP($C370,ТабКлиенты[#Data],MATCH(D$1,ТабКлиенты[#Headers],0),0)</f>
        <v>+79497178586</v>
      </c>
      <c r="E370" t="str">
        <f>VLOOKUP($C370,ТабКлиенты[#Data],MATCH(E$1,ТабКлиенты[#Headers],0),0)</f>
        <v>Куприна 51</v>
      </c>
      <c r="G370" s="14" t="str">
        <f>VLOOKUP($C370,ТабКлиенты[#Data],MATCH(G$1,ТабКлиенты[#Headers],0),0)</f>
        <v>47.1094, 37.5104</v>
      </c>
      <c r="H370" s="14">
        <v>0</v>
      </c>
      <c r="I370" s="13">
        <v>323</v>
      </c>
      <c r="J370" s="13">
        <v>1</v>
      </c>
      <c r="K370" t="str">
        <f t="shared" si="18"/>
        <v>10. Михаил Куприна
Тел.: +79497178586
Адрес: Куприна 51
№ заказа: 323
Кол-во мест: 1
https://yandex.ru/maps/?text=47.1094%2C37.5104
https://maps.google.com/?daddr=47.1094%2C37.5104
К оплате: **0
**----------------------------------------------------------</v>
      </c>
    </row>
    <row r="371" spans="1:11" hidden="1" x14ac:dyDescent="0.25">
      <c r="A371">
        <v>11</v>
      </c>
      <c r="B371" s="1">
        <v>45612</v>
      </c>
      <c r="C371" t="s">
        <v>456</v>
      </c>
      <c r="D371" t="str">
        <f>VLOOKUP($C371,ТабКлиенты[#Data],MATCH(D$1,ТабКлиенты[#Headers],0),0)</f>
        <v>+79497488953</v>
      </c>
      <c r="E371" t="str">
        <f>VLOOKUP($C371,ТабКлиенты[#Data],MATCH(E$1,ТабКлиенты[#Headers],0),0)</f>
        <v>Ленина 183 подъезд 1 (Изумрудный)</v>
      </c>
      <c r="G371" s="14" t="str">
        <f>VLOOKUP($C371,ТабКлиенты[#Data],MATCH(G$1,ТабКлиенты[#Headers],0),0)</f>
        <v>47.0982, 37.4785</v>
      </c>
      <c r="H371" s="14">
        <v>200</v>
      </c>
      <c r="I371" s="13">
        <v>342</v>
      </c>
      <c r="J371" s="13">
        <v>1</v>
      </c>
      <c r="K371" t="str">
        <f t="shared" si="18"/>
        <v>11. Лана
Тел.: +79497488953
Адрес: Ленина 183 подъезд 1 (Изумрудный)
№ заказа: 342
Кол-во мест: 1
https://yandex.ru/maps/?text=47.0982%2C37.4785
https://maps.google.com/?daddr=47.0982%2C37.4785
К оплате: **200
**----------------------------------------------------------</v>
      </c>
    </row>
    <row r="372" spans="1:11" hidden="1" x14ac:dyDescent="0.25">
      <c r="A372">
        <v>12</v>
      </c>
      <c r="B372" s="1">
        <v>45612</v>
      </c>
      <c r="C372" t="s">
        <v>1900</v>
      </c>
      <c r="D372" t="str">
        <f>VLOOKUP($C372,ТабКлиенты[#Data],MATCH(D$1,ТабКлиенты[#Headers],0),0)</f>
        <v>+79497178192</v>
      </c>
      <c r="E372" t="str">
        <f>VLOOKUP($C372,ТабКлиенты[#Data],MATCH(E$1,ТабКлиенты[#Headers],0),0)</f>
        <v>Новороссийская 28, ЖД Больница</v>
      </c>
      <c r="G372" s="14" t="str">
        <f>VLOOKUP($C372,ТабКлиенты[#Data],MATCH(G$1,ТабКлиенты[#Headers],0),0)</f>
        <v>47.0718, 37.4881</v>
      </c>
      <c r="H372" s="14">
        <v>11400</v>
      </c>
      <c r="I372" s="13" t="s">
        <v>1271</v>
      </c>
      <c r="J372" s="13">
        <v>1</v>
      </c>
      <c r="K372" t="str">
        <f t="shared" si="18"/>
        <v>12. Ольга ЖД больница
Тел.: +79497178192
Адрес: Новороссийская 28, ЖД Больница
№ заказа: Витамины
Кол-во мест: 1
https://yandex.ru/maps/?text=47.0718%2C37.4881
https://maps.google.com/?daddr=47.0718%2C37.4881
К оплате: **11400
**----------------------------------------------------------</v>
      </c>
    </row>
    <row r="373" spans="1:11" hidden="1" x14ac:dyDescent="0.25">
      <c r="A373">
        <v>13</v>
      </c>
      <c r="B373" s="1">
        <v>45612</v>
      </c>
      <c r="C373" t="s">
        <v>1629</v>
      </c>
      <c r="D373" t="str">
        <f>VLOOKUP($C373,ТабКлиенты[#Data],MATCH(D$1,ТабКлиенты[#Headers],0),0)</f>
        <v>+79493770183</v>
      </c>
      <c r="E373" t="str">
        <f>VLOOKUP($C373,ТабКлиенты[#Data],MATCH(E$1,ТабКлиенты[#Headers],0),0)</f>
        <v>Лунина 13а</v>
      </c>
      <c r="G373" s="14" t="str">
        <f>VLOOKUP($C373,ТабКлиенты[#Data],MATCH(G$1,ТабКлиенты[#Headers],0),0)</f>
        <v>47.0682, 37.5102</v>
      </c>
      <c r="H373" s="14">
        <v>200</v>
      </c>
      <c r="I373" s="13">
        <v>343</v>
      </c>
      <c r="J373" s="13">
        <v>1</v>
      </c>
      <c r="K373" t="str">
        <f t="shared" si="18"/>
        <v>13. Наталья Лунина 13
Тел.: +79493770183
Адрес: Лунина 13а
№ заказа: 343
Кол-во мест: 1
https://yandex.ru/maps/?text=47.0682%2C37.5102
https://maps.google.com/?daddr=47.0682%2C37.5102
К оплате: **200
**----------------------------------------------------------</v>
      </c>
    </row>
    <row r="374" spans="1:11" hidden="1" x14ac:dyDescent="0.25">
      <c r="A374">
        <v>1</v>
      </c>
      <c r="B374" s="1">
        <v>45619</v>
      </c>
      <c r="C374" t="s">
        <v>445</v>
      </c>
      <c r="D374" t="str">
        <f>VLOOKUP($C374,ТабКлиенты[#Data],MATCH(D$1,ТабКлиенты[#Headers],0),0)</f>
        <v>+79497262176</v>
      </c>
      <c r="E374" t="str">
        <f>VLOOKUP($C374,ТабКлиенты[#Data],MATCH(E$1,ТабКлиенты[#Headers],0),0)</f>
        <v>Металлургов 179, кв 114</v>
      </c>
      <c r="G374" s="14" t="str">
        <f>VLOOKUP($C374,ТабКлиенты[#Data],MATCH(G$1,ТабКлиенты[#Headers],0),0)</f>
        <v>47.1248, 37.5657</v>
      </c>
      <c r="H374" s="14">
        <v>0</v>
      </c>
      <c r="I374" s="13">
        <v>345</v>
      </c>
      <c r="J374" s="13">
        <v>1</v>
      </c>
      <c r="K374" t="str">
        <f t="shared" ref="K374:K387" si="19">A374&amp;". "&amp;C374&amp;CHAR(10)&amp;"Тел.: "&amp;D374&amp;CHAR(10)&amp;"Адрес: "&amp;E374&amp;CHAR(10)&amp;"№ заказа: "&amp;I374&amp;CHAR(10)&amp;"Кол-во мест: "&amp;J374&amp;CHAR(10)&amp;"https://yandex.ru/maps/?text="&amp;REPLACE(G374,SEARCH(",",G374),2,"%2C")&amp;CHAR(10)&amp;"https://maps.google.com/?daddr="&amp;REPLACE(G374,SEARCH(",",G374),2,"%2C")&amp;CHAR(10)&amp;"К оплате: "&amp;"**"&amp;H374&amp;CHAR(10)&amp;"**"&amp;"----------------------------------------------------------"</f>
        <v>1. Светлана от Александра
Тел.: +79497262176
Адрес: Металлургов 179, кв 114
№ заказа: 345
Кол-во мест: 1
https://yandex.ru/maps/?text=47.1248%2C37.5657
https://maps.google.com/?daddr=47.1248%2C37.5657
К оплате: **0
**----------------------------------------------------------</v>
      </c>
    </row>
    <row r="375" spans="1:11" hidden="1" x14ac:dyDescent="0.25">
      <c r="A375">
        <v>2</v>
      </c>
      <c r="B375" s="1">
        <v>45619</v>
      </c>
      <c r="C375" t="s">
        <v>1938</v>
      </c>
      <c r="D375" t="str">
        <f>VLOOKUP($C375,ТабКлиенты[#Data],MATCH(D$1,ТабКлиенты[#Headers],0),0)</f>
        <v>+79496057692</v>
      </c>
      <c r="E375" t="str">
        <f>VLOOKUP($C375,ТабКлиенты[#Data],MATCH(E$1,ТабКлиенты[#Headers],0),0)</f>
        <v>Ровная 43а подъезд 6</v>
      </c>
      <c r="G375" s="14" t="str">
        <f>VLOOKUP($C375,ТабКлиенты[#Data],MATCH(G$1,ТабКлиенты[#Headers],0),0)</f>
        <v>47.1500, 37.6147</v>
      </c>
      <c r="H375" s="14">
        <v>2300</v>
      </c>
      <c r="I375" s="13" t="s">
        <v>1271</v>
      </c>
      <c r="J375" s="13">
        <v>1</v>
      </c>
      <c r="K375" t="str">
        <f t="shared" si="19"/>
        <v>2. Татьяна Тулина
Тел.: +79496057692
Адрес: Ровная 43а подъезд 6
№ заказа: Витамины
Кол-во мест: 1
https://yandex.ru/maps/?text=47.1500%2C37.6147
https://maps.google.com/?daddr=47.1500%2C37.6147
К оплате: **2300
**----------------------------------------------------------</v>
      </c>
    </row>
    <row r="376" spans="1:11" hidden="1" x14ac:dyDescent="0.25">
      <c r="A376">
        <v>3</v>
      </c>
      <c r="B376" s="1">
        <v>45619</v>
      </c>
      <c r="C376" t="s">
        <v>437</v>
      </c>
      <c r="D376" t="str">
        <f>VLOOKUP($C376,ТабКлиенты[#Data],MATCH(D$1,ТабКлиенты[#Headers],0),0)</f>
        <v>+79497115237</v>
      </c>
      <c r="E376" t="str">
        <f>VLOOKUP($C376,ТабКлиенты[#Data],MATCH(E$1,ТабКлиенты[#Headers],0),0)</f>
        <v>пер Станционный 8</v>
      </c>
      <c r="G376" s="14" t="str">
        <f>VLOOKUP($C376,ТабКлиенты[#Data],MATCH(G$1,ТабКлиенты[#Headers],0),0)</f>
        <v>47.1640, 37.5780</v>
      </c>
      <c r="H376" s="14">
        <v>9000</v>
      </c>
      <c r="I376" s="13" t="s">
        <v>1271</v>
      </c>
      <c r="J376" s="13">
        <v>1</v>
      </c>
      <c r="K376" t="str">
        <f t="shared" si="19"/>
        <v>3. Аня Мирный
Тел.: +79497115237
Адрес: пер Станционный 8
№ заказа: Витамины
Кол-во мест: 1
https://yandex.ru/maps/?text=47.1640%2C37.5780
https://maps.google.com/?daddr=47.1640%2C37.5780
К оплате: **9000
**----------------------------------------------------------</v>
      </c>
    </row>
    <row r="377" spans="1:11" hidden="1" x14ac:dyDescent="0.25">
      <c r="A377">
        <v>4</v>
      </c>
      <c r="B377" s="1">
        <v>45619</v>
      </c>
      <c r="C377" t="s">
        <v>33</v>
      </c>
      <c r="D377" t="str">
        <f>VLOOKUP($C377,ТабКлиенты[#Data],MATCH(D$1,ТабКлиенты[#Headers],0),0)</f>
        <v>+79496069479</v>
      </c>
      <c r="E377" t="str">
        <f>VLOOKUP($C377,ТабКлиенты[#Data],MATCH(E$1,ТабКлиенты[#Headers],0),0)</f>
        <v>Марьинская 145 Новоселовка Церковь</v>
      </c>
      <c r="G377" s="14" t="str">
        <f>VLOOKUP($C377,ТабКлиенты[#Data],MATCH(G$1,ТабКлиенты[#Headers],0),0)</f>
        <v>47.1126, 37.5473</v>
      </c>
      <c r="H377" s="14">
        <v>-536</v>
      </c>
      <c r="I377" s="13">
        <v>335</v>
      </c>
      <c r="J377" s="13">
        <v>1</v>
      </c>
      <c r="K377" t="str">
        <f t="shared" si="19"/>
        <v>4. Галина Агабекова(церковь)
Тел.: +79496069479
Адрес: Марьинская 145 Новоселовка Церковь
№ заказа: 335
Кол-во мест: 1
https://yandex.ru/maps/?text=47.1126%2C37.5473
https://maps.google.com/?daddr=47.1126%2C37.5473
К оплате: **-536
**----------------------------------------------------------</v>
      </c>
    </row>
    <row r="378" spans="1:11" hidden="1" x14ac:dyDescent="0.25">
      <c r="A378">
        <v>5</v>
      </c>
      <c r="B378" s="1">
        <v>45619</v>
      </c>
      <c r="C378" t="s">
        <v>404</v>
      </c>
      <c r="D378" t="str">
        <f>VLOOKUP($C378,ТабКлиенты[#Data],MATCH(D$1,ТабКлиенты[#Headers],0),0)</f>
        <v>+79497386112</v>
      </c>
      <c r="E378" t="str">
        <f>VLOOKUP($C378,ТабКлиенты[#Data],MATCH(E$1,ТабКлиенты[#Headers],0),0)</f>
        <v>Шевченко 325</v>
      </c>
      <c r="G378" s="14" t="str">
        <f>VLOOKUP($C378,ТабКлиенты[#Data],MATCH(G$1,ТабКлиенты[#Headers],0),0)</f>
        <v>47.1193, 37.5172</v>
      </c>
      <c r="H378" s="14">
        <v>34900</v>
      </c>
      <c r="I378" s="13" t="s">
        <v>1271</v>
      </c>
      <c r="J378" s="13">
        <v>1</v>
      </c>
      <c r="K378" t="str">
        <f t="shared" si="19"/>
        <v>5. Любовь Виталий
Тел.: +79497386112
Адрес: Шевченко 325
№ заказа: Витамины
Кол-во мест: 1
https://yandex.ru/maps/?text=47.1193%2C37.5172
https://maps.google.com/?daddr=47.1193%2C37.5172
К оплате: **34900
**----------------------------------------------------------</v>
      </c>
    </row>
    <row r="379" spans="1:11" hidden="1" x14ac:dyDescent="0.25">
      <c r="A379">
        <v>6</v>
      </c>
      <c r="B379" s="1">
        <v>45619</v>
      </c>
      <c r="C379" t="s">
        <v>1946</v>
      </c>
      <c r="D379" t="str">
        <f>VLOOKUP($C379,ТабКлиенты[#Data],MATCH(D$1,ТабКлиенты[#Headers],0),0)</f>
        <v>+79497309448</v>
      </c>
      <c r="E379" t="str">
        <f>VLOOKUP($C379,ТабКлиенты[#Data],MATCH(E$1,ТабКлиенты[#Headers],0),0)</f>
        <v>Урицкого 93а</v>
      </c>
      <c r="G379" s="14" t="str">
        <f>VLOOKUP($C379,ТабКлиенты[#Data],MATCH(G$1,ТабКлиенты[#Headers],0),0)</f>
        <v>47.1238, 37.5116</v>
      </c>
      <c r="H379" s="14">
        <v>2900</v>
      </c>
      <c r="I379" s="13" t="s">
        <v>1271</v>
      </c>
      <c r="J379" s="13">
        <v>1</v>
      </c>
      <c r="K379" t="str">
        <f t="shared" si="19"/>
        <v>6. Виктория Урицкого 93а
Тел.: +79497309448
Адрес: Урицкого 93а
№ заказа: Витамины
Кол-во мест: 1
https://yandex.ru/maps/?text=47.1238%2C37.5116
https://maps.google.com/?daddr=47.1238%2C37.5116
К оплате: **2900
**----------------------------------------------------------</v>
      </c>
    </row>
    <row r="380" spans="1:11" hidden="1" x14ac:dyDescent="0.25">
      <c r="A380">
        <v>7</v>
      </c>
      <c r="B380" s="1">
        <v>45619</v>
      </c>
      <c r="C380" t="s">
        <v>1934</v>
      </c>
      <c r="D380" t="str">
        <f>VLOOKUP($C380,ТабКлиенты[#Data],MATCH(D$1,ТабКлиенты[#Headers],0),0)</f>
        <v>+79498198335</v>
      </c>
      <c r="E380" t="str">
        <f>VLOOKUP($C380,ТабКлиенты[#Data],MATCH(E$1,ТабКлиенты[#Headers],0),0)</f>
        <v>Урицкого 109</v>
      </c>
      <c r="G380" s="14" t="str">
        <f>VLOOKUP($C380,ТабКлиенты[#Data],MATCH(G$1,ТабКлиенты[#Headers],0),0)</f>
        <v>47.1252, 37.5081</v>
      </c>
      <c r="H380" s="14">
        <v>721</v>
      </c>
      <c r="I380" s="13">
        <v>354</v>
      </c>
      <c r="J380" s="13">
        <v>2</v>
      </c>
      <c r="K380" t="str">
        <f t="shared" si="19"/>
        <v>7. Дарья Урицкого
Тел.: +79498198335
Адрес: Урицкого 109
№ заказа: 354
Кол-во мест: 2
https://yandex.ru/maps/?text=47.1252%2C37.5081
https://maps.google.com/?daddr=47.1252%2C37.5081
К оплате: **721
**----------------------------------------------------------</v>
      </c>
    </row>
    <row r="381" spans="1:11" hidden="1" x14ac:dyDescent="0.25">
      <c r="A381">
        <v>8</v>
      </c>
      <c r="B381" s="1">
        <v>45619</v>
      </c>
      <c r="C381" t="s">
        <v>1482</v>
      </c>
      <c r="D381" t="str">
        <f>VLOOKUP($C381,ТабКлиенты[#Data],MATCH(D$1,ТабКлиенты[#Headers],0),0)</f>
        <v>+79497178586</v>
      </c>
      <c r="E381" t="str">
        <f>VLOOKUP($C381,ТабКлиенты[#Data],MATCH(E$1,ТабКлиенты[#Headers],0),0)</f>
        <v>Куприна 51</v>
      </c>
      <c r="G381" s="14" t="str">
        <f>VLOOKUP($C381,ТабКлиенты[#Data],MATCH(G$1,ТабКлиенты[#Headers],0),0)</f>
        <v>47.1094, 37.5104</v>
      </c>
      <c r="H381" s="14">
        <v>0</v>
      </c>
      <c r="I381" s="13">
        <v>337</v>
      </c>
      <c r="J381" s="13">
        <v>1</v>
      </c>
      <c r="K381" t="str">
        <f t="shared" si="19"/>
        <v>8. Михаил Куприна
Тел.: +79497178586
Адрес: Куприна 51
№ заказа: 337
Кол-во мест: 1
https://yandex.ru/maps/?text=47.1094%2C37.5104
https://maps.google.com/?daddr=47.1094%2C37.5104
К оплате: **0
**----------------------------------------------------------</v>
      </c>
    </row>
    <row r="382" spans="1:11" hidden="1" x14ac:dyDescent="0.25">
      <c r="A382">
        <v>9</v>
      </c>
      <c r="B382" s="1">
        <v>45619</v>
      </c>
      <c r="C382" t="s">
        <v>1523</v>
      </c>
      <c r="D382" t="str">
        <f>VLOOKUP($C382,ТабКлиенты[#Data],MATCH(D$1,ТабКлиенты[#Headers],0),0)</f>
        <v>+79494015912</v>
      </c>
      <c r="E382" t="str">
        <f>VLOOKUP($C382,ТабКлиенты[#Data],MATCH(E$1,ТабКлиенты[#Headers],0),0)</f>
        <v>Куприна 17</v>
      </c>
      <c r="G382" s="14" t="str">
        <f>VLOOKUP($C382,ТабКлиенты[#Data],MATCH(G$1,ТабКлиенты[#Headers],0),0)</f>
        <v>47.1034, 37.5110</v>
      </c>
      <c r="H382" s="14">
        <v>0</v>
      </c>
      <c r="I382" s="13">
        <v>348</v>
      </c>
      <c r="J382" s="13">
        <v>1</v>
      </c>
      <c r="K382" t="str">
        <f t="shared" si="19"/>
        <v>9. Кирилл Куприна
Тел.: +79494015912
Адрес: Куприна 17
№ заказа: 348
Кол-во мест: 1
https://yandex.ru/maps/?text=47.1034%2C37.5110
https://maps.google.com/?daddr=47.1034%2C37.5110
К оплате: **0
**----------------------------------------------------------</v>
      </c>
    </row>
    <row r="383" spans="1:11" hidden="1" x14ac:dyDescent="0.25">
      <c r="A383">
        <v>10</v>
      </c>
      <c r="B383" s="1">
        <v>45619</v>
      </c>
      <c r="C383" t="s">
        <v>385</v>
      </c>
      <c r="D383" t="str">
        <f>VLOOKUP($C383,ТабКлиенты[#Data],MATCH(D$1,ТабКлиенты[#Headers],0),0)</f>
        <v>+79497169864</v>
      </c>
      <c r="E383" t="str">
        <f>VLOOKUP($C383,ТабКлиенты[#Data],MATCH(E$1,ТабКлиенты[#Headers],0),0)</f>
        <v>пер. Ейский 9</v>
      </c>
      <c r="G383" s="14" t="str">
        <f>VLOOKUP($C383,ТабКлиенты[#Data],MATCH(G$1,ТабКлиенты[#Headers],0),0)</f>
        <v>47.0898, 37.5062</v>
      </c>
      <c r="H383" s="14">
        <v>13200</v>
      </c>
      <c r="I383" s="13" t="s">
        <v>1271</v>
      </c>
      <c r="J383" s="13">
        <v>1</v>
      </c>
      <c r="K383" t="str">
        <f t="shared" si="19"/>
        <v>10. Надежда Витамины
Тел.: +79497169864
Адрес: пер. Ейский 9
№ заказа: Витамины
Кол-во мест: 1
https://yandex.ru/maps/?text=47.0898%2C37.5062
https://maps.google.com/?daddr=47.0898%2C37.5062
К оплате: **13200
**----------------------------------------------------------</v>
      </c>
    </row>
    <row r="384" spans="1:11" hidden="1" x14ac:dyDescent="0.25">
      <c r="A384">
        <v>11</v>
      </c>
      <c r="B384" s="1">
        <v>45619</v>
      </c>
      <c r="C384" t="s">
        <v>504</v>
      </c>
      <c r="D384" t="str">
        <f>VLOOKUP($C384,ТабКлиенты[#Data],MATCH(D$1,ТабКлиенты[#Headers],0),0)</f>
        <v>+79497179245</v>
      </c>
      <c r="E384" t="str">
        <f>VLOOKUP($C384,ТабКлиенты[#Data],MATCH(E$1,ТабКлиенты[#Headers],0),0)</f>
        <v>Ткаченко Петренко 3</v>
      </c>
      <c r="G384" s="14" t="str">
        <f>VLOOKUP($C384,ТабКлиенты[#Data],MATCH(G$1,ТабКлиенты[#Headers],0),0)</f>
        <v>47.0853, 37.5071</v>
      </c>
      <c r="H384" s="14">
        <v>1300</v>
      </c>
      <c r="I384" s="13" t="s">
        <v>1271</v>
      </c>
      <c r="J384" s="13">
        <v>1</v>
      </c>
      <c r="K384" t="str">
        <f t="shared" si="19"/>
        <v>11. Светлана Кулаки
Тел.: +79497179245
Адрес: Ткаченко Петренко 3
№ заказа: Витамины
Кол-во мест: 1
https://yandex.ru/maps/?text=47.0853%2C37.5071
https://maps.google.com/?daddr=47.0853%2C37.5071
К оплате: **1300
**----------------------------------------------------------</v>
      </c>
    </row>
    <row r="385" spans="1:11" hidden="1" x14ac:dyDescent="0.25">
      <c r="A385">
        <v>12</v>
      </c>
      <c r="B385" s="1">
        <v>45619</v>
      </c>
      <c r="C385" t="s">
        <v>1488</v>
      </c>
      <c r="D385" t="str">
        <f>VLOOKUP($C385,ТабКлиенты[#Data],MATCH(D$1,ТабКлиенты[#Headers],0),0)</f>
        <v>+79497050485</v>
      </c>
      <c r="E385" t="str">
        <f>VLOOKUP($C385,ТабКлиенты[#Data],MATCH(E$1,ТабКлиенты[#Headers],0),0)</f>
        <v>Лавицкого 20</v>
      </c>
      <c r="G385" s="14" t="str">
        <f>VLOOKUP($C385,ТабКлиенты[#Data],MATCH(G$1,ТабКлиенты[#Headers],0),0)</f>
        <v>47.0877, 37.5175</v>
      </c>
      <c r="H385" s="14">
        <v>1383</v>
      </c>
      <c r="I385" s="13">
        <v>353</v>
      </c>
      <c r="J385" s="13">
        <v>1</v>
      </c>
      <c r="K385" t="str">
        <f t="shared" si="19"/>
        <v>12. Анна Лавицкого
Тел.: +79497050485
Адрес: Лавицкого 20
№ заказа: 353
Кол-во мест: 1
https://yandex.ru/maps/?text=47.0877%2C37.5175
https://maps.google.com/?daddr=47.0877%2C37.5175
К оплате: **1383
**----------------------------------------------------------</v>
      </c>
    </row>
    <row r="386" spans="1:11" hidden="1" x14ac:dyDescent="0.25">
      <c r="A386">
        <v>13</v>
      </c>
      <c r="B386" s="1">
        <v>45619</v>
      </c>
      <c r="C386" t="s">
        <v>1629</v>
      </c>
      <c r="D386" t="str">
        <f>VLOOKUP($C386,ТабКлиенты[#Data],MATCH(D$1,ТабКлиенты[#Headers],0),0)</f>
        <v>+79493770183</v>
      </c>
      <c r="E386" t="str">
        <f>VLOOKUP($C386,ТабКлиенты[#Data],MATCH(E$1,ТабКлиенты[#Headers],0),0)</f>
        <v>Лунина 13а</v>
      </c>
      <c r="G386" s="14" t="str">
        <f>VLOOKUP($C386,ТабКлиенты[#Data],MATCH(G$1,ТабКлиенты[#Headers],0),0)</f>
        <v>47.0682, 37.5102</v>
      </c>
      <c r="H386" s="14">
        <v>200</v>
      </c>
      <c r="I386" s="13">
        <v>352</v>
      </c>
      <c r="J386" s="13">
        <v>1</v>
      </c>
      <c r="K386" t="str">
        <f t="shared" si="19"/>
        <v>13. Наталья Лунина 13
Тел.: +79493770183
Адрес: Лунина 13а
№ заказа: 352
Кол-во мест: 1
https://yandex.ru/maps/?text=47.0682%2C37.5102
https://maps.google.com/?daddr=47.0682%2C37.5102
К оплате: **200
**----------------------------------------------------------</v>
      </c>
    </row>
    <row r="387" spans="1:11" hidden="1" x14ac:dyDescent="0.25">
      <c r="A387">
        <v>14</v>
      </c>
      <c r="B387" s="1">
        <v>45619</v>
      </c>
      <c r="C387" t="s">
        <v>1942</v>
      </c>
      <c r="D387" t="str">
        <f>VLOOKUP($C387,ТабКлиенты[#Data],MATCH(D$1,ТабКлиенты[#Headers],0),0)</f>
        <v>+79497388231</v>
      </c>
      <c r="E387" t="str">
        <f>VLOOKUP($C387,ТабКлиенты[#Data],MATCH(E$1,ТабКлиенты[#Headers],0),0)</f>
        <v>Леваневского 58</v>
      </c>
      <c r="G387" s="14" t="str">
        <f>VLOOKUP($C387,ТабКлиенты[#Data],MATCH(G$1,ТабКлиенты[#Headers],0),0)</f>
        <v>47.1007, 37.5310</v>
      </c>
      <c r="H387" s="14">
        <v>7500</v>
      </c>
      <c r="I387" s="13" t="s">
        <v>1271</v>
      </c>
      <c r="J387" s="13">
        <v>1</v>
      </c>
      <c r="K387" t="str">
        <f t="shared" si="19"/>
        <v>14. Валентина Сычева
Тел.: +79497388231
Адрес: Леваневского 58
№ заказа: Витамины
Кол-во мест: 1
https://yandex.ru/maps/?text=47.1007%2C37.5310
https://maps.google.com/?daddr=47.1007%2C37.5310
К оплате: **7500
**----------------------------------------------------------</v>
      </c>
    </row>
    <row r="388" spans="1:11" hidden="1" x14ac:dyDescent="0.25">
      <c r="A388">
        <v>1</v>
      </c>
      <c r="B388" s="1">
        <v>45626</v>
      </c>
      <c r="C388" t="s">
        <v>422</v>
      </c>
      <c r="D388" t="str">
        <f>VLOOKUP($C388,ТабКлиенты[#Data],MATCH(D$1,ТабКлиенты[#Headers],0),0)</f>
        <v>+79497089129</v>
      </c>
      <c r="E388" t="str">
        <f>VLOOKUP($C388,ТабКлиенты[#Data],MATCH(E$1,ТабКлиенты[#Headers],0),0)</f>
        <v>Энгельса 28А</v>
      </c>
      <c r="G388" s="14" t="str">
        <f>VLOOKUP($C388,ТабКлиенты[#Data],MATCH(G$1,ТабКлиенты[#Headers],0),0)</f>
        <v>47.0964, 37.5459</v>
      </c>
      <c r="H388" s="14">
        <v>0</v>
      </c>
      <c r="I388" s="13">
        <v>347</v>
      </c>
      <c r="J388" s="13">
        <v>1</v>
      </c>
      <c r="K388" t="str">
        <f t="shared" ref="K388:K404" si="20">A388&amp;". "&amp;C388&amp;CHAR(10)&amp;"Тел.: "&amp;D388&amp;CHAR(10)&amp;"Адрес: "&amp;E388&amp;CHAR(10)&amp;"№ заказа: "&amp;I388&amp;CHAR(10)&amp;"Кол-во мест: "&amp;J388&amp;CHAR(10)&amp;"https://yandex.ru/maps/?text="&amp;REPLACE(G388,SEARCH(",",G388),2,"%2C")&amp;CHAR(10)&amp;"https://maps.google.com/?daddr="&amp;REPLACE(G388,SEARCH(",",G388),2,"%2C")&amp;CHAR(10)&amp;"К оплате: "&amp;"**"&amp;H388&amp;CHAR(10)&amp;"**"&amp;"----------------------------------------------------------"</f>
        <v>1. Лакарова Татьяна
Тел.: +79497089129
Адрес: Энгельса 28А
№ заказа: 347
Кол-во мест: 1
https://yandex.ru/maps/?text=47.0964%2C37.5459
https://maps.google.com/?daddr=47.0964%2C37.5459
К оплате: **0
**----------------------------------------------------------</v>
      </c>
    </row>
    <row r="389" spans="1:11" hidden="1" x14ac:dyDescent="0.25">
      <c r="A389">
        <v>2</v>
      </c>
      <c r="B389" s="1">
        <v>45626</v>
      </c>
      <c r="C389" t="s">
        <v>1927</v>
      </c>
      <c r="D389" t="str">
        <f>VLOOKUP($C389,ТабКлиенты[#Data],MATCH(D$1,ТабКлиенты[#Headers],0),0)</f>
        <v>+79497304640</v>
      </c>
      <c r="E389" t="s">
        <v>2002</v>
      </c>
      <c r="G389" s="14" t="s">
        <v>2003</v>
      </c>
      <c r="H389" s="14">
        <v>-166</v>
      </c>
      <c r="I389" s="13">
        <v>350</v>
      </c>
      <c r="J389" s="13">
        <v>1</v>
      </c>
      <c r="K389" t="str">
        <f t="shared" si="20"/>
        <v>2. Юрий от Вадима
Тел.: +79497304640
Адрес: Ц Рынок
№ заказа: 350
Кол-во мест: 1
https://yandex.ru/maps/?text=47.1003%2C37.5462
https://maps.google.com/?daddr=47.1003%2C37.5462
К оплате: **-166
**----------------------------------------------------------</v>
      </c>
    </row>
    <row r="390" spans="1:11" hidden="1" x14ac:dyDescent="0.25">
      <c r="A390">
        <v>3</v>
      </c>
      <c r="B390" s="1">
        <v>45626</v>
      </c>
      <c r="C390" t="s">
        <v>1964</v>
      </c>
      <c r="D390" t="str">
        <f>VLOOKUP($C390,ТабКлиенты[#Data],MATCH(D$1,ТабКлиенты[#Headers],0),0)</f>
        <v>+7949</v>
      </c>
      <c r="E390" t="str">
        <f>VLOOKUP($C390,ТабКлиенты[#Data],MATCH(E$1,ТабКлиенты[#Headers],0),0)</f>
        <v>Казанцева 116</v>
      </c>
      <c r="G390" s="14" t="str">
        <f>VLOOKUP($C390,ТабКлиенты[#Data],MATCH(G$1,ТабКлиенты[#Headers],0),0)</f>
        <v>47.1036, 37.5427</v>
      </c>
      <c r="H390" s="14">
        <v>0</v>
      </c>
      <c r="I390" s="13">
        <v>357</v>
      </c>
      <c r="J390" s="13">
        <v>1</v>
      </c>
      <c r="K390" t="str">
        <f t="shared" si="20"/>
        <v>3. Дронго
Тел.: +7949
Адрес: Казанцева 116
№ заказа: 357
Кол-во мест: 1
https://yandex.ru/maps/?text=47.1036%2C37.5427
https://maps.google.com/?daddr=47.1036%2C37.5427
К оплате: **0
**----------------------------------------------------------</v>
      </c>
    </row>
    <row r="391" spans="1:11" hidden="1" x14ac:dyDescent="0.25">
      <c r="A391">
        <v>4</v>
      </c>
      <c r="B391" s="1">
        <v>45626</v>
      </c>
      <c r="C391" t="s">
        <v>295</v>
      </c>
      <c r="D391" t="str">
        <f>VLOOKUP($C391,ТабКлиенты[#Data],MATCH(D$1,ТабКлиенты[#Headers],0),0)</f>
        <v>+79497277100</v>
      </c>
      <c r="E391" t="str">
        <f>VLOOKUP($C391,ТабКлиенты[#Data],MATCH(E$1,ТабКлиенты[#Headers],0),0)</f>
        <v>Артема 132</v>
      </c>
      <c r="G391" s="14" t="str">
        <f>VLOOKUP($C391,ТабКлиенты[#Data],MATCH(G$1,ТабКлиенты[#Headers],0),0)</f>
        <v>47.1085, 37.5599</v>
      </c>
      <c r="H391" s="14">
        <v>5600</v>
      </c>
      <c r="I391" s="13">
        <v>339</v>
      </c>
      <c r="J391" s="13">
        <v>1</v>
      </c>
      <c r="K391" t="str">
        <f t="shared" si="20"/>
        <v>4. Александр Радин
Тел.: +79497277100
Адрес: Артема 132
№ заказа: 339
Кол-во мест: 1
https://yandex.ru/maps/?text=47.1085%2C37.5599
https://maps.google.com/?daddr=47.1085%2C37.5599
К оплате: **5600
**----------------------------------------------------------</v>
      </c>
    </row>
    <row r="392" spans="1:11" hidden="1" x14ac:dyDescent="0.25">
      <c r="A392">
        <v>5</v>
      </c>
      <c r="B392" s="1">
        <v>45626</v>
      </c>
      <c r="C392" t="s">
        <v>357</v>
      </c>
      <c r="D392" t="str">
        <f>VLOOKUP($C392,ТабКлиенты[#Data],MATCH(D$1,ТабКлиенты[#Headers],0),0)</f>
        <v>+79497114644</v>
      </c>
      <c r="E392" t="str">
        <f>VLOOKUP($C392,ТабКлиенты[#Data],MATCH(E$1,ТабКлиенты[#Headers],0),0)</f>
        <v>Металлургов 143</v>
      </c>
      <c r="G392" s="14" t="str">
        <f>VLOOKUP($C392,ТабКлиенты[#Data],MATCH(G$1,ТабКлиенты[#Headers],0),0)</f>
        <v>47.1199, 37.5643</v>
      </c>
      <c r="H392" s="14">
        <v>0</v>
      </c>
      <c r="I392" s="13">
        <v>355</v>
      </c>
      <c r="J392" s="13">
        <v>2</v>
      </c>
      <c r="K392" t="str">
        <f t="shared" si="20"/>
        <v>5. Юля Ларисына
Тел.: +79497114644
Адрес: Металлургов 143
№ заказа: 355
Кол-во мест: 2
https://yandex.ru/maps/?text=47.1199%2C37.5643
https://maps.google.com/?daddr=47.1199%2C37.5643
К оплате: **0
**----------------------------------------------------------</v>
      </c>
    </row>
    <row r="393" spans="1:11" hidden="1" x14ac:dyDescent="0.25">
      <c r="A393">
        <v>6</v>
      </c>
      <c r="B393" s="1">
        <v>45626</v>
      </c>
      <c r="C393" t="s">
        <v>445</v>
      </c>
      <c r="D393" t="str">
        <f>VLOOKUP($C393,ТабКлиенты[#Data],MATCH(D$1,ТабКлиенты[#Headers],0),0)</f>
        <v>+79497262176</v>
      </c>
      <c r="E393" t="str">
        <f>VLOOKUP($C393,ТабКлиенты[#Data],MATCH(E$1,ТабКлиенты[#Headers],0),0)</f>
        <v>Металлургов 179, кв 114</v>
      </c>
      <c r="G393" s="14" t="str">
        <f>VLOOKUP($C393,ТабКлиенты[#Data],MATCH(G$1,ТабКлиенты[#Headers],0),0)</f>
        <v>47.1248, 37.5657</v>
      </c>
      <c r="H393" s="14">
        <v>0</v>
      </c>
      <c r="I393" s="13">
        <v>349</v>
      </c>
      <c r="J393" s="13">
        <v>2</v>
      </c>
      <c r="K393" t="str">
        <f t="shared" si="20"/>
        <v>6. Светлана от Александра
Тел.: +79497262176
Адрес: Металлургов 179, кв 114
№ заказа: 349
Кол-во мест: 2
https://yandex.ru/maps/?text=47.1248%2C37.5657
https://maps.google.com/?daddr=47.1248%2C37.5657
К оплате: **0
**----------------------------------------------------------</v>
      </c>
    </row>
    <row r="394" spans="1:11" hidden="1" x14ac:dyDescent="0.25">
      <c r="A394">
        <v>7</v>
      </c>
      <c r="B394" s="1">
        <v>45626</v>
      </c>
      <c r="C394" t="s">
        <v>1818</v>
      </c>
      <c r="D394" t="str">
        <f>VLOOKUP($C394,ТабКлиенты[#Data],MATCH(D$1,ТабКлиенты[#Headers],0),0)</f>
        <v>+79497183446</v>
      </c>
      <c r="E394" t="str">
        <f>VLOOKUP($C394,ТабКлиенты[#Data],MATCH(E$1,ТабКлиенты[#Headers],0),0)</f>
        <v>Металлургов 199</v>
      </c>
      <c r="G394" s="14" t="str">
        <f>VLOOKUP($C394,ТабКлиенты[#Data],MATCH(G$1,ТабКлиенты[#Headers],0),0)</f>
        <v>47.1286, 37.5670</v>
      </c>
      <c r="H394" s="14">
        <v>2300</v>
      </c>
      <c r="I394" s="13" t="s">
        <v>1271</v>
      </c>
      <c r="J394" s="13">
        <v>1</v>
      </c>
      <c r="K394" t="str">
        <f t="shared" si="20"/>
        <v>7. Елена сахар
Тел.: +79497183446
Адрес: Металлургов 199
№ заказа: Витамины
Кол-во мест: 1
https://yandex.ru/maps/?text=47.1286%2C37.5670
https://maps.google.com/?daddr=47.1286%2C37.5670
К оплате: **2300
**----------------------------------------------------------</v>
      </c>
    </row>
    <row r="395" spans="1:11" hidden="1" x14ac:dyDescent="0.25">
      <c r="A395">
        <v>8</v>
      </c>
      <c r="B395" s="1">
        <v>45626</v>
      </c>
      <c r="C395" t="s">
        <v>437</v>
      </c>
      <c r="D395" t="str">
        <f>VLOOKUP($C395,ТабКлиенты[#Data],MATCH(D$1,ТабКлиенты[#Headers],0),0)</f>
        <v>+79497115237</v>
      </c>
      <c r="E395" t="s">
        <v>2000</v>
      </c>
      <c r="G395" s="14" t="s">
        <v>2001</v>
      </c>
      <c r="H395" s="14">
        <v>4150</v>
      </c>
      <c r="I395" s="13" t="s">
        <v>1271</v>
      </c>
      <c r="J395" s="13">
        <v>1</v>
      </c>
      <c r="K395" t="str">
        <f t="shared" si="20"/>
        <v>8. Аня Мирный
Тел.: +79497115237
Адрес: Доменная 25
№ заказа: Витамины
Кол-во мест: 1
https://yandex.ru/maps/?text=47.1378%2C37.5922
https://maps.google.com/?daddr=47.1378%2C37.5922
К оплате: **4150
**----------------------------------------------------------</v>
      </c>
    </row>
    <row r="396" spans="1:11" hidden="1" x14ac:dyDescent="0.25">
      <c r="A396">
        <v>9</v>
      </c>
      <c r="B396" s="1">
        <v>45626</v>
      </c>
      <c r="C396" t="s">
        <v>1771</v>
      </c>
      <c r="D396" t="str">
        <f>VLOOKUP($C396,ТабКлиенты[#Data],MATCH(D$1,ТабКлиенты[#Headers],0),0)</f>
        <v>+79497237937</v>
      </c>
      <c r="E396" t="str">
        <f>VLOOKUP($C396,ТабКлиенты[#Data],MATCH(E$1,ТабКлиенты[#Headers],0),0)</f>
        <v>Сеченова 96 подъезд 1</v>
      </c>
      <c r="G396" s="14" t="str">
        <f>VLOOKUP($C396,ТабКлиенты[#Data],MATCH(G$1,ТабКлиенты[#Headers],0),0)</f>
        <v>47.1263, 37.5623</v>
      </c>
      <c r="H396" s="14"/>
      <c r="I396" s="13">
        <v>358</v>
      </c>
      <c r="J396" s="13">
        <v>1</v>
      </c>
      <c r="K396" t="str">
        <f t="shared" si="20"/>
        <v>9. Елена от Светланы
Тел.: +79497237937
Адрес: Сеченова 96 подъезд 1
№ заказа: 358
Кол-во мест: 1
https://yandex.ru/maps/?text=47.1263%2C37.5623
https://maps.google.com/?daddr=47.1263%2C37.5623
К оплате: **
**----------------------------------------------------------</v>
      </c>
    </row>
    <row r="397" spans="1:11" hidden="1" x14ac:dyDescent="0.25">
      <c r="A397">
        <v>10</v>
      </c>
      <c r="B397" s="1">
        <v>45626</v>
      </c>
      <c r="C397" t="s">
        <v>33</v>
      </c>
      <c r="D397" t="str">
        <f>VLOOKUP($C397,ТабКлиенты[#Data],MATCH(D$1,ТабКлиенты[#Headers],0),0)</f>
        <v>+79496069479</v>
      </c>
      <c r="E397" t="str">
        <f>VLOOKUP($C397,ТабКлиенты[#Data],MATCH(E$1,ТабКлиенты[#Headers],0),0)</f>
        <v>Марьинская 145 Новоселовка Церковь</v>
      </c>
      <c r="G397" s="14" t="str">
        <f>VLOOKUP($C397,ТабКлиенты[#Data],MATCH(G$1,ТабКлиенты[#Headers],0),0)</f>
        <v>47.1126, 37.5473</v>
      </c>
      <c r="H397" s="14">
        <v>-536</v>
      </c>
      <c r="I397" s="13">
        <v>335</v>
      </c>
      <c r="J397" s="13">
        <v>1</v>
      </c>
      <c r="K397" t="str">
        <f t="shared" si="20"/>
        <v>10. Галина Агабекова(церковь)
Тел.: +79496069479
Адрес: Марьинская 145 Новоселовка Церковь
№ заказа: 335
Кол-во мест: 1
https://yandex.ru/maps/?text=47.1126%2C37.5473
https://maps.google.com/?daddr=47.1126%2C37.5473
К оплате: **-536
**----------------------------------------------------------</v>
      </c>
    </row>
    <row r="398" spans="1:11" hidden="1" x14ac:dyDescent="0.25">
      <c r="A398">
        <v>11</v>
      </c>
      <c r="B398" s="1">
        <v>45626</v>
      </c>
      <c r="C398" t="s">
        <v>1991</v>
      </c>
      <c r="D398" t="str">
        <f>VLOOKUP($C398,ТабКлиенты[#Data],MATCH(D$1,ТабКлиенты[#Headers],0),0)</f>
        <v>+79497486910</v>
      </c>
      <c r="E398" t="str">
        <f>VLOOKUP($C398,ТабКлиенты[#Data],MATCH(E$1,ТабКлиенты[#Headers],0),0)</f>
        <v>50 лет СССР 32 подъезд 3 кв 95</v>
      </c>
      <c r="G398" s="14" t="str">
        <f>VLOOKUP($C398,ТабКлиенты[#Data],MATCH(G$1,ТабКлиенты[#Headers],0),0)</f>
        <v>47.1099, 37.5190</v>
      </c>
      <c r="H398" s="14">
        <v>0</v>
      </c>
      <c r="I398" s="13">
        <v>363</v>
      </c>
      <c r="J398" s="13">
        <v>1</v>
      </c>
      <c r="K398" t="str">
        <f t="shared" si="20"/>
        <v>11. Ольга Родион 17
Тел.: +79497486910
Адрес: 50 лет СССР 32 подъезд 3 кв 95
№ заказа: 363
Кол-во мест: 1
https://yandex.ru/maps/?text=47.1099%2C37.5190
https://maps.google.com/?daddr=47.1099%2C37.5190
К оплате: **0
**----------------------------------------------------------</v>
      </c>
    </row>
    <row r="399" spans="1:11" hidden="1" x14ac:dyDescent="0.25">
      <c r="A399">
        <v>12</v>
      </c>
      <c r="B399" s="1">
        <v>45626</v>
      </c>
      <c r="C399" t="s">
        <v>1908</v>
      </c>
      <c r="D399" t="str">
        <f>VLOOKUP($C399,ТабКлиенты[#Data],MATCH(D$1,ТабКлиенты[#Headers],0),0)</f>
        <v>+79496136002</v>
      </c>
      <c r="E399" t="str">
        <f>VLOOKUP($C399,ТабКлиенты[#Data],MATCH(E$1,ТабКлиенты[#Headers],0),0)</f>
        <v>50 лет СССР 40</v>
      </c>
      <c r="G399" s="14" t="str">
        <f>VLOOKUP($C399,ТабКлиенты[#Data],MATCH(G$1,ТабКлиенты[#Headers],0),0)</f>
        <v>47.1100, 37.5165</v>
      </c>
      <c r="H399" s="14">
        <v>637</v>
      </c>
      <c r="I399" s="13">
        <v>344</v>
      </c>
      <c r="J399" s="13">
        <v>1</v>
      </c>
      <c r="K399" t="str">
        <f t="shared" si="20"/>
        <v>12. Лидия Цысь
Тел.: +79496136002
Адрес: 50 лет СССР 40
№ заказа: 344
Кол-во мест: 1
https://yandex.ru/maps/?text=47.1100%2C37.5165
https://maps.google.com/?daddr=47.1100%2C37.5165
К оплате: **637
**----------------------------------------------------------</v>
      </c>
    </row>
    <row r="400" spans="1:11" hidden="1" x14ac:dyDescent="0.25">
      <c r="A400">
        <v>13</v>
      </c>
      <c r="B400" s="1">
        <v>45626</v>
      </c>
      <c r="C400" t="s">
        <v>1482</v>
      </c>
      <c r="D400" t="str">
        <f>VLOOKUP($C400,ТабКлиенты[#Data],MATCH(D$1,ТабКлиенты[#Headers],0),0)</f>
        <v>+79497178586</v>
      </c>
      <c r="E400" t="str">
        <f>VLOOKUP($C400,ТабКлиенты[#Data],MATCH(E$1,ТабКлиенты[#Headers],0),0)</f>
        <v>Куприна 51</v>
      </c>
      <c r="G400" s="14" t="str">
        <f>VLOOKUP($C400,ТабКлиенты[#Data],MATCH(G$1,ТабКлиенты[#Headers],0),0)</f>
        <v>47.1094, 37.5104</v>
      </c>
      <c r="H400" s="14">
        <v>0</v>
      </c>
      <c r="I400" s="13">
        <v>356</v>
      </c>
      <c r="J400" s="13">
        <v>1</v>
      </c>
      <c r="K400" t="str">
        <f t="shared" si="20"/>
        <v>13. Михаил Куприна
Тел.: +79497178586
Адрес: Куприна 51
№ заказа: 356
Кол-во мест: 1
https://yandex.ru/maps/?text=47.1094%2C37.5104
https://maps.google.com/?daddr=47.1094%2C37.5104
К оплате: **0
**----------------------------------------------------------</v>
      </c>
    </row>
    <row r="401" spans="1:11" hidden="1" x14ac:dyDescent="0.25">
      <c r="A401">
        <v>14</v>
      </c>
      <c r="B401" s="1">
        <v>45626</v>
      </c>
      <c r="C401" t="s">
        <v>400</v>
      </c>
      <c r="D401" t="str">
        <f>VLOOKUP($C401,ТабКлиенты[#Data],MATCH(D$1,ТабКлиенты[#Headers],0),0)</f>
        <v>+79497336840</v>
      </c>
      <c r="E401" t="str">
        <f>VLOOKUP($C401,ТабКлиенты[#Data],MATCH(E$1,ТабКлиенты[#Headers],0),0)</f>
        <v>Бригантина 152</v>
      </c>
      <c r="G401" s="14" t="str">
        <f>VLOOKUP($C401,ТабКлиенты[#Data],MATCH(G$1,ТабКлиенты[#Headers],0),0)</f>
        <v>47.0779, 37.4879</v>
      </c>
      <c r="H401" s="14">
        <v>8000</v>
      </c>
      <c r="I401" s="13" t="s">
        <v>1271</v>
      </c>
      <c r="J401" s="13">
        <v>1</v>
      </c>
      <c r="K401" t="str">
        <f t="shared" si="20"/>
        <v>14. Татьяна Бригантина
Тел.: +79497336840
Адрес: Бригантина 152
№ заказа: Витамины
Кол-во мест: 1
https://yandex.ru/maps/?text=47.0779%2C37.4879
https://maps.google.com/?daddr=47.0779%2C37.4879
К оплате: **8000
**----------------------------------------------------------</v>
      </c>
    </row>
    <row r="402" spans="1:11" hidden="1" x14ac:dyDescent="0.25">
      <c r="A402">
        <v>15</v>
      </c>
      <c r="B402" s="1">
        <v>45626</v>
      </c>
      <c r="C402" t="s">
        <v>1995</v>
      </c>
      <c r="D402" t="str">
        <f>VLOOKUP($C402,ТабКлиенты[#Data],MATCH(D$1,ТабКлиенты[#Headers],0),0)</f>
        <v>+79495228017</v>
      </c>
      <c r="E402" t="str">
        <f>VLOOKUP($C402,ТабКлиенты[#Data],MATCH(E$1,ТабКлиенты[#Headers],0),0)</f>
        <v>Вахтангова 15а</v>
      </c>
      <c r="G402" s="14" t="str">
        <f>VLOOKUP($C402,ТабКлиенты[#Data],MATCH(G$1,ТабКлиенты[#Headers],0),0)</f>
        <v>47.0882, 37.5117</v>
      </c>
      <c r="H402" s="14">
        <v>4800</v>
      </c>
      <c r="I402" s="13" t="s">
        <v>1271</v>
      </c>
      <c r="J402" s="13">
        <v>1</v>
      </c>
      <c r="K402" t="str">
        <f t="shared" si="20"/>
        <v>15. Татьяна Вахтангова
Тел.: +79495228017
Адрес: Вахтангова 15а
№ заказа: Витамины
Кол-во мест: 1
https://yandex.ru/maps/?text=47.0882%2C37.5117
https://maps.google.com/?daddr=47.0882%2C37.5117
К оплате: **4800
**----------------------------------------------------------</v>
      </c>
    </row>
    <row r="403" spans="1:11" hidden="1" x14ac:dyDescent="0.25">
      <c r="A403">
        <v>16</v>
      </c>
      <c r="B403" s="1">
        <v>45626</v>
      </c>
      <c r="C403" t="s">
        <v>1996</v>
      </c>
      <c r="D403" t="str">
        <f>VLOOKUP($C403,ТабКлиенты[#Data],MATCH(D$1,ТабКлиенты[#Headers],0),0)</f>
        <v>+79490353603</v>
      </c>
      <c r="E403" t="str">
        <f>VLOOKUP($C403,ТабКлиенты[#Data],MATCH(E$1,ТабКлиенты[#Headers],0),0)</f>
        <v>Кронштадстская 14</v>
      </c>
      <c r="G403" s="14" t="str">
        <f>VLOOKUP($C403,ТабКлиенты[#Data],MATCH(G$1,ТабКлиенты[#Headers],0),0)</f>
        <v>47.0814, 37.5132</v>
      </c>
      <c r="H403" s="14">
        <v>624</v>
      </c>
      <c r="I403" s="13">
        <v>364</v>
      </c>
      <c r="J403" s="13">
        <v>1</v>
      </c>
      <c r="K403" t="str">
        <f t="shared" si="20"/>
        <v>16. SR
Тел.: +79490353603
Адрес: Кронштадстская 14
№ заказа: 364
Кол-во мест: 1
https://yandex.ru/maps/?text=47.0814%2C37.5132
https://maps.google.com/?daddr=47.0814%2C37.5132
К оплате: **624
**----------------------------------------------------------</v>
      </c>
    </row>
    <row r="404" spans="1:11" hidden="1" x14ac:dyDescent="0.25">
      <c r="A404">
        <v>17</v>
      </c>
      <c r="B404" s="1">
        <v>45626</v>
      </c>
      <c r="C404" t="s">
        <v>219</v>
      </c>
      <c r="D404" t="str">
        <f>VLOOKUP($C404,ТабКлиенты[#Data],MATCH(D$1,ТабКлиенты[#Headers],0),0)</f>
        <v>+79496146139</v>
      </c>
      <c r="E404" t="str">
        <f>VLOOKUP($C404,ТабКлиенты[#Data],MATCH(E$1,ТабКлиенты[#Headers],0),0)</f>
        <v>Лавицкого, 16. кв. 53, домофон 38</v>
      </c>
      <c r="G404" s="14" t="str">
        <f>VLOOKUP($C404,ТабКлиенты[#Data],MATCH(G$1,ТабКлиенты[#Headers],0),0)</f>
        <v>47.0872, 37.5194</v>
      </c>
      <c r="H404" s="14">
        <v>600</v>
      </c>
      <c r="I404" s="13">
        <v>351</v>
      </c>
      <c r="J404" s="13">
        <v>1</v>
      </c>
      <c r="K404" t="str">
        <f t="shared" si="20"/>
        <v>17. Лариса Лавицкого 16
Тел.: +79496146139
Адрес: Лавицкого, 16. кв. 53, домофон 38
№ заказа: 351
Кол-во мест: 1
https://yandex.ru/maps/?text=47.0872%2C37.5194
https://maps.google.com/?daddr=47.0872%2C37.5194
К оплате: **600
**----------------------------------------------------------</v>
      </c>
    </row>
    <row r="405" spans="1:11" hidden="1" x14ac:dyDescent="0.25">
      <c r="A405">
        <v>1</v>
      </c>
      <c r="B405" s="1">
        <v>45633</v>
      </c>
      <c r="C405" t="s">
        <v>287</v>
      </c>
      <c r="D405" t="str">
        <f>VLOOKUP($C405,ТабКлиенты[#Data],MATCH(D$1,ТабКлиенты[#Headers],0),0)</f>
        <v>+79497398064</v>
      </c>
      <c r="E405" t="str">
        <f>VLOOKUP($C405,ТабКлиенты[#Data],MATCH(E$1,ТабКлиенты[#Headers],0),0)</f>
        <v>Металлургов, 97</v>
      </c>
      <c r="F405" s="80">
        <v>0.39583333333333331</v>
      </c>
      <c r="G405" s="14" t="str">
        <f>VLOOKUP($C405,ТабКлиенты[#Data],MATCH(G$1,ТабКлиенты[#Headers],0),0)</f>
        <v>47.1070, 37.5542</v>
      </c>
      <c r="H405" s="14">
        <v>0</v>
      </c>
      <c r="I405" s="13">
        <v>360</v>
      </c>
      <c r="K405" t="str">
        <f>A405&amp;". "&amp;TEXT(F405,"ЧЧ:ММ")&amp;" "&amp;C405&amp;CHAR(10)&amp;"Тел.: "&amp;D405&amp;CHAR(10)&amp;"Адрес: "&amp;E405&amp;CHAR(10)&amp;"№ заказа: "&amp;I405&amp;CHAR(10)&amp;"Кол-во мест: "&amp;J405&amp;CHAR(10)&amp;"https://yandex.ru/maps/?text="&amp;REPLACE(G405,SEARCH(",",G405),2,"%2C")&amp;CHAR(10)&amp;"https://maps.google.com/?daddr="&amp;REPLACE(G405,SEARCH(",",G405),2,"%2C")&amp;CHAR(10)&amp;"К оплате: "&amp;"**"&amp;H405&amp;CHAR(10)&amp;"**"&amp;"--------------------------------"</f>
        <v>1. 09:30 Елена Ларисына
Тел.: +79497398064
Адрес: Металлургов, 97
№ заказа: 360
Кол-во мест: 
https://yandex.ru/maps/?text=47.1070%2C37.5542
https://maps.google.com/?daddr=47.1070%2C37.5542
К оплате: **0
**--------------------------------</v>
      </c>
    </row>
    <row r="406" spans="1:11" hidden="1" x14ac:dyDescent="0.25">
      <c r="A406">
        <v>2</v>
      </c>
      <c r="B406" s="1">
        <v>45633</v>
      </c>
      <c r="C406" t="s">
        <v>357</v>
      </c>
      <c r="D406" t="str">
        <f>VLOOKUP($C406,ТабКлиенты[#Data],MATCH(D$1,ТабКлиенты[#Headers],0),0)</f>
        <v>+79497114644</v>
      </c>
      <c r="E406" t="str">
        <f>VLOOKUP($C406,ТабКлиенты[#Data],MATCH(E$1,ТабКлиенты[#Headers],0),0)</f>
        <v>Металлургов 143</v>
      </c>
      <c r="F406" s="80">
        <v>0.40277777777777779</v>
      </c>
      <c r="G406" s="14" t="str">
        <f>VLOOKUP($C406,ТабКлиенты[#Data],MATCH(G$1,ТабКлиенты[#Headers],0),0)</f>
        <v>47.1199, 37.5643</v>
      </c>
      <c r="H406" s="14">
        <v>0</v>
      </c>
      <c r="I406" s="13">
        <v>355</v>
      </c>
      <c r="K406" t="str">
        <f t="shared" ref="K406:K416" si="21">A406&amp;". "&amp;TEXT(F406,"ЧЧ:ММ")&amp;" "&amp;C406&amp;CHAR(10)&amp;"Тел.: "&amp;D406&amp;CHAR(10)&amp;"Адрес: "&amp;E406&amp;CHAR(10)&amp;"№ заказа: "&amp;I406&amp;CHAR(10)&amp;"Кол-во мест: "&amp;J406&amp;CHAR(10)&amp;"https://yandex.ru/maps/?text="&amp;REPLACE(G406,SEARCH(",",G406),2,"%2C")&amp;CHAR(10)&amp;"https://maps.google.com/?daddr="&amp;REPLACE(G406,SEARCH(",",G406),2,"%2C")&amp;CHAR(10)&amp;"К оплате: "&amp;"**"&amp;H406&amp;CHAR(10)&amp;"**"&amp;"--------------------------------"</f>
        <v>2. 09:40 Юля Ларисына
Тел.: +79497114644
Адрес: Металлургов 143
№ заказа: 355
Кол-во мест: 
https://yandex.ru/maps/?text=47.1199%2C37.5643
https://maps.google.com/?daddr=47.1199%2C37.5643
К оплате: **0
**--------------------------------</v>
      </c>
    </row>
    <row r="407" spans="1:11" hidden="1" x14ac:dyDescent="0.25">
      <c r="A407">
        <v>3</v>
      </c>
      <c r="B407" s="1">
        <v>45633</v>
      </c>
      <c r="C407" t="s">
        <v>445</v>
      </c>
      <c r="D407" t="str">
        <f>VLOOKUP($C407,ТабКлиенты[#Data],MATCH(D$1,ТабКлиенты[#Headers],0),0)</f>
        <v>+79497262176</v>
      </c>
      <c r="E407" t="str">
        <f>VLOOKUP($C407,ТабКлиенты[#Data],MATCH(E$1,ТабКлиенты[#Headers],0),0)</f>
        <v>Металлургов 179, кв 114</v>
      </c>
      <c r="F407" s="80">
        <v>0.40972222222222221</v>
      </c>
      <c r="G407" s="14" t="str">
        <f>VLOOKUP($C407,ТабКлиенты[#Data],MATCH(G$1,ТабКлиенты[#Headers],0),0)</f>
        <v>47.1248, 37.5657</v>
      </c>
      <c r="H407" s="14">
        <v>0</v>
      </c>
      <c r="I407" s="13">
        <v>366</v>
      </c>
      <c r="K407" t="str">
        <f t="shared" si="21"/>
        <v>3. 09:50 Светлана от Александра
Тел.: +79497262176
Адрес: Металлургов 179, кв 114
№ заказа: 366
Кол-во мест: 
https://yandex.ru/maps/?text=47.1248%2C37.5657
https://maps.google.com/?daddr=47.1248%2C37.5657
К оплате: **0
**--------------------------------</v>
      </c>
    </row>
    <row r="408" spans="1:11" hidden="1" x14ac:dyDescent="0.25">
      <c r="A408">
        <v>4</v>
      </c>
      <c r="B408" s="1">
        <v>45633</v>
      </c>
      <c r="C408" t="s">
        <v>39</v>
      </c>
      <c r="D408" t="str">
        <f>VLOOKUP($C408,ТабКлиенты[#Data],MATCH(D$1,ТабКлиенты[#Headers],0),0)</f>
        <v>+79497132215</v>
      </c>
      <c r="E408" t="str">
        <f>VLOOKUP($C408,ТабКлиенты[#Data],MATCH(E$1,ТабКлиенты[#Headers],0),0)</f>
        <v>Гонды 42</v>
      </c>
      <c r="F408" s="80">
        <v>0.41666666666666669</v>
      </c>
      <c r="G408" s="14" t="str">
        <f>VLOOKUP($C408,ТабКлиенты[#Data],MATCH(G$1,ТабКлиенты[#Headers],0),0)</f>
        <v>47.1274, 37.5691</v>
      </c>
      <c r="H408" s="14">
        <v>0</v>
      </c>
      <c r="I408" s="13">
        <v>336</v>
      </c>
      <c r="K408" t="str">
        <f t="shared" si="21"/>
        <v>4. 10:00 Алена шмалко
Тел.: +79497132215
Адрес: Гонды 42
№ заказа: 336
Кол-во мест: 
https://yandex.ru/maps/?text=47.1274%2C37.5691
https://maps.google.com/?daddr=47.1274%2C37.5691
К оплате: **0
**--------------------------------</v>
      </c>
    </row>
    <row r="409" spans="1:11" hidden="1" x14ac:dyDescent="0.25">
      <c r="A409">
        <v>5</v>
      </c>
      <c r="B409" s="1">
        <v>45633</v>
      </c>
      <c r="C409" t="s">
        <v>1771</v>
      </c>
      <c r="D409" t="str">
        <f>VLOOKUP($C409,ТабКлиенты[#Data],MATCH(D$1,ТабКлиенты[#Headers],0),0)</f>
        <v>+79497237937</v>
      </c>
      <c r="E409" t="str">
        <f>VLOOKUP($C409,ТабКлиенты[#Data],MATCH(E$1,ТабКлиенты[#Headers],0),0)</f>
        <v>Сеченова 96 подъезд 1</v>
      </c>
      <c r="F409" s="80">
        <v>0.4236111111111111</v>
      </c>
      <c r="G409" s="14" t="str">
        <f>VLOOKUP($C409,ТабКлиенты[#Data],MATCH(G$1,ТабКлиенты[#Headers],0),0)</f>
        <v>47.1263, 37.5623</v>
      </c>
      <c r="H409" s="14">
        <v>0</v>
      </c>
      <c r="I409" s="13">
        <v>367</v>
      </c>
      <c r="K409" t="str">
        <f t="shared" si="21"/>
        <v>5. 10:10 Елена от Светланы
Тел.: +79497237937
Адрес: Сеченова 96 подъезд 1
№ заказа: 367
Кол-во мест: 
https://yandex.ru/maps/?text=47.1263%2C37.5623
https://maps.google.com/?daddr=47.1263%2C37.5623
К оплате: **0
**--------------------------------</v>
      </c>
    </row>
    <row r="410" spans="1:11" hidden="1" x14ac:dyDescent="0.25">
      <c r="A410">
        <v>6</v>
      </c>
      <c r="B410" s="1">
        <v>45633</v>
      </c>
      <c r="C410" t="s">
        <v>485</v>
      </c>
      <c r="D410" t="str">
        <f>VLOOKUP($C410,ТабКлиенты[#Data],MATCH(D$1,ТабКлиенты[#Headers],0),0)</f>
        <v>+79498429781</v>
      </c>
      <c r="E410" t="str">
        <f>VLOOKUP($C410,ТабКлиенты[#Data],MATCH(E$1,ТабКлиенты[#Headers],0),0)</f>
        <v>Крымская 42</v>
      </c>
      <c r="F410" s="80">
        <v>0.45833333333333331</v>
      </c>
      <c r="G410" s="14" t="str">
        <f>VLOOKUP($C410,ТабКлиенты[#Data],MATCH(G$1,ТабКлиенты[#Headers],0),0)</f>
        <v>47.1389, 37.5091</v>
      </c>
      <c r="H410" s="14">
        <v>5459</v>
      </c>
      <c r="I410" s="13">
        <v>372</v>
      </c>
      <c r="K410" t="str">
        <f t="shared" si="21"/>
        <v>6. 11:00 Аннет
Тел.: +79498429781
Адрес: Крымская 42
№ заказа: 372
Кол-во мест: 
https://yandex.ru/maps/?text=47.1389%2C37.5091
https://maps.google.com/?daddr=47.1389%2C37.5091
К оплате: **5459
**--------------------------------</v>
      </c>
    </row>
    <row r="411" spans="1:11" hidden="1" x14ac:dyDescent="0.25">
      <c r="A411">
        <v>7</v>
      </c>
      <c r="B411" s="1">
        <v>45633</v>
      </c>
      <c r="C411" t="s">
        <v>338</v>
      </c>
      <c r="D411" t="str">
        <f>VLOOKUP($C411,ТабКлиенты[#Data],MATCH(D$1,ТабКлиенты[#Headers],0),0)</f>
        <v>+79497094719</v>
      </c>
      <c r="E411" t="str">
        <f>VLOOKUP($C411,ТабКлиенты[#Data],MATCH(E$1,ТабКлиенты[#Headers],0),0)</f>
        <v>60 лет СССР 2Б</v>
      </c>
      <c r="F411" s="80">
        <v>0.4861111111111111</v>
      </c>
      <c r="G411" s="14" t="str">
        <f>VLOOKUP($C411,ТабКлиенты[#Data],MATCH(G$1,ТабКлиенты[#Headers],0),0)</f>
        <v>47.1178, 37.5121</v>
      </c>
      <c r="H411" s="14">
        <v>1500</v>
      </c>
      <c r="I411" s="13" t="s">
        <v>1271</v>
      </c>
      <c r="K411" t="str">
        <f t="shared" si="21"/>
        <v>7. 11:40 Наталья 60 лет СССР
Тел.: +79497094719
Адрес: 60 лет СССР 2Б
№ заказа: Витамины
Кол-во мест: 
https://yandex.ru/maps/?text=47.1178%2C37.5121
https://maps.google.com/?daddr=47.1178%2C37.5121
К оплате: **1500
**--------------------------------</v>
      </c>
    </row>
    <row r="412" spans="1:11" hidden="1" x14ac:dyDescent="0.25">
      <c r="A412">
        <v>8</v>
      </c>
      <c r="B412" s="1">
        <v>45633</v>
      </c>
      <c r="C412" t="s">
        <v>1908</v>
      </c>
      <c r="D412" t="str">
        <f>VLOOKUP($C412,ТабКлиенты[#Data],MATCH(D$1,ТабКлиенты[#Headers],0),0)</f>
        <v>+79496136002</v>
      </c>
      <c r="E412" t="str">
        <f>VLOOKUP($C412,ТабКлиенты[#Data],MATCH(E$1,ТабКлиенты[#Headers],0),0)</f>
        <v>50 лет СССР 40</v>
      </c>
      <c r="F412" s="80">
        <v>0.5</v>
      </c>
      <c r="G412" s="14" t="str">
        <f>VLOOKUP($C412,ТабКлиенты[#Data],MATCH(G$1,ТабКлиенты[#Headers],0),0)</f>
        <v>47.1100, 37.5165</v>
      </c>
      <c r="H412" s="14">
        <v>2257</v>
      </c>
      <c r="I412" s="13">
        <v>368</v>
      </c>
      <c r="K412" t="str">
        <f t="shared" si="21"/>
        <v>8. 12:00 Лидия Цысь
Тел.: +79496136002
Адрес: 50 лет СССР 40
№ заказа: 368
Кол-во мест: 
https://yandex.ru/maps/?text=47.1100%2C37.5165
https://maps.google.com/?daddr=47.1100%2C37.5165
К оплате: **2257
**--------------------------------</v>
      </c>
    </row>
    <row r="413" spans="1:11" hidden="1" x14ac:dyDescent="0.25">
      <c r="A413">
        <v>9</v>
      </c>
      <c r="B413" s="1">
        <v>45633</v>
      </c>
      <c r="C413" t="s">
        <v>1482</v>
      </c>
      <c r="D413" t="str">
        <f>VLOOKUP($C413,ТабКлиенты[#Data],MATCH(D$1,ТабКлиенты[#Headers],0),0)</f>
        <v>+79497178586</v>
      </c>
      <c r="E413" t="str">
        <f>VLOOKUP($C413,ТабКлиенты[#Data],MATCH(E$1,ТабКлиенты[#Headers],0),0)</f>
        <v>Куприна 51</v>
      </c>
      <c r="F413" s="80">
        <v>0.50694444444444442</v>
      </c>
      <c r="G413" s="14" t="str">
        <f>VLOOKUP($C413,ТабКлиенты[#Data],MATCH(G$1,ТабКлиенты[#Headers],0),0)</f>
        <v>47.1094, 37.5104</v>
      </c>
      <c r="H413" s="14">
        <v>0</v>
      </c>
      <c r="I413" s="13">
        <v>365</v>
      </c>
      <c r="K413" t="str">
        <f t="shared" si="21"/>
        <v>9. 12:10 Михаил Куприна
Тел.: +79497178586
Адрес: Куприна 51
№ заказа: 365
Кол-во мест: 
https://yandex.ru/maps/?text=47.1094%2C37.5104
https://maps.google.com/?daddr=47.1094%2C37.5104
К оплате: **0
**--------------------------------</v>
      </c>
    </row>
    <row r="414" spans="1:11" hidden="1" x14ac:dyDescent="0.25">
      <c r="A414">
        <v>10</v>
      </c>
      <c r="B414" s="1">
        <v>45633</v>
      </c>
      <c r="C414" t="s">
        <v>456</v>
      </c>
      <c r="D414" t="str">
        <f>VLOOKUP($C414,ТабКлиенты[#Data],MATCH(D$1,ТабКлиенты[#Headers],0),0)</f>
        <v>+79497488953</v>
      </c>
      <c r="E414" t="str">
        <f>VLOOKUP($C414,ТабКлиенты[#Data],MATCH(E$1,ТабКлиенты[#Headers],0),0)</f>
        <v>Ленина 183 подъезд 1 (Изумрудный)</v>
      </c>
      <c r="F414" s="80">
        <v>0.52083333333333337</v>
      </c>
      <c r="G414" s="14" t="str">
        <f>VLOOKUP($C414,ТабКлиенты[#Data],MATCH(G$1,ТабКлиенты[#Headers],0),0)</f>
        <v>47.0982, 37.4785</v>
      </c>
      <c r="H414" s="14">
        <v>413</v>
      </c>
      <c r="I414" s="13">
        <v>373</v>
      </c>
      <c r="K414" t="str">
        <f t="shared" si="21"/>
        <v>10. 12:30 Лана
Тел.: +79497488953
Адрес: Ленина 183 подъезд 1 (Изумрудный)
№ заказа: 373
Кол-во мест: 
https://yandex.ru/maps/?text=47.0982%2C37.4785
https://maps.google.com/?daddr=47.0982%2C37.4785
К оплате: **413
**--------------------------------</v>
      </c>
    </row>
    <row r="415" spans="1:11" hidden="1" x14ac:dyDescent="0.25">
      <c r="A415">
        <v>11</v>
      </c>
      <c r="B415" s="1">
        <v>45633</v>
      </c>
      <c r="C415" t="s">
        <v>1996</v>
      </c>
      <c r="D415" t="str">
        <f>VLOOKUP($C415,ТабКлиенты[#Data],MATCH(D$1,ТабКлиенты[#Headers],0),0)</f>
        <v>+79490353603</v>
      </c>
      <c r="E415" t="str">
        <f>VLOOKUP($C415,ТабКлиенты[#Data],MATCH(E$1,ТабКлиенты[#Headers],0),0)</f>
        <v>Кронштадстская 14</v>
      </c>
      <c r="F415" s="80">
        <v>0.53125</v>
      </c>
      <c r="G415" s="14" t="str">
        <f>VLOOKUP($C415,ТабКлиенты[#Data],MATCH(G$1,ТабКлиенты[#Headers],0),0)</f>
        <v>47.0814, 37.5132</v>
      </c>
      <c r="H415" s="14">
        <v>463</v>
      </c>
      <c r="I415" s="13">
        <v>375</v>
      </c>
      <c r="K415" t="str">
        <f t="shared" si="21"/>
        <v>11. 12:45 SR
Тел.: +79490353603
Адрес: Кронштадстская 14
№ заказа: 375
Кол-во мест: 
https://yandex.ru/maps/?text=47.0814%2C37.5132
https://maps.google.com/?daddr=47.0814%2C37.5132
К оплате: **463
**--------------------------------</v>
      </c>
    </row>
    <row r="416" spans="1:11" hidden="1" x14ac:dyDescent="0.25">
      <c r="A416">
        <v>12</v>
      </c>
      <c r="B416" s="1">
        <v>45633</v>
      </c>
      <c r="C416" t="s">
        <v>283</v>
      </c>
      <c r="D416" t="str">
        <f>VLOOKUP($C416,ТабКлиенты[#Data],MATCH(D$1,ТабКлиенты[#Headers],0),0)</f>
        <v>+79497172395</v>
      </c>
      <c r="E416" t="str">
        <f>VLOOKUP($C416,ТабКлиенты[#Data],MATCH(E$1,ТабКлиенты[#Headers],0),0)</f>
        <v>Торговая 45</v>
      </c>
      <c r="F416" s="80">
        <v>0.54166666666666663</v>
      </c>
      <c r="G416" s="14" t="str">
        <f>VLOOKUP($C416,ТабКлиенты[#Data],MATCH(G$1,ТабКлиенты[#Headers],0),0)</f>
        <v>47.0982, 37.5627</v>
      </c>
      <c r="H416" s="14">
        <v>0</v>
      </c>
      <c r="I416" s="13">
        <v>370</v>
      </c>
      <c r="K416" t="str">
        <f t="shared" si="21"/>
        <v>12. 13:00 Александр Каскад
Тел.: +79497172395
Адрес: Торговая 45
№ заказа: 370
Кол-во мест: 
https://yandex.ru/maps/?text=47.0982%2C37.5627
https://maps.google.com/?daddr=47.0982%2C37.5627
К оплате: **0
**--------------------------------</v>
      </c>
    </row>
    <row r="417" spans="1:11" hidden="1" x14ac:dyDescent="0.25">
      <c r="A417">
        <v>1</v>
      </c>
      <c r="B417" s="1">
        <v>45640</v>
      </c>
      <c r="C417" t="s">
        <v>357</v>
      </c>
      <c r="D417" t="str">
        <f>VLOOKUP($C417,ТабКлиенты[#Data],MATCH(D$1,ТабКлиенты[#Headers],0),0)</f>
        <v>+79497114644</v>
      </c>
      <c r="E417" t="str">
        <f>VLOOKUP($C417,ТабКлиенты[#Data],MATCH(E$1,ТабКлиенты[#Headers],0),0)</f>
        <v>Металлургов 143</v>
      </c>
      <c r="F417" s="80">
        <v>0.40625</v>
      </c>
      <c r="G417" s="14" t="str">
        <f>VLOOKUP($C417,ТабКлиенты[#Data],MATCH(G$1,ТабКлиенты[#Headers],0),0)</f>
        <v>47.1199, 37.5643</v>
      </c>
      <c r="H417" s="14">
        <v>0</v>
      </c>
      <c r="I417" s="13">
        <v>380</v>
      </c>
      <c r="J417" s="13">
        <v>3</v>
      </c>
      <c r="K417" t="str">
        <f t="shared" ref="K417:K436" si="22">A417&amp;". "&amp;TEXT(F417,"ЧЧ:ММ")&amp;" "&amp;C417&amp;CHAR(10)&amp;"Тел.: "&amp;D417&amp;CHAR(10)&amp;"Адрес: "&amp;E417&amp;CHAR(10)&amp;"№ заказа: "&amp;I417&amp;CHAR(10)&amp;"Кол-во мест: "&amp;J417&amp;CHAR(10)&amp;"https://yandex.ru/maps/?text="&amp;REPLACE(G417,SEARCH(",",G417),2,"%2C")&amp;CHAR(10)&amp;"https://maps.google.com/?daddr="&amp;REPLACE(G417,SEARCH(",",G417),2,"%2C")&amp;CHAR(10)&amp;"К оплате: "&amp;"**"&amp;H417&amp;CHAR(10)&amp;"**"&amp;"--------------------------------"</f>
        <v>1. 09:45 Юля Ларисына
Тел.: +79497114644
Адрес: Металлургов 143
№ заказа: 380
Кол-во мест: 3
https://yandex.ru/maps/?text=47.1199%2C37.5643
https://maps.google.com/?daddr=47.1199%2C37.5643
К оплате: **0
**--------------------------------</v>
      </c>
    </row>
    <row r="418" spans="1:11" hidden="1" x14ac:dyDescent="0.25">
      <c r="A418">
        <v>2</v>
      </c>
      <c r="B418" s="1">
        <v>45640</v>
      </c>
      <c r="C418" t="s">
        <v>445</v>
      </c>
      <c r="D418" t="str">
        <f>VLOOKUP($C418,ТабКлиенты[#Data],MATCH(D$1,ТабКлиенты[#Headers],0),0)</f>
        <v>+79497262176</v>
      </c>
      <c r="E418" t="str">
        <f>VLOOKUP($C418,ТабКлиенты[#Data],MATCH(E$1,ТабКлиенты[#Headers],0),0)</f>
        <v>Металлургов 179, кв 114</v>
      </c>
      <c r="F418" s="80">
        <v>0.40972222222222221</v>
      </c>
      <c r="G418" s="14" t="str">
        <f>VLOOKUP($C418,ТабКлиенты[#Data],MATCH(G$1,ТабКлиенты[#Headers],0),0)</f>
        <v>47.1248, 37.5657</v>
      </c>
      <c r="H418" s="14">
        <v>0</v>
      </c>
      <c r="I418" s="13">
        <v>366</v>
      </c>
      <c r="J418" s="13">
        <v>4</v>
      </c>
      <c r="K418" t="str">
        <f t="shared" si="22"/>
        <v>2. 09:50 Светлана от Александра
Тел.: +79497262176
Адрес: Металлургов 179, кв 114
№ заказа: 366
Кол-во мест: 4
https://yandex.ru/maps/?text=47.1248%2C37.5657
https://maps.google.com/?daddr=47.1248%2C37.5657
К оплате: **0
**--------------------------------</v>
      </c>
    </row>
    <row r="419" spans="1:11" hidden="1" x14ac:dyDescent="0.25">
      <c r="A419">
        <v>3</v>
      </c>
      <c r="B419" s="1">
        <v>45640</v>
      </c>
      <c r="C419" t="s">
        <v>1771</v>
      </c>
      <c r="D419" t="str">
        <f>VLOOKUP($C419,ТабКлиенты[#Data],MATCH(D$1,ТабКлиенты[#Headers],0),0)</f>
        <v>+79497237937</v>
      </c>
      <c r="E419" t="str">
        <f>VLOOKUP($C419,ТабКлиенты[#Data],MATCH(E$1,ТабКлиенты[#Headers],0),0)</f>
        <v>Сеченова 96 подъезд 1</v>
      </c>
      <c r="F419" s="80">
        <v>0.41666666666666669</v>
      </c>
      <c r="G419" s="14" t="str">
        <f>VLOOKUP($C419,ТабКлиенты[#Data],MATCH(G$1,ТабКлиенты[#Headers],0),0)</f>
        <v>47.1263, 37.5623</v>
      </c>
      <c r="H419" s="14">
        <v>0</v>
      </c>
      <c r="I419" s="13">
        <v>367</v>
      </c>
      <c r="J419" s="13">
        <v>1</v>
      </c>
      <c r="K419" t="str">
        <f t="shared" si="22"/>
        <v>3. 10:00 Елена от Светланы
Тел.: +79497237937
Адрес: Сеченова 96 подъезд 1
№ заказа: 367
Кол-во мест: 1
https://yandex.ru/maps/?text=47.1263%2C37.5623
https://maps.google.com/?daddr=47.1263%2C37.5623
К оплате: **0
**--------------------------------</v>
      </c>
    </row>
    <row r="420" spans="1:11" hidden="1" x14ac:dyDescent="0.25">
      <c r="A420">
        <v>4</v>
      </c>
      <c r="B420" s="1">
        <v>45640</v>
      </c>
      <c r="C420" t="s">
        <v>33</v>
      </c>
      <c r="D420" t="str">
        <f>VLOOKUP($C420,ТабКлиенты[#Data],MATCH(D$1,ТабКлиенты[#Headers],0),0)</f>
        <v>+79496069479</v>
      </c>
      <c r="E420" t="str">
        <f>VLOOKUP($C420,ТабКлиенты[#Data],MATCH(E$1,ТабКлиенты[#Headers],0),0)</f>
        <v>Марьинская 145 Новоселовка Церковь</v>
      </c>
      <c r="F420" s="80">
        <v>0.4236111111111111</v>
      </c>
      <c r="G420" s="14" t="str">
        <f>VLOOKUP($C420,ТабКлиенты[#Data],MATCH(G$1,ТабКлиенты[#Headers],0),0)</f>
        <v>47.1126, 37.5473</v>
      </c>
      <c r="H420" s="14">
        <v>0</v>
      </c>
      <c r="I420" s="13">
        <v>382</v>
      </c>
      <c r="J420" s="13">
        <v>1</v>
      </c>
      <c r="K420" t="str">
        <f t="shared" si="22"/>
        <v>4. 10:10 Галина Агабекова(церковь)
Тел.: +79496069479
Адрес: Марьинская 145 Новоселовка Церковь
№ заказа: 382
Кол-во мест: 1
https://yandex.ru/maps/?text=47.1126%2C37.5473
https://maps.google.com/?daddr=47.1126%2C37.5473
К оплате: **0
**--------------------------------</v>
      </c>
    </row>
    <row r="421" spans="1:11" hidden="1" x14ac:dyDescent="0.25">
      <c r="A421">
        <v>5</v>
      </c>
      <c r="B421" s="1">
        <v>45640</v>
      </c>
      <c r="C421" t="s">
        <v>2118</v>
      </c>
      <c r="D421" t="str">
        <f>VLOOKUP($C421,ТабКлиенты[#Data],MATCH(D$1,ТабКлиенты[#Headers],0),0)</f>
        <v>+79497195898</v>
      </c>
      <c r="E421" t="str">
        <f>VLOOKUP($C421,ТабКлиенты[#Data],MATCH(E$1,ТабКлиенты[#Headers],0),0)</f>
        <v>Пугачева 23</v>
      </c>
      <c r="F421" s="80">
        <v>0.43055555555555558</v>
      </c>
      <c r="G421" s="14" t="str">
        <f>VLOOKUP($C421,ТабКлиенты[#Data],MATCH(G$1,ТабКлиенты[#Headers],0),0)</f>
        <v>47.1190, 37.5327</v>
      </c>
      <c r="H421" s="14">
        <v>2000</v>
      </c>
      <c r="I421" s="13" t="s">
        <v>1271</v>
      </c>
      <c r="J421" s="13">
        <v>1</v>
      </c>
      <c r="K421" t="str">
        <f t="shared" si="22"/>
        <v>5. 10:20 Олеся Пугачева 23
Тел.: +79497195898
Адрес: Пугачева 23
№ заказа: Витамины
Кол-во мест: 1
https://yandex.ru/maps/?text=47.1190%2C37.5327
https://maps.google.com/?daddr=47.1190%2C37.5327
К оплате: **2000
**--------------------------------</v>
      </c>
    </row>
    <row r="422" spans="1:11" hidden="1" x14ac:dyDescent="0.25">
      <c r="A422">
        <v>6</v>
      </c>
      <c r="B422" s="1">
        <v>45640</v>
      </c>
      <c r="C422" t="s">
        <v>108</v>
      </c>
      <c r="D422" t="str">
        <f>VLOOKUP($C422,ТабКлиенты[#Data],MATCH(D$1,ТабКлиенты[#Headers],0),0)</f>
        <v>+79497174095</v>
      </c>
      <c r="E422" t="str">
        <f>VLOOKUP($C422,ТабКлиенты[#Data],MATCH(E$1,ТабКлиенты[#Headers],0),0)</f>
        <v>авиационная 39</v>
      </c>
      <c r="F422" s="80">
        <v>0.4375</v>
      </c>
      <c r="G422" s="14" t="str">
        <f>VLOOKUP($C422,ТабКлиенты[#Data],MATCH(G$1,ТабКлиенты[#Headers],0),0)</f>
        <v>47.1250, 37.5332</v>
      </c>
      <c r="H422" s="14">
        <v>0</v>
      </c>
      <c r="I422" s="13">
        <v>377</v>
      </c>
      <c r="J422" s="13">
        <v>1</v>
      </c>
      <c r="K422" t="str">
        <f t="shared" si="22"/>
        <v>6. 10:30 Вадим
Тел.: +79497174095
Адрес: авиационная 39
№ заказа: 377
Кол-во мест: 1
https://yandex.ru/maps/?text=47.1250%2C37.5332
https://maps.google.com/?daddr=47.1250%2C37.5332
К оплате: **0
**--------------------------------</v>
      </c>
    </row>
    <row r="423" spans="1:11" hidden="1" x14ac:dyDescent="0.25">
      <c r="A423">
        <v>7</v>
      </c>
      <c r="B423" s="1">
        <v>45640</v>
      </c>
      <c r="C423" t="s">
        <v>2122</v>
      </c>
      <c r="D423" t="str">
        <f>VLOOKUP($C423,ТабКлиенты[#Data],MATCH(D$1,ТабКлиенты[#Headers],0),0)</f>
        <v>+79497106271</v>
      </c>
      <c r="E423" t="str">
        <f>VLOOKUP($C423,ТабКлиенты[#Data],MATCH(E$1,ТабКлиенты[#Headers],0),0)</f>
        <v>Урицкого 77</v>
      </c>
      <c r="F423" s="80">
        <v>0.44791666666666669</v>
      </c>
      <c r="G423" s="14" t="str">
        <f>VLOOKUP($C423,ТабКлиенты[#Data],MATCH(G$1,ТабКлиенты[#Headers],0),0)</f>
        <v>47.1228, 37.5167</v>
      </c>
      <c r="H423" s="14">
        <v>5200</v>
      </c>
      <c r="I423" s="13" t="s">
        <v>1271</v>
      </c>
      <c r="J423" s="13">
        <v>1</v>
      </c>
      <c r="K423" t="str">
        <f t="shared" si="22"/>
        <v>7. 10:45 Наталья Школа 53
Тел.: +79497106271
Адрес: Урицкого 77
№ заказа: Витамины
Кол-во мест: 1
https://yandex.ru/maps/?text=47.1228%2C37.5167
https://maps.google.com/?daddr=47.1228%2C37.5167
К оплате: **5200
**--------------------------------</v>
      </c>
    </row>
    <row r="424" spans="1:11" hidden="1" x14ac:dyDescent="0.25">
      <c r="A424">
        <v>8</v>
      </c>
      <c r="B424" s="1">
        <v>45640</v>
      </c>
      <c r="C424" t="s">
        <v>404</v>
      </c>
      <c r="D424" t="str">
        <f>VLOOKUP($C424,ТабКлиенты[#Data],MATCH(D$1,ТабКлиенты[#Headers],0),0)</f>
        <v>+79497386112</v>
      </c>
      <c r="E424" t="str">
        <f>VLOOKUP($C424,ТабКлиенты[#Data],MATCH(E$1,ТабКлиенты[#Headers],0),0)</f>
        <v>Шевченко 325</v>
      </c>
      <c r="F424" s="80">
        <v>0.46527777777777779</v>
      </c>
      <c r="G424" s="14" t="str">
        <f>VLOOKUP($C424,ТабКлиенты[#Data],MATCH(G$1,ТабКлиенты[#Headers],0),0)</f>
        <v>47.1193, 37.5172</v>
      </c>
      <c r="H424" s="14">
        <v>17700</v>
      </c>
      <c r="I424" s="13" t="s">
        <v>1271</v>
      </c>
      <c r="J424" s="13">
        <v>1</v>
      </c>
      <c r="K424" t="str">
        <f t="shared" si="22"/>
        <v>8. 11:10 Любовь Виталий
Тел.: +79497386112
Адрес: Шевченко 325
№ заказа: Витамины
Кол-во мест: 1
https://yandex.ru/maps/?text=47.1193%2C37.5172
https://maps.google.com/?daddr=47.1193%2C37.5172
К оплате: **17700
**--------------------------------</v>
      </c>
    </row>
    <row r="425" spans="1:11" hidden="1" x14ac:dyDescent="0.25">
      <c r="A425">
        <v>9</v>
      </c>
      <c r="B425" s="1">
        <v>45640</v>
      </c>
      <c r="C425" t="s">
        <v>1735</v>
      </c>
      <c r="D425" t="str">
        <f>VLOOKUP($C425,ТабКлиенты[#Data],MATCH(D$1,ТабКлиенты[#Headers],0),0)</f>
        <v>+79496299684</v>
      </c>
      <c r="E425" t="str">
        <f>VLOOKUP($C425,ТабКлиенты[#Data],MATCH(E$1,ТабКлиенты[#Headers],0),0)</f>
        <v>Шевченко 313</v>
      </c>
      <c r="F425" s="80">
        <v>0.47916666666666669</v>
      </c>
      <c r="G425" s="14" t="str">
        <f>VLOOKUP($C425,ТабКлиенты[#Data],MATCH(G$1,ТабКлиенты[#Headers],0),0)</f>
        <v>47.1174, 37.5172</v>
      </c>
      <c r="H425" s="14">
        <v>1100</v>
      </c>
      <c r="I425" s="13" t="s">
        <v>1271</v>
      </c>
      <c r="J425" s="13">
        <v>1</v>
      </c>
      <c r="K425" t="str">
        <f t="shared" si="22"/>
        <v>9. 11:30 Светлана Стамбул
Тел.: +79496299684
Адрес: Шевченко 313
№ заказа: Витамины
Кол-во мест: 1
https://yandex.ru/maps/?text=47.1174%2C37.5172
https://maps.google.com/?daddr=47.1174%2C37.5172
К оплате: **1100
**--------------------------------</v>
      </c>
    </row>
    <row r="426" spans="1:11" hidden="1" x14ac:dyDescent="0.25">
      <c r="A426">
        <v>10</v>
      </c>
      <c r="B426" s="1">
        <v>45640</v>
      </c>
      <c r="C426" t="s">
        <v>1482</v>
      </c>
      <c r="D426" t="str">
        <f>VLOOKUP($C426,ТабКлиенты[#Data],MATCH(D$1,ТабКлиенты[#Headers],0),0)</f>
        <v>+79497178586</v>
      </c>
      <c r="E426" t="str">
        <f>VLOOKUP($C426,ТабКлиенты[#Data],MATCH(E$1,ТабКлиенты[#Headers],0),0)</f>
        <v>Куприна 51</v>
      </c>
      <c r="F426" s="80">
        <v>0.50694444444444442</v>
      </c>
      <c r="G426" s="14" t="str">
        <f>VLOOKUP($C426,ТабКлиенты[#Data],MATCH(G$1,ТабКлиенты[#Headers],0),0)</f>
        <v>47.1094, 37.5104</v>
      </c>
      <c r="H426" s="14">
        <v>0</v>
      </c>
      <c r="I426" s="13">
        <v>383</v>
      </c>
      <c r="J426" s="13">
        <v>1</v>
      </c>
      <c r="K426" t="str">
        <f t="shared" si="22"/>
        <v>10. 12:10 Михаил Куприна
Тел.: +79497178586
Адрес: Куприна 51
№ заказа: 383
Кол-во мест: 1
https://yandex.ru/maps/?text=47.1094%2C37.5104
https://maps.google.com/?daddr=47.1094%2C37.5104
К оплате: **0
**--------------------------------</v>
      </c>
    </row>
    <row r="427" spans="1:11" hidden="1" x14ac:dyDescent="0.25">
      <c r="A427">
        <v>11</v>
      </c>
      <c r="B427" s="1">
        <v>45640</v>
      </c>
      <c r="C427" t="s">
        <v>1523</v>
      </c>
      <c r="D427" t="str">
        <f>VLOOKUP($C427,ТабКлиенты[#Data],MATCH(D$1,ТабКлиенты[#Headers],0),0)</f>
        <v>+79494015912</v>
      </c>
      <c r="E427" t="str">
        <f>VLOOKUP($C427,ТабКлиенты[#Data],MATCH(E$1,ТабКлиенты[#Headers],0),0)</f>
        <v>Куприна 17</v>
      </c>
      <c r="F427" s="80">
        <v>0.51388888888888884</v>
      </c>
      <c r="G427" s="14" t="str">
        <f>VLOOKUP($C427,ТабКлиенты[#Data],MATCH(G$1,ТабКлиенты[#Headers],0),0)</f>
        <v>47.1034, 37.5110</v>
      </c>
      <c r="H427" s="14">
        <v>0</v>
      </c>
      <c r="I427" s="13">
        <v>384</v>
      </c>
      <c r="J427" s="13">
        <v>1</v>
      </c>
      <c r="K427" t="str">
        <f t="shared" si="22"/>
        <v>11. 12:20 Кирилл Куприна
Тел.: +79494015912
Адрес: Куприна 17
№ заказа: 384
Кол-во мест: 1
https://yandex.ru/maps/?text=47.1034%2C37.5110
https://maps.google.com/?daddr=47.1034%2C37.5110
К оплате: **0
**--------------------------------</v>
      </c>
    </row>
    <row r="428" spans="1:11" hidden="1" x14ac:dyDescent="0.25">
      <c r="A428">
        <v>12</v>
      </c>
      <c r="B428" s="1">
        <v>45640</v>
      </c>
      <c r="C428" t="s">
        <v>2114</v>
      </c>
      <c r="D428" t="str">
        <f>VLOOKUP($C428,ТабКлиенты[#Data],MATCH(D$1,ТабКлиенты[#Headers],0),0)</f>
        <v>+79497113447</v>
      </c>
      <c r="E428" t="str">
        <f>VLOOKUP($C428,ТабКлиенты[#Data],MATCH(E$1,ТабКлиенты[#Headers],0),0)</f>
        <v>Куприна 13</v>
      </c>
      <c r="F428" s="80">
        <v>0.52083333333333337</v>
      </c>
      <c r="G428" s="14" t="str">
        <f>VLOOKUP($C428,ТабКлиенты[#Data],MATCH(G$1,ТабКлиенты[#Headers],0),0)</f>
        <v>47.1026, 37.5111</v>
      </c>
      <c r="H428" s="14">
        <v>2500</v>
      </c>
      <c r="I428" s="13" t="s">
        <v>1271</v>
      </c>
      <c r="J428" s="13">
        <v>1</v>
      </c>
      <c r="K428" t="str">
        <f t="shared" si="22"/>
        <v>12. 12:30 Татьяна Курпина 13
Тел.: +79497113447
Адрес: Куприна 13
№ заказа: Витамины
Кол-во мест: 1
https://yandex.ru/maps/?text=47.1026%2C37.5111
https://maps.google.com/?daddr=47.1026%2C37.5111
К оплате: **2500
**--------------------------------</v>
      </c>
    </row>
    <row r="429" spans="1:11" hidden="1" x14ac:dyDescent="0.25">
      <c r="A429">
        <v>13</v>
      </c>
      <c r="B429" s="1">
        <v>45640</v>
      </c>
      <c r="C429" t="s">
        <v>456</v>
      </c>
      <c r="D429" t="str">
        <f>VLOOKUP($C429,ТабКлиенты[#Data],MATCH(D$1,ТабКлиенты[#Headers],0),0)</f>
        <v>+79497488953</v>
      </c>
      <c r="E429" t="str">
        <f>VLOOKUP($C429,ТабКлиенты[#Data],MATCH(E$1,ТабКлиенты[#Headers],0),0)</f>
        <v>Ленина 183 подъезд 1 (Изумрудный)</v>
      </c>
      <c r="F429" s="80">
        <v>0.52777777777777779</v>
      </c>
      <c r="G429" s="14" t="str">
        <f>VLOOKUP($C429,ТабКлиенты[#Data],MATCH(G$1,ТабКлиенты[#Headers],0),0)</f>
        <v>47.0982, 37.4785</v>
      </c>
      <c r="H429" s="14">
        <v>113</v>
      </c>
      <c r="I429" s="13">
        <v>390</v>
      </c>
      <c r="J429" s="13">
        <v>1</v>
      </c>
      <c r="K429" t="str">
        <f t="shared" si="22"/>
        <v>13. 12:40 Лана
Тел.: +79497488953
Адрес: Ленина 183 подъезд 1 (Изумрудный)
№ заказа: 390
Кол-во мест: 1
https://yandex.ru/maps/?text=47.0982%2C37.4785
https://maps.google.com/?daddr=47.0982%2C37.4785
К оплате: **113
**--------------------------------</v>
      </c>
    </row>
    <row r="430" spans="1:11" hidden="1" x14ac:dyDescent="0.25">
      <c r="A430">
        <v>14</v>
      </c>
      <c r="B430" s="1">
        <v>45640</v>
      </c>
      <c r="C430" t="s">
        <v>385</v>
      </c>
      <c r="D430" t="str">
        <f>VLOOKUP($C430,ТабКлиенты[#Data],MATCH(D$1,ТабКлиенты[#Headers],0),0)</f>
        <v>+79497169864</v>
      </c>
      <c r="E430" t="str">
        <f>VLOOKUP($C430,ТабКлиенты[#Data],MATCH(E$1,ТабКлиенты[#Headers],0),0)</f>
        <v>пер. Ейский 9</v>
      </c>
      <c r="F430" s="80">
        <v>0.53819444444444442</v>
      </c>
      <c r="G430" s="14" t="str">
        <f>VLOOKUP($C430,ТабКлиенты[#Data],MATCH(G$1,ТабКлиенты[#Headers],0),0)</f>
        <v>47.0898, 37.5062</v>
      </c>
      <c r="H430" s="14">
        <v>5700</v>
      </c>
      <c r="I430" s="13" t="s">
        <v>1271</v>
      </c>
      <c r="J430" s="13">
        <v>1</v>
      </c>
      <c r="K430" t="str">
        <f t="shared" si="22"/>
        <v>14. 12:55 Надежда Витамины
Тел.: +79497169864
Адрес: пер. Ейский 9
№ заказа: Витамины
Кол-во мест: 1
https://yandex.ru/maps/?text=47.0898%2C37.5062
https://maps.google.com/?daddr=47.0898%2C37.5062
К оплате: **5700
**--------------------------------</v>
      </c>
    </row>
    <row r="431" spans="1:11" hidden="1" x14ac:dyDescent="0.25">
      <c r="A431">
        <v>15</v>
      </c>
      <c r="B431" s="1">
        <v>45640</v>
      </c>
      <c r="C431" t="s">
        <v>504</v>
      </c>
      <c r="D431" t="str">
        <f>VLOOKUP($C431,ТабКлиенты[#Data],MATCH(D$1,ТабКлиенты[#Headers],0),0)</f>
        <v>+79497179245</v>
      </c>
      <c r="E431" t="str">
        <f>VLOOKUP($C431,ТабКлиенты[#Data],MATCH(E$1,ТабКлиенты[#Headers],0),0)</f>
        <v>Ткаченко Петренко 3</v>
      </c>
      <c r="F431" s="80">
        <v>0.54861111111111116</v>
      </c>
      <c r="G431" s="14" t="str">
        <f>VLOOKUP($C431,ТабКлиенты[#Data],MATCH(G$1,ТабКлиенты[#Headers],0),0)</f>
        <v>47.0853, 37.5071</v>
      </c>
      <c r="H431" s="14">
        <v>2200</v>
      </c>
      <c r="I431" s="13" t="s">
        <v>1271</v>
      </c>
      <c r="J431" s="13">
        <v>1</v>
      </c>
      <c r="K431" t="str">
        <f t="shared" si="22"/>
        <v>15. 13:10 Светлана Кулаки
Тел.: +79497179245
Адрес: Ткаченко Петренко 3
№ заказа: Витамины
Кол-во мест: 1
https://yandex.ru/maps/?text=47.0853%2C37.5071
https://maps.google.com/?daddr=47.0853%2C37.5071
К оплате: **2200
**--------------------------------</v>
      </c>
    </row>
    <row r="432" spans="1:11" hidden="1" x14ac:dyDescent="0.25">
      <c r="A432">
        <v>16</v>
      </c>
      <c r="B432" s="1">
        <v>45640</v>
      </c>
      <c r="C432" t="s">
        <v>1488</v>
      </c>
      <c r="D432" t="str">
        <f>VLOOKUP($C432,ТабКлиенты[#Data],MATCH(D$1,ТабКлиенты[#Headers],0),0)</f>
        <v>+79497050485</v>
      </c>
      <c r="E432" t="str">
        <f>VLOOKUP($C432,ТабКлиенты[#Data],MATCH(E$1,ТабКлиенты[#Headers],0),0)</f>
        <v>Лавицкого 20</v>
      </c>
      <c r="F432" s="80">
        <v>0.55555555555555558</v>
      </c>
      <c r="G432" s="14" t="str">
        <f>VLOOKUP($C432,ТабКлиенты[#Data],MATCH(G$1,ТабКлиенты[#Headers],0),0)</f>
        <v>47.0877, 37.5175</v>
      </c>
      <c r="H432" s="14">
        <v>1005</v>
      </c>
      <c r="I432" s="13">
        <v>389</v>
      </c>
      <c r="J432" s="13">
        <v>1</v>
      </c>
      <c r="K432" t="str">
        <f t="shared" si="22"/>
        <v>16. 13:20 Анна Лавицкого
Тел.: +79497050485
Адрес: Лавицкого 20
№ заказа: 389
Кол-во мест: 1
https://yandex.ru/maps/?text=47.0877%2C37.5175
https://maps.google.com/?daddr=47.0877%2C37.5175
К оплате: **1005
**--------------------------------</v>
      </c>
    </row>
    <row r="433" spans="1:11" hidden="1" x14ac:dyDescent="0.25">
      <c r="A433">
        <v>17</v>
      </c>
      <c r="B433" s="1">
        <v>45640</v>
      </c>
      <c r="C433" t="s">
        <v>2050</v>
      </c>
      <c r="D433" t="str">
        <f>VLOOKUP($C433,ТабКлиенты[#Data],MATCH(D$1,ТабКлиенты[#Headers],0),0)</f>
        <v>+79497342758</v>
      </c>
      <c r="E433" t="str">
        <f>VLOOKUP($C433,ТабКлиенты[#Data],MATCH(E$1,ТабКлиенты[#Headers],0),0)</f>
        <v>Сумская 42</v>
      </c>
      <c r="F433" s="80">
        <v>0.56944444444444442</v>
      </c>
      <c r="G433" s="14" t="str">
        <f>VLOOKUP($C433,ТабКлиенты[#Data],MATCH(G$1,ТабКлиенты[#Headers],0),0)</f>
        <v>47.0740, 37.4893</v>
      </c>
      <c r="H433" s="14">
        <v>0</v>
      </c>
      <c r="I433" s="13">
        <v>378</v>
      </c>
      <c r="J433" s="13">
        <v>1</v>
      </c>
      <c r="K433" t="str">
        <f t="shared" si="22"/>
        <v>17. 13:40 Оксана Максима Рюкзак
Тел.: +79497342758
Адрес: Сумская 42
№ заказа: 378
Кол-во мест: 1
https://yandex.ru/maps/?text=47.0740%2C37.4893
https://maps.google.com/?daddr=47.0740%2C37.4893
К оплате: **0
**--------------------------------</v>
      </c>
    </row>
    <row r="434" spans="1:11" hidden="1" x14ac:dyDescent="0.25">
      <c r="A434">
        <v>18</v>
      </c>
      <c r="B434" s="1">
        <v>45640</v>
      </c>
      <c r="C434" t="s">
        <v>1629</v>
      </c>
      <c r="D434" t="str">
        <f>VLOOKUP($C434,ТабКлиенты[#Data],MATCH(D$1,ТабКлиенты[#Headers],0),0)</f>
        <v>+79493770183</v>
      </c>
      <c r="E434" t="str">
        <f>VLOOKUP($C434,ТабКлиенты[#Data],MATCH(E$1,ТабКлиенты[#Headers],0),0)</f>
        <v>Лунина 13а</v>
      </c>
      <c r="F434" s="80">
        <v>0.57986111111111116</v>
      </c>
      <c r="G434" s="14" t="str">
        <f>VLOOKUP($C434,ТабКлиенты[#Data],MATCH(G$1,ТабКлиенты[#Headers],0),0)</f>
        <v>47.0682, 37.5102</v>
      </c>
      <c r="H434" s="14">
        <v>200</v>
      </c>
      <c r="I434" s="13">
        <v>391</v>
      </c>
      <c r="J434" s="13">
        <v>1</v>
      </c>
      <c r="K434" t="str">
        <f t="shared" si="22"/>
        <v>18. 13:55 Наталья Лунина 13
Тел.: +79493770183
Адрес: Лунина 13а
№ заказа: 391
Кол-во мест: 1
https://yandex.ru/maps/?text=47.0682%2C37.5102
https://maps.google.com/?daddr=47.0682%2C37.5102
К оплате: **200
**--------------------------------</v>
      </c>
    </row>
    <row r="435" spans="1:11" hidden="1" x14ac:dyDescent="0.25">
      <c r="A435">
        <v>19</v>
      </c>
      <c r="B435" s="1">
        <v>45640</v>
      </c>
      <c r="C435" t="s">
        <v>283</v>
      </c>
      <c r="D435" t="str">
        <f>VLOOKUP($C435,ТабКлиенты[#Data],MATCH(D$1,ТабКлиенты[#Headers],0),0)</f>
        <v>+79497172395</v>
      </c>
      <c r="E435" t="str">
        <f>VLOOKUP($C435,ТабКлиенты[#Data],MATCH(E$1,ТабКлиенты[#Headers],0),0)</f>
        <v>Торговая 45</v>
      </c>
      <c r="F435" s="80">
        <v>0.59375</v>
      </c>
      <c r="G435" s="14" t="str">
        <f>VLOOKUP($C435,ТабКлиенты[#Data],MATCH(G$1,ТабКлиенты[#Headers],0),0)</f>
        <v>47.0982, 37.5627</v>
      </c>
      <c r="H435" s="14">
        <v>0</v>
      </c>
      <c r="I435" s="13">
        <v>370</v>
      </c>
      <c r="J435" s="13">
        <v>1</v>
      </c>
      <c r="K435" t="str">
        <f t="shared" si="22"/>
        <v>19. 14:15 Александр Каскад
Тел.: +79497172395
Адрес: Торговая 45
№ заказа: 370
Кол-во мест: 1
https://yandex.ru/maps/?text=47.0982%2C37.5627
https://maps.google.com/?daddr=47.0982%2C37.5627
К оплате: **0
**--------------------------------</v>
      </c>
    </row>
    <row r="436" spans="1:11" hidden="1" x14ac:dyDescent="0.25">
      <c r="A436">
        <v>20</v>
      </c>
      <c r="B436" s="1">
        <v>45640</v>
      </c>
      <c r="C436" t="s">
        <v>287</v>
      </c>
      <c r="D436" t="str">
        <f>VLOOKUP($C436,ТабКлиенты[#Data],MATCH(D$1,ТабКлиенты[#Headers],0),0)</f>
        <v>+79497398064</v>
      </c>
      <c r="E436" t="str">
        <f>VLOOKUP($C436,ТабКлиенты[#Data],MATCH(E$1,ТабКлиенты[#Headers],0),0)</f>
        <v>Металлургов, 97</v>
      </c>
      <c r="F436" s="80">
        <v>0.60416666666666663</v>
      </c>
      <c r="G436" s="14" t="str">
        <f>VLOOKUP($C436,ТабКлиенты[#Data],MATCH(G$1,ТабКлиенты[#Headers],0),0)</f>
        <v>47.1070, 37.5542</v>
      </c>
      <c r="H436" s="14">
        <v>0</v>
      </c>
      <c r="I436" s="13">
        <v>385</v>
      </c>
      <c r="J436" s="13">
        <v>1</v>
      </c>
      <c r="K436" t="str">
        <f t="shared" si="22"/>
        <v>20. 14:30 Елена Ларисына
Тел.: +79497398064
Адрес: Металлургов, 97
№ заказа: 385
Кол-во мест: 1
https://yandex.ru/maps/?text=47.1070%2C37.5542
https://maps.google.com/?daddr=47.1070%2C37.5542
К оплате: **0
**--------------------------------</v>
      </c>
    </row>
    <row r="437" spans="1:11" hidden="1" x14ac:dyDescent="0.25">
      <c r="A437">
        <v>1</v>
      </c>
      <c r="B437" s="1">
        <v>45647</v>
      </c>
      <c r="C437" t="s">
        <v>287</v>
      </c>
      <c r="D437" t="str">
        <f>VLOOKUP($C437,ТабКлиенты[#Data],MATCH(D$1,ТабКлиенты[#Headers],0),0)</f>
        <v>+79497398064</v>
      </c>
      <c r="E437" t="str">
        <f>VLOOKUP($C437,ТабКлиенты[#Data],MATCH(E$1,ТабКлиенты[#Headers],0),0)</f>
        <v>Металлургов, 97</v>
      </c>
      <c r="F437" s="80">
        <v>0.39583333333333331</v>
      </c>
      <c r="G437" s="14" t="str">
        <f>VLOOKUP($C437,ТабКлиенты[#Data],MATCH(G$1,ТабКлиенты[#Headers],0),0)</f>
        <v>47.1070, 37.5542</v>
      </c>
      <c r="H437" s="14">
        <v>0</v>
      </c>
      <c r="I437" s="13">
        <v>385</v>
      </c>
      <c r="J437" s="13">
        <v>1</v>
      </c>
      <c r="K437" t="str">
        <f t="shared" ref="K437:K450" si="23">A437&amp;". "&amp;TEXT(F437,"ЧЧ:ММ")&amp;" "&amp;C437&amp;CHAR(10)&amp;"Тел.: "&amp;D437&amp;CHAR(10)&amp;"Адрес: "&amp;E437&amp;CHAR(10)&amp;"№ заказа: "&amp;I437&amp;CHAR(10)&amp;"Кол-во мест: "&amp;J437&amp;CHAR(10)&amp;"https://yandex.ru/maps/?text="&amp;REPLACE(G437,SEARCH(",",G437),2,"%2C")&amp;CHAR(10)&amp;"https://maps.google.com/?daddr="&amp;REPLACE(G437,SEARCH(",",G437),2,"%2C")&amp;CHAR(10)&amp;"К оплате: "&amp;"**"&amp;H437&amp;CHAR(10)&amp;"**"&amp;"--------------------------------"</f>
        <v>1. 09:30 Елена Ларисына
Тел.: +79497398064
Адрес: Металлургов, 97
№ заказа: 385
Кол-во мест: 1
https://yandex.ru/maps/?text=47.1070%2C37.5542
https://maps.google.com/?daddr=47.1070%2C37.5542
К оплате: **0
**--------------------------------</v>
      </c>
    </row>
    <row r="438" spans="1:11" hidden="1" x14ac:dyDescent="0.25">
      <c r="A438">
        <v>2</v>
      </c>
      <c r="B438" s="1">
        <v>45647</v>
      </c>
      <c r="C438" t="s">
        <v>357</v>
      </c>
      <c r="D438" t="str">
        <f>VLOOKUP($C438,ТабКлиенты[#Data],MATCH(D$1,ТабКлиенты[#Headers],0),0)</f>
        <v>+79497114644</v>
      </c>
      <c r="E438" t="str">
        <f>VLOOKUP($C438,ТабКлиенты[#Data],MATCH(E$1,ТабКлиенты[#Headers],0),0)</f>
        <v>Металлургов 143</v>
      </c>
      <c r="F438" s="80">
        <v>0.40625</v>
      </c>
      <c r="G438" s="14" t="str">
        <f>VLOOKUP($C438,ТабКлиенты[#Data],MATCH(G$1,ТабКлиенты[#Headers],0),0)</f>
        <v>47.1199, 37.5643</v>
      </c>
      <c r="H438" s="14">
        <v>0</v>
      </c>
      <c r="I438" s="13">
        <v>380</v>
      </c>
      <c r="J438" s="13">
        <v>1</v>
      </c>
      <c r="K438" t="str">
        <f t="shared" si="23"/>
        <v>2. 09:45 Юля Ларисына
Тел.: +79497114644
Адрес: Металлургов 143
№ заказа: 380
Кол-во мест: 1
https://yandex.ru/maps/?text=47.1199%2C37.5643
https://maps.google.com/?daddr=47.1199%2C37.5643
К оплате: **0
**--------------------------------</v>
      </c>
    </row>
    <row r="439" spans="1:11" hidden="1" x14ac:dyDescent="0.25">
      <c r="A439">
        <v>3</v>
      </c>
      <c r="B439" s="1">
        <v>45647</v>
      </c>
      <c r="C439" t="s">
        <v>445</v>
      </c>
      <c r="D439" t="str">
        <f>VLOOKUP($C439,ТабКлиенты[#Data],MATCH(D$1,ТабКлиенты[#Headers],0),0)</f>
        <v>+79497262176</v>
      </c>
      <c r="E439" t="str">
        <f>VLOOKUP($C439,ТабКлиенты[#Data],MATCH(E$1,ТабКлиенты[#Headers],0),0)</f>
        <v>Металлургов 179, кв 114</v>
      </c>
      <c r="F439" s="80">
        <v>0.41319444444444442</v>
      </c>
      <c r="G439" s="14" t="str">
        <f>VLOOKUP($C439,ТабКлиенты[#Data],MATCH(G$1,ТабКлиенты[#Headers],0),0)</f>
        <v>47.1248, 37.5657</v>
      </c>
      <c r="H439" s="14">
        <v>0</v>
      </c>
      <c r="I439" s="13">
        <v>392</v>
      </c>
      <c r="J439" s="13">
        <v>1</v>
      </c>
      <c r="K439" t="str">
        <f t="shared" si="23"/>
        <v>3. 09:55 Светлана от Александра
Тел.: +79497262176
Адрес: Металлургов 179, кв 114
№ заказа: 392
Кол-во мест: 1
https://yandex.ru/maps/?text=47.1248%2C37.5657
https://maps.google.com/?daddr=47.1248%2C37.5657
К оплате: **0
**--------------------------------</v>
      </c>
    </row>
    <row r="440" spans="1:11" hidden="1" x14ac:dyDescent="0.25">
      <c r="A440">
        <v>4</v>
      </c>
      <c r="B440" s="1">
        <v>45647</v>
      </c>
      <c r="C440" t="s">
        <v>1771</v>
      </c>
      <c r="D440" t="str">
        <f>VLOOKUP($C440,ТабКлиенты[#Data],MATCH(D$1,ТабКлиенты[#Headers],0),0)</f>
        <v>+79497237937</v>
      </c>
      <c r="E440" t="str">
        <f>VLOOKUP($C440,ТабКлиенты[#Data],MATCH(E$1,ТабКлиенты[#Headers],0),0)</f>
        <v>Сеченова 96 подъезд 1</v>
      </c>
      <c r="F440" s="80">
        <v>0.41666666666666669</v>
      </c>
      <c r="G440" s="14" t="str">
        <f>VLOOKUP($C440,ТабКлиенты[#Data],MATCH(G$1,ТабКлиенты[#Headers],0),0)</f>
        <v>47.1263, 37.5623</v>
      </c>
      <c r="H440" s="14">
        <v>0</v>
      </c>
      <c r="I440" s="13">
        <v>396</v>
      </c>
      <c r="J440" s="13">
        <v>1</v>
      </c>
      <c r="K440" t="str">
        <f t="shared" si="23"/>
        <v>4. 10:00 Елена от Светланы
Тел.: +79497237937
Адрес: Сеченова 96 подъезд 1
№ заказа: 396
Кол-во мест: 1
https://yandex.ru/maps/?text=47.1263%2C37.5623
https://maps.google.com/?daddr=47.1263%2C37.5623
К оплате: **0
**--------------------------------</v>
      </c>
    </row>
    <row r="441" spans="1:11" hidden="1" x14ac:dyDescent="0.25">
      <c r="A441">
        <v>5</v>
      </c>
      <c r="B441" s="1">
        <v>45647</v>
      </c>
      <c r="C441" t="s">
        <v>33</v>
      </c>
      <c r="D441" t="str">
        <f>VLOOKUP($C441,ТабКлиенты[#Data],MATCH(D$1,ТабКлиенты[#Headers],0),0)</f>
        <v>+79496069479</v>
      </c>
      <c r="E441" t="str">
        <f>VLOOKUP($C441,ТабКлиенты[#Data],MATCH(E$1,ТабКлиенты[#Headers],0),0)</f>
        <v>Марьинская 145 Новоселовка Церковь</v>
      </c>
      <c r="F441" s="80">
        <v>0.4236111111111111</v>
      </c>
      <c r="G441" s="14" t="str">
        <f>VLOOKUP($C441,ТабКлиенты[#Data],MATCH(G$1,ТабКлиенты[#Headers],0),0)</f>
        <v>47.1126, 37.5473</v>
      </c>
      <c r="H441" s="14">
        <v>260</v>
      </c>
      <c r="I441" s="13">
        <v>382</v>
      </c>
      <c r="J441" s="13">
        <v>1</v>
      </c>
      <c r="K441" t="str">
        <f t="shared" si="23"/>
        <v>5. 10:10 Галина Агабекова(церковь)
Тел.: +79496069479
Адрес: Марьинская 145 Новоселовка Церковь
№ заказа: 382
Кол-во мест: 1
https://yandex.ru/maps/?text=47.1126%2C37.5473
https://maps.google.com/?daddr=47.1126%2C37.5473
К оплате: **260
**--------------------------------</v>
      </c>
    </row>
    <row r="442" spans="1:11" hidden="1" x14ac:dyDescent="0.25">
      <c r="A442">
        <v>6</v>
      </c>
      <c r="B442" s="1">
        <v>45647</v>
      </c>
      <c r="C442" t="s">
        <v>1502</v>
      </c>
      <c r="D442" t="str">
        <f>VLOOKUP($C442,ТабКлиенты[#Data],MATCH(D$1,ТабКлиенты[#Headers],0),0)</f>
        <v>+79497284454</v>
      </c>
      <c r="E442" t="str">
        <f>VLOOKUP($C442,ТабКлиенты[#Data],MATCH(E$1,ТабКлиенты[#Headers],0),0)</f>
        <v>строителей 156</v>
      </c>
      <c r="F442" s="80">
        <v>0.43055555555555558</v>
      </c>
      <c r="G442" s="14" t="str">
        <f>VLOOKUP($C442,ТабКлиенты[#Data],MATCH(G$1,ТабКлиенты[#Headers],0),0)</f>
        <v>47.1186, 37.5244</v>
      </c>
      <c r="H442" s="14">
        <v>0</v>
      </c>
      <c r="I442" s="13">
        <v>393</v>
      </c>
      <c r="J442" s="13">
        <v>2</v>
      </c>
      <c r="K442" t="str">
        <f t="shared" si="23"/>
        <v>6. 10:20 Елена Гайдар
Тел.: +79497284454
Адрес: строителей 156
№ заказа: 393
Кол-во мест: 2
https://yandex.ru/maps/?text=47.1186%2C37.5244
https://maps.google.com/?daddr=47.1186%2C37.5244
К оплате: **0
**--------------------------------</v>
      </c>
    </row>
    <row r="443" spans="1:11" hidden="1" x14ac:dyDescent="0.25">
      <c r="A443">
        <v>7</v>
      </c>
      <c r="B443" s="1">
        <v>45647</v>
      </c>
      <c r="C443" t="s">
        <v>2122</v>
      </c>
      <c r="D443" t="str">
        <f>VLOOKUP($C443,ТабКлиенты[#Data],MATCH(D$1,ТабКлиенты[#Headers],0),0)</f>
        <v>+79497106271</v>
      </c>
      <c r="E443" t="str">
        <f>VLOOKUP($C443,ТабКлиенты[#Data],MATCH(E$1,ТабКлиенты[#Headers],0),0)</f>
        <v>Урицкого 77</v>
      </c>
      <c r="F443" s="80">
        <v>0.4375</v>
      </c>
      <c r="G443" s="14" t="str">
        <f>VLOOKUP($C443,ТабКлиенты[#Data],MATCH(G$1,ТабКлиенты[#Headers],0),0)</f>
        <v>47.1228, 37.5167</v>
      </c>
      <c r="H443" s="14">
        <v>0</v>
      </c>
      <c r="I443" s="13" t="s">
        <v>1271</v>
      </c>
      <c r="J443" s="13">
        <v>1</v>
      </c>
      <c r="K443" t="str">
        <f t="shared" si="23"/>
        <v>7. 10:30 Наталья Школа 53
Тел.: +79497106271
Адрес: Урицкого 77
№ заказа: Витамины
Кол-во мест: 1
https://yandex.ru/maps/?text=47.1228%2C37.5167
https://maps.google.com/?daddr=47.1228%2C37.5167
К оплате: **0
**--------------------------------</v>
      </c>
    </row>
    <row r="444" spans="1:11" hidden="1" x14ac:dyDescent="0.25">
      <c r="A444">
        <v>8</v>
      </c>
      <c r="B444" s="1">
        <v>45647</v>
      </c>
      <c r="C444" t="s">
        <v>1482</v>
      </c>
      <c r="D444" t="str">
        <f>VLOOKUP($C444,ТабКлиенты[#Data],MATCH(D$1,ТабКлиенты[#Headers],0),0)</f>
        <v>+79497178586</v>
      </c>
      <c r="E444" t="str">
        <f>VLOOKUP($C444,ТабКлиенты[#Data],MATCH(E$1,ТабКлиенты[#Headers],0),0)</f>
        <v>Куприна 51</v>
      </c>
      <c r="F444" s="80">
        <v>0.4513888888888889</v>
      </c>
      <c r="G444" s="14" t="str">
        <f>VLOOKUP($C444,ТабКлиенты[#Data],MATCH(G$1,ТабКлиенты[#Headers],0),0)</f>
        <v>47.1094, 37.5104</v>
      </c>
      <c r="H444" s="14">
        <v>0</v>
      </c>
      <c r="I444" s="13">
        <v>397</v>
      </c>
      <c r="J444" s="13">
        <v>1</v>
      </c>
      <c r="K444" t="str">
        <f t="shared" si="23"/>
        <v>8. 10:50 Михаил Куприна
Тел.: +79497178586
Адрес: Куприна 51
№ заказа: 397
Кол-во мест: 1
https://yandex.ru/maps/?text=47.1094%2C37.5104
https://maps.google.com/?daddr=47.1094%2C37.5104
К оплате: **0
**--------------------------------</v>
      </c>
    </row>
    <row r="445" spans="1:11" hidden="1" x14ac:dyDescent="0.25">
      <c r="A445">
        <v>9</v>
      </c>
      <c r="B445" s="1">
        <v>45647</v>
      </c>
      <c r="C445" t="s">
        <v>1523</v>
      </c>
      <c r="D445" t="str">
        <f>VLOOKUP($C445,ТабКлиенты[#Data],MATCH(D$1,ТабКлиенты[#Headers],0),0)</f>
        <v>+79494015912</v>
      </c>
      <c r="E445" t="str">
        <f>VLOOKUP($C445,ТабКлиенты[#Data],MATCH(E$1,ТабКлиенты[#Headers],0),0)</f>
        <v>Куприна 17</v>
      </c>
      <c r="F445" s="80">
        <v>0.45833333333333331</v>
      </c>
      <c r="G445" s="14" t="str">
        <f>VLOOKUP($C445,ТабКлиенты[#Data],MATCH(G$1,ТабКлиенты[#Headers],0),0)</f>
        <v>47.1034, 37.5110</v>
      </c>
      <c r="H445" s="14">
        <v>0</v>
      </c>
      <c r="I445" s="13">
        <v>384</v>
      </c>
      <c r="J445" s="13">
        <v>1</v>
      </c>
      <c r="K445" t="str">
        <f t="shared" si="23"/>
        <v>9. 11:00 Кирилл Куприна
Тел.: +79494015912
Адрес: Куприна 17
№ заказа: 384
Кол-во мест: 1
https://yandex.ru/maps/?text=47.1034%2C37.5110
https://maps.google.com/?daddr=47.1034%2C37.5110
К оплате: **0
**--------------------------------</v>
      </c>
    </row>
    <row r="446" spans="1:11" hidden="1" x14ac:dyDescent="0.25">
      <c r="A446">
        <v>10</v>
      </c>
      <c r="B446" s="1">
        <v>45647</v>
      </c>
      <c r="C446" t="s">
        <v>456</v>
      </c>
      <c r="D446" t="str">
        <f>VLOOKUP($C446,ТабКлиенты[#Data],MATCH(D$1,ТабКлиенты[#Headers],0),0)</f>
        <v>+79497488953</v>
      </c>
      <c r="E446" t="str">
        <f>VLOOKUP($C446,ТабКлиенты[#Data],MATCH(E$1,ТабКлиенты[#Headers],0),0)</f>
        <v>Ленина 183 подъезд 1 (Изумрудный)</v>
      </c>
      <c r="F446" s="80">
        <v>0.46527777777777779</v>
      </c>
      <c r="G446" s="14" t="str">
        <f>VLOOKUP($C446,ТабКлиенты[#Data],MATCH(G$1,ТабКлиенты[#Headers],0),0)</f>
        <v>47.0982, 37.4785</v>
      </c>
      <c r="H446" s="14">
        <v>388</v>
      </c>
      <c r="I446" s="13">
        <v>399</v>
      </c>
      <c r="J446" s="13">
        <v>2</v>
      </c>
      <c r="K446" t="str">
        <f t="shared" si="23"/>
        <v>10. 11:10 Лана
Тел.: +79497488953
Адрес: Ленина 183 подъезд 1 (Изумрудный)
№ заказа: 399
Кол-во мест: 2
https://yandex.ru/maps/?text=47.0982%2C37.4785
https://maps.google.com/?daddr=47.0982%2C37.4785
К оплате: **388
**--------------------------------</v>
      </c>
    </row>
    <row r="447" spans="1:11" hidden="1" x14ac:dyDescent="0.25">
      <c r="A447">
        <v>11</v>
      </c>
      <c r="B447" s="1">
        <v>45647</v>
      </c>
      <c r="C447" t="s">
        <v>400</v>
      </c>
      <c r="D447" t="str">
        <f>VLOOKUP($C447,ТабКлиенты[#Data],MATCH(D$1,ТабКлиенты[#Headers],0),0)</f>
        <v>+79497336840</v>
      </c>
      <c r="E447" t="str">
        <f>VLOOKUP($C447,ТабКлиенты[#Data],MATCH(E$1,ТабКлиенты[#Headers],0),0)</f>
        <v>Бригантина 152</v>
      </c>
      <c r="F447" s="80">
        <v>0.47916666666666669</v>
      </c>
      <c r="G447" s="14" t="str">
        <f>VLOOKUP($C447,ТабКлиенты[#Data],MATCH(G$1,ТабКлиенты[#Headers],0),0)</f>
        <v>47.0779, 37.4879</v>
      </c>
      <c r="H447" s="14">
        <v>4500</v>
      </c>
      <c r="I447" s="13" t="s">
        <v>1271</v>
      </c>
      <c r="J447" s="13">
        <v>1</v>
      </c>
      <c r="K447" t="str">
        <f t="shared" si="23"/>
        <v>11. 11:30 Татьяна Бригантина
Тел.: +79497336840
Адрес: Бригантина 152
№ заказа: Витамины
Кол-во мест: 1
https://yandex.ru/maps/?text=47.0779%2C37.4879
https://maps.google.com/?daddr=47.0779%2C37.4879
К оплате: **4500
**--------------------------------</v>
      </c>
    </row>
    <row r="448" spans="1:11" hidden="1" x14ac:dyDescent="0.25">
      <c r="A448">
        <v>12</v>
      </c>
      <c r="B448" s="1">
        <v>45647</v>
      </c>
      <c r="C448" t="s">
        <v>1629</v>
      </c>
      <c r="D448" t="str">
        <f>VLOOKUP($C448,ТабКлиенты[#Data],MATCH(D$1,ТабКлиенты[#Headers],0),0)</f>
        <v>+79493770183</v>
      </c>
      <c r="E448" t="str">
        <f>VLOOKUP($C448,ТабКлиенты[#Data],MATCH(E$1,ТабКлиенты[#Headers],0),0)</f>
        <v>Лунина 13а</v>
      </c>
      <c r="F448" s="80">
        <v>0.48958333333333331</v>
      </c>
      <c r="G448" s="14" t="str">
        <f>VLOOKUP($C448,ТабКлиенты[#Data],MATCH(G$1,ТабКлиенты[#Headers],0),0)</f>
        <v>47.0682, 37.5102</v>
      </c>
      <c r="H448" s="14">
        <v>435</v>
      </c>
      <c r="I448" s="13">
        <v>400</v>
      </c>
      <c r="J448" s="13">
        <v>1</v>
      </c>
      <c r="K448" t="str">
        <f t="shared" si="23"/>
        <v>12. 11:45 Наталья Лунина 13
Тел.: +79493770183
Адрес: Лунина 13а
№ заказа: 400
Кол-во мест: 1
https://yandex.ru/maps/?text=47.0682%2C37.5102
https://maps.google.com/?daddr=47.0682%2C37.5102
К оплате: **435
**--------------------------------</v>
      </c>
    </row>
    <row r="449" spans="1:11" hidden="1" x14ac:dyDescent="0.25">
      <c r="A449">
        <v>13</v>
      </c>
      <c r="B449" s="1">
        <v>45647</v>
      </c>
      <c r="C449" t="s">
        <v>1996</v>
      </c>
      <c r="D449" t="str">
        <f>VLOOKUP($C449,ТабКлиенты[#Data],MATCH(D$1,ТабКлиенты[#Headers],0),0)</f>
        <v>+79490353603</v>
      </c>
      <c r="E449" t="str">
        <f>VLOOKUP($C449,ТабКлиенты[#Data],MATCH(E$1,ТабКлиенты[#Headers],0),0)</f>
        <v>Кронштадстская 14</v>
      </c>
      <c r="F449" s="80">
        <v>0.5</v>
      </c>
      <c r="G449" s="14" t="str">
        <f>VLOOKUP($C449,ТабКлиенты[#Data],MATCH(G$1,ТабКлиенты[#Headers],0),0)</f>
        <v>47.0814, 37.5132</v>
      </c>
      <c r="H449" s="14">
        <v>1235</v>
      </c>
      <c r="I449" s="13">
        <v>398</v>
      </c>
      <c r="J449" s="13">
        <v>2</v>
      </c>
      <c r="K449" t="str">
        <f t="shared" si="23"/>
        <v>13. 12:00 SR
Тел.: +79490353603
Адрес: Кронштадстская 14
№ заказа: 398
Кол-во мест: 2
https://yandex.ru/maps/?text=47.0814%2C37.5132
https://maps.google.com/?daddr=47.0814%2C37.5132
К оплате: **1235
**--------------------------------</v>
      </c>
    </row>
    <row r="450" spans="1:11" hidden="1" x14ac:dyDescent="0.25">
      <c r="A450">
        <v>14</v>
      </c>
      <c r="B450" s="1">
        <v>45647</v>
      </c>
      <c r="C450" t="s">
        <v>283</v>
      </c>
      <c r="D450" t="str">
        <f>VLOOKUP($C450,ТабКлиенты[#Data],MATCH(D$1,ТабКлиенты[#Headers],0),0)</f>
        <v>+79497172395</v>
      </c>
      <c r="E450" t="str">
        <f>VLOOKUP($C450,ТабКлиенты[#Data],MATCH(E$1,ТабКлиенты[#Headers],0),0)</f>
        <v>Торговая 45</v>
      </c>
      <c r="F450" s="80">
        <v>0.52083333333333337</v>
      </c>
      <c r="G450" s="14" t="str">
        <f>VLOOKUP($C450,ТабКлиенты[#Data],MATCH(G$1,ТабКлиенты[#Headers],0),0)</f>
        <v>47.0982, 37.5627</v>
      </c>
      <c r="H450" s="14">
        <v>0</v>
      </c>
      <c r="I450" s="13">
        <v>376</v>
      </c>
      <c r="J450" s="13">
        <v>1</v>
      </c>
      <c r="K450" t="str">
        <f t="shared" si="23"/>
        <v>14. 12:30 Александр Каскад
Тел.: +79497172395
Адрес: Торговая 45
№ заказа: 376
Кол-во мест: 1
https://yandex.ru/maps/?text=47.0982%2C37.5627
https://maps.google.com/?daddr=47.0982%2C37.5627
К оплате: **0
**--------------------------------</v>
      </c>
    </row>
    <row r="451" spans="1:11" hidden="1" x14ac:dyDescent="0.25">
      <c r="A451">
        <v>1</v>
      </c>
      <c r="B451" s="1">
        <v>45654</v>
      </c>
      <c r="C451" t="s">
        <v>287</v>
      </c>
      <c r="D451" t="str">
        <f>VLOOKUP($C451,ТабКлиенты[#Data],MATCH(D$1,ТабКлиенты[#Headers],0),0)</f>
        <v>+79497398064</v>
      </c>
      <c r="E451" t="str">
        <f>VLOOKUP($C451,ТабКлиенты[#Data],MATCH(E$1,ТабКлиенты[#Headers],0),0)</f>
        <v>Металлургов, 97</v>
      </c>
      <c r="F451" s="80">
        <v>0.39583333333333331</v>
      </c>
      <c r="G451" s="14" t="str">
        <f>VLOOKUP($C451,ТабКлиенты[#Data],MATCH(G$1,ТабКлиенты[#Headers],0),0)</f>
        <v>47.1070, 37.5542</v>
      </c>
      <c r="H451" s="14">
        <v>0</v>
      </c>
      <c r="I451" s="13">
        <v>360</v>
      </c>
      <c r="J451" s="13">
        <v>1</v>
      </c>
      <c r="K451" t="str">
        <f t="shared" ref="K451:K465" si="24">A451&amp;". "&amp;TEXT(F451,"ЧЧ:ММ")&amp;" "&amp;C451&amp;CHAR(10)&amp;"Тел.: "&amp;D451&amp;CHAR(10)&amp;"Адрес: "&amp;E451&amp;CHAR(10)&amp;"№ заказа: "&amp;I451&amp;CHAR(10)&amp;"Кол-во мест: "&amp;J451&amp;CHAR(10)&amp;"https://yandex.ru/maps/?text="&amp;REPLACE(G451,SEARCH(",",G451),2,"%2C")&amp;CHAR(10)&amp;"https://maps.google.com/?daddr="&amp;REPLACE(G451,SEARCH(",",G451),2,"%2C")&amp;CHAR(10)&amp;"К оплате: "&amp;"**"&amp;H451&amp;CHAR(10)&amp;"**"&amp;"--------------------------------"</f>
        <v>1. 09:30 Елена Ларисына
Тел.: +79497398064
Адрес: Металлургов, 97
№ заказа: 360
Кол-во мест: 1
https://yandex.ru/maps/?text=47.1070%2C37.5542
https://maps.google.com/?daddr=47.1070%2C37.5542
К оплате: **0
**--------------------------------</v>
      </c>
    </row>
    <row r="452" spans="1:11" hidden="1" x14ac:dyDescent="0.25">
      <c r="A452">
        <v>2</v>
      </c>
      <c r="B452" s="1">
        <v>45654</v>
      </c>
      <c r="C452" t="s">
        <v>295</v>
      </c>
      <c r="D452" t="str">
        <f>VLOOKUP($C452,ТабКлиенты[#Data],MATCH(D$1,ТабКлиенты[#Headers],0),0)</f>
        <v>+79497277100</v>
      </c>
      <c r="E452" t="str">
        <f>VLOOKUP($C452,ТабКлиенты[#Data],MATCH(E$1,ТабКлиенты[#Headers],0),0)</f>
        <v>Артема 132</v>
      </c>
      <c r="F452" s="80">
        <v>0.40277777777777779</v>
      </c>
      <c r="G452" s="14" t="str">
        <f>VLOOKUP($C452,ТабКлиенты[#Data],MATCH(G$1,ТабКлиенты[#Headers],0),0)</f>
        <v>47.1085, 37.5599</v>
      </c>
      <c r="H452" s="14">
        <v>2165</v>
      </c>
      <c r="I452" s="13">
        <v>387</v>
      </c>
      <c r="J452" s="13">
        <v>2</v>
      </c>
      <c r="K452" t="str">
        <f t="shared" si="24"/>
        <v>2. 09:40 Александр Радин
Тел.: +79497277100
Адрес: Артема 132
№ заказа: 387
Кол-во мест: 2
https://yandex.ru/maps/?text=47.1085%2C37.5599
https://maps.google.com/?daddr=47.1085%2C37.5599
К оплате: **2165
**--------------------------------</v>
      </c>
    </row>
    <row r="453" spans="1:11" hidden="1" x14ac:dyDescent="0.25">
      <c r="A453">
        <v>3</v>
      </c>
      <c r="B453" s="1">
        <v>45654</v>
      </c>
      <c r="C453" t="s">
        <v>357</v>
      </c>
      <c r="D453" t="str">
        <f>VLOOKUP($C453,ТабКлиенты[#Data],MATCH(D$1,ТабКлиенты[#Headers],0),0)</f>
        <v>+79497114644</v>
      </c>
      <c r="E453" t="s">
        <v>2206</v>
      </c>
      <c r="F453" s="80">
        <v>0.40972222222222221</v>
      </c>
      <c r="G453" s="14" t="s">
        <v>2205</v>
      </c>
      <c r="H453" s="14">
        <v>0</v>
      </c>
      <c r="I453" s="13">
        <v>408</v>
      </c>
      <c r="J453" s="13">
        <v>1</v>
      </c>
      <c r="K453" t="str">
        <f t="shared" si="24"/>
        <v>3. 09:50 Юля Ларисына
Тел.: +79497114644
Адрес: Сеченова 64
№ заказа: 408
Кол-во мест: 1
https://yandex.ru/maps/?text=47.1322%2C37.5637
https://maps.google.com/?daddr=47.1322%2C37.5637
К оплате: **0
**--------------------------------</v>
      </c>
    </row>
    <row r="454" spans="1:11" hidden="1" x14ac:dyDescent="0.25">
      <c r="A454">
        <v>4</v>
      </c>
      <c r="B454" s="1">
        <v>45654</v>
      </c>
      <c r="C454" t="s">
        <v>1771</v>
      </c>
      <c r="D454" t="str">
        <f>VLOOKUP($C454,ТабКлиенты[#Data],MATCH(D$1,ТабКлиенты[#Headers],0),0)</f>
        <v>+79497237937</v>
      </c>
      <c r="E454" t="str">
        <f>VLOOKUP($C454,ТабКлиенты[#Data],MATCH(E$1,ТабКлиенты[#Headers],0),0)</f>
        <v>Сеченова 96 подъезд 1</v>
      </c>
      <c r="F454" s="80">
        <v>0.41666666666666669</v>
      </c>
      <c r="G454" s="14" t="str">
        <f>VLOOKUP($C454,ТабКлиенты[#Data],MATCH(G$1,ТабКлиенты[#Headers],0),0)</f>
        <v>47.1263, 37.5623</v>
      </c>
      <c r="H454" s="14">
        <v>0</v>
      </c>
      <c r="I454" s="13">
        <v>396</v>
      </c>
      <c r="J454" s="13">
        <v>1</v>
      </c>
      <c r="K454" t="str">
        <f t="shared" si="24"/>
        <v>4. 10:00 Елена от Светланы
Тел.: +79497237937
Адрес: Сеченова 96 подъезд 1
№ заказа: 396
Кол-во мест: 1
https://yandex.ru/maps/?text=47.1263%2C37.5623
https://maps.google.com/?daddr=47.1263%2C37.5623
К оплате: **0
**--------------------------------</v>
      </c>
    </row>
    <row r="455" spans="1:11" hidden="1" x14ac:dyDescent="0.25">
      <c r="A455">
        <v>5</v>
      </c>
      <c r="B455" s="1">
        <v>45654</v>
      </c>
      <c r="C455" t="s">
        <v>33</v>
      </c>
      <c r="D455" t="str">
        <f>VLOOKUP($C455,ТабКлиенты[#Data],MATCH(D$1,ТабКлиенты[#Headers],0),0)</f>
        <v>+79496069479</v>
      </c>
      <c r="E455" t="str">
        <f>VLOOKUP($C455,ТабКлиенты[#Data],MATCH(E$1,ТабКлиенты[#Headers],0),0)</f>
        <v>Марьинская 145 Новоселовка Церковь</v>
      </c>
      <c r="F455" s="80">
        <v>0.4236111111111111</v>
      </c>
      <c r="G455" s="14" t="str">
        <f>VLOOKUP($C455,ТабКлиенты[#Data],MATCH(G$1,ТабКлиенты[#Headers],0),0)</f>
        <v>47.1126, 37.5473</v>
      </c>
      <c r="H455" s="14">
        <v>6055</v>
      </c>
      <c r="I455" s="13">
        <v>403</v>
      </c>
      <c r="J455" s="13">
        <v>1</v>
      </c>
      <c r="K455" t="str">
        <f t="shared" si="24"/>
        <v>5. 10:10 Галина Агабекова(церковь)
Тел.: +79496069479
Адрес: Марьинская 145 Новоселовка Церковь
№ заказа: 403
Кол-во мест: 1
https://yandex.ru/maps/?text=47.1126%2C37.5473
https://maps.google.com/?daddr=47.1126%2C37.5473
К оплате: **6055
**--------------------------------</v>
      </c>
    </row>
    <row r="456" spans="1:11" hidden="1" x14ac:dyDescent="0.25">
      <c r="A456">
        <v>6</v>
      </c>
      <c r="B456" s="1">
        <v>45654</v>
      </c>
      <c r="C456" t="s">
        <v>2201</v>
      </c>
      <c r="D456" t="str">
        <f>VLOOKUP($C456,ТабКлиенты[#Data],MATCH(D$1,ТабКлиенты[#Headers],0),0)</f>
        <v>+79494368263</v>
      </c>
      <c r="E456" t="str">
        <f>VLOOKUP($C456,ТабКлиенты[#Data],MATCH(E$1,ТабКлиенты[#Headers],0),0)</f>
        <v>Строителей 191</v>
      </c>
      <c r="F456" s="80">
        <v>0.43055555555555558</v>
      </c>
      <c r="G456" s="14" t="str">
        <f>VLOOKUP($C456,ТабКлиенты[#Data],MATCH(G$1,ТабКлиенты[#Headers],0),0)</f>
        <v>47.1231, 37.5279</v>
      </c>
      <c r="H456" s="14">
        <v>2129</v>
      </c>
      <c r="I456" s="13">
        <v>404</v>
      </c>
      <c r="J456" s="13">
        <v>1</v>
      </c>
      <c r="K456" t="str">
        <f t="shared" si="24"/>
        <v>6. 10:20 Коля Чунихин
Тел.: +79494368263
Адрес: Строителей 191
№ заказа: 404
Кол-во мест: 1
https://yandex.ru/maps/?text=47.1231%2C37.5279
https://maps.google.com/?daddr=47.1231%2C37.5279
К оплате: **2129
**--------------------------------</v>
      </c>
    </row>
    <row r="457" spans="1:11" hidden="1" x14ac:dyDescent="0.25">
      <c r="A457">
        <v>7</v>
      </c>
      <c r="B457" s="1">
        <v>45654</v>
      </c>
      <c r="C457" t="s">
        <v>1502</v>
      </c>
      <c r="D457" t="str">
        <f>VLOOKUP($C457,ТабКлиенты[#Data],MATCH(D$1,ТабКлиенты[#Headers],0),0)</f>
        <v>+79497284454</v>
      </c>
      <c r="E457" t="str">
        <f>VLOOKUP($C457,ТабКлиенты[#Data],MATCH(E$1,ТабКлиенты[#Headers],0),0)</f>
        <v>строителей 156</v>
      </c>
      <c r="F457" s="80">
        <v>0.4375</v>
      </c>
      <c r="G457" s="14" t="str">
        <f>VLOOKUP($C457,ТабКлиенты[#Data],MATCH(G$1,ТабКлиенты[#Headers],0),0)</f>
        <v>47.1186, 37.5244</v>
      </c>
      <c r="H457" s="14">
        <v>0</v>
      </c>
      <c r="I457" s="13">
        <v>393</v>
      </c>
      <c r="J457" s="13">
        <v>1</v>
      </c>
      <c r="K457" t="str">
        <f t="shared" si="24"/>
        <v>7. 10:30 Елена Гайдар
Тел.: +79497284454
Адрес: строителей 156
№ заказа: 393
Кол-во мест: 1
https://yandex.ru/maps/?text=47.1186%2C37.5244
https://maps.google.com/?daddr=47.1186%2C37.5244
К оплате: **0
**--------------------------------</v>
      </c>
    </row>
    <row r="458" spans="1:11" hidden="1" x14ac:dyDescent="0.25">
      <c r="A458">
        <v>8</v>
      </c>
      <c r="B458" s="1">
        <v>45654</v>
      </c>
      <c r="C458" t="s">
        <v>2167</v>
      </c>
      <c r="D458" t="str">
        <f>VLOOKUP($C458,ТабКлиенты[#Data],MATCH(D$1,ТабКлиенты[#Headers],0),0)</f>
        <v>+79495872741</v>
      </c>
      <c r="E458" t="str">
        <f>VLOOKUP($C458,ТабКлиенты[#Data],MATCH(E$1,ТабКлиенты[#Headers],0),0)</f>
        <v>Гранитная 148 подъезд 2, кв. 68</v>
      </c>
      <c r="F458" s="80">
        <v>0.44791666666666669</v>
      </c>
      <c r="G458" s="14" t="str">
        <f>VLOOKUP($C458,ТабКлиенты[#Data],MATCH(G$1,ТабКлиенты[#Headers],0),0)</f>
        <v>47.1253, 37.5129</v>
      </c>
      <c r="H458" s="14">
        <v>0</v>
      </c>
      <c r="I458" s="13">
        <v>406</v>
      </c>
      <c r="J458" s="13">
        <v>2</v>
      </c>
      <c r="K458" t="str">
        <f t="shared" si="24"/>
        <v>8. 10:45 Оксана Моцная
Тел.: +79495872741
Адрес: Гранитная 148 подъезд 2, кв. 68
№ заказа: 406
Кол-во мест: 2
https://yandex.ru/maps/?text=47.1253%2C37.5129
https://maps.google.com/?daddr=47.1253%2C37.5129
К оплате: **0
**--------------------------------</v>
      </c>
    </row>
    <row r="459" spans="1:11" hidden="1" x14ac:dyDescent="0.25">
      <c r="A459">
        <v>9</v>
      </c>
      <c r="B459" s="1">
        <v>45654</v>
      </c>
      <c r="C459" t="s">
        <v>1934</v>
      </c>
      <c r="D459" t="str">
        <f>VLOOKUP($C459,ТабКлиенты[#Data],MATCH(D$1,ТабКлиенты[#Headers],0),0)</f>
        <v>+79498198335</v>
      </c>
      <c r="E459" t="str">
        <f>VLOOKUP($C459,ТабКлиенты[#Data],MATCH(E$1,ТабКлиенты[#Headers],0),0)</f>
        <v>Урицкого 109</v>
      </c>
      <c r="F459" s="80">
        <v>0.4513888888888889</v>
      </c>
      <c r="G459" s="14" t="str">
        <f>VLOOKUP($C459,ТабКлиенты[#Data],MATCH(G$1,ТабКлиенты[#Headers],0),0)</f>
        <v>47.1252, 37.5081</v>
      </c>
      <c r="H459" s="14">
        <v>1171</v>
      </c>
      <c r="I459" s="13">
        <v>410</v>
      </c>
      <c r="J459" s="13">
        <v>1</v>
      </c>
      <c r="K459" t="str">
        <f t="shared" si="24"/>
        <v>9. 10:50 Дарья Урицкого
Тел.: +79498198335
Адрес: Урицкого 109
№ заказа: 410
Кол-во мест: 1
https://yandex.ru/maps/?text=47.1252%2C37.5081
https://maps.google.com/?daddr=47.1252%2C37.5081
К оплате: **1171
**--------------------------------</v>
      </c>
    </row>
    <row r="460" spans="1:11" hidden="1" x14ac:dyDescent="0.25">
      <c r="A460">
        <v>10</v>
      </c>
      <c r="B460" s="1">
        <v>45654</v>
      </c>
      <c r="C460" t="s">
        <v>1482</v>
      </c>
      <c r="D460" t="str">
        <f>VLOOKUP($C460,ТабКлиенты[#Data],MATCH(D$1,ТабКлиенты[#Headers],0),0)</f>
        <v>+79497178586</v>
      </c>
      <c r="E460" t="str">
        <f>VLOOKUP($C460,ТабКлиенты[#Data],MATCH(E$1,ТабКлиенты[#Headers],0),0)</f>
        <v>Куприна 51</v>
      </c>
      <c r="F460" s="80">
        <v>0.5</v>
      </c>
      <c r="G460" s="14" t="str">
        <f>VLOOKUP($C460,ТабКлиенты[#Data],MATCH(G$1,ТабКлиенты[#Headers],0),0)</f>
        <v>47.1094, 37.5104</v>
      </c>
      <c r="H460" s="14">
        <v>0</v>
      </c>
      <c r="I460" s="13">
        <v>397</v>
      </c>
      <c r="J460" s="13">
        <v>1</v>
      </c>
      <c r="K460" t="str">
        <f t="shared" si="24"/>
        <v>10. 12:00 Михаил Куприна
Тел.: +79497178586
Адрес: Куприна 51
№ заказа: 397
Кол-во мест: 1
https://yandex.ru/maps/?text=47.1094%2C37.5104
https://maps.google.com/?daddr=47.1094%2C37.5104
К оплате: **0
**--------------------------------</v>
      </c>
    </row>
    <row r="461" spans="1:11" hidden="1" x14ac:dyDescent="0.25">
      <c r="A461">
        <v>11</v>
      </c>
      <c r="B461" s="1">
        <v>45654</v>
      </c>
      <c r="C461" t="s">
        <v>493</v>
      </c>
      <c r="D461" t="str">
        <f>VLOOKUP($C461,ТабКлиенты[#Data],MATCH(D$1,ТабКлиенты[#Headers],0),0)</f>
        <v>+79495521868, +79495332409</v>
      </c>
      <c r="E461" t="str">
        <f>VLOOKUP($C461,ТабКлиенты[#Data],MATCH(E$1,ТабКлиенты[#Headers],0),0)</f>
        <v>Нахимова 100</v>
      </c>
      <c r="F461" s="80">
        <v>0.51041666666666663</v>
      </c>
      <c r="G461" s="14" t="str">
        <f>VLOOKUP($C461,ТабКлиенты[#Data],MATCH(G$1,ТабКлиенты[#Headers],0),0)</f>
        <v>47.0793, 37.5157</v>
      </c>
      <c r="H461" s="14">
        <v>0</v>
      </c>
      <c r="I461" s="13">
        <v>413</v>
      </c>
      <c r="J461" s="13">
        <v>1</v>
      </c>
      <c r="K461" t="str">
        <f t="shared" si="24"/>
        <v>11. 12:15 АлисаСофия
Тел.: +79495521868, +79495332409
Адрес: Нахимова 100
№ заказа: 413
Кол-во мест: 1
https://yandex.ru/maps/?text=47.0793%2C37.5157
https://maps.google.com/?daddr=47.0793%2C37.5157
К оплате: **0
**--------------------------------</v>
      </c>
    </row>
    <row r="462" spans="1:11" hidden="1" x14ac:dyDescent="0.25">
      <c r="A462">
        <v>12</v>
      </c>
      <c r="B462" s="1">
        <v>45654</v>
      </c>
      <c r="C462" t="s">
        <v>1629</v>
      </c>
      <c r="D462" t="str">
        <f>VLOOKUP($C462,ТабКлиенты[#Data],MATCH(D$1,ТабКлиенты[#Headers],0),0)</f>
        <v>+79493770183</v>
      </c>
      <c r="E462" t="str">
        <f>VLOOKUP($C462,ТабКлиенты[#Data],MATCH(E$1,ТабКлиенты[#Headers],0),0)</f>
        <v>Лунина 13а</v>
      </c>
      <c r="F462" s="80">
        <v>0.51736111111111116</v>
      </c>
      <c r="G462" s="14" t="str">
        <f>VLOOKUP($C462,ТабКлиенты[#Data],MATCH(G$1,ТабКлиенты[#Headers],0),0)</f>
        <v>47.0682, 37.5102</v>
      </c>
      <c r="H462" s="14">
        <v>200</v>
      </c>
      <c r="I462" s="13">
        <v>412</v>
      </c>
      <c r="J462" s="13">
        <v>1</v>
      </c>
      <c r="K462" t="str">
        <f t="shared" si="24"/>
        <v>12. 12:25 Наталья Лунина 13
Тел.: +79493770183
Адрес: Лунина 13а
№ заказа: 412
Кол-во мест: 1
https://yandex.ru/maps/?text=47.0682%2C37.5102
https://maps.google.com/?daddr=47.0682%2C37.5102
К оплате: **200
**--------------------------------</v>
      </c>
    </row>
    <row r="463" spans="1:11" hidden="1" x14ac:dyDescent="0.25">
      <c r="A463">
        <v>13</v>
      </c>
      <c r="B463" s="1">
        <v>45654</v>
      </c>
      <c r="C463" t="s">
        <v>2195</v>
      </c>
      <c r="D463">
        <f>VLOOKUP($C463,ТабКлиенты[#Data],MATCH(D$1,ТабКлиенты[#Headers],0),0)</f>
        <v>0</v>
      </c>
      <c r="E463" t="str">
        <f>VLOOKUP($C463,ТабКлиенты[#Data],MATCH(E$1,ТабКлиенты[#Headers],0),0)</f>
        <v>Варганова 7</v>
      </c>
      <c r="F463" s="80">
        <v>0.53125</v>
      </c>
      <c r="G463" s="14" t="str">
        <f>VLOOKUP($C463,ТабКлиенты[#Data],MATCH(G$1,ТабКлиенты[#Headers],0),0)</f>
        <v>47.0989, 37.5429</v>
      </c>
      <c r="H463" s="14">
        <v>6600</v>
      </c>
      <c r="I463" s="13" t="s">
        <v>2198</v>
      </c>
      <c r="J463" s="13">
        <v>1</v>
      </c>
      <c r="K463" t="str">
        <f t="shared" si="24"/>
        <v>13. 12:45 Елизавета Водоканал
Тел.: 0
Адрес: Варганова 7
№ заказа: Парфюм
Кол-во мест: 1
https://yandex.ru/maps/?text=47.0989%2C37.5429
https://maps.google.com/?daddr=47.0989%2C37.5429
К оплате: **6600
**--------------------------------</v>
      </c>
    </row>
    <row r="464" spans="1:11" hidden="1" x14ac:dyDescent="0.25">
      <c r="A464">
        <v>14</v>
      </c>
      <c r="B464" s="1">
        <v>45654</v>
      </c>
      <c r="C464" t="s">
        <v>283</v>
      </c>
      <c r="D464" t="str">
        <f>VLOOKUP($C464,ТабКлиенты[#Data],MATCH(D$1,ТабКлиенты[#Headers],0),0)</f>
        <v>+79497172395</v>
      </c>
      <c r="E464" t="str">
        <f>VLOOKUP($C464,ТабКлиенты[#Data],MATCH(E$1,ТабКлиенты[#Headers],0),0)</f>
        <v>Торговая 45</v>
      </c>
      <c r="F464" s="80">
        <v>0.54166666666666663</v>
      </c>
      <c r="G464" s="14" t="str">
        <f>VLOOKUP($C464,ТабКлиенты[#Data],MATCH(G$1,ТабКлиенты[#Headers],0),0)</f>
        <v>47.0982, 37.5627</v>
      </c>
      <c r="H464" s="14">
        <v>0</v>
      </c>
      <c r="I464" s="13">
        <v>394</v>
      </c>
      <c r="J464" s="13">
        <v>1</v>
      </c>
      <c r="K464" t="str">
        <f t="shared" si="24"/>
        <v>14. 13:00 Александр Каскад
Тел.: +79497172395
Адрес: Торговая 45
№ заказа: 394
Кол-во мест: 1
https://yandex.ru/maps/?text=47.0982%2C37.5627
https://maps.google.com/?daddr=47.0982%2C37.5627
К оплате: **0
**--------------------------------</v>
      </c>
    </row>
    <row r="465" spans="1:11" hidden="1" x14ac:dyDescent="0.25">
      <c r="A465">
        <v>15</v>
      </c>
      <c r="B465" s="1">
        <v>45654</v>
      </c>
      <c r="C465" t="s">
        <v>2162</v>
      </c>
      <c r="D465" t="str">
        <f>VLOOKUP($C465,ТабКлиенты[#Data],MATCH(D$1,ТабКлиенты[#Headers],0),0)</f>
        <v>+79496346903</v>
      </c>
      <c r="E465" t="str">
        <f>VLOOKUP($C465,ТабКлиенты[#Data],MATCH(E$1,ТабКлиенты[#Headers],0),0)</f>
        <v>Володарск, Володарского 41</v>
      </c>
      <c r="F465" s="80">
        <v>0.58333333333333337</v>
      </c>
      <c r="G465" s="14" t="str">
        <f>VLOOKUP($C465,ТабКлиенты[#Data],MATCH(G$1,ТабКлиенты[#Headers],0),0)</f>
        <v>47.1952, 37.3223</v>
      </c>
      <c r="H465" s="14">
        <v>3394</v>
      </c>
      <c r="I465" s="13">
        <v>405</v>
      </c>
      <c r="J465" s="13">
        <v>1</v>
      </c>
      <c r="K465" t="str">
        <f t="shared" si="24"/>
        <v>15. 14:00 Роман Свиридов
Тел.: +79496346903
Адрес: Володарск, Володарского 41
№ заказа: 405
Кол-во мест: 1
https://yandex.ru/maps/?text=47.1952%2C37.3223
https://maps.google.com/?daddr=47.1952%2C37.3223
К оплате: **3394
**--------------------------------</v>
      </c>
    </row>
    <row r="466" spans="1:11" hidden="1" x14ac:dyDescent="0.25">
      <c r="A466">
        <v>1</v>
      </c>
      <c r="B466" s="1">
        <v>45661</v>
      </c>
      <c r="C466" t="s">
        <v>287</v>
      </c>
      <c r="D466" t="str">
        <f>VLOOKUP($C466,ТабКлиенты[#Data],MATCH(D$1,ТабКлиенты[#Headers],0),0)</f>
        <v>+79497398064</v>
      </c>
      <c r="E466" t="str">
        <f>VLOOKUP($C466,ТабКлиенты[#Data],MATCH(E$1,ТабКлиенты[#Headers],0),0)</f>
        <v>Металлургов, 97</v>
      </c>
      <c r="F466" s="80">
        <v>0.41666666666666669</v>
      </c>
      <c r="G466" s="14" t="str">
        <f>VLOOKUP($C466,ТабКлиенты[#Data],MATCH(G$1,ТабКлиенты[#Headers],0),0)</f>
        <v>47.1070, 37.5542</v>
      </c>
      <c r="H466" s="14">
        <v>0</v>
      </c>
      <c r="I466" s="13">
        <v>385</v>
      </c>
      <c r="J466" s="13">
        <v>1</v>
      </c>
      <c r="K466" t="str">
        <f t="shared" ref="K466:K476" si="25">A466&amp;". "&amp;TEXT(F466,"ЧЧ:ММ")&amp;" "&amp;C466&amp;CHAR(10)&amp;"Тел.: "&amp;D466&amp;CHAR(10)&amp;"Адрес: "&amp;E466&amp;CHAR(10)&amp;"№ заказа: "&amp;I466&amp;CHAR(10)&amp;"Кол-во мест: "&amp;J466&amp;CHAR(10)&amp;"https://yandex.ru/maps/?text="&amp;REPLACE(G466,SEARCH(",",G466),2,"%2C")&amp;CHAR(10)&amp;"https://maps.google.com/?daddr="&amp;REPLACE(G466,SEARCH(",",G466),2,"%2C")&amp;CHAR(10)&amp;"К оплате: "&amp;"**"&amp;H466&amp;CHAR(10)&amp;"**"&amp;"--------------------------------"</f>
        <v>1. 10:00 Елена Ларисына
Тел.: +79497398064
Адрес: Металлургов, 97
№ заказа: 385
Кол-во мест: 1
https://yandex.ru/maps/?text=47.1070%2C37.5542
https://maps.google.com/?daddr=47.1070%2C37.5542
К оплате: **0
**--------------------------------</v>
      </c>
    </row>
    <row r="467" spans="1:11" hidden="1" x14ac:dyDescent="0.25">
      <c r="A467">
        <v>2</v>
      </c>
      <c r="B467" s="1">
        <v>45661</v>
      </c>
      <c r="C467" t="s">
        <v>33</v>
      </c>
      <c r="D467" t="str">
        <f>VLOOKUP($C467,ТабКлиенты[#Data],MATCH(D$1,ТабКлиенты[#Headers],0),0)</f>
        <v>+79496069479</v>
      </c>
      <c r="E467" t="str">
        <f>VLOOKUP($C467,ТабКлиенты[#Data],MATCH(E$1,ТабКлиенты[#Headers],0),0)</f>
        <v>Марьинская 145 Новоселовка Церковь</v>
      </c>
      <c r="F467" s="80">
        <v>0.4236111111111111</v>
      </c>
      <c r="G467" s="14" t="str">
        <f>VLOOKUP($C467,ТабКлиенты[#Data],MATCH(G$1,ТабКлиенты[#Headers],0),0)</f>
        <v>47.1126, 37.5473</v>
      </c>
      <c r="H467" s="14">
        <v>0</v>
      </c>
      <c r="I467" s="13">
        <v>403</v>
      </c>
      <c r="J467" s="13">
        <v>1</v>
      </c>
      <c r="K467" t="str">
        <f t="shared" si="25"/>
        <v>2. 10:10 Галина Агабекова(церковь)
Тел.: +79496069479
Адрес: Марьинская 145 Новоселовка Церковь
№ заказа: 403
Кол-во мест: 1
https://yandex.ru/maps/?text=47.1126%2C37.5473
https://maps.google.com/?daddr=47.1126%2C37.5473
К оплате: **0
**--------------------------------</v>
      </c>
    </row>
    <row r="468" spans="1:11" hidden="1" x14ac:dyDescent="0.25">
      <c r="A468">
        <v>3</v>
      </c>
      <c r="B468" s="1">
        <v>45661</v>
      </c>
      <c r="C468" t="s">
        <v>295</v>
      </c>
      <c r="D468" t="str">
        <f>VLOOKUP($C468,ТабКлиенты[#Data],MATCH(D$1,ТабКлиенты[#Headers],0),0)</f>
        <v>+79497277100</v>
      </c>
      <c r="E468" t="str">
        <f>VLOOKUP($C468,ТабКлиенты[#Data],MATCH(E$1,ТабКлиенты[#Headers],0),0)</f>
        <v>Артема 132</v>
      </c>
      <c r="F468" s="80">
        <v>0.42708333333333331</v>
      </c>
      <c r="G468" s="14" t="str">
        <f>VLOOKUP($C468,ТабКлиенты[#Data],MATCH(G$1,ТабКлиенты[#Headers],0),0)</f>
        <v>47.1085, 37.5599</v>
      </c>
      <c r="H468" s="14">
        <v>7500</v>
      </c>
      <c r="I468" s="13" t="s">
        <v>2226</v>
      </c>
      <c r="J468" s="13">
        <v>1</v>
      </c>
      <c r="K468" t="str">
        <f t="shared" si="25"/>
        <v>3. 10:15 Александр Радин
Тел.: +79497277100
Адрес: Артема 132
№ заказа: Витамины 1
Кол-во мест: 1
https://yandex.ru/maps/?text=47.1085%2C37.5599
https://maps.google.com/?daddr=47.1085%2C37.5599
К оплате: **7500
**--------------------------------</v>
      </c>
    </row>
    <row r="469" spans="1:11" hidden="1" x14ac:dyDescent="0.25">
      <c r="A469">
        <v>4</v>
      </c>
      <c r="B469" s="1">
        <v>45661</v>
      </c>
      <c r="C469" t="s">
        <v>357</v>
      </c>
      <c r="D469" t="str">
        <f>VLOOKUP($C469,ТабКлиенты[#Data],MATCH(D$1,ТабКлиенты[#Headers],0),0)</f>
        <v>+79497114644</v>
      </c>
      <c r="E469" t="str">
        <f>VLOOKUP($C469,ТабКлиенты[#Data],MATCH(E$1,ТабКлиенты[#Headers],0),0)</f>
        <v>Металлургов 143</v>
      </c>
      <c r="F469" s="80">
        <v>0.43402777777777779</v>
      </c>
      <c r="G469" s="14" t="str">
        <f>VLOOKUP($C469,ТабКлиенты[#Data],MATCH(G$1,ТабКлиенты[#Headers],0),0)</f>
        <v>47.1199, 37.5643</v>
      </c>
      <c r="H469" s="14">
        <v>0</v>
      </c>
      <c r="I469" s="13">
        <v>408</v>
      </c>
      <c r="J469" s="13">
        <v>1</v>
      </c>
      <c r="K469" t="str">
        <f t="shared" si="25"/>
        <v>4. 10:25 Юля Ларисына
Тел.: +79497114644
Адрес: Металлургов 143
№ заказа: 408
Кол-во мест: 1
https://yandex.ru/maps/?text=47.1199%2C37.5643
https://maps.google.com/?daddr=47.1199%2C37.5643
К оплате: **0
**--------------------------------</v>
      </c>
    </row>
    <row r="470" spans="1:11" hidden="1" x14ac:dyDescent="0.25">
      <c r="A470">
        <v>5</v>
      </c>
      <c r="B470" s="1">
        <v>45661</v>
      </c>
      <c r="C470" t="s">
        <v>437</v>
      </c>
      <c r="D470" t="str">
        <f>VLOOKUP($C470,ТабКлиенты[#Data],MATCH(D$1,ТабКлиенты[#Headers],0),0)</f>
        <v>+79497115237</v>
      </c>
      <c r="E470" t="str">
        <f>VLOOKUP($C470,ТабКлиенты[#Data],MATCH(E$1,ТабКлиенты[#Headers],0),0)</f>
        <v>пер Станционный 8</v>
      </c>
      <c r="F470" s="80">
        <v>0.4513888888888889</v>
      </c>
      <c r="G470" s="14" t="str">
        <f>VLOOKUP($C470,ТабКлиенты[#Data],MATCH(G$1,ТабКлиенты[#Headers],0),0)</f>
        <v>47.1640, 37.5780</v>
      </c>
      <c r="H470" s="14">
        <v>4100</v>
      </c>
      <c r="I470" s="13" t="s">
        <v>2227</v>
      </c>
      <c r="J470" s="13">
        <v>1</v>
      </c>
      <c r="K470" t="str">
        <f t="shared" si="25"/>
        <v>5. 10:50 Аня Мирный
Тел.: +79497115237
Адрес: пер Станционный 8
№ заказа: Витамины 2
Кол-во мест: 1
https://yandex.ru/maps/?text=47.1640%2C37.5780
https://maps.google.com/?daddr=47.1640%2C37.5780
К оплате: **4100
**--------------------------------</v>
      </c>
    </row>
    <row r="471" spans="1:11" hidden="1" x14ac:dyDescent="0.25">
      <c r="A471">
        <v>6</v>
      </c>
      <c r="B471" s="1">
        <v>45661</v>
      </c>
      <c r="C471" t="s">
        <v>2201</v>
      </c>
      <c r="D471" t="str">
        <f>VLOOKUP($C471,ТабКлиенты[#Data],MATCH(D$1,ТабКлиенты[#Headers],0),0)</f>
        <v>+79494368263</v>
      </c>
      <c r="E471" t="str">
        <f>VLOOKUP($C471,ТабКлиенты[#Data],MATCH(E$1,ТабКлиенты[#Headers],0),0)</f>
        <v>Строителей 191</v>
      </c>
      <c r="F471" s="80">
        <v>0.46875</v>
      </c>
      <c r="G471" s="14" t="str">
        <f>VLOOKUP($C471,ТабКлиенты[#Data],MATCH(G$1,ТабКлиенты[#Headers],0),0)</f>
        <v>47.1231, 37.5279</v>
      </c>
      <c r="H471" s="14">
        <v>5943</v>
      </c>
      <c r="I471" s="13">
        <v>417</v>
      </c>
      <c r="J471" s="13">
        <v>1</v>
      </c>
      <c r="K471" t="str">
        <f t="shared" si="25"/>
        <v>6. 11:15 Коля Чунихин
Тел.: +79494368263
Адрес: Строителей 191
№ заказа: 417
Кол-во мест: 1
https://yandex.ru/maps/?text=47.1231%2C37.5279
https://maps.google.com/?daddr=47.1231%2C37.5279
К оплате: **5943
**--------------------------------</v>
      </c>
    </row>
    <row r="472" spans="1:11" hidden="1" x14ac:dyDescent="0.25">
      <c r="A472">
        <v>7</v>
      </c>
      <c r="B472" s="1">
        <v>45661</v>
      </c>
      <c r="C472" t="s">
        <v>434</v>
      </c>
      <c r="D472">
        <f>VLOOKUP($C472,ТабКлиенты[#Data],MATCH(D$1,ТабКлиенты[#Headers],0),0)</f>
        <v>0</v>
      </c>
      <c r="E472" t="str">
        <f>VLOOKUP($C472,ТабКлиенты[#Data],MATCH(E$1,ТабКлиенты[#Headers],0),0)</f>
        <v>Троицкая 46</v>
      </c>
      <c r="F472" s="80">
        <v>0.47569444444444442</v>
      </c>
      <c r="G472" s="14" t="str">
        <f>VLOOKUP($C472,ТабКлиенты[#Data],MATCH(G$1,ТабКлиенты[#Headers],0),0)</f>
        <v>47.1119, 37.5147</v>
      </c>
      <c r="H472" s="14">
        <v>0</v>
      </c>
      <c r="I472" s="13" t="s">
        <v>2228</v>
      </c>
      <c r="J472" s="13">
        <v>1</v>
      </c>
      <c r="K472" t="str">
        <f t="shared" si="25"/>
        <v>7. 11:25 Оксна 17 Цветы
Тел.: 0
Адрес: Троицкая 46
№ заказа: Витамины 3
Кол-во мест: 1
https://yandex.ru/maps/?text=47.1119%2C37.5147
https://maps.google.com/?daddr=47.1119%2C37.5147
К оплате: **0
**--------------------------------</v>
      </c>
    </row>
    <row r="473" spans="1:11" hidden="1" x14ac:dyDescent="0.25">
      <c r="A473">
        <v>8</v>
      </c>
      <c r="B473" s="1">
        <v>45661</v>
      </c>
      <c r="C473" t="s">
        <v>1482</v>
      </c>
      <c r="D473" t="str">
        <f>VLOOKUP($C473,ТабКлиенты[#Data],MATCH(D$1,ТабКлиенты[#Headers],0),0)</f>
        <v>+79497178586</v>
      </c>
      <c r="E473" t="str">
        <f>VLOOKUP($C473,ТабКлиенты[#Data],MATCH(E$1,ТабКлиенты[#Headers],0),0)</f>
        <v>Куприна 51</v>
      </c>
      <c r="F473" s="80">
        <v>0.4826388888888889</v>
      </c>
      <c r="G473" s="14" t="str">
        <f>VLOOKUP($C473,ТабКлиенты[#Data],MATCH(G$1,ТабКлиенты[#Headers],0),0)</f>
        <v>47.1094, 37.5104</v>
      </c>
      <c r="H473" s="14">
        <v>0</v>
      </c>
      <c r="I473" s="13">
        <v>326</v>
      </c>
      <c r="J473" s="13">
        <v>1</v>
      </c>
      <c r="K473" t="str">
        <f t="shared" si="25"/>
        <v>8. 11:35 Михаил Куприна
Тел.: +79497178586
Адрес: Куприна 51
№ заказа: 326
Кол-во мест: 1
https://yandex.ru/maps/?text=47.1094%2C37.5104
https://maps.google.com/?daddr=47.1094%2C37.5104
К оплате: **0
**--------------------------------</v>
      </c>
    </row>
    <row r="474" spans="1:11" hidden="1" x14ac:dyDescent="0.25">
      <c r="A474">
        <v>9</v>
      </c>
      <c r="B474" s="1">
        <v>45661</v>
      </c>
      <c r="C474" t="s">
        <v>1995</v>
      </c>
      <c r="D474" t="str">
        <f>VLOOKUP($C474,ТабКлиенты[#Data],MATCH(D$1,ТабКлиенты[#Headers],0),0)</f>
        <v>+79495228017</v>
      </c>
      <c r="E474" t="str">
        <f>VLOOKUP($C474,ТабКлиенты[#Data],MATCH(E$1,ТабКлиенты[#Headers],0),0)</f>
        <v>Вахтангова 15а</v>
      </c>
      <c r="F474" s="80">
        <v>0.49652777777777779</v>
      </c>
      <c r="G474" s="14" t="str">
        <f>VLOOKUP($C474,ТабКлиенты[#Data],MATCH(G$1,ТабКлиенты[#Headers],0),0)</f>
        <v>47.0882, 37.5117</v>
      </c>
      <c r="H474" s="14">
        <v>7400</v>
      </c>
      <c r="I474" s="13" t="s">
        <v>2229</v>
      </c>
      <c r="J474" s="13">
        <v>1</v>
      </c>
      <c r="K474" t="str">
        <f t="shared" si="25"/>
        <v>9. 11:55 Татьяна Вахтангова
Тел.: +79495228017
Адрес: Вахтангова 15а
№ заказа: Витамины 4
Кол-во мест: 1
https://yandex.ru/maps/?text=47.0882%2C37.5117
https://maps.google.com/?daddr=47.0882%2C37.5117
К оплате: **7400
**--------------------------------</v>
      </c>
    </row>
    <row r="475" spans="1:11" hidden="1" x14ac:dyDescent="0.25">
      <c r="A475">
        <v>10</v>
      </c>
      <c r="B475" s="1">
        <v>45661</v>
      </c>
      <c r="C475" t="s">
        <v>2223</v>
      </c>
      <c r="D475"/>
      <c r="E475" t="s">
        <v>2225</v>
      </c>
      <c r="F475" s="80">
        <v>0.51388888888888884</v>
      </c>
      <c r="G475" s="14" t="s">
        <v>2224</v>
      </c>
      <c r="H475" s="14">
        <v>3000</v>
      </c>
      <c r="I475" s="13" t="s">
        <v>2230</v>
      </c>
      <c r="J475" s="13">
        <v>1</v>
      </c>
      <c r="K475" t="str">
        <f t="shared" si="25"/>
        <v>10. 12:20 Светлана Ленина 45
Тел.: 
Адрес: Ленина 45
№ заказа: Витамины 5
Кол-во мест: 1
https://yandex.ru/maps/?text=47.0958%2C37.5526
https://maps.google.com/?daddr=47.0958%2C37.5526
К оплате: **3000
**--------------------------------</v>
      </c>
    </row>
    <row r="476" spans="1:11" hidden="1" x14ac:dyDescent="0.25">
      <c r="A476">
        <v>11</v>
      </c>
      <c r="B476" s="1">
        <v>45661</v>
      </c>
      <c r="C476" t="s">
        <v>359</v>
      </c>
      <c r="D476" t="str">
        <f>VLOOKUP($C476,ТабКлиенты[#Data],MATCH(D$1,ТабКлиенты[#Headers],0),0)</f>
        <v>+79497105263</v>
      </c>
      <c r="E476" t="str">
        <f>VLOOKUP($C476,ТабКлиенты[#Data],MATCH(E$1,ТабКлиенты[#Headers],0),0)</f>
        <v>Казанцева 31</v>
      </c>
      <c r="F476" s="80">
        <v>0.52083333333333337</v>
      </c>
      <c r="G476" s="14" t="str">
        <f>VLOOKUP($C476,ТабКлиенты[#Data],MATCH(G$1,ТабКлиенты[#Headers],0),0)</f>
        <v>47.1070, 37.5475</v>
      </c>
      <c r="H476" s="14">
        <v>0</v>
      </c>
      <c r="I476" s="13" t="s">
        <v>2231</v>
      </c>
      <c r="J476" s="13">
        <v>1</v>
      </c>
      <c r="K476" t="str">
        <f t="shared" si="25"/>
        <v>11. 12:30 Анна соседка
Тел.: +79497105263
Адрес: Казанцева 31
№ заказа: Витамины 6
Кол-во мест: 1
https://yandex.ru/maps/?text=47.1070%2C37.5475
https://maps.google.com/?daddr=47.1070%2C37.5475
К оплате: **0
**--------------------------------</v>
      </c>
    </row>
    <row r="477" spans="1:11" hidden="1" x14ac:dyDescent="0.25">
      <c r="A477">
        <v>1</v>
      </c>
      <c r="B477" s="1">
        <v>45668</v>
      </c>
      <c r="C477" t="s">
        <v>445</v>
      </c>
      <c r="D477" t="str">
        <f>VLOOKUP($C477,ТабКлиенты[#Data],MATCH(D$1,ТабКлиенты[#Headers],0),0)</f>
        <v>+79497262176</v>
      </c>
      <c r="E477" t="str">
        <f>VLOOKUP($C477,ТабКлиенты[#Data],MATCH(E$1,ТабКлиенты[#Headers],0),0)</f>
        <v>Металлургов 179, кв 114</v>
      </c>
      <c r="F477" s="80">
        <v>0.40277777777777779</v>
      </c>
      <c r="G477" s="14" t="str">
        <f>VLOOKUP($C477,ТабКлиенты[#Data],MATCH(G$1,ТабКлиенты[#Headers],0),0)</f>
        <v>47.1248, 37.5657</v>
      </c>
      <c r="H477" s="14">
        <v>0</v>
      </c>
      <c r="I477" s="13">
        <v>262</v>
      </c>
      <c r="J477" s="13">
        <v>1</v>
      </c>
      <c r="K477" t="str">
        <f t="shared" ref="K477:K488" si="26">A477&amp;". "&amp;TEXT(F477,"ЧЧ:ММ")&amp;" "&amp;C477&amp;CHAR(10)&amp;"Тел.: "&amp;D477&amp;CHAR(10)&amp;"Адрес: "&amp;E477&amp;CHAR(10)&amp;"№ заказа: "&amp;I477&amp;CHAR(10)&amp;"Кол-во мест: "&amp;J477&amp;CHAR(10)&amp;"https://yandex.ru/maps/?text="&amp;REPLACE(G477,SEARCH(",",G477),2,"%2C")&amp;CHAR(10)&amp;"https://maps.google.com/?daddr="&amp;REPLACE(G477,SEARCH(",",G477),2,"%2C")&amp;CHAR(10)&amp;"К оплате: "&amp;"**"&amp;H477&amp;CHAR(10)&amp;"**"&amp;"--------------------------------"</f>
        <v>1. 09:40 Светлана от Александра
Тел.: +79497262176
Адрес: Металлургов 179, кв 114
№ заказа: 262
Кол-во мест: 1
https://yandex.ru/maps/?text=47.1248%2C37.5657
https://maps.google.com/?daddr=47.1248%2C37.5657
К оплате: **0
**--------------------------------</v>
      </c>
    </row>
    <row r="478" spans="1:11" hidden="1" x14ac:dyDescent="0.25">
      <c r="A478">
        <v>2</v>
      </c>
      <c r="B478" s="1">
        <v>45668</v>
      </c>
      <c r="C478" t="s">
        <v>112</v>
      </c>
      <c r="D478" t="str">
        <f>VLOOKUP($C478,ТабКлиенты[#Data],MATCH(D$1,ТабКлиенты[#Headers],0),0)</f>
        <v>+79497340681</v>
      </c>
      <c r="E478" t="str">
        <f>VLOOKUP($C478,ТабКлиенты[#Data],MATCH(E$1,ТабКлиенты[#Headers],0),0)</f>
        <v>Покрышкина 99</v>
      </c>
      <c r="F478" s="80">
        <v>0.40972222222222221</v>
      </c>
      <c r="G478" s="14" t="str">
        <f>VLOOKUP($C478,ТабКлиенты[#Data],MATCH(G$1,ТабКлиенты[#Headers],0),0)</f>
        <v>47.1259, 37.5629</v>
      </c>
      <c r="H478" s="14">
        <v>1028</v>
      </c>
      <c r="I478" s="13">
        <v>409</v>
      </c>
      <c r="J478" s="13">
        <v>1</v>
      </c>
      <c r="K478" t="str">
        <f t="shared" si="26"/>
        <v>2. 09:50 Митрофанов Евгений
Тел.: +79497340681
Адрес: Покрышкина 99
№ заказа: 409
Кол-во мест: 1
https://yandex.ru/maps/?text=47.1259%2C37.5629
https://maps.google.com/?daddr=47.1259%2C37.5629
К оплате: **1028
**--------------------------------</v>
      </c>
    </row>
    <row r="479" spans="1:11" hidden="1" x14ac:dyDescent="0.25">
      <c r="A479">
        <v>3</v>
      </c>
      <c r="B479" s="1">
        <v>45668</v>
      </c>
      <c r="C479" t="s">
        <v>2258</v>
      </c>
      <c r="D479" t="str">
        <f>VLOOKUP($C479,ТабКлиенты[#Data],MATCH(D$1,ТабКлиенты[#Headers],0),0)</f>
        <v>+79497162549</v>
      </c>
      <c r="E479" t="str">
        <f>VLOOKUP($C479,ТабКлиенты[#Data],MATCH(E$1,ТабКлиенты[#Headers],0),0)</f>
        <v>Сеченова 74, подъезд 2</v>
      </c>
      <c r="F479" s="80">
        <v>0.41666666666666669</v>
      </c>
      <c r="G479" s="14" t="str">
        <f>VLOOKUP($C479,ТабКлиенты[#Data],MATCH(G$1,ТабКлиенты[#Headers],0),0)</f>
        <v>47.1316, 37.5623</v>
      </c>
      <c r="H479" s="14">
        <v>0</v>
      </c>
      <c r="I479" s="13">
        <v>427</v>
      </c>
      <c r="J479" s="13">
        <v>1</v>
      </c>
      <c r="K479" t="str">
        <f t="shared" si="26"/>
        <v>3. 10:00 Ярослав Еременко
Тел.: +79497162549
Адрес: Сеченова 74, подъезд 2
№ заказа: 427
Кол-во мест: 1
https://yandex.ru/maps/?text=47.1316%2C37.5623
https://maps.google.com/?daddr=47.1316%2C37.5623
К оплате: **0
**--------------------------------</v>
      </c>
    </row>
    <row r="480" spans="1:11" hidden="1" x14ac:dyDescent="0.25">
      <c r="A480">
        <v>4</v>
      </c>
      <c r="B480" s="1">
        <v>45668</v>
      </c>
      <c r="C480" t="s">
        <v>33</v>
      </c>
      <c r="D480" t="str">
        <f>VLOOKUP($C480,ТабКлиенты[#Data],MATCH(D$1,ТабКлиенты[#Headers],0),0)</f>
        <v>+79496069479</v>
      </c>
      <c r="E480" t="str">
        <f>VLOOKUP($C480,ТабКлиенты[#Data],MATCH(E$1,ТабКлиенты[#Headers],0),0)</f>
        <v>Марьинская 145 Новоселовка Церковь</v>
      </c>
      <c r="F480" s="80">
        <v>0.4236111111111111</v>
      </c>
      <c r="G480" s="14" t="str">
        <f>VLOOKUP($C480,ТабКлиенты[#Data],MATCH(G$1,ТабКлиенты[#Headers],0),0)</f>
        <v>47.1126, 37.5473</v>
      </c>
      <c r="H480" s="14">
        <v>0</v>
      </c>
      <c r="I480" s="13">
        <v>403</v>
      </c>
      <c r="J480" s="13">
        <v>1</v>
      </c>
      <c r="K480" t="str">
        <f t="shared" si="26"/>
        <v>4. 10:10 Галина Агабекова(церковь)
Тел.: +79496069479
Адрес: Марьинская 145 Новоселовка Церковь
№ заказа: 403
Кол-во мест: 1
https://yandex.ru/maps/?text=47.1126%2C37.5473
https://maps.google.com/?daddr=47.1126%2C37.5473
К оплате: **0
**--------------------------------</v>
      </c>
    </row>
    <row r="481" spans="1:11" hidden="1" x14ac:dyDescent="0.25">
      <c r="A481">
        <v>5</v>
      </c>
      <c r="B481" s="1">
        <v>45668</v>
      </c>
      <c r="C481" t="s">
        <v>2201</v>
      </c>
      <c r="D481" t="str">
        <f>VLOOKUP($C481,ТабКлиенты[#Data],MATCH(D$1,ТабКлиенты[#Headers],0),0)</f>
        <v>+79494368263</v>
      </c>
      <c r="E481" t="str">
        <f>VLOOKUP($C481,ТабКлиенты[#Data],MATCH(E$1,ТабКлиенты[#Headers],0),0)</f>
        <v>Строителей 191</v>
      </c>
      <c r="F481" s="80">
        <v>0.43055555555555558</v>
      </c>
      <c r="G481" s="14" t="str">
        <f>VLOOKUP($C481,ТабКлиенты[#Data],MATCH(G$1,ТабКлиенты[#Headers],0),0)</f>
        <v>47.1231, 37.5279</v>
      </c>
      <c r="H481" s="14">
        <v>0</v>
      </c>
      <c r="I481" s="13">
        <v>417</v>
      </c>
      <c r="J481" s="13">
        <v>1</v>
      </c>
      <c r="K481" t="str">
        <f t="shared" si="26"/>
        <v>5. 10:20 Коля Чунихин
Тел.: +79494368263
Адрес: Строителей 191
№ заказа: 417
Кол-во мест: 1
https://yandex.ru/maps/?text=47.1231%2C37.5279
https://maps.google.com/?daddr=47.1231%2C37.5279
К оплате: **0
**--------------------------------</v>
      </c>
    </row>
    <row r="482" spans="1:11" hidden="1" x14ac:dyDescent="0.25">
      <c r="A482">
        <v>6</v>
      </c>
      <c r="B482" s="1">
        <v>45668</v>
      </c>
      <c r="C482" t="s">
        <v>485</v>
      </c>
      <c r="D482" t="str">
        <f>VLOOKUP($C482,ТабКлиенты[#Data],MATCH(D$1,ТабКлиенты[#Headers],0),0)</f>
        <v>+79498429781</v>
      </c>
      <c r="E482" t="str">
        <f>VLOOKUP($C482,ТабКлиенты[#Data],MATCH(E$1,ТабКлиенты[#Headers],0),0)</f>
        <v>Крымская 42</v>
      </c>
      <c r="F482" s="80">
        <v>0.4375</v>
      </c>
      <c r="G482" s="14" t="str">
        <f>VLOOKUP($C482,ТабКлиенты[#Data],MATCH(G$1,ТабКлиенты[#Headers],0),0)</f>
        <v>47.1389, 37.5091</v>
      </c>
      <c r="H482" s="14">
        <v>1281</v>
      </c>
      <c r="I482" s="13">
        <v>424</v>
      </c>
      <c r="J482" s="13">
        <v>1</v>
      </c>
      <c r="K482" t="str">
        <f t="shared" si="26"/>
        <v>6. 10:30 Аннет
Тел.: +79498429781
Адрес: Крымская 42
№ заказа: 424
Кол-во мест: 1
https://yandex.ru/maps/?text=47.1389%2C37.5091
https://maps.google.com/?daddr=47.1389%2C37.5091
К оплате: **1281
**--------------------------------</v>
      </c>
    </row>
    <row r="483" spans="1:11" hidden="1" x14ac:dyDescent="0.25">
      <c r="A483">
        <v>7</v>
      </c>
      <c r="B483" s="1">
        <v>45668</v>
      </c>
      <c r="C483" t="s">
        <v>2262</v>
      </c>
      <c r="D483" t="str">
        <f>VLOOKUP($C483,ТабКлиенты[#Data],MATCH(D$1,ТабКлиенты[#Headers],0),0)</f>
        <v>+79497399662</v>
      </c>
      <c r="E483" t="str">
        <f>VLOOKUP($C483,ТабКлиенты[#Data],MATCH(E$1,ТабКлиенты[#Headers],0),0)</f>
        <v>Шевченко 295 подъезд 3</v>
      </c>
      <c r="F483" s="80">
        <v>0.44444444444444442</v>
      </c>
      <c r="G483" s="14" t="str">
        <f>VLOOKUP($C483,ТабКлиенты[#Data],MATCH(G$1,ТабКлиенты[#Headers],0),0)</f>
        <v>47.1179, 37.5217</v>
      </c>
      <c r="H483" s="14">
        <v>0</v>
      </c>
      <c r="I483" s="13" t="s">
        <v>1271</v>
      </c>
      <c r="J483" s="13">
        <v>1</v>
      </c>
      <c r="K483" t="str">
        <f t="shared" si="26"/>
        <v>7. 10:40 Наталья Шевченко
Тел.: +79497399662
Адрес: Шевченко 295 подъезд 3
№ заказа: Витамины
Кол-во мест: 1
https://yandex.ru/maps/?text=47.1179%2C37.5217
https://maps.google.com/?daddr=47.1179%2C37.5217
К оплате: **0
**--------------------------------</v>
      </c>
    </row>
    <row r="484" spans="1:11" hidden="1" x14ac:dyDescent="0.25">
      <c r="A484">
        <v>8</v>
      </c>
      <c r="B484" s="1">
        <v>45668</v>
      </c>
      <c r="C484" t="s">
        <v>1482</v>
      </c>
      <c r="D484" t="str">
        <f>VLOOKUP($C484,ТабКлиенты[#Data],MATCH(D$1,ТабКлиенты[#Headers],0),0)</f>
        <v>+79497178586</v>
      </c>
      <c r="E484" t="str">
        <f>VLOOKUP($C484,ТабКлиенты[#Data],MATCH(E$1,ТабКлиенты[#Headers],0),0)</f>
        <v>Куприна 51</v>
      </c>
      <c r="F484" s="80">
        <v>0.4513888888888889</v>
      </c>
      <c r="G484" s="14" t="str">
        <f>VLOOKUP($C484,ТабКлиенты[#Data],MATCH(G$1,ТабКлиенты[#Headers],0),0)</f>
        <v>47.1094, 37.5104</v>
      </c>
      <c r="H484" s="14">
        <v>0</v>
      </c>
      <c r="I484" s="13">
        <v>407</v>
      </c>
      <c r="J484" s="13">
        <v>1</v>
      </c>
      <c r="K484" t="str">
        <f t="shared" si="26"/>
        <v>8. 10:50 Михаил Куприна
Тел.: +79497178586
Адрес: Куприна 51
№ заказа: 407
Кол-во мест: 1
https://yandex.ru/maps/?text=47.1094%2C37.5104
https://maps.google.com/?daddr=47.1094%2C37.5104
К оплате: **0
**--------------------------------</v>
      </c>
    </row>
    <row r="485" spans="1:11" hidden="1" x14ac:dyDescent="0.25">
      <c r="A485">
        <v>9</v>
      </c>
      <c r="B485" s="1">
        <v>45668</v>
      </c>
      <c r="C485" t="s">
        <v>456</v>
      </c>
      <c r="D485" t="str">
        <f>VLOOKUP($C485,ТабКлиенты[#Data],MATCH(D$1,ТабКлиенты[#Headers],0),0)</f>
        <v>+79497488953</v>
      </c>
      <c r="E485" t="str">
        <f>VLOOKUP($C485,ТабКлиенты[#Data],MATCH(E$1,ТабКлиенты[#Headers],0),0)</f>
        <v>Ленина 183 подъезд 1 (Изумрудный)</v>
      </c>
      <c r="F485" s="80">
        <v>0.45833333333333331</v>
      </c>
      <c r="G485" s="14" t="str">
        <f>VLOOKUP($C485,ТабКлиенты[#Data],MATCH(G$1,ТабКлиенты[#Headers],0),0)</f>
        <v>47.0982, 37.4785</v>
      </c>
      <c r="H485" s="14">
        <v>368</v>
      </c>
      <c r="I485" s="13">
        <v>425</v>
      </c>
      <c r="J485" s="13">
        <v>1</v>
      </c>
      <c r="K485" t="str">
        <f t="shared" si="26"/>
        <v>9. 11:00 Лана
Тел.: +79497488953
Адрес: Ленина 183 подъезд 1 (Изумрудный)
№ заказа: 425
Кол-во мест: 1
https://yandex.ru/maps/?text=47.0982%2C37.4785
https://maps.google.com/?daddr=47.0982%2C37.4785
К оплате: **368
**--------------------------------</v>
      </c>
    </row>
    <row r="486" spans="1:11" hidden="1" x14ac:dyDescent="0.25">
      <c r="A486">
        <v>10</v>
      </c>
      <c r="B486" s="1">
        <v>45668</v>
      </c>
      <c r="C486" t="s">
        <v>210</v>
      </c>
      <c r="D486" t="str">
        <f>VLOOKUP($C486,ТабКлиенты[#Data],MATCH(D$1,ТабКлиенты[#Headers],0),0)</f>
        <v>+79498350206</v>
      </c>
      <c r="E486" t="str">
        <f>VLOOKUP($C486,ТабКлиенты[#Data],MATCH(E$1,ТабКлиенты[#Headers],0),0)</f>
        <v>Сумская 42</v>
      </c>
      <c r="F486" s="80">
        <v>0.46875</v>
      </c>
      <c r="G486" s="14" t="str">
        <f>VLOOKUP($C486,ТабКлиенты[#Data],MATCH(G$1,ТабКлиенты[#Headers],0),0)</f>
        <v>47.0740, 37.4893</v>
      </c>
      <c r="H486" s="14">
        <v>0</v>
      </c>
      <c r="I486" s="13">
        <v>414</v>
      </c>
      <c r="J486" s="13">
        <v>1</v>
      </c>
      <c r="K486" t="str">
        <f t="shared" si="26"/>
        <v>10. 11:15 Максим рюкзак
Тел.: +79498350206
Адрес: Сумская 42
№ заказа: 414
Кол-во мест: 1
https://yandex.ru/maps/?text=47.0740%2C37.4893
https://maps.google.com/?daddr=47.0740%2C37.4893
К оплате: **0
**--------------------------------</v>
      </c>
    </row>
    <row r="487" spans="1:11" hidden="1" x14ac:dyDescent="0.25">
      <c r="A487">
        <v>11</v>
      </c>
      <c r="B487" s="1">
        <v>45668</v>
      </c>
      <c r="C487" t="s">
        <v>211</v>
      </c>
      <c r="D487" t="str">
        <f>VLOOKUP($C487,ТабКлиенты[#Data],MATCH(D$1,ТабКлиенты[#Headers],0),0)</f>
        <v>+79497250140</v>
      </c>
      <c r="E487" t="str">
        <f>VLOOKUP($C487,ТабКлиенты[#Data],MATCH(E$1,ТабКлиенты[#Headers],0),0)</f>
        <v>Мирный, Моторная 36 / Строителей 52а</v>
      </c>
      <c r="F487" s="80">
        <v>0.47222222222222221</v>
      </c>
      <c r="G487" s="14" t="str">
        <f>VLOOKUP($C487,ТабКлиенты[#Data],MATCH(G$1,ТабКлиенты[#Headers],0),0)</f>
        <v>47.0883, 37.5192</v>
      </c>
      <c r="H487" s="14">
        <v>0</v>
      </c>
      <c r="I487" s="13">
        <v>426</v>
      </c>
      <c r="J487" s="13">
        <v>1</v>
      </c>
      <c r="K487" t="str">
        <f t="shared" si="26"/>
        <v>11. 11:20 Наталья 12
Тел.: +79497250140
Адрес: Мирный, Моторная 36 / Строителей 52а
№ заказа: 426
Кол-во мест: 1
https://yandex.ru/maps/?text=47.0883%2C37.5192
https://maps.google.com/?daddr=47.0883%2C37.5192
К оплате: **0
**--------------------------------</v>
      </c>
    </row>
    <row r="488" spans="1:11" hidden="1" x14ac:dyDescent="0.25">
      <c r="A488">
        <v>12</v>
      </c>
      <c r="B488" s="1">
        <v>45668</v>
      </c>
      <c r="C488" t="s">
        <v>283</v>
      </c>
      <c r="D488" t="str">
        <f>VLOOKUP($C488,ТабКлиенты[#Data],MATCH(D$1,ТабКлиенты[#Headers],0),0)</f>
        <v>+79497172395</v>
      </c>
      <c r="E488" t="str">
        <f>VLOOKUP($C488,ТабКлиенты[#Data],MATCH(E$1,ТабКлиенты[#Headers],0),0)</f>
        <v>Торговая 45</v>
      </c>
      <c r="F488" s="80">
        <v>0.47916666666666669</v>
      </c>
      <c r="G488" s="14" t="str">
        <f>VLOOKUP($C488,ТабКлиенты[#Data],MATCH(G$1,ТабКлиенты[#Headers],0),0)</f>
        <v>47.0982, 37.5627</v>
      </c>
      <c r="H488" s="14">
        <v>0</v>
      </c>
      <c r="I488" s="13">
        <v>418</v>
      </c>
      <c r="J488" s="13">
        <v>1</v>
      </c>
      <c r="K488" t="str">
        <f t="shared" si="26"/>
        <v>12. 11:30 Александр Каскад
Тел.: +79497172395
Адрес: Торговая 45
№ заказа: 418
Кол-во мест: 1
https://yandex.ru/maps/?text=47.0982%2C37.5627
https://maps.google.com/?daddr=47.0982%2C37.5627
К оплате: **0
**--------------------------------</v>
      </c>
    </row>
    <row r="489" spans="1:11" hidden="1" x14ac:dyDescent="0.25">
      <c r="A489">
        <v>1</v>
      </c>
      <c r="B489" s="1">
        <v>45675</v>
      </c>
      <c r="C489" t="s">
        <v>2303</v>
      </c>
      <c r="D489" t="str">
        <f>VLOOKUP($C489,ТабКлиенты[#Data],MATCH(D$1,ТабКлиенты[#Headers],0),0)</f>
        <v>+79497248825</v>
      </c>
      <c r="E489" t="str">
        <f>VLOOKUP($C489,ТабКлиенты[#Data],MATCH(E$1,ТабКлиенты[#Headers],0),0)</f>
        <v>Писарева 28</v>
      </c>
      <c r="F489" s="80">
        <v>0.375</v>
      </c>
      <c r="G489" s="14" t="str">
        <f>VLOOKUP($C489,ТабКлиенты[#Data],MATCH(G$1,ТабКлиенты[#Headers],0),0)</f>
        <v>47.1067, 37.5486</v>
      </c>
      <c r="H489" s="14">
        <v>3600</v>
      </c>
      <c r="I489" s="13" t="s">
        <v>2305</v>
      </c>
      <c r="J489" s="13">
        <v>1</v>
      </c>
      <c r="K489" t="str">
        <f t="shared" ref="K489:K508" si="27">A489&amp;". "&amp;TEXT(F489,"ЧЧ:ММ")&amp;" "&amp;C489&amp;CHAR(10)&amp;"Тел.: "&amp;D489&amp;CHAR(10)&amp;"Адрес: "&amp;E489&amp;CHAR(10)&amp;"№ заказа: "&amp;I489&amp;CHAR(10)&amp;"Кол-во мест: "&amp;J489&amp;CHAR(10)&amp;"https://yandex.ru/maps/?text="&amp;REPLACE(G489,SEARCH(",",G489),2,"%2C")&amp;CHAR(10)&amp;"https://maps.google.com/?daddr="&amp;REPLACE(G489,SEARCH(",",G489),2,"%2C")&amp;CHAR(10)&amp;"К оплате: "&amp;"**"&amp;H489&amp;CHAR(10)&amp;"**"&amp;"--------------------------------"</f>
        <v>1. 09:00 Лиля Эдельвейс
Тел.: +79497248825
Адрес: Писарева 28
№ заказа: Витамины 8
Кол-во мест: 1
https://yandex.ru/maps/?text=47.1067%2C37.5486
https://maps.google.com/?daddr=47.1067%2C37.5486
К оплате: **3600
**--------------------------------</v>
      </c>
    </row>
    <row r="490" spans="1:11" hidden="1" x14ac:dyDescent="0.25">
      <c r="A490">
        <v>2</v>
      </c>
      <c r="B490" s="1">
        <v>45675</v>
      </c>
      <c r="C490" t="s">
        <v>1377</v>
      </c>
      <c r="D490" t="str">
        <f>VLOOKUP($C490,ТабКлиенты[#Data],MATCH(D$1,ТабКлиенты[#Headers],0),0)</f>
        <v>+79497083587</v>
      </c>
      <c r="E490" t="str">
        <f>VLOOKUP($C490,ТабКлиенты[#Data],MATCH(E$1,ТабКлиенты[#Headers],0),0)</f>
        <v>Свободы 7</v>
      </c>
      <c r="F490" s="80">
        <v>0.38194444444444442</v>
      </c>
      <c r="G490" s="14" t="str">
        <f>VLOOKUP($C490,ТабКлиенты[#Data],MATCH(G$1,ТабКлиенты[#Headers],0),0)</f>
        <v>47.1184, 37.5442</v>
      </c>
      <c r="H490" s="14">
        <v>5000</v>
      </c>
      <c r="I490" s="13" t="s">
        <v>2229</v>
      </c>
      <c r="J490" s="13">
        <v>1</v>
      </c>
      <c r="K490" t="str">
        <f t="shared" si="27"/>
        <v>2. 09:10 Наталья Молокозавод
Тел.: +79497083587
Адрес: Свободы 7
№ заказа: Витамины 4
Кол-во мест: 1
https://yandex.ru/maps/?text=47.1184%2C37.5442
https://maps.google.com/?daddr=47.1184%2C37.5442
К оплате: **5000
**--------------------------------</v>
      </c>
    </row>
    <row r="491" spans="1:11" hidden="1" x14ac:dyDescent="0.25">
      <c r="A491">
        <v>3</v>
      </c>
      <c r="B491" s="1">
        <v>45675</v>
      </c>
      <c r="C491" t="s">
        <v>445</v>
      </c>
      <c r="D491" t="str">
        <f>VLOOKUP($C491,ТабКлиенты[#Data],MATCH(D$1,ТабКлиенты[#Headers],0),0)</f>
        <v>+79497262176</v>
      </c>
      <c r="E491" t="str">
        <f>VLOOKUP($C491,ТабКлиенты[#Data],MATCH(E$1,ТабКлиенты[#Headers],0),0)</f>
        <v>Металлургов 179, кв 114</v>
      </c>
      <c r="F491" s="80">
        <v>0.3888888888888889</v>
      </c>
      <c r="G491" s="14" t="str">
        <f>VLOOKUP($C491,ТабКлиенты[#Data],MATCH(G$1,ТабКлиенты[#Headers],0),0)</f>
        <v>47.1248, 37.5657</v>
      </c>
      <c r="H491" s="14">
        <v>0</v>
      </c>
      <c r="I491" s="13">
        <v>428</v>
      </c>
      <c r="J491" s="13">
        <v>5</v>
      </c>
      <c r="K491" t="str">
        <f t="shared" si="27"/>
        <v>3. 09:20 Светлана от Александра
Тел.: +79497262176
Адрес: Металлургов 179, кв 114
№ заказа: 428
Кол-во мест: 5
https://yandex.ru/maps/?text=47.1248%2C37.5657
https://maps.google.com/?daddr=47.1248%2C37.5657
К оплате: **0
**--------------------------------</v>
      </c>
    </row>
    <row r="492" spans="1:11" hidden="1" x14ac:dyDescent="0.25">
      <c r="A492">
        <v>4</v>
      </c>
      <c r="B492" s="1">
        <v>45675</v>
      </c>
      <c r="C492" t="s">
        <v>2276</v>
      </c>
      <c r="D492" t="str">
        <f>VLOOKUP($C492,ТабКлиенты[#Data],MATCH(D$1,ТабКлиенты[#Headers],0),0)</f>
        <v>+79497036395</v>
      </c>
      <c r="E492" t="str">
        <f>VLOOKUP($C492,ТабКлиенты[#Data],MATCH(E$1,ТабКлиенты[#Headers],0),0)</f>
        <v>Металлургов 187</v>
      </c>
      <c r="F492" s="80">
        <v>0.39583333333333331</v>
      </c>
      <c r="G492" s="14" t="str">
        <f>VLOOKUP($C492,ТабКлиенты[#Data],MATCH(G$1,ТабКлиенты[#Headers],0),0)</f>
        <v>47.1270, 37.5662</v>
      </c>
      <c r="H492" s="14">
        <v>1683</v>
      </c>
      <c r="I492" s="13">
        <v>430</v>
      </c>
      <c r="J492" s="13">
        <v>1</v>
      </c>
      <c r="K492" t="str">
        <f t="shared" si="27"/>
        <v>4. 09:30 Вячеслав Протонов
Тел.: +79497036395
Адрес: Металлургов 187
№ заказа: 430
Кол-во мест: 1
https://yandex.ru/maps/?text=47.1270%2C37.5662
https://maps.google.com/?daddr=47.1270%2C37.5662
К оплате: **1683
**--------------------------------</v>
      </c>
    </row>
    <row r="493" spans="1:11" hidden="1" x14ac:dyDescent="0.25">
      <c r="A493">
        <v>5</v>
      </c>
      <c r="B493" s="1">
        <v>45675</v>
      </c>
      <c r="C493" t="s">
        <v>357</v>
      </c>
      <c r="D493" t="str">
        <f>VLOOKUP($C493,ТабКлиенты[#Data],MATCH(D$1,ТабКлиенты[#Headers],0),0)</f>
        <v>+79497114644</v>
      </c>
      <c r="E493" t="s">
        <v>2309</v>
      </c>
      <c r="F493" s="80">
        <v>0.39930555555555558</v>
      </c>
      <c r="G493" s="14" t="s">
        <v>2310</v>
      </c>
      <c r="H493" s="14">
        <v>0</v>
      </c>
      <c r="I493" s="13">
        <v>420</v>
      </c>
      <c r="J493" s="13">
        <v>1</v>
      </c>
      <c r="K493" t="str">
        <f t="shared" si="27"/>
        <v>5. 09:35 Юля Ларисына
Тел.: +79497114644
Адрес: Сеченова 70
№ заказа: 420
Кол-во мест: 1
https://yandex.ru/maps/?text=47.1319%2C37.5636
https://maps.google.com/?daddr=47.1319%2C37.5636
К оплате: **0
**--------------------------------</v>
      </c>
    </row>
    <row r="494" spans="1:11" hidden="1" x14ac:dyDescent="0.25">
      <c r="A494">
        <v>6</v>
      </c>
      <c r="B494" s="1">
        <v>45675</v>
      </c>
      <c r="C494" t="s">
        <v>112</v>
      </c>
      <c r="D494" t="str">
        <f>VLOOKUP($C494,ТабКлиенты[#Data],MATCH(D$1,ТабКлиенты[#Headers],0),0)</f>
        <v>+79497340681</v>
      </c>
      <c r="E494" t="str">
        <f>VLOOKUP($C494,ТабКлиенты[#Data],MATCH(E$1,ТабКлиенты[#Headers],0),0)</f>
        <v>Покрышкина 99</v>
      </c>
      <c r="F494" s="80">
        <v>0.40277777777777779</v>
      </c>
      <c r="G494" s="14" t="str">
        <f>VLOOKUP($C494,ТабКлиенты[#Data],MATCH(G$1,ТабКлиенты[#Headers],0),0)</f>
        <v>47.1259, 37.5629</v>
      </c>
      <c r="H494" s="14">
        <v>0</v>
      </c>
      <c r="I494" s="13">
        <v>409</v>
      </c>
      <c r="J494" s="13">
        <v>1</v>
      </c>
      <c r="K494" t="str">
        <f t="shared" si="27"/>
        <v>6. 09:40 Митрофанов Евгений
Тел.: +79497340681
Адрес: Покрышкина 99
№ заказа: 409
Кол-во мест: 1
https://yandex.ru/maps/?text=47.1259%2C37.5629
https://maps.google.com/?daddr=47.1259%2C37.5629
К оплате: **0
**--------------------------------</v>
      </c>
    </row>
    <row r="495" spans="1:11" hidden="1" x14ac:dyDescent="0.25">
      <c r="A495">
        <v>7</v>
      </c>
      <c r="B495" s="1">
        <v>45675</v>
      </c>
      <c r="C495" t="s">
        <v>437</v>
      </c>
      <c r="D495" t="str">
        <f>VLOOKUP($C495,ТабКлиенты[#Data],MATCH(D$1,ТабКлиенты[#Headers],0),0)</f>
        <v>+79497115237</v>
      </c>
      <c r="E495" t="str">
        <f>VLOOKUP($C495,ТабКлиенты[#Data],MATCH(E$1,ТабКлиенты[#Headers],0),0)</f>
        <v>пер Станционный 8</v>
      </c>
      <c r="F495" s="80">
        <v>0.41666666666666669</v>
      </c>
      <c r="G495" s="14" t="str">
        <f>VLOOKUP($C495,ТабКлиенты[#Data],MATCH(G$1,ТабКлиенты[#Headers],0),0)</f>
        <v>47.1640, 37.5780</v>
      </c>
      <c r="H495" s="14">
        <v>3100</v>
      </c>
      <c r="I495" s="13" t="s">
        <v>2226</v>
      </c>
      <c r="J495" s="13">
        <v>1</v>
      </c>
      <c r="K495" t="str">
        <f t="shared" si="27"/>
        <v>7. 10:00 Аня Мирный
Тел.: +79497115237
Адрес: пер Станционный 8
№ заказа: Витамины 1
Кол-во мест: 1
https://yandex.ru/maps/?text=47.1640%2C37.5780
https://maps.google.com/?daddr=47.1640%2C37.5780
К оплате: **3100
**--------------------------------</v>
      </c>
    </row>
    <row r="496" spans="1:11" hidden="1" x14ac:dyDescent="0.25">
      <c r="A496">
        <v>8</v>
      </c>
      <c r="B496" s="1">
        <v>45675</v>
      </c>
      <c r="C496" t="s">
        <v>2122</v>
      </c>
      <c r="D496" t="str">
        <f>VLOOKUP($C496,ТабКлиенты[#Data],MATCH(D$1,ТабКлиенты[#Headers],0),0)</f>
        <v>+79497106271</v>
      </c>
      <c r="E496" t="str">
        <f>VLOOKUP($C496,ТабКлиенты[#Data],MATCH(E$1,ТабКлиенты[#Headers],0),0)</f>
        <v>Урицкого 77</v>
      </c>
      <c r="F496" s="80">
        <v>0.43402777777777779</v>
      </c>
      <c r="G496" s="14" t="str">
        <f>VLOOKUP($C496,ТабКлиенты[#Data],MATCH(G$1,ТабКлиенты[#Headers],0),0)</f>
        <v>47.1228, 37.5167</v>
      </c>
      <c r="H496" s="14">
        <v>0</v>
      </c>
      <c r="I496" s="13" t="s">
        <v>2227</v>
      </c>
      <c r="J496" s="13">
        <v>1</v>
      </c>
      <c r="K496" t="str">
        <f t="shared" si="27"/>
        <v>8. 10:25 Наталья Школа 53
Тел.: +79497106271
Адрес: Урицкого 77
№ заказа: Витамины 2
Кол-во мест: 1
https://yandex.ru/maps/?text=47.1228%2C37.5167
https://maps.google.com/?daddr=47.1228%2C37.5167
К оплате: **0
**--------------------------------</v>
      </c>
    </row>
    <row r="497" spans="1:11" hidden="1" x14ac:dyDescent="0.25">
      <c r="A497">
        <v>9</v>
      </c>
      <c r="B497" s="1">
        <v>45675</v>
      </c>
      <c r="C497" t="s">
        <v>338</v>
      </c>
      <c r="D497" t="str">
        <f>VLOOKUP($C497,ТабКлиенты[#Data],MATCH(D$1,ТабКлиенты[#Headers],0),0)</f>
        <v>+79497094719</v>
      </c>
      <c r="E497" t="str">
        <f>VLOOKUP($C497,ТабКлиенты[#Data],MATCH(E$1,ТабКлиенты[#Headers],0),0)</f>
        <v>60 лет СССР 2Б</v>
      </c>
      <c r="F497" s="80">
        <v>0.44097222222222221</v>
      </c>
      <c r="G497" s="14" t="str">
        <f>VLOOKUP($C497,ТабКлиенты[#Data],MATCH(G$1,ТабКлиенты[#Headers],0),0)</f>
        <v>47.1178, 37.5121</v>
      </c>
      <c r="H497" s="14">
        <v>2500</v>
      </c>
      <c r="I497" s="13" t="s">
        <v>2228</v>
      </c>
      <c r="J497" s="13">
        <v>1</v>
      </c>
      <c r="K497" t="str">
        <f t="shared" si="27"/>
        <v>9. 10:35 Наталья 60 лет СССР
Тел.: +79497094719
Адрес: 60 лет СССР 2Б
№ заказа: Витамины 3
Кол-во мест: 1
https://yandex.ru/maps/?text=47.1178%2C37.5121
https://maps.google.com/?daddr=47.1178%2C37.5121
К оплате: **2500
**--------------------------------</v>
      </c>
    </row>
    <row r="498" spans="1:11" hidden="1" x14ac:dyDescent="0.25">
      <c r="A498">
        <v>10</v>
      </c>
      <c r="B498" s="1">
        <v>45675</v>
      </c>
      <c r="C498" t="s">
        <v>2253</v>
      </c>
      <c r="D498" t="str">
        <f>VLOOKUP($C498,ТабКлиенты[#Data],MATCH(D$1,ТабКлиенты[#Headers],0),0)</f>
        <v>+79497543529</v>
      </c>
      <c r="E498" t="str">
        <f>VLOOKUP($C498,ТабКлиенты[#Data],MATCH(E$1,ТабКлиенты[#Headers],0),0)</f>
        <v>Строителей 156, кв. 83</v>
      </c>
      <c r="F498" s="80">
        <v>0.44791666666666669</v>
      </c>
      <c r="G498" s="14" t="str">
        <f>VLOOKUP($C498,ТабКлиенты[#Data],MATCH(G$1,ТабКлиенты[#Headers],0),0)</f>
        <v>47.1186, 37.5244</v>
      </c>
      <c r="H498" s="14">
        <v>0</v>
      </c>
      <c r="I498" s="13">
        <v>423</v>
      </c>
      <c r="J498" s="13">
        <v>1</v>
      </c>
      <c r="K498" t="str">
        <f t="shared" si="27"/>
        <v>10. 10:45 Вита Строителей
Тел.: +79497543529
Адрес: Строителей 156, кв. 83
№ заказа: 423
Кол-во мест: 1
https://yandex.ru/maps/?text=47.1186%2C37.5244
https://maps.google.com/?daddr=47.1186%2C37.5244
К оплате: **0
**--------------------------------</v>
      </c>
    </row>
    <row r="499" spans="1:11" hidden="1" x14ac:dyDescent="0.25">
      <c r="A499">
        <v>11</v>
      </c>
      <c r="B499" s="1">
        <v>45675</v>
      </c>
      <c r="C499" t="s">
        <v>497</v>
      </c>
      <c r="D499" t="str">
        <f>VLOOKUP($C499,ТабКлиенты[#Data],MATCH(D$1,ТабКлиенты[#Headers],0),0)</f>
        <v>+79497054056</v>
      </c>
      <c r="E499" t="str">
        <f>VLOOKUP($C499,ТабКлиенты[#Data],MATCH(E$1,ТабКлиенты[#Headers],0),0)</f>
        <v>пер. Новгородский 41</v>
      </c>
      <c r="F499" s="80">
        <v>0.4548611111111111</v>
      </c>
      <c r="G499" s="14" t="str">
        <f>VLOOKUP($C499,ТабКлиенты[#Data],MATCH(G$1,ТабКлиенты[#Headers],0),0)</f>
        <v>47.1100, 37.5242</v>
      </c>
      <c r="H499" s="14">
        <v>5750</v>
      </c>
      <c r="I499" s="13" t="s">
        <v>2231</v>
      </c>
      <c r="J499" s="13">
        <v>1</v>
      </c>
      <c r="K499" t="str">
        <f t="shared" si="27"/>
        <v>11. 10:55 Лариса Терраспорт
Тел.: +79497054056
Адрес: пер. Новгородский 41
№ заказа: Витамины 6
Кол-во мест: 1
https://yandex.ru/maps/?text=47.1100%2C37.5242
https://maps.google.com/?daddr=47.1100%2C37.5242
К оплате: **5750
**--------------------------------</v>
      </c>
    </row>
    <row r="500" spans="1:11" hidden="1" x14ac:dyDescent="0.25">
      <c r="A500">
        <v>12</v>
      </c>
      <c r="B500" s="1">
        <v>45675</v>
      </c>
      <c r="C500" t="s">
        <v>1523</v>
      </c>
      <c r="D500" t="str">
        <f>VLOOKUP($C500,ТабКлиенты[#Data],MATCH(D$1,ТабКлиенты[#Headers],0),0)</f>
        <v>+79494015912</v>
      </c>
      <c r="E500" t="str">
        <f>VLOOKUP($C500,ТабКлиенты[#Data],MATCH(E$1,ТабКлиенты[#Headers],0),0)</f>
        <v>Куприна 17</v>
      </c>
      <c r="F500" s="80">
        <v>0.46527777777777779</v>
      </c>
      <c r="G500" s="14" t="str">
        <f>VLOOKUP($C500,ТабКлиенты[#Data],MATCH(G$1,ТабКлиенты[#Headers],0),0)</f>
        <v>47.1034, 37.5110</v>
      </c>
      <c r="H500" s="14">
        <v>0</v>
      </c>
      <c r="I500" s="13">
        <v>432</v>
      </c>
      <c r="J500" s="13">
        <v>1</v>
      </c>
      <c r="K500" t="str">
        <f t="shared" si="27"/>
        <v>12. 11:10 Кирилл Куприна
Тел.: +79494015912
Адрес: Куприна 17
№ заказа: 432
Кол-во мест: 1
https://yandex.ru/maps/?text=47.1034%2C37.5110
https://maps.google.com/?daddr=47.1034%2C37.5110
К оплате: **0
**--------------------------------</v>
      </c>
    </row>
    <row r="501" spans="1:11" hidden="1" x14ac:dyDescent="0.25">
      <c r="A501">
        <v>13</v>
      </c>
      <c r="B501" s="1">
        <v>45675</v>
      </c>
      <c r="C501" t="s">
        <v>456</v>
      </c>
      <c r="D501" t="str">
        <f>VLOOKUP($C501,ТабКлиенты[#Data],MATCH(D$1,ТабКлиенты[#Headers],0),0)</f>
        <v>+79497488953</v>
      </c>
      <c r="E501" t="str">
        <f>VLOOKUP($C501,ТабКлиенты[#Data],MATCH(E$1,ТабКлиенты[#Headers],0),0)</f>
        <v>Ленина 183 подъезд 1 (Изумрудный)</v>
      </c>
      <c r="F501" s="80">
        <v>0.47222222222222221</v>
      </c>
      <c r="G501" s="14" t="str">
        <f>VLOOKUP($C501,ТабКлиенты[#Data],MATCH(G$1,ТабКлиенты[#Headers],0),0)</f>
        <v>47.0982, 37.4785</v>
      </c>
      <c r="H501" s="14">
        <v>431</v>
      </c>
      <c r="I501" s="13">
        <v>435</v>
      </c>
      <c r="J501" s="13">
        <v>1</v>
      </c>
      <c r="K501" t="str">
        <f t="shared" si="27"/>
        <v>13. 11:20 Лана
Тел.: +79497488953
Адрес: Ленина 183 подъезд 1 (Изумрудный)
№ заказа: 435
Кол-во мест: 1
https://yandex.ru/maps/?text=47.0982%2C37.4785
https://maps.google.com/?daddr=47.0982%2C37.4785
К оплате: **431
**--------------------------------</v>
      </c>
    </row>
    <row r="502" spans="1:11" hidden="1" x14ac:dyDescent="0.25">
      <c r="A502">
        <v>14</v>
      </c>
      <c r="B502" s="1">
        <v>45675</v>
      </c>
      <c r="C502" t="s">
        <v>385</v>
      </c>
      <c r="D502" t="str">
        <f>VLOOKUP($C502,ТабКлиенты[#Data],MATCH(D$1,ТабКлиенты[#Headers],0),0)</f>
        <v>+79497169864</v>
      </c>
      <c r="E502" t="str">
        <f>VLOOKUP($C502,ТабКлиенты[#Data],MATCH(E$1,ТабКлиенты[#Headers],0),0)</f>
        <v>пер. Ейский 9</v>
      </c>
      <c r="F502" s="80">
        <v>0.47916666666666669</v>
      </c>
      <c r="G502" s="14" t="str">
        <f>VLOOKUP($C502,ТабКлиенты[#Data],MATCH(G$1,ТабКлиенты[#Headers],0),0)</f>
        <v>47.0898, 37.5062</v>
      </c>
      <c r="H502" s="14">
        <v>0</v>
      </c>
      <c r="I502" s="13" t="s">
        <v>2230</v>
      </c>
      <c r="J502" s="13">
        <v>1</v>
      </c>
      <c r="K502" t="str">
        <f t="shared" si="27"/>
        <v>14. 11:30 Надежда Витамины
Тел.: +79497169864
Адрес: пер. Ейский 9
№ заказа: Витамины 5
Кол-во мест: 1
https://yandex.ru/maps/?text=47.0898%2C37.5062
https://maps.google.com/?daddr=47.0898%2C37.5062
К оплате: **0
**--------------------------------</v>
      </c>
    </row>
    <row r="503" spans="1:11" hidden="1" x14ac:dyDescent="0.25">
      <c r="A503">
        <v>15</v>
      </c>
      <c r="B503" s="1">
        <v>45675</v>
      </c>
      <c r="C503" t="s">
        <v>1488</v>
      </c>
      <c r="D503" t="str">
        <f>VLOOKUP($C503,ТабКлиенты[#Data],MATCH(D$1,ТабКлиенты[#Headers],0),0)</f>
        <v>+79497050485</v>
      </c>
      <c r="E503" t="str">
        <f>VLOOKUP($C503,ТабКлиенты[#Data],MATCH(E$1,ТабКлиенты[#Headers],0),0)</f>
        <v>Лавицкого 20</v>
      </c>
      <c r="F503" s="80">
        <v>0.4861111111111111</v>
      </c>
      <c r="G503" s="14" t="str">
        <f>VLOOKUP($C503,ТабКлиенты[#Data],MATCH(G$1,ТабКлиенты[#Headers],0),0)</f>
        <v>47.0877, 37.5175</v>
      </c>
      <c r="H503" s="14">
        <v>1669</v>
      </c>
      <c r="I503" s="13">
        <v>434</v>
      </c>
      <c r="J503" s="13">
        <v>2</v>
      </c>
      <c r="K503" t="str">
        <f t="shared" si="27"/>
        <v>15. 11:40 Анна Лавицкого
Тел.: +79497050485
Адрес: Лавицкого 20
№ заказа: 434
Кол-во мест: 2
https://yandex.ru/maps/?text=47.0877%2C37.5175
https://maps.google.com/?daddr=47.0877%2C37.5175
К оплате: **1669
**--------------------------------</v>
      </c>
    </row>
    <row r="504" spans="1:11" hidden="1" x14ac:dyDescent="0.25">
      <c r="A504">
        <v>16</v>
      </c>
      <c r="B504" s="1">
        <v>45675</v>
      </c>
      <c r="C504" t="s">
        <v>493</v>
      </c>
      <c r="D504" t="str">
        <f>VLOOKUP($C504,ТабКлиенты[#Data],MATCH(D$1,ТабКлиенты[#Headers],0),0)</f>
        <v>+79495521868, +79495332409</v>
      </c>
      <c r="E504" t="str">
        <f>VLOOKUP($C504,ТабКлиенты[#Data],MATCH(E$1,ТабКлиенты[#Headers],0),0)</f>
        <v>Нахимова 100</v>
      </c>
      <c r="F504" s="80">
        <v>0.49305555555555558</v>
      </c>
      <c r="G504" s="14" t="str">
        <f>VLOOKUP($C504,ТабКлиенты[#Data],MATCH(G$1,ТабКлиенты[#Headers],0),0)</f>
        <v>47.0793, 37.5157</v>
      </c>
      <c r="H504" s="14">
        <v>0</v>
      </c>
      <c r="I504" s="13">
        <v>436</v>
      </c>
      <c r="J504" s="13">
        <v>1</v>
      </c>
      <c r="K504" t="str">
        <f t="shared" si="27"/>
        <v>16. 11:50 АлисаСофия
Тел.: +79495521868, +79495332409
Адрес: Нахимова 100
№ заказа: 436
Кол-во мест: 1
https://yandex.ru/maps/?text=47.0793%2C37.5157
https://maps.google.com/?daddr=47.0793%2C37.5157
К оплате: **0
**--------------------------------</v>
      </c>
    </row>
    <row r="505" spans="1:11" hidden="1" x14ac:dyDescent="0.25">
      <c r="A505">
        <v>17</v>
      </c>
      <c r="B505" s="1">
        <v>45675</v>
      </c>
      <c r="C505" t="s">
        <v>210</v>
      </c>
      <c r="D505" t="str">
        <f>VLOOKUP($C505,ТабКлиенты[#Data],MATCH(D$1,ТабКлиенты[#Headers],0),0)</f>
        <v>+79498350206</v>
      </c>
      <c r="E505" t="str">
        <f>VLOOKUP($C505,ТабКлиенты[#Data],MATCH(E$1,ТабКлиенты[#Headers],0),0)</f>
        <v>Сумская 42</v>
      </c>
      <c r="F505" s="80">
        <v>0.5</v>
      </c>
      <c r="G505" s="14" t="str">
        <f>VLOOKUP($C505,ТабКлиенты[#Data],MATCH(G$1,ТабКлиенты[#Headers],0),0)</f>
        <v>47.0740, 37.4893</v>
      </c>
      <c r="H505" s="14">
        <v>0</v>
      </c>
      <c r="I505" s="13">
        <v>414</v>
      </c>
      <c r="J505" s="13">
        <v>1</v>
      </c>
      <c r="K505" t="str">
        <f t="shared" si="27"/>
        <v>17. 12:00 Максим рюкзак
Тел.: +79498350206
Адрес: Сумская 42
№ заказа: 414
Кол-во мест: 1
https://yandex.ru/maps/?text=47.0740%2C37.4893
https://maps.google.com/?daddr=47.0740%2C37.4893
К оплате: **0
**--------------------------------</v>
      </c>
    </row>
    <row r="506" spans="1:11" hidden="1" x14ac:dyDescent="0.25">
      <c r="A506">
        <v>18</v>
      </c>
      <c r="B506" s="1">
        <v>45675</v>
      </c>
      <c r="C506" t="s">
        <v>1629</v>
      </c>
      <c r="D506" t="str">
        <f>VLOOKUP($C506,ТабКлиенты[#Data],MATCH(D$1,ТабКлиенты[#Headers],0),0)</f>
        <v>+79493770183</v>
      </c>
      <c r="E506" t="str">
        <f>VLOOKUP($C506,ТабКлиенты[#Data],MATCH(E$1,ТабКлиенты[#Headers],0),0)</f>
        <v>Лунина 13а</v>
      </c>
      <c r="F506" s="80">
        <v>0.51041666666666663</v>
      </c>
      <c r="G506" s="14" t="str">
        <f>VLOOKUP($C506,ТабКлиенты[#Data],MATCH(G$1,ТабКлиенты[#Headers],0),0)</f>
        <v>47.0682, 37.5102</v>
      </c>
      <c r="H506" s="14">
        <v>240</v>
      </c>
      <c r="I506" s="13">
        <v>437</v>
      </c>
      <c r="J506" s="13">
        <v>1</v>
      </c>
      <c r="K506" t="str">
        <f t="shared" si="27"/>
        <v>18. 12:15 Наталья Лунина 13
Тел.: +79493770183
Адрес: Лунина 13а
№ заказа: 437
Кол-во мест: 1
https://yandex.ru/maps/?text=47.0682%2C37.5102
https://maps.google.com/?daddr=47.0682%2C37.5102
К оплате: **240
**--------------------------------</v>
      </c>
    </row>
    <row r="507" spans="1:11" hidden="1" x14ac:dyDescent="0.25">
      <c r="A507">
        <v>20</v>
      </c>
      <c r="B507" s="1">
        <v>45675</v>
      </c>
      <c r="C507" t="s">
        <v>2299</v>
      </c>
      <c r="D507" t="str">
        <f>VLOOKUP($C507,ТабКлиенты[#Data],MATCH(D$1,ТабКлиенты[#Headers],0),0)</f>
        <v>+79497377568</v>
      </c>
      <c r="E507" t="str">
        <f>VLOOKUP($C507,ТабКлиенты[#Data],MATCH(E$1,ТабКлиенты[#Headers],0),0)</f>
        <v>Металлургов 33</v>
      </c>
      <c r="F507" s="80">
        <v>0.625</v>
      </c>
      <c r="G507" s="14" t="str">
        <f>VLOOKUP($C507,ТабКлиенты[#Data],MATCH(G$1,ТабКлиенты[#Headers],0),0)</f>
        <v>47.0952, 37.5438</v>
      </c>
      <c r="H507" s="14">
        <v>4300</v>
      </c>
      <c r="I507" s="13" t="s">
        <v>2302</v>
      </c>
      <c r="J507" s="13">
        <v>1</v>
      </c>
      <c r="K507" t="str">
        <f t="shared" si="27"/>
        <v>20. 15:00 Власта консалтинг
Тел.: +79497377568
Адрес: Металлургов 33
№ заказа: Витамины 7
Кол-во мест: 1
https://yandex.ru/maps/?text=47.0952%2C37.5438
https://maps.google.com/?daddr=47.0952%2C37.5438
К оплате: **4300
**--------------------------------</v>
      </c>
    </row>
    <row r="508" spans="1:11" hidden="1" x14ac:dyDescent="0.25">
      <c r="A508">
        <v>21</v>
      </c>
      <c r="B508" s="1">
        <v>45675</v>
      </c>
      <c r="C508" t="s">
        <v>283</v>
      </c>
      <c r="D508" t="str">
        <f>VLOOKUP($C508,ТабКлиенты[#Data],MATCH(D$1,ТабКлиенты[#Headers],0),0)</f>
        <v>+79497172395</v>
      </c>
      <c r="E508" t="str">
        <f>VLOOKUP($C508,ТабКлиенты[#Data],MATCH(E$1,ТабКлиенты[#Headers],0),0)</f>
        <v>Торговая 45</v>
      </c>
      <c r="F508" s="80">
        <v>0.63541666666666663</v>
      </c>
      <c r="G508" s="14" t="str">
        <f>VLOOKUP($C508,ТабКлиенты[#Data],MATCH(G$1,ТабКлиенты[#Headers],0),0)</f>
        <v>47.0982, 37.5627</v>
      </c>
      <c r="H508" s="14">
        <v>0</v>
      </c>
      <c r="I508" s="13">
        <v>431</v>
      </c>
      <c r="J508" s="13">
        <v>1</v>
      </c>
      <c r="K508" t="str">
        <f t="shared" si="27"/>
        <v>21. 15:15 Александр Каскад
Тел.: +79497172395
Адрес: Торговая 45
№ заказа: 431
Кол-во мест: 1
https://yandex.ru/maps/?text=47.0982%2C37.5627
https://maps.google.com/?daddr=47.0982%2C37.5627
К оплате: **0
**--------------------------------</v>
      </c>
    </row>
    <row r="509" spans="1:11" hidden="1" x14ac:dyDescent="0.25">
      <c r="A509">
        <v>1</v>
      </c>
      <c r="B509" s="1">
        <v>45682</v>
      </c>
      <c r="C509" t="s">
        <v>148</v>
      </c>
      <c r="D509" t="str">
        <f>VLOOKUP($C509,ТабКлиенты[#Data],MATCH(D$1,ТабКлиенты[#Headers],0),0)</f>
        <v>+79497270194</v>
      </c>
      <c r="E509" t="str">
        <f>VLOOKUP($C509,ТабКлиенты[#Data],MATCH(E$1,ТабКлиенты[#Headers],0),0)</f>
        <v>Металлургов 92</v>
      </c>
      <c r="F509" s="80">
        <v>0.39583333333333331</v>
      </c>
      <c r="G509" s="14" t="str">
        <f>VLOOKUP($C509,ТабКлиенты[#Data],MATCH(G$1,ТабКлиенты[#Headers],0),0)</f>
        <v>47.1053, 37.5487</v>
      </c>
      <c r="H509" s="14">
        <v>200</v>
      </c>
      <c r="I509" s="13">
        <v>445</v>
      </c>
      <c r="J509" s="13">
        <v>1</v>
      </c>
      <c r="K509" t="str">
        <f t="shared" ref="K509:K529" si="28">A509&amp;". "&amp;TEXT(F509,"ЧЧ:ММ")&amp;" "&amp;C509&amp;CHAR(10)&amp;"Тел.: "&amp;D509&amp;CHAR(10)&amp;"Адрес: "&amp;E509&amp;CHAR(10)&amp;"№ заказа: "&amp;I509&amp;CHAR(10)&amp;"Кол-во мест: "&amp;J509&amp;CHAR(10)&amp;"https://yandex.ru/maps/?text="&amp;REPLACE(G509,SEARCH(",",G509),2,"%2C")&amp;CHAR(10)&amp;"https://maps.google.com/?daddr="&amp;REPLACE(G509,SEARCH(",",G509),2,"%2C")&amp;CHAR(10)&amp;"К оплате: "&amp;"**"&amp;H509&amp;CHAR(10)&amp;"**"&amp;"--------------------------------"</f>
        <v>1. 09:30 Олег Федоров
Тел.: +79497270194
Адрес: Металлургов 92
№ заказа: 445
Кол-во мест: 1
https://yandex.ru/maps/?text=47.1053%2C37.5487
https://maps.google.com/?daddr=47.1053%2C37.5487
К оплате: **200
**--------------------------------</v>
      </c>
    </row>
    <row r="510" spans="1:11" hidden="1" x14ac:dyDescent="0.25">
      <c r="A510">
        <v>2</v>
      </c>
      <c r="B510" s="1">
        <v>45682</v>
      </c>
      <c r="C510" t="s">
        <v>445</v>
      </c>
      <c r="D510" t="str">
        <f>VLOOKUP($C510,ТабКлиенты[#Data],MATCH(D$1,ТабКлиенты[#Headers],0),0)</f>
        <v>+79497262176</v>
      </c>
      <c r="E510" t="str">
        <f>VLOOKUP($C510,ТабКлиенты[#Data],MATCH(E$1,ТабКлиенты[#Headers],0),0)</f>
        <v>Металлургов 179, кв 114</v>
      </c>
      <c r="F510" s="80">
        <v>0.40277777777777779</v>
      </c>
      <c r="G510" s="14" t="str">
        <f>VLOOKUP($C510,ТабКлиенты[#Data],MATCH(G$1,ТабКлиенты[#Headers],0),0)</f>
        <v>47.1248, 37.5657</v>
      </c>
      <c r="H510" s="14">
        <v>0</v>
      </c>
      <c r="I510" s="13">
        <v>428</v>
      </c>
      <c r="J510" s="13">
        <v>1</v>
      </c>
      <c r="K510" t="str">
        <f t="shared" si="28"/>
        <v>2. 09:40 Светлана от Александра
Тел.: +79497262176
Адрес: Металлургов 179, кв 114
№ заказа: 428
Кол-во мест: 1
https://yandex.ru/maps/?text=47.1248%2C37.5657
https://maps.google.com/?daddr=47.1248%2C37.5657
К оплате: **0
**--------------------------------</v>
      </c>
    </row>
    <row r="511" spans="1:11" hidden="1" x14ac:dyDescent="0.25">
      <c r="A511">
        <v>3</v>
      </c>
      <c r="B511" s="1">
        <v>45682</v>
      </c>
      <c r="C511" t="s">
        <v>437</v>
      </c>
      <c r="D511" t="str">
        <f>VLOOKUP($C511,ТабКлиенты[#Data],MATCH(D$1,ТабКлиенты[#Headers],0),0)</f>
        <v>+79497115237</v>
      </c>
      <c r="E511" t="str">
        <f>VLOOKUP($C511,ТабКлиенты[#Data],MATCH(E$1,ТабКлиенты[#Headers],0),0)</f>
        <v>пер Станционный 8</v>
      </c>
      <c r="F511" s="80">
        <v>0.40972222222222221</v>
      </c>
      <c r="G511" s="14" t="s">
        <v>2339</v>
      </c>
      <c r="H511" s="14">
        <v>6850</v>
      </c>
      <c r="I511" s="13" t="s">
        <v>2227</v>
      </c>
      <c r="J511" s="13">
        <v>1</v>
      </c>
      <c r="K511" t="str">
        <f t="shared" si="28"/>
        <v>3. 09:50 Аня Мирный
Тел.: +79497115237
Адрес: пер Станционный 8
№ заказа: Витамины 2
Кол-во мест: 1
https://yandex.ru/maps/?text=47.1402%2C37.5942
https://maps.google.com/?daddr=47.1402%2C37.5942
К оплате: **6850
**--------------------------------</v>
      </c>
    </row>
    <row r="512" spans="1:11" hidden="1" x14ac:dyDescent="0.25">
      <c r="A512">
        <v>4</v>
      </c>
      <c r="B512" s="1">
        <v>45682</v>
      </c>
      <c r="C512" t="s">
        <v>2312</v>
      </c>
      <c r="D512" t="str">
        <f>VLOOKUP($C512,ТабКлиенты[#Data],MATCH(D$1,ТабКлиенты[#Headers],0),0)</f>
        <v>+79498208824</v>
      </c>
      <c r="E512" t="str">
        <f>VLOOKUP($C512,ТабКлиенты[#Data],MATCH(E$1,ТабКлиенты[#Headers],0),0)</f>
        <v>пер. Металлургический 41</v>
      </c>
      <c r="F512" s="80">
        <v>0.42708333333333331</v>
      </c>
      <c r="G512" s="14" t="str">
        <f>VLOOKUP($C512,ТабКлиенты[#Data],MATCH(G$1,ТабКлиенты[#Headers],0),0)</f>
        <v>47.1585, 37.6060</v>
      </c>
      <c r="H512" s="14">
        <v>0</v>
      </c>
      <c r="I512" s="13">
        <v>440</v>
      </c>
      <c r="J512" s="13">
        <v>1</v>
      </c>
      <c r="K512" t="str">
        <f t="shared" si="28"/>
        <v>4. 10:15 Сергей Гуржи
Тел.: +79498208824
Адрес: пер. Металлургический 41
№ заказа: 440
Кол-во мест: 1
https://yandex.ru/maps/?text=47.1585%2C37.6060
https://maps.google.com/?daddr=47.1585%2C37.6060
К оплате: **0
**--------------------------------</v>
      </c>
    </row>
    <row r="513" spans="1:11" hidden="1" x14ac:dyDescent="0.25">
      <c r="A513">
        <v>5</v>
      </c>
      <c r="B513" s="1">
        <v>45682</v>
      </c>
      <c r="C513" t="s">
        <v>211</v>
      </c>
      <c r="D513" t="str">
        <f>VLOOKUP($C513,ТабКлиенты[#Data],MATCH(D$1,ТабКлиенты[#Headers],0),0)</f>
        <v>+79497250140</v>
      </c>
      <c r="E513" t="str">
        <f>VLOOKUP($C513,ТабКлиенты[#Data],MATCH(E$1,ТабКлиенты[#Headers],0),0)</f>
        <v>Мирный, Моторная 36 / Строителей 52а</v>
      </c>
      <c r="F513" s="80">
        <v>0.43402777777777779</v>
      </c>
      <c r="G513" s="14" t="str">
        <f>VLOOKUP($C513,ТабКлиенты[#Data],MATCH(G$1,ТабКлиенты[#Headers],0),0)</f>
        <v>47.0883, 37.5192</v>
      </c>
      <c r="H513" s="14">
        <v>0</v>
      </c>
      <c r="I513" s="13">
        <v>416</v>
      </c>
      <c r="J513" s="13">
        <v>1</v>
      </c>
      <c r="K513" t="str">
        <f t="shared" si="28"/>
        <v>5. 10:25 Наталья 12
Тел.: +79497250140
Адрес: Мирный, Моторная 36 / Строителей 52а
№ заказа: 416
Кол-во мест: 1
https://yandex.ru/maps/?text=47.0883%2C37.5192
https://maps.google.com/?daddr=47.0883%2C37.5192
К оплате: **0
**--------------------------------</v>
      </c>
    </row>
    <row r="514" spans="1:11" hidden="1" x14ac:dyDescent="0.25">
      <c r="A514">
        <v>6</v>
      </c>
      <c r="B514" s="1">
        <v>45682</v>
      </c>
      <c r="C514" t="s">
        <v>33</v>
      </c>
      <c r="D514" t="str">
        <f>VLOOKUP($C514,ТабКлиенты[#Data],MATCH(D$1,ТабКлиенты[#Headers],0),0)</f>
        <v>+79496069479</v>
      </c>
      <c r="E514" t="str">
        <f>VLOOKUP($C514,ТабКлиенты[#Data],MATCH(E$1,ТабКлиенты[#Headers],0),0)</f>
        <v>Марьинская 145 Новоселовка Церковь</v>
      </c>
      <c r="F514" s="80">
        <v>0.44444444444444442</v>
      </c>
      <c r="G514" s="14" t="str">
        <f>VLOOKUP($C514,ТабКлиенты[#Data],MATCH(G$1,ТабКлиенты[#Headers],0),0)</f>
        <v>47.1126, 37.5473</v>
      </c>
      <c r="H514" s="14">
        <v>0</v>
      </c>
      <c r="I514" s="13">
        <v>442</v>
      </c>
      <c r="J514" s="13">
        <v>1</v>
      </c>
      <c r="K514" t="str">
        <f t="shared" si="28"/>
        <v>6. 10:40 Галина Агабекова(церковь)
Тел.: +79496069479
Адрес: Марьинская 145 Новоселовка Церковь
№ заказа: 442
Кол-во мест: 1
https://yandex.ru/maps/?text=47.1126%2C37.5473
https://maps.google.com/?daddr=47.1126%2C37.5473
К оплате: **0
**--------------------------------</v>
      </c>
    </row>
    <row r="515" spans="1:11" hidden="1" x14ac:dyDescent="0.25">
      <c r="A515">
        <v>7</v>
      </c>
      <c r="B515" s="1">
        <v>45682</v>
      </c>
      <c r="C515" t="s">
        <v>2201</v>
      </c>
      <c r="D515" t="str">
        <f>VLOOKUP($C515,ТабКлиенты[#Data],MATCH(D$1,ТабКлиенты[#Headers],0),0)</f>
        <v>+79494368263</v>
      </c>
      <c r="E515" t="str">
        <f>VLOOKUP($C515,ТабКлиенты[#Data],MATCH(E$1,ТабКлиенты[#Headers],0),0)</f>
        <v>Строителей 191</v>
      </c>
      <c r="F515" s="80">
        <v>0.4513888888888889</v>
      </c>
      <c r="G515" s="14" t="str">
        <f>VLOOKUP($C515,ТабКлиенты[#Data],MATCH(G$1,ТабКлиенты[#Headers],0),0)</f>
        <v>47.1231, 37.5279</v>
      </c>
      <c r="H515" s="14">
        <v>0</v>
      </c>
      <c r="I515" s="13">
        <v>417</v>
      </c>
      <c r="J515" s="13">
        <v>1</v>
      </c>
      <c r="K515" t="str">
        <f t="shared" si="28"/>
        <v>7. 10:50 Коля Чунихин
Тел.: +79494368263
Адрес: Строителей 191
№ заказа: 417
Кол-во мест: 1
https://yandex.ru/maps/?text=47.1231%2C37.5279
https://maps.google.com/?daddr=47.1231%2C37.5279
К оплате: **0
**--------------------------------</v>
      </c>
    </row>
    <row r="516" spans="1:11" hidden="1" x14ac:dyDescent="0.25">
      <c r="A516">
        <v>8</v>
      </c>
      <c r="B516" s="1">
        <v>45682</v>
      </c>
      <c r="C516" t="s">
        <v>497</v>
      </c>
      <c r="D516" t="str">
        <f>VLOOKUP($C516,ТабКлиенты[#Data],MATCH(D$1,ТабКлиенты[#Headers],0),0)</f>
        <v>+79497054056</v>
      </c>
      <c r="E516" t="str">
        <f>VLOOKUP($C516,ТабКлиенты[#Data],MATCH(E$1,ТабКлиенты[#Headers],0),0)</f>
        <v>пер. Новгородский 41</v>
      </c>
      <c r="F516" s="80">
        <v>0.45833333333333331</v>
      </c>
      <c r="G516" s="14" t="str">
        <f>VLOOKUP($C516,ТабКлиенты[#Data],MATCH(G$1,ТабКлиенты[#Headers],0),0)</f>
        <v>47.1100, 37.5242</v>
      </c>
      <c r="H516" s="14">
        <v>4200</v>
      </c>
      <c r="I516" s="13" t="s">
        <v>2342</v>
      </c>
      <c r="J516" s="13">
        <v>1</v>
      </c>
      <c r="K516" t="str">
        <f t="shared" si="28"/>
        <v>8. 11:00 Лариса Терраспорт
Тел.: +79497054056
Адрес: пер. Новгородский 41
№ заказа: Витамины 9
Кол-во мест: 1
https://yandex.ru/maps/?text=47.1100%2C37.5242
https://maps.google.com/?daddr=47.1100%2C37.5242
К оплате: **4200
**--------------------------------</v>
      </c>
    </row>
    <row r="517" spans="1:11" hidden="1" x14ac:dyDescent="0.25">
      <c r="A517">
        <v>9</v>
      </c>
      <c r="B517" s="1">
        <v>45682</v>
      </c>
      <c r="C517" t="s">
        <v>373</v>
      </c>
      <c r="D517" t="str">
        <f>VLOOKUP($C517,ТабКлиенты[#Data],MATCH(D$1,ТабКлиенты[#Headers],0),0)</f>
        <v>+79497081831</v>
      </c>
      <c r="E517" t="str">
        <f>VLOOKUP($C517,ТабКлиенты[#Data],MATCH(E$1,ТабКлиенты[#Headers],0),0)</f>
        <v>Шевченко 289А</v>
      </c>
      <c r="F517" s="80">
        <v>0.46527777777777779</v>
      </c>
      <c r="G517" s="14" t="str">
        <f>VLOOKUP($C517,ТабКлиенты[#Data],MATCH(G$1,ТабКлиенты[#Headers],0),0)</f>
        <v>47.1168, 37.5229</v>
      </c>
      <c r="H517" s="14">
        <v>12400</v>
      </c>
      <c r="I517" s="13" t="s">
        <v>2230</v>
      </c>
      <c r="J517" s="13">
        <v>1</v>
      </c>
      <c r="K517" t="str">
        <f t="shared" si="28"/>
        <v>9. 11:10 Лида корма
Тел.: +79497081831
Адрес: Шевченко 289А
№ заказа: Витамины 5
Кол-во мест: 1
https://yandex.ru/maps/?text=47.1168%2C37.5229
https://maps.google.com/?daddr=47.1168%2C37.5229
К оплате: **12400
**--------------------------------</v>
      </c>
    </row>
    <row r="518" spans="1:11" hidden="1" x14ac:dyDescent="0.25">
      <c r="A518">
        <v>10</v>
      </c>
      <c r="B518" s="1">
        <v>45682</v>
      </c>
      <c r="C518" t="s">
        <v>404</v>
      </c>
      <c r="D518" t="str">
        <f>VLOOKUP($C518,ТабКлиенты[#Data],MATCH(D$1,ТабКлиенты[#Headers],0),0)</f>
        <v>+79497386112</v>
      </c>
      <c r="E518" t="str">
        <f>VLOOKUP($C518,ТабКлиенты[#Data],MATCH(E$1,ТабКлиенты[#Headers],0),0)</f>
        <v>Шевченко 325</v>
      </c>
      <c r="F518" s="80">
        <v>0.47222222222222221</v>
      </c>
      <c r="G518" s="14" t="str">
        <f>VLOOKUP($C518,ТабКлиенты[#Data],MATCH(G$1,ТабКлиенты[#Headers],0),0)</f>
        <v>47.1193, 37.5172</v>
      </c>
      <c r="H518" s="14">
        <v>6700</v>
      </c>
      <c r="I518" s="13" t="s">
        <v>2228</v>
      </c>
      <c r="J518" s="13">
        <v>1</v>
      </c>
      <c r="K518" t="str">
        <f t="shared" si="28"/>
        <v>10. 11:20 Любовь Виталий
Тел.: +79497386112
Адрес: Шевченко 325
№ заказа: Витамины 3
Кол-во мест: 1
https://yandex.ru/maps/?text=47.1193%2C37.5172
https://maps.google.com/?daddr=47.1193%2C37.5172
К оплате: **6700
**--------------------------------</v>
      </c>
    </row>
    <row r="519" spans="1:11" hidden="1" x14ac:dyDescent="0.25">
      <c r="A519">
        <v>11</v>
      </c>
      <c r="B519" s="1">
        <v>45682</v>
      </c>
      <c r="C519" t="s">
        <v>2345</v>
      </c>
      <c r="D519" t="s">
        <v>2349</v>
      </c>
      <c r="E519" t="s">
        <v>2346</v>
      </c>
      <c r="F519" s="80">
        <v>0.47916666666666669</v>
      </c>
      <c r="G519" s="14" t="s">
        <v>2348</v>
      </c>
      <c r="H519" s="14" t="s">
        <v>2349</v>
      </c>
      <c r="I519" s="13" t="s">
        <v>2349</v>
      </c>
      <c r="J519" s="13" t="s">
        <v>2349</v>
      </c>
      <c r="K519" t="str">
        <f t="shared" si="28"/>
        <v>11. 11:30 КИТ 
Тел.: -
Адрес: Володарское шоссе 1
№ заказа: -
Кол-во мест: -
https://yandex.ru/maps/?text=47.1204%2C37.5045
https://maps.google.com/?daddr=47.1204%2C37.5045
К оплате: **-
**--------------------------------</v>
      </c>
    </row>
    <row r="520" spans="1:11" hidden="1" x14ac:dyDescent="0.25">
      <c r="A520">
        <v>12</v>
      </c>
      <c r="B520" s="1">
        <v>45682</v>
      </c>
      <c r="C520" t="s">
        <v>418</v>
      </c>
      <c r="D520" t="str">
        <f>VLOOKUP($C520,ТабКлиенты[#Data],MATCH(D$1,ТабКлиенты[#Headers],0),0)</f>
        <v>+79497064345</v>
      </c>
      <c r="E520" t="str">
        <f>VLOOKUP($C520,ТабКлиенты[#Data],MATCH(E$1,ТабКлиенты[#Headers],0),0)</f>
        <v>Шевченко 270</v>
      </c>
      <c r="F520" s="80">
        <v>0.49305555555555558</v>
      </c>
      <c r="G520" s="14" t="str">
        <f>VLOOKUP($C520,ТабКлиенты[#Data],MATCH(G$1,ТабКлиенты[#Headers],0),0)</f>
        <v>47.1157, 37.5138</v>
      </c>
      <c r="H520" s="14">
        <v>1700</v>
      </c>
      <c r="I520" s="13" t="s">
        <v>2305</v>
      </c>
      <c r="J520" s="13">
        <v>1</v>
      </c>
      <c r="K520" t="str">
        <f t="shared" si="28"/>
        <v>12. 11:50 Татьяна Леонидовна
Тел.: +79497064345
Адрес: Шевченко 270
№ заказа: Витамины 8
Кол-во мест: 1
https://yandex.ru/maps/?text=47.1157%2C37.5138
https://maps.google.com/?daddr=47.1157%2C37.5138
К оплате: **1700
**--------------------------------</v>
      </c>
    </row>
    <row r="521" spans="1:11" hidden="1" x14ac:dyDescent="0.25">
      <c r="A521">
        <v>13</v>
      </c>
      <c r="B521" s="1">
        <v>45682</v>
      </c>
      <c r="C521" t="s">
        <v>2325</v>
      </c>
      <c r="D521" t="str">
        <f>VLOOKUP($C521,ТабКлиенты[#Data],MATCH(D$1,ТабКлиенты[#Headers],0),0)</f>
        <v>+79493787340</v>
      </c>
      <c r="E521" t="str">
        <f>VLOOKUP($C521,ТабКлиенты[#Data],MATCH(E$1,ТабКлиенты[#Headers],0),0)</f>
        <v>Куприна 17</v>
      </c>
      <c r="F521" s="80">
        <v>0.5</v>
      </c>
      <c r="G521" s="14" t="str">
        <f>VLOOKUP($C521,ТабКлиенты[#Data],MATCH(G$1,ТабКлиенты[#Headers],0),0)</f>
        <v>47.1130, 37.5268</v>
      </c>
      <c r="H521" s="14">
        <v>14501</v>
      </c>
      <c r="I521" s="13">
        <v>441</v>
      </c>
      <c r="J521" s="13">
        <v>1</v>
      </c>
      <c r="K521" t="str">
        <f t="shared" si="28"/>
        <v>13. 12:00 Ренат Строителей 145
Тел.: +79493787340
Адрес: Куприна 17
№ заказа: 441
Кол-во мест: 1
https://yandex.ru/maps/?text=47.1130%2C37.5268
https://maps.google.com/?daddr=47.1130%2C37.5268
К оплате: **14501
**--------------------------------</v>
      </c>
    </row>
    <row r="522" spans="1:11" hidden="1" x14ac:dyDescent="0.25">
      <c r="A522">
        <v>14</v>
      </c>
      <c r="B522" s="1">
        <v>45682</v>
      </c>
      <c r="C522" t="s">
        <v>1523</v>
      </c>
      <c r="D522" t="str">
        <f>VLOOKUP($C522,ТабКлиенты[#Data],MATCH(D$1,ТабКлиенты[#Headers],0),0)</f>
        <v>+79494015912</v>
      </c>
      <c r="E522" t="str">
        <f>VLOOKUP($C522,ТабКлиенты[#Data],MATCH(E$1,ТабКлиенты[#Headers],0),0)</f>
        <v>Куприна 17</v>
      </c>
      <c r="F522" s="80">
        <v>0.50694444444444442</v>
      </c>
      <c r="G522" s="14" t="str">
        <f>VLOOKUP($C522,ТабКлиенты[#Data],MATCH(G$1,ТабКлиенты[#Headers],0),0)</f>
        <v>47.1034, 37.5110</v>
      </c>
      <c r="H522" s="14">
        <v>0</v>
      </c>
      <c r="I522" s="13">
        <v>432</v>
      </c>
      <c r="J522" s="13">
        <v>1</v>
      </c>
      <c r="K522" t="str">
        <f t="shared" si="28"/>
        <v>14. 12:10 Кирилл Куприна
Тел.: +79494015912
Адрес: Куприна 17
№ заказа: 432
Кол-во мест: 1
https://yandex.ru/maps/?text=47.1034%2C37.5110
https://maps.google.com/?daddr=47.1034%2C37.5110
К оплате: **0
**--------------------------------</v>
      </c>
    </row>
    <row r="523" spans="1:11" hidden="1" x14ac:dyDescent="0.25">
      <c r="A523">
        <v>15</v>
      </c>
      <c r="B523" s="1">
        <v>45682</v>
      </c>
      <c r="C523" t="s">
        <v>456</v>
      </c>
      <c r="D523" t="str">
        <f>VLOOKUP($C523,ТабКлиенты[#Data],MATCH(D$1,ТабКлиенты[#Headers],0),0)</f>
        <v>+79497488953</v>
      </c>
      <c r="E523" t="str">
        <f>VLOOKUP($C523,ТабКлиенты[#Data],MATCH(E$1,ТабКлиенты[#Headers],0),0)</f>
        <v>Ленина 183 подъезд 1 (Изумрудный)</v>
      </c>
      <c r="F523" s="80">
        <v>0.51388888888888884</v>
      </c>
      <c r="G523" s="14" t="str">
        <f>VLOOKUP($C523,ТабКлиенты[#Data],MATCH(G$1,ТабКлиенты[#Headers],0),0)</f>
        <v>47.0982, 37.4785</v>
      </c>
      <c r="H523" s="14">
        <v>200</v>
      </c>
      <c r="I523" s="13">
        <v>447</v>
      </c>
      <c r="J523" s="13">
        <v>1</v>
      </c>
      <c r="K523" t="str">
        <f t="shared" si="28"/>
        <v>15. 12:20 Лана
Тел.: +79497488953
Адрес: Ленина 183 подъезд 1 (Изумрудный)
№ заказа: 447
Кол-во мест: 1
https://yandex.ru/maps/?text=47.0982%2C37.4785
https://maps.google.com/?daddr=47.0982%2C37.4785
К оплате: **200
**--------------------------------</v>
      </c>
    </row>
    <row r="524" spans="1:11" hidden="1" x14ac:dyDescent="0.25">
      <c r="A524">
        <v>16</v>
      </c>
      <c r="B524" s="1">
        <v>45682</v>
      </c>
      <c r="C524" t="s">
        <v>1441</v>
      </c>
      <c r="D524" t="str">
        <f>VLOOKUP($C524,ТабКлиенты[#Data],MATCH(D$1,ТабКлиенты[#Headers],0),0)</f>
        <v>+79497196221</v>
      </c>
      <c r="E524" t="str">
        <f>VLOOKUP($C524,ТабКлиенты[#Data],MATCH(E$1,ТабКлиенты[#Headers],0),0)</f>
        <v>Краснофлотская 132</v>
      </c>
      <c r="F524" s="80">
        <v>0.52430555555555558</v>
      </c>
      <c r="G524" s="14" t="str">
        <f>VLOOKUP($C524,ТабКлиенты[#Data],MATCH(G$1,ТабКлиенты[#Headers],0),0)</f>
        <v>47.0917, 37.4968</v>
      </c>
      <c r="H524" s="14">
        <v>4800</v>
      </c>
      <c r="I524" s="13" t="s">
        <v>2302</v>
      </c>
      <c r="J524" s="13">
        <v>1</v>
      </c>
      <c r="K524" t="str">
        <f t="shared" si="28"/>
        <v>16. 12:35 Валерий Фагот
Тел.: +79497196221
Адрес: Краснофлотская 132
№ заказа: Витамины 7
Кол-во мест: 1
https://yandex.ru/maps/?text=47.0917%2C37.4968
https://maps.google.com/?daddr=47.0917%2C37.4968
К оплате: **4800
**--------------------------------</v>
      </c>
    </row>
    <row r="525" spans="1:11" hidden="1" x14ac:dyDescent="0.25">
      <c r="A525">
        <v>17</v>
      </c>
      <c r="B525" s="1">
        <v>45682</v>
      </c>
      <c r="C525" t="s">
        <v>385</v>
      </c>
      <c r="D525" t="str">
        <f>VLOOKUP($C525,ТабКлиенты[#Data],MATCH(D$1,ТабКлиенты[#Headers],0),0)</f>
        <v>+79497169864</v>
      </c>
      <c r="E525" t="str">
        <f>VLOOKUP($C525,ТабКлиенты[#Data],MATCH(E$1,ТабКлиенты[#Headers],0),0)</f>
        <v>пер. Ейский 9</v>
      </c>
      <c r="F525" s="80">
        <v>0.53125</v>
      </c>
      <c r="G525" s="14" t="str">
        <f>VLOOKUP($C525,ТабКлиенты[#Data],MATCH(G$1,ТабКлиенты[#Headers],0),0)</f>
        <v>47.0898, 37.5062</v>
      </c>
      <c r="H525" s="14">
        <v>15600</v>
      </c>
      <c r="I525" s="13" t="s">
        <v>2229</v>
      </c>
      <c r="J525" s="13">
        <v>1</v>
      </c>
      <c r="K525" t="str">
        <f t="shared" si="28"/>
        <v>17. 12:45 Надежда Витамины
Тел.: +79497169864
Адрес: пер. Ейский 9
№ заказа: Витамины 4
Кол-во мест: 1
https://yandex.ru/maps/?text=47.0898%2C37.5062
https://maps.google.com/?daddr=47.0898%2C37.5062
К оплате: **15600
**--------------------------------</v>
      </c>
    </row>
    <row r="526" spans="1:11" hidden="1" x14ac:dyDescent="0.25">
      <c r="A526">
        <v>18</v>
      </c>
      <c r="B526" s="1">
        <v>45682</v>
      </c>
      <c r="C526" t="s">
        <v>1995</v>
      </c>
      <c r="D526" t="str">
        <f>VLOOKUP($C526,ТабКлиенты[#Data],MATCH(D$1,ТабКлиенты[#Headers],0),0)</f>
        <v>+79495228017</v>
      </c>
      <c r="E526" t="str">
        <f>VLOOKUP($C526,ТабКлиенты[#Data],MATCH(E$1,ТабКлиенты[#Headers],0),0)</f>
        <v>Вахтангова 15а</v>
      </c>
      <c r="F526" s="80">
        <v>0.53472222222222221</v>
      </c>
      <c r="G526" s="14" t="str">
        <f>VLOOKUP($C526,ТабКлиенты[#Data],MATCH(G$1,ТабКлиенты[#Headers],0),0)</f>
        <v>47.0882, 37.5117</v>
      </c>
      <c r="H526" s="14">
        <v>600</v>
      </c>
      <c r="I526" s="13" t="s">
        <v>2226</v>
      </c>
      <c r="J526" s="13">
        <v>1</v>
      </c>
      <c r="K526" t="str">
        <f t="shared" si="28"/>
        <v>18. 12:50 Татьяна Вахтангова
Тел.: +79495228017
Адрес: Вахтангова 15а
№ заказа: Витамины 1
Кол-во мест: 1
https://yandex.ru/maps/?text=47.0882%2C37.5117
https://maps.google.com/?daddr=47.0882%2C37.5117
К оплате: **600
**--------------------------------</v>
      </c>
    </row>
    <row r="527" spans="1:11" hidden="1" x14ac:dyDescent="0.25">
      <c r="A527">
        <v>19</v>
      </c>
      <c r="B527" s="1">
        <v>45682</v>
      </c>
      <c r="C527" t="s">
        <v>1629</v>
      </c>
      <c r="D527" t="str">
        <f>VLOOKUP($C527,ТабКлиенты[#Data],MATCH(D$1,ТабКлиенты[#Headers],0),0)</f>
        <v>+79493770183</v>
      </c>
      <c r="E527" t="str">
        <f>VLOOKUP($C527,ТабКлиенты[#Data],MATCH(E$1,ТабКлиенты[#Headers],0),0)</f>
        <v>Лунина 13а</v>
      </c>
      <c r="F527" s="80">
        <v>0.54166666666666663</v>
      </c>
      <c r="G527" s="14" t="str">
        <f>VLOOKUP($C527,ТабКлиенты[#Data],MATCH(G$1,ТабКлиенты[#Headers],0),0)</f>
        <v>47.0682, 37.5102</v>
      </c>
      <c r="H527" s="14">
        <v>396</v>
      </c>
      <c r="I527" s="13">
        <v>448</v>
      </c>
      <c r="J527" s="13">
        <v>1</v>
      </c>
      <c r="K527" t="str">
        <f t="shared" si="28"/>
        <v>19. 13:00 Наталья Лунина 13
Тел.: +79493770183
Адрес: Лунина 13а
№ заказа: 448
Кол-во мест: 1
https://yandex.ru/maps/?text=47.0682%2C37.5102
https://maps.google.com/?daddr=47.0682%2C37.5102
К оплате: **396
**--------------------------------</v>
      </c>
    </row>
    <row r="528" spans="1:11" hidden="1" x14ac:dyDescent="0.25">
      <c r="A528">
        <v>20</v>
      </c>
      <c r="B528" s="1">
        <v>45682</v>
      </c>
      <c r="C528" t="s">
        <v>2341</v>
      </c>
      <c r="D528" t="str">
        <f>VLOOKUP($C528,ТабКлиенты[#Data],MATCH(D$1,ТабКлиенты[#Headers],0),0)</f>
        <v>+79495807738</v>
      </c>
      <c r="E528" t="str">
        <f>VLOOKUP($C528,ТабКлиенты[#Data],MATCH(E$1,ТабКлиенты[#Headers],0),0)</f>
        <v>Ленина 85б подъезд 4</v>
      </c>
      <c r="F528" s="80">
        <v>0.55208333333333337</v>
      </c>
      <c r="G528" s="14" t="str">
        <f>VLOOKUP($C528,ТабКлиенты[#Data],MATCH(G$1,ТабКлиенты[#Headers],0),0)</f>
        <v>47.0991, 37.5384</v>
      </c>
      <c r="H528" s="14">
        <v>13900</v>
      </c>
      <c r="I528" s="13" t="s">
        <v>2231</v>
      </c>
      <c r="J528" s="13">
        <v>1</v>
      </c>
      <c r="K528" t="str">
        <f t="shared" si="28"/>
        <v>20. 13:15 Юлия АТБ кольцо
Тел.: +79495807738
Адрес: Ленина 85б подъезд 4
№ заказа: Витамины 6
Кол-во мест: 1
https://yandex.ru/maps/?text=47.0991%2C37.5384
https://maps.google.com/?daddr=47.0991%2C37.5384
К оплате: **13900
**--------------------------------</v>
      </c>
    </row>
    <row r="529" spans="1:11" hidden="1" x14ac:dyDescent="0.25">
      <c r="A529">
        <v>21</v>
      </c>
      <c r="B529" s="1">
        <v>45682</v>
      </c>
      <c r="C529" t="s">
        <v>283</v>
      </c>
      <c r="D529" t="str">
        <f>VLOOKUP($C529,ТабКлиенты[#Data],MATCH(D$1,ТабКлиенты[#Headers],0),0)</f>
        <v>+79497172395</v>
      </c>
      <c r="E529" t="str">
        <f>VLOOKUP($C529,ТабКлиенты[#Data],MATCH(E$1,ТабКлиенты[#Headers],0),0)</f>
        <v>Торговая 45</v>
      </c>
      <c r="F529" s="80">
        <v>0.55902777777777779</v>
      </c>
      <c r="G529" s="14" t="str">
        <f>VLOOKUP($C529,ТабКлиенты[#Data],MATCH(G$1,ТабКлиенты[#Headers],0),0)</f>
        <v>47.0982, 37.5627</v>
      </c>
      <c r="H529" s="14">
        <v>0</v>
      </c>
      <c r="I529" s="13">
        <v>438</v>
      </c>
      <c r="J529" s="13">
        <v>1</v>
      </c>
      <c r="K529" t="str">
        <f t="shared" si="28"/>
        <v>21. 13:25 Александр Каскад
Тел.: +79497172395
Адрес: Торговая 45
№ заказа: 438
Кол-во мест: 1
https://yandex.ru/maps/?text=47.0982%2C37.5627
https://maps.google.com/?daddr=47.0982%2C37.5627
К оплате: **0
**--------------------------------</v>
      </c>
    </row>
    <row r="530" spans="1:11" hidden="1" x14ac:dyDescent="0.25">
      <c r="A530">
        <v>1</v>
      </c>
      <c r="B530" s="1">
        <v>45689</v>
      </c>
      <c r="C530" t="s">
        <v>2375</v>
      </c>
      <c r="D530" t="str">
        <f>VLOOKUP($C530,ТабКлиенты[#Data],MATCH(D$1,ТабКлиенты[#Headers],0),0)</f>
        <v>+79497124527</v>
      </c>
      <c r="E530" t="str">
        <f>VLOOKUP($C530,ТабКлиенты[#Data],MATCH(E$1,ТабКлиенты[#Headers],0),0)</f>
        <v>Писарева 28</v>
      </c>
      <c r="F530" s="80">
        <v>0.39583333333333331</v>
      </c>
      <c r="G530" s="14" t="str">
        <f>VLOOKUP($C530,ТабКлиенты[#Data],MATCH(G$1,ТабКлиенты[#Headers],0),0)</f>
        <v>47.1065, 37.5478</v>
      </c>
      <c r="H530" s="14">
        <v>2500</v>
      </c>
      <c r="I530" s="13" t="s">
        <v>2226</v>
      </c>
      <c r="J530" s="13">
        <v>1</v>
      </c>
      <c r="K530" t="str">
        <f t="shared" ref="K530:K542" si="29">A530&amp;". "&amp;TEXT(F530,"ЧЧ:ММ")&amp;" "&amp;C530&amp;CHAR(10)&amp;"Тел.: "&amp;D530&amp;CHAR(10)&amp;"Адрес: "&amp;E530&amp;CHAR(10)&amp;"№ заказа: "&amp;I530&amp;CHAR(10)&amp;"Кол-во мест: "&amp;J530&amp;CHAR(10)&amp;"https://yandex.ru/maps/?text="&amp;REPLACE(G530,SEARCH(",",G530),2,"%2C")&amp;CHAR(10)&amp;"https://maps.google.com/?daddr="&amp;REPLACE(G530,SEARCH(",",G530),2,"%2C")&amp;CHAR(10)&amp;"К оплате: "&amp;"**"&amp;H530&amp;CHAR(10)&amp;"**"&amp;"--------------------------------"</f>
        <v>1. 09:30 Татьяна Писарева 28
Тел.: +79497124527
Адрес: Писарева 28
№ заказа: Витамины 1
Кол-во мест: 1
https://yandex.ru/maps/?text=47.1065%2C37.5478
https://maps.google.com/?daddr=47.1065%2C37.5478
К оплате: **2500
**--------------------------------</v>
      </c>
    </row>
    <row r="531" spans="1:11" hidden="1" x14ac:dyDescent="0.25">
      <c r="A531">
        <v>2</v>
      </c>
      <c r="B531" s="1">
        <v>45689</v>
      </c>
      <c r="C531" t="s">
        <v>445</v>
      </c>
      <c r="D531" t="str">
        <f>VLOOKUP($C531,ТабКлиенты[#Data],MATCH(D$1,ТабКлиенты[#Headers],0),0)</f>
        <v>+79497262176</v>
      </c>
      <c r="E531" t="str">
        <f>VLOOKUP($C531,ТабКлиенты[#Data],MATCH(E$1,ТабКлиенты[#Headers],0),0)</f>
        <v>Металлургов 179, кв 114</v>
      </c>
      <c r="F531" s="80">
        <v>0.41666666666666669</v>
      </c>
      <c r="G531" s="14" t="str">
        <f>VLOOKUP($C531,ТабКлиенты[#Data],MATCH(G$1,ТабКлиенты[#Headers],0),0)</f>
        <v>47.1248, 37.5657</v>
      </c>
      <c r="H531" s="14">
        <v>0</v>
      </c>
      <c r="I531" s="13">
        <v>453</v>
      </c>
      <c r="J531" s="13">
        <v>3</v>
      </c>
      <c r="K531" t="str">
        <f t="shared" si="29"/>
        <v>2. 10:00 Светлана от Александра
Тел.: +79497262176
Адрес: Металлургов 179, кв 114
№ заказа: 453
Кол-во мест: 3
https://yandex.ru/maps/?text=47.1248%2C37.5657
https://maps.google.com/?daddr=47.1248%2C37.5657
К оплате: **0
**--------------------------------</v>
      </c>
    </row>
    <row r="532" spans="1:11" hidden="1" x14ac:dyDescent="0.25">
      <c r="A532">
        <v>3</v>
      </c>
      <c r="B532" s="1">
        <v>45689</v>
      </c>
      <c r="C532" t="s">
        <v>2328</v>
      </c>
      <c r="D532" t="str">
        <f>VLOOKUP($C532,ТабКлиенты[#Data],MATCH(D$1,ТабКлиенты[#Headers],0),0)</f>
        <v>+79497190212</v>
      </c>
      <c r="E532" t="str">
        <f>VLOOKUP($C532,ТабКлиенты[#Data],MATCH(E$1,ТабКлиенты[#Headers],0),0)</f>
        <v>Металлургов 102, Казанцева 22</v>
      </c>
      <c r="F532" s="80">
        <v>0.4236111111111111</v>
      </c>
      <c r="G532" s="14" t="str">
        <f>VLOOKUP($C532,ТабКлиенты[#Data],MATCH(G$1,ТабКлиенты[#Headers],0),0)</f>
        <v>47.1099, 37.5543</v>
      </c>
      <c r="H532" s="14">
        <v>255</v>
      </c>
      <c r="I532" s="13">
        <v>443</v>
      </c>
      <c r="J532" s="13">
        <v>1</v>
      </c>
      <c r="K532" t="str">
        <f t="shared" si="29"/>
        <v>3. 10:10 Аленка 3
Тел.: +79497190212
Адрес: Металлургов 102, Казанцева 22
№ заказа: 443
Кол-во мест: 1
https://yandex.ru/maps/?text=47.1099%2C37.5543
https://maps.google.com/?daddr=47.1099%2C37.5543
К оплате: **255
**--------------------------------</v>
      </c>
    </row>
    <row r="533" spans="1:11" hidden="1" x14ac:dyDescent="0.25">
      <c r="A533">
        <v>4</v>
      </c>
      <c r="B533" s="1">
        <v>45689</v>
      </c>
      <c r="C533" t="s">
        <v>33</v>
      </c>
      <c r="D533" t="str">
        <f>VLOOKUP($C533,ТабКлиенты[#Data],MATCH(D$1,ТабКлиенты[#Headers],0),0)</f>
        <v>+79496069479</v>
      </c>
      <c r="E533" t="str">
        <f>VLOOKUP($C533,ТабКлиенты[#Data],MATCH(E$1,ТабКлиенты[#Headers],0),0)</f>
        <v>Марьинская 145 Новоселовка Церковь</v>
      </c>
      <c r="F533" s="80">
        <v>0.43402777777777779</v>
      </c>
      <c r="G533" s="14" t="str">
        <f>VLOOKUP($C533,ТабКлиенты[#Data],MATCH(G$1,ТабКлиенты[#Headers],0),0)</f>
        <v>47.1126, 37.5473</v>
      </c>
      <c r="H533" s="14">
        <v>0</v>
      </c>
      <c r="I533" s="13">
        <v>442</v>
      </c>
      <c r="J533" s="13">
        <v>2</v>
      </c>
      <c r="K533" t="str">
        <f t="shared" si="29"/>
        <v>4. 10:25 Галина Агабекова(церковь)
Тел.: +79496069479
Адрес: Марьинская 145 Новоселовка Церковь
№ заказа: 442
Кол-во мест: 2
https://yandex.ru/maps/?text=47.1126%2C37.5473
https://maps.google.com/?daddr=47.1126%2C37.5473
К оплате: **0
**--------------------------------</v>
      </c>
    </row>
    <row r="534" spans="1:11" hidden="1" x14ac:dyDescent="0.25">
      <c r="A534">
        <v>5</v>
      </c>
      <c r="B534" s="1">
        <v>45689</v>
      </c>
      <c r="C534" t="s">
        <v>2201</v>
      </c>
      <c r="D534" t="str">
        <f>VLOOKUP($C534,ТабКлиенты[#Data],MATCH(D$1,ТабКлиенты[#Headers],0),0)</f>
        <v>+79494368263</v>
      </c>
      <c r="E534" t="str">
        <f>VLOOKUP($C534,ТабКлиенты[#Data],MATCH(E$1,ТабКлиенты[#Headers],0),0)</f>
        <v>Строителей 191</v>
      </c>
      <c r="F534" s="80">
        <v>0.44444444444444442</v>
      </c>
      <c r="G534" s="14" t="str">
        <f>VLOOKUP($C534,ТабКлиенты[#Data],MATCH(G$1,ТабКлиенты[#Headers],0),0)</f>
        <v>47.1231, 37.5279</v>
      </c>
      <c r="H534" s="14">
        <v>3931</v>
      </c>
      <c r="I534" s="13">
        <v>450</v>
      </c>
      <c r="J534" s="13">
        <v>1</v>
      </c>
      <c r="K534" t="str">
        <f t="shared" si="29"/>
        <v>5. 10:40 Коля Чунихин
Тел.: +79494368263
Адрес: Строителей 191
№ заказа: 450
Кол-во мест: 1
https://yandex.ru/maps/?text=47.1231%2C37.5279
https://maps.google.com/?daddr=47.1231%2C37.5279
К оплате: **3931
**--------------------------------</v>
      </c>
    </row>
    <row r="535" spans="1:11" hidden="1" x14ac:dyDescent="0.25">
      <c r="A535">
        <v>6</v>
      </c>
      <c r="B535" s="1">
        <v>45689</v>
      </c>
      <c r="C535" t="s">
        <v>2122</v>
      </c>
      <c r="D535" t="str">
        <f>VLOOKUP($C535,ТабКлиенты[#Data],MATCH(D$1,ТабКлиенты[#Headers],0),0)</f>
        <v>+79497106271</v>
      </c>
      <c r="E535" t="str">
        <f>VLOOKUP($C535,ТабКлиенты[#Data],MATCH(E$1,ТабКлиенты[#Headers],0),0)</f>
        <v>Урицкого 77</v>
      </c>
      <c r="F535" s="80">
        <v>0.4513888888888889</v>
      </c>
      <c r="G535" s="14" t="str">
        <f>VLOOKUP($C535,ТабКлиенты[#Data],MATCH(G$1,ТабКлиенты[#Headers],0),0)</f>
        <v>47.1228, 37.5167</v>
      </c>
      <c r="H535" s="14">
        <v>0</v>
      </c>
      <c r="I535" s="13" t="s">
        <v>2228</v>
      </c>
      <c r="J535" s="13">
        <v>1</v>
      </c>
      <c r="K535" t="str">
        <f t="shared" si="29"/>
        <v>6. 10:50 Наталья Школа 53
Тел.: +79497106271
Адрес: Урицкого 77
№ заказа: Витамины 3
Кол-во мест: 1
https://yandex.ru/maps/?text=47.1228%2C37.5167
https://maps.google.com/?daddr=47.1228%2C37.5167
К оплате: **0
**--------------------------------</v>
      </c>
    </row>
    <row r="536" spans="1:11" hidden="1" x14ac:dyDescent="0.25">
      <c r="A536">
        <v>7</v>
      </c>
      <c r="B536" s="1">
        <v>45689</v>
      </c>
      <c r="C536" t="s">
        <v>2377</v>
      </c>
      <c r="D536" t="str">
        <f>VLOOKUP($C536,ТабКлиенты[#Data],MATCH(D$1,ТабКлиенты[#Headers],0),0)</f>
        <v>+79497168896</v>
      </c>
      <c r="E536" t="str">
        <f>VLOOKUP($C536,ТабКлиенты[#Data],MATCH(E$1,ТабКлиенты[#Headers],0),0)</f>
        <v>Шевченко 240 подъезд 3</v>
      </c>
      <c r="F536" s="80">
        <v>0.4861111111111111</v>
      </c>
      <c r="G536" s="14" t="str">
        <f>VLOOKUP($C536,ТабКлиенты[#Data],MATCH(G$1,ТабКлиенты[#Headers],0),0)</f>
        <v>47.1153, 37.5222</v>
      </c>
      <c r="H536" s="14">
        <v>1300</v>
      </c>
      <c r="I536" s="13" t="s">
        <v>2227</v>
      </c>
      <c r="J536" s="13">
        <v>1</v>
      </c>
      <c r="K536" t="str">
        <f t="shared" si="29"/>
        <v>7. 11:40 Оксана Шевченко 240
Тел.: +79497168896
Адрес: Шевченко 240 подъезд 3
№ заказа: Витамины 2
Кол-во мест: 1
https://yandex.ru/maps/?text=47.1153%2C37.5222
https://maps.google.com/?daddr=47.1153%2C37.5222
К оплате: **1300
**--------------------------------</v>
      </c>
    </row>
    <row r="537" spans="1:11" hidden="1" x14ac:dyDescent="0.25">
      <c r="A537">
        <v>8</v>
      </c>
      <c r="B537" s="1">
        <v>45689</v>
      </c>
      <c r="C537" t="s">
        <v>2325</v>
      </c>
      <c r="D537" t="str">
        <f>VLOOKUP($C537,ТабКлиенты[#Data],MATCH(D$1,ТабКлиенты[#Headers],0),0)</f>
        <v>+79493787340</v>
      </c>
      <c r="E537" t="s">
        <v>450</v>
      </c>
      <c r="F537" s="80">
        <v>0.49305555555555558</v>
      </c>
      <c r="G537" s="14" t="str">
        <f>VLOOKUP($C537,ТабКлиенты[#Data],MATCH(G$1,ТабКлиенты[#Headers],0),0)</f>
        <v>47.1130, 37.5268</v>
      </c>
      <c r="H537" s="14">
        <v>0</v>
      </c>
      <c r="I537" s="13">
        <v>441</v>
      </c>
      <c r="J537" s="13">
        <v>2</v>
      </c>
      <c r="K537" t="str">
        <f t="shared" si="29"/>
        <v>8. 11:50 Ренат Строителей 145
Тел.: +79493787340
Адрес: Строителей 145
№ заказа: 441
Кол-во мест: 2
https://yandex.ru/maps/?text=47.1130%2C37.5268
https://maps.google.com/?daddr=47.1130%2C37.5268
К оплате: **0
**--------------------------------</v>
      </c>
    </row>
    <row r="538" spans="1:11" hidden="1" x14ac:dyDescent="0.25">
      <c r="A538">
        <v>9</v>
      </c>
      <c r="B538" s="1">
        <v>45689</v>
      </c>
      <c r="C538" t="s">
        <v>2209</v>
      </c>
      <c r="D538" t="str">
        <f>VLOOKUP($C538,ТабКлиенты[#Data],MATCH(D$1,ТабКлиенты[#Headers],0),0)</f>
        <v>+79497437389</v>
      </c>
      <c r="E538" t="str">
        <f>VLOOKUP($C538,ТабКлиенты[#Data],MATCH(E$1,ТабКлиенты[#Headers],0),0)</f>
        <v>Троицкая 61</v>
      </c>
      <c r="F538" s="80">
        <v>0.5</v>
      </c>
      <c r="G538" s="14" t="str">
        <f>VLOOKUP($C538,ТабКлиенты[#Data],MATCH(G$1,ТабКлиенты[#Headers],0),0)</f>
        <v>47.1121, 37.5175</v>
      </c>
      <c r="H538" s="14">
        <v>0</v>
      </c>
      <c r="I538" s="13">
        <v>415</v>
      </c>
      <c r="J538" s="13">
        <v>1</v>
      </c>
      <c r="K538" t="str">
        <f t="shared" si="29"/>
        <v>9. 12:00 Антон Старокрымский
Тел.: +79497437389
Адрес: Троицкая 61
№ заказа: 415
Кол-во мест: 1
https://yandex.ru/maps/?text=47.1121%2C37.5175
https://maps.google.com/?daddr=47.1121%2C37.5175
К оплате: **0
**--------------------------------</v>
      </c>
    </row>
    <row r="539" spans="1:11" hidden="1" x14ac:dyDescent="0.25">
      <c r="A539">
        <v>10</v>
      </c>
      <c r="B539" s="1">
        <v>45689</v>
      </c>
      <c r="C539" t="s">
        <v>1523</v>
      </c>
      <c r="D539" t="str">
        <f>VLOOKUP($C539,ТабКлиенты[#Data],MATCH(D$1,ТабКлиенты[#Headers],0),0)</f>
        <v>+79494015912</v>
      </c>
      <c r="E539" t="str">
        <f>VLOOKUP($C539,ТабКлиенты[#Data],MATCH(E$1,ТабКлиенты[#Headers],0),0)</f>
        <v>Куприна 17</v>
      </c>
      <c r="F539" s="80">
        <v>0.50694444444444442</v>
      </c>
      <c r="G539" s="14" t="str">
        <f>VLOOKUP($C539,ТабКлиенты[#Data],MATCH(G$1,ТабКлиенты[#Headers],0),0)</f>
        <v>47.1034, 37.5110</v>
      </c>
      <c r="H539" s="14">
        <v>0</v>
      </c>
      <c r="I539" s="13">
        <v>457</v>
      </c>
      <c r="J539" s="13">
        <v>1</v>
      </c>
      <c r="K539" t="str">
        <f t="shared" si="29"/>
        <v>10. 12:10 Кирилл Куприна
Тел.: +79494015912
Адрес: Куприна 17
№ заказа: 457
Кол-во мест: 1
https://yandex.ru/maps/?text=47.1034%2C37.5110
https://maps.google.com/?daddr=47.1034%2C37.5110
К оплате: **0
**--------------------------------</v>
      </c>
    </row>
    <row r="540" spans="1:11" hidden="1" x14ac:dyDescent="0.25">
      <c r="A540">
        <v>11</v>
      </c>
      <c r="B540" s="1">
        <v>45689</v>
      </c>
      <c r="C540" t="s">
        <v>456</v>
      </c>
      <c r="D540" t="str">
        <f>VLOOKUP($C540,ТабКлиенты[#Data],MATCH(D$1,ТабКлиенты[#Headers],0),0)</f>
        <v>+79497488953</v>
      </c>
      <c r="E540" t="str">
        <f>VLOOKUP($C540,ТабКлиенты[#Data],MATCH(E$1,ТабКлиенты[#Headers],0),0)</f>
        <v>Ленина 183 подъезд 1 (Изумрудный)</v>
      </c>
      <c r="F540" s="80">
        <v>0.51388888888888884</v>
      </c>
      <c r="G540" s="14" t="str">
        <f>VLOOKUP($C540,ТабКлиенты[#Data],MATCH(G$1,ТабКлиенты[#Headers],0),0)</f>
        <v>47.0982, 37.4785</v>
      </c>
      <c r="H540" s="14">
        <v>782</v>
      </c>
      <c r="I540" s="13">
        <v>458</v>
      </c>
      <c r="J540" s="13">
        <v>1</v>
      </c>
      <c r="K540" t="str">
        <f t="shared" si="29"/>
        <v>11. 12:20 Лана
Тел.: +79497488953
Адрес: Ленина 183 подъезд 1 (Изумрудный)
№ заказа: 458
Кол-во мест: 1
https://yandex.ru/maps/?text=47.0982%2C37.4785
https://maps.google.com/?daddr=47.0982%2C37.4785
К оплате: **782
**--------------------------------</v>
      </c>
    </row>
    <row r="541" spans="1:11" hidden="1" x14ac:dyDescent="0.25">
      <c r="A541">
        <v>12</v>
      </c>
      <c r="B541" s="1">
        <v>45689</v>
      </c>
      <c r="C541" t="s">
        <v>137</v>
      </c>
      <c r="D541" t="str">
        <f>VLOOKUP($C541,ТабКлиенты[#Data],MATCH(D$1,ТабКлиенты[#Headers],0),0)</f>
        <v>+79497303577</v>
      </c>
      <c r="E541" t="str">
        <f>VLOOKUP($C541,ТабКлиенты[#Data],MATCH(E$1,ТабКлиенты[#Headers],0),0)</f>
        <v>Виноградное, Маяковского, 4</v>
      </c>
      <c r="F541" s="80">
        <v>0.58333333333333337</v>
      </c>
      <c r="G541" s="14" t="str">
        <f>VLOOKUP($C541,ТабКлиенты[#Data],MATCH(G$1,ТабКлиенты[#Headers],0),0)</f>
        <v>47.0897, 37.6622</v>
      </c>
      <c r="H541" s="14">
        <v>2635</v>
      </c>
      <c r="I541" s="13">
        <v>433</v>
      </c>
      <c r="J541" s="13">
        <v>2</v>
      </c>
      <c r="K541" t="str">
        <f t="shared" si="29"/>
        <v>12. 14:00 Родион
Тел.: +79497303577
Адрес: Виноградное, Маяковского, 4
№ заказа: 433
Кол-во мест: 2
https://yandex.ru/maps/?text=47.0897%2C37.6622
https://maps.google.com/?daddr=47.0897%2C37.6622
К оплате: **2635
**--------------------------------</v>
      </c>
    </row>
    <row r="542" spans="1:11" hidden="1" x14ac:dyDescent="0.25">
      <c r="A542">
        <v>13</v>
      </c>
      <c r="B542" s="1">
        <v>45689</v>
      </c>
      <c r="C542" t="s">
        <v>437</v>
      </c>
      <c r="D542" t="str">
        <f>VLOOKUP($C542,ТабКлиенты[#Data],MATCH(D$1,ТабКлиенты[#Headers],0),0)</f>
        <v>+79497115237</v>
      </c>
      <c r="E542" t="str">
        <f>VLOOKUP($C542,ТабКлиенты[#Data],MATCH(E$1,ТабКлиенты[#Headers],0),0)</f>
        <v>пер Станционный 8</v>
      </c>
      <c r="F542" s="80">
        <v>0.58333333333333337</v>
      </c>
      <c r="G542" s="14" t="str">
        <f>VLOOKUP($C542,ТабКлиенты[#Data],MATCH(G$1,ТабКлиенты[#Headers],0),0)</f>
        <v>47.1640, 37.5780</v>
      </c>
      <c r="H542" s="14">
        <v>2700</v>
      </c>
      <c r="I542" s="13" t="s">
        <v>2229</v>
      </c>
      <c r="J542" s="13">
        <v>1</v>
      </c>
      <c r="K542" t="str">
        <f t="shared" si="29"/>
        <v>13. 14:00 Аня Мирный
Тел.: +79497115237
Адрес: пер Станционный 8
№ заказа: Витамины 4
Кол-во мест: 1
https://yandex.ru/maps/?text=47.1640%2C37.5780
https://maps.google.com/?daddr=47.1640%2C37.5780
К оплате: **2700
**--------------------------------</v>
      </c>
    </row>
    <row r="543" spans="1:11" hidden="1" x14ac:dyDescent="0.25">
      <c r="A543">
        <v>1</v>
      </c>
      <c r="B543" s="1">
        <v>45696</v>
      </c>
      <c r="C543" t="s">
        <v>357</v>
      </c>
      <c r="D543" t="str">
        <f>VLOOKUP($C543,ТабКлиенты[#Data],MATCH(D$1,ТабКлиенты[#Headers],0),0)</f>
        <v>+79497114644</v>
      </c>
      <c r="E543" t="str">
        <f>VLOOKUP($C543,ТабКлиенты[#Data],MATCH(E$1,ТабКлиенты[#Headers],0),0)</f>
        <v>Металлургов 143</v>
      </c>
      <c r="F543" s="80">
        <v>0.40972222222222221</v>
      </c>
      <c r="G543" s="14" t="str">
        <f>VLOOKUP($C543,ТабКлиенты[#Data],MATCH(G$1,ТабКлиенты[#Headers],0),0)</f>
        <v>47.1199, 37.5643</v>
      </c>
      <c r="H543" s="14">
        <v>0</v>
      </c>
      <c r="I543" s="13">
        <v>465</v>
      </c>
      <c r="J543" s="13">
        <v>2</v>
      </c>
      <c r="K543" t="str">
        <f t="shared" ref="K543:K552" si="30">A543&amp;". "&amp;TEXT(F543,"ЧЧ:ММ")&amp;" "&amp;C543&amp;CHAR(10)&amp;"Тел.: "&amp;D543&amp;CHAR(10)&amp;"Адрес: "&amp;E543&amp;CHAR(10)&amp;"№ заказа: "&amp;I543&amp;CHAR(10)&amp;"Кол-во мест: "&amp;J543&amp;CHAR(10)&amp;"https://yandex.ru/maps/?text="&amp;REPLACE(G543,SEARCH(",",G543),2,"%2C")&amp;CHAR(10)&amp;"https://maps.google.com/?daddr="&amp;REPLACE(G543,SEARCH(",",G543),2,"%2C")&amp;CHAR(10)&amp;"К оплате: "&amp;"**"&amp;H543&amp;CHAR(10)&amp;"**"&amp;"--------------------------------"</f>
        <v>1. 09:50 Юля Ларисына
Тел.: +79497114644
Адрес: Металлургов 143
№ заказа: 465
Кол-во мест: 2
https://yandex.ru/maps/?text=47.1199%2C37.5643
https://maps.google.com/?daddr=47.1199%2C37.5643
К оплате: **0
**--------------------------------</v>
      </c>
    </row>
    <row r="544" spans="1:11" hidden="1" x14ac:dyDescent="0.25">
      <c r="A544">
        <v>2</v>
      </c>
      <c r="B544" s="1">
        <v>45696</v>
      </c>
      <c r="C544" t="s">
        <v>445</v>
      </c>
      <c r="D544" t="str">
        <f>VLOOKUP($C544,ТабКлиенты[#Data],MATCH(D$1,ТабКлиенты[#Headers],0),0)</f>
        <v>+79497262176</v>
      </c>
      <c r="E544" t="str">
        <f>VLOOKUP($C544,ТабКлиенты[#Data],MATCH(E$1,ТабКлиенты[#Headers],0),0)</f>
        <v>Металлургов 179, кв 114</v>
      </c>
      <c r="F544" s="80">
        <v>0.41666666666666669</v>
      </c>
      <c r="G544" s="14" t="str">
        <f>VLOOKUP($C544,ТабКлиенты[#Data],MATCH(G$1,ТабКлиенты[#Headers],0),0)</f>
        <v>47.1248, 37.5657</v>
      </c>
      <c r="H544" s="14">
        <v>0</v>
      </c>
      <c r="I544" s="13">
        <v>460</v>
      </c>
      <c r="J544" s="13">
        <v>1</v>
      </c>
      <c r="K544" t="str">
        <f t="shared" si="30"/>
        <v>2. 10:00 Светлана от Александра
Тел.: +79497262176
Адрес: Металлургов 179, кв 114
№ заказа: 460
Кол-во мест: 1
https://yandex.ru/maps/?text=47.1248%2C37.5657
https://maps.google.com/?daddr=47.1248%2C37.5657
К оплате: **0
**--------------------------------</v>
      </c>
    </row>
    <row r="545" spans="1:11" hidden="1" x14ac:dyDescent="0.25">
      <c r="A545">
        <v>3</v>
      </c>
      <c r="B545" s="1">
        <v>45696</v>
      </c>
      <c r="C545" t="s">
        <v>2428</v>
      </c>
      <c r="D545" t="str">
        <f>VLOOKUP($C545,ТабКлиенты[#Data],MATCH(D$1,ТабКлиенты[#Headers],0),0)</f>
        <v>+79498079642</v>
      </c>
      <c r="E545" t="str">
        <f>VLOOKUP($C545,ТабКлиенты[#Data],MATCH(E$1,ТабКлиенты[#Headers],0),0)</f>
        <v>26 квартал 3</v>
      </c>
      <c r="F545" s="80">
        <v>0.4236111111111111</v>
      </c>
      <c r="G545" s="14" t="str">
        <f>VLOOKUP($C545,ТабКлиенты[#Data],MATCH(G$1,ТабКлиенты[#Headers],0),0)</f>
        <v>47.1295, 37.5580</v>
      </c>
      <c r="H545" s="14">
        <v>4600</v>
      </c>
      <c r="I545" s="13" t="s">
        <v>1271</v>
      </c>
      <c r="J545" s="13">
        <v>1</v>
      </c>
      <c r="K545" t="str">
        <f t="shared" si="30"/>
        <v>3. 10:10 Татьяна Лаванда
Тел.: +79498079642
Адрес: 26 квартал 3
№ заказа: Витамины
Кол-во мест: 1
https://yandex.ru/maps/?text=47.1295%2C37.5580
https://maps.google.com/?daddr=47.1295%2C37.5580
К оплате: **4600
**--------------------------------</v>
      </c>
    </row>
    <row r="546" spans="1:11" hidden="1" x14ac:dyDescent="0.25">
      <c r="A546">
        <v>4</v>
      </c>
      <c r="B546" s="1">
        <v>45696</v>
      </c>
      <c r="C546" t="s">
        <v>1377</v>
      </c>
      <c r="D546" t="str">
        <f>VLOOKUP($C546,ТабКлиенты[#Data],MATCH(D$1,ТабКлиенты[#Headers],0),0)</f>
        <v>+79497083587</v>
      </c>
      <c r="E546" t="str">
        <f>VLOOKUP($C546,ТабКлиенты[#Data],MATCH(E$1,ТабКлиенты[#Headers],0),0)</f>
        <v>Свободы 7</v>
      </c>
      <c r="F546" s="80">
        <v>0.43402777777777779</v>
      </c>
      <c r="G546" s="14" t="s">
        <v>2436</v>
      </c>
      <c r="H546" s="14">
        <v>5000</v>
      </c>
      <c r="I546" s="13" t="s">
        <v>1271</v>
      </c>
      <c r="J546" s="13">
        <v>1</v>
      </c>
      <c r="K546" t="str">
        <f t="shared" si="30"/>
        <v>4. 10:25 Наталья Молокозавод
Тел.: +79497083587
Адрес: Свободы 7
№ заказа: Витамины
Кол-во мест: 1
https://yandex.ru/maps/?text=47.1150%2C37.5467
https://maps.google.com/?daddr=47.1150%2C37.5467
К оплате: **5000
**--------------------------------</v>
      </c>
    </row>
    <row r="547" spans="1:11" hidden="1" x14ac:dyDescent="0.25">
      <c r="A547">
        <v>5</v>
      </c>
      <c r="B547" s="1">
        <v>45696</v>
      </c>
      <c r="C547" t="s">
        <v>1502</v>
      </c>
      <c r="D547" t="str">
        <f>VLOOKUP($C547,ТабКлиенты[#Data],MATCH(D$1,ТабКлиенты[#Headers],0),0)</f>
        <v>+79497284454</v>
      </c>
      <c r="E547" t="str">
        <f>VLOOKUP($C547,ТабКлиенты[#Data],MATCH(E$1,ТабКлиенты[#Headers],0),0)</f>
        <v>строителей 156</v>
      </c>
      <c r="F547" s="80">
        <v>0.44097222222222221</v>
      </c>
      <c r="G547" s="14" t="str">
        <f>VLOOKUP($C547,ТабКлиенты[#Data],MATCH(G$1,ТабКлиенты[#Headers],0),0)</f>
        <v>47.1186, 37.5244</v>
      </c>
      <c r="H547" s="14">
        <v>0</v>
      </c>
      <c r="I547" s="13">
        <v>462</v>
      </c>
      <c r="J547" s="13">
        <v>1</v>
      </c>
      <c r="K547" t="str">
        <f t="shared" si="30"/>
        <v>5. 10:35 Елена Гайдар
Тел.: +79497284454
Адрес: строителей 156
№ заказа: 462
Кол-во мест: 1
https://yandex.ru/maps/?text=47.1186%2C37.5244
https://maps.google.com/?daddr=47.1186%2C37.5244
К оплате: **0
**--------------------------------</v>
      </c>
    </row>
    <row r="548" spans="1:11" hidden="1" x14ac:dyDescent="0.25">
      <c r="A548">
        <v>6</v>
      </c>
      <c r="B548" s="1">
        <v>45696</v>
      </c>
      <c r="C548" t="s">
        <v>2122</v>
      </c>
      <c r="D548" t="str">
        <f>VLOOKUP($C548,ТабКлиенты[#Data],MATCH(D$1,ТабКлиенты[#Headers],0),0)</f>
        <v>+79497106271</v>
      </c>
      <c r="E548" t="str">
        <f>VLOOKUP($C548,ТабКлиенты[#Data],MATCH(E$1,ТабКлиенты[#Headers],0),0)</f>
        <v>Урицкого 77</v>
      </c>
      <c r="F548" s="80">
        <v>0.44444444444444448</v>
      </c>
      <c r="G548" s="14" t="str">
        <f>VLOOKUP($C548,ТабКлиенты[#Data],MATCH(G$1,ТабКлиенты[#Headers],0),0)</f>
        <v>47.1228, 37.5167</v>
      </c>
      <c r="H548" s="14">
        <v>3200</v>
      </c>
      <c r="I548" s="13" t="s">
        <v>1271</v>
      </c>
      <c r="J548" s="13">
        <v>1</v>
      </c>
      <c r="K548" t="str">
        <f t="shared" si="30"/>
        <v>6. 10:40 Наталья Школа 53
Тел.: +79497106271
Адрес: Урицкого 77
№ заказа: Витамины
Кол-во мест: 1
https://yandex.ru/maps/?text=47.1228%2C37.5167
https://maps.google.com/?daddr=47.1228%2C37.5167
К оплате: **3200
**--------------------------------</v>
      </c>
    </row>
    <row r="549" spans="1:11" hidden="1" x14ac:dyDescent="0.25">
      <c r="A549">
        <v>7</v>
      </c>
      <c r="B549" s="1">
        <v>45696</v>
      </c>
      <c r="C549" t="s">
        <v>353</v>
      </c>
      <c r="D549" t="str">
        <f>VLOOKUP($C549,ТабКлиенты[#Data],MATCH(D$1,ТабКлиенты[#Headers],0),0)</f>
        <v>+79496248226</v>
      </c>
      <c r="E549" t="str">
        <f>VLOOKUP($C549,ТабКлиенты[#Data],MATCH(E$1,ТабКлиенты[#Headers],0),0)</f>
        <v>Шевченко 274</v>
      </c>
      <c r="F549" s="80">
        <v>0.46875</v>
      </c>
      <c r="G549" s="14" t="str">
        <f>VLOOKUP($C549,ТабКлиенты[#Data],MATCH(G$1,ТабКлиенты[#Headers],0),0)</f>
        <v>47.1149, 37.5127</v>
      </c>
      <c r="H549" s="14">
        <v>7900</v>
      </c>
      <c r="I549" s="13" t="s">
        <v>1271</v>
      </c>
      <c r="J549" s="13">
        <v>1</v>
      </c>
      <c r="K549" t="str">
        <f t="shared" si="30"/>
        <v>7. 11:15 Даша Калифорния
Тел.: +79496248226
Адрес: Шевченко 274
№ заказа: Витамины
Кол-во мест: 1
https://yandex.ru/maps/?text=47.1149%2C37.5127
https://maps.google.com/?daddr=47.1149%2C37.5127
К оплате: **7900
**--------------------------------</v>
      </c>
    </row>
    <row r="550" spans="1:11" hidden="1" x14ac:dyDescent="0.25">
      <c r="A550">
        <v>8</v>
      </c>
      <c r="B550" s="1">
        <v>45696</v>
      </c>
      <c r="C550" t="s">
        <v>2437</v>
      </c>
      <c r="D550" t="str">
        <f>VLOOKUP($C550,ТабКлиенты[#Data],MATCH(D$1,ТабКлиенты[#Headers],0),0)</f>
        <v>+79496433686</v>
      </c>
      <c r="E550" t="str">
        <f>VLOOKUP($C550,ТабКлиенты[#Data],MATCH(E$1,ТабКлиенты[#Headers],0),0)</f>
        <v>Зелинского 106а</v>
      </c>
      <c r="F550" s="80">
        <v>0.47569444444444442</v>
      </c>
      <c r="G550" s="14" t="str">
        <f>VLOOKUP($C550,ТабКлиенты[#Data],MATCH(G$1,ТабКлиенты[#Headers],0),0)</f>
        <v>47.1059, 37.5155</v>
      </c>
      <c r="H550" s="14">
        <v>2300</v>
      </c>
      <c r="I550" s="13" t="s">
        <v>1271</v>
      </c>
      <c r="J550" s="13">
        <v>1</v>
      </c>
      <c r="K550" t="str">
        <f t="shared" si="30"/>
        <v>8. 11:25 Ирина Зелинского 106а
Тел.: +79496433686
Адрес: Зелинского 106а
№ заказа: Витамины
Кол-во мест: 1
https://yandex.ru/maps/?text=47.1059%2C37.5155
https://maps.google.com/?daddr=47.1059%2C37.5155
К оплате: **2300
**--------------------------------</v>
      </c>
    </row>
    <row r="551" spans="1:11" hidden="1" x14ac:dyDescent="0.25">
      <c r="A551">
        <v>9</v>
      </c>
      <c r="B551" s="1">
        <v>45696</v>
      </c>
      <c r="C551" t="s">
        <v>2433</v>
      </c>
      <c r="D551" t="str">
        <f>VLOOKUP($C551,ТабКлиенты[#Data],MATCH(D$1,ТабКлиенты[#Headers],0),0)</f>
        <v>+79493276190</v>
      </c>
      <c r="E551" t="str">
        <f>VLOOKUP($C551,ТабКлиенты[#Data],MATCH(E$1,ТабКлиенты[#Headers],0),0)</f>
        <v>Строителей 145</v>
      </c>
      <c r="F551" s="80">
        <v>0.47916666666666669</v>
      </c>
      <c r="G551" s="14" t="str">
        <f>VLOOKUP($C551,ТабКлиенты[#Data],MATCH(G$1,ТабКлиенты[#Headers],0),0)</f>
        <v>47.1130, 37.5268</v>
      </c>
      <c r="H551" s="14">
        <v>0</v>
      </c>
      <c r="I551" s="13">
        <v>469</v>
      </c>
      <c r="J551" s="13">
        <v>1</v>
      </c>
      <c r="K551" t="str">
        <f t="shared" si="30"/>
        <v>9. 11:30 Михаил Строителей 145
Тел.: +79493276190
Адрес: Строителей 145
№ заказа: 469
Кол-во мест: 1
https://yandex.ru/maps/?text=47.1130%2C37.5268
https://maps.google.com/?daddr=47.1130%2C37.5268
К оплате: **0
**--------------------------------</v>
      </c>
    </row>
    <row r="552" spans="1:11" hidden="1" x14ac:dyDescent="0.25">
      <c r="A552">
        <v>10</v>
      </c>
      <c r="B552" s="1">
        <v>45696</v>
      </c>
      <c r="C552" t="s">
        <v>456</v>
      </c>
      <c r="D552" t="str">
        <f>VLOOKUP($C552,ТабКлиенты[#Data],MATCH(D$1,ТабКлиенты[#Headers],0),0)</f>
        <v>+79497488953</v>
      </c>
      <c r="E552" t="str">
        <f>VLOOKUP($C552,ТабКлиенты[#Data],MATCH(E$1,ТабКлиенты[#Headers],0),0)</f>
        <v>Ленина 183 подъезд 1 (Изумрудный)</v>
      </c>
      <c r="F552" s="80">
        <v>0.5</v>
      </c>
      <c r="G552" s="14" t="str">
        <f>VLOOKUP($C552,ТабКлиенты[#Data],MATCH(G$1,ТабКлиенты[#Headers],0),0)</f>
        <v>47.0982, 37.4785</v>
      </c>
      <c r="H552" s="14">
        <v>377</v>
      </c>
      <c r="I552" s="13">
        <v>468</v>
      </c>
      <c r="J552" s="13">
        <v>1</v>
      </c>
      <c r="K552" t="str">
        <f t="shared" si="30"/>
        <v>10. 12:00 Лана
Тел.: +79497488953
Адрес: Ленина 183 подъезд 1 (Изумрудный)
№ заказа: 468
Кол-во мест: 1
https://yandex.ru/maps/?text=47.0982%2C37.4785
https://maps.google.com/?daddr=47.0982%2C37.4785
К оплате: **377
**--------------------------------</v>
      </c>
    </row>
    <row r="553" spans="1:11" hidden="1" x14ac:dyDescent="0.25">
      <c r="A553">
        <v>1</v>
      </c>
      <c r="B553" s="1">
        <v>45703</v>
      </c>
      <c r="C553" t="s">
        <v>357</v>
      </c>
      <c r="D553" t="str">
        <f>VLOOKUP($C553,ТабКлиенты[#Data],MATCH(D$1,ТабКлиенты[#Headers],0),0)</f>
        <v>+79497114644</v>
      </c>
      <c r="E553" t="str">
        <f>VLOOKUP($C553,ТабКлиенты[#Data],MATCH(E$1,ТабКлиенты[#Headers],0),0)</f>
        <v>Металлургов 143</v>
      </c>
      <c r="G553" s="14" t="str">
        <f>VLOOKUP($C553,ТабКлиенты[#Data],MATCH(G$1,ТабКлиенты[#Headers],0),0)</f>
        <v>47.1199, 37.5643</v>
      </c>
      <c r="H553" s="14">
        <v>0</v>
      </c>
      <c r="I553" s="13">
        <v>465</v>
      </c>
      <c r="J553" s="13">
        <v>1</v>
      </c>
      <c r="K553" t="str">
        <f t="shared" ref="K553:K559" si="31">A553&amp;". "&amp;TEXT(F553,"ЧЧ:ММ")&amp;" "&amp;C553&amp;CHAR(10)&amp;"Тел.: "&amp;D553&amp;CHAR(10)&amp;"Адрес: "&amp;E553&amp;CHAR(10)&amp;"№ заказа: "&amp;I553&amp;CHAR(10)&amp;"Кол-во мест: "&amp;J553&amp;CHAR(10)&amp;"https://yandex.ru/maps/?text="&amp;REPLACE(G553,SEARCH(",",G553),2,"%2C")&amp;CHAR(10)&amp;"https://maps.google.com/?daddr="&amp;REPLACE(G553,SEARCH(",",G553),2,"%2C")&amp;CHAR(10)&amp;"К оплате: "&amp;"**"&amp;H553&amp;CHAR(10)&amp;"**"&amp;"--------------------------------"</f>
        <v>1. 00:00 Юля Ларисына
Тел.: +79497114644
Адрес: Металлургов 143
№ заказа: 465
Кол-во мест: 1
https://yandex.ru/maps/?text=47.1199%2C37.5643
https://maps.google.com/?daddr=47.1199%2C37.5643
К оплате: **0
**--------------------------------</v>
      </c>
    </row>
    <row r="554" spans="1:11" hidden="1" x14ac:dyDescent="0.25">
      <c r="A554">
        <v>2</v>
      </c>
      <c r="B554" s="1">
        <v>45703</v>
      </c>
      <c r="C554" t="s">
        <v>441</v>
      </c>
      <c r="D554" t="str">
        <f>VLOOKUP($C554,ТабКлиенты[#Data],MATCH(D$1,ТабКлиенты[#Headers],0),0)</f>
        <v>+79497213168</v>
      </c>
      <c r="E554" t="str">
        <f>VLOOKUP($C554,ТабКлиенты[#Data],MATCH(E$1,ТабКлиенты[#Headers],0),0)</f>
        <v>Шопена 92</v>
      </c>
      <c r="G554" s="14" t="str">
        <f>VLOOKUP($C554,ТабКлиенты[#Data],MATCH(G$1,ТабКлиенты[#Headers],0),0)</f>
        <v>47.1582, 37.6032</v>
      </c>
      <c r="H554" s="14">
        <v>3500</v>
      </c>
      <c r="I554" s="13" t="s">
        <v>1271</v>
      </c>
      <c r="J554" s="13">
        <v>1</v>
      </c>
      <c r="K554" t="str">
        <f t="shared" si="31"/>
        <v>2. 00:00 Светлана Федоровна
Тел.: +79497213168
Адрес: Шопена 92
№ заказа: Витамины
Кол-во мест: 1
https://yandex.ru/maps/?text=47.1582%2C37.6032
https://maps.google.com/?daddr=47.1582%2C37.6032
К оплате: **3500
**--------------------------------</v>
      </c>
    </row>
    <row r="555" spans="1:11" hidden="1" x14ac:dyDescent="0.25">
      <c r="A555">
        <v>3</v>
      </c>
      <c r="B555" s="1">
        <v>45703</v>
      </c>
      <c r="C555" t="s">
        <v>1424</v>
      </c>
      <c r="D555" t="str">
        <f>VLOOKUP($C555,ТабКлиенты[#Data],MATCH(D$1,ТабКлиенты[#Headers],0),0)</f>
        <v>+79495529137</v>
      </c>
      <c r="E555" t="str">
        <f>VLOOKUP($C555,ТабКлиенты[#Data],MATCH(E$1,ТабКлиенты[#Headers],0),0)</f>
        <v>Гранитная 138</v>
      </c>
      <c r="G555" s="14" t="str">
        <f>VLOOKUP($C555,ТабКлиенты[#Data],MATCH(G$1,ТабКлиенты[#Headers],0),0)</f>
        <v>47.1260, 37.5132</v>
      </c>
      <c r="H555" s="14">
        <v>0</v>
      </c>
      <c r="I555" s="13">
        <v>461</v>
      </c>
      <c r="J555" s="13">
        <v>1</v>
      </c>
      <c r="K555" t="str">
        <f t="shared" si="31"/>
        <v>3. 00:00 Данил Шевченко
Тел.: +79495529137
Адрес: Гранитная 138
№ заказа: 461
Кол-во мест: 1
https://yandex.ru/maps/?text=47.1260%2C37.5132
https://maps.google.com/?daddr=47.1260%2C37.5132
К оплате: **0
**--------------------------------</v>
      </c>
    </row>
    <row r="556" spans="1:11" hidden="1" x14ac:dyDescent="0.25">
      <c r="A556">
        <v>4</v>
      </c>
      <c r="B556" s="1">
        <v>45703</v>
      </c>
      <c r="C556" t="s">
        <v>2448</v>
      </c>
      <c r="D556" t="str">
        <f>VLOOKUP($C556,ТабКлиенты[#Data],MATCH(D$1,ТабКлиенты[#Headers],0),0)</f>
        <v>+79497185141</v>
      </c>
      <c r="E556" t="str">
        <f>VLOOKUP($C556,ТабКлиенты[#Data],MATCH(E$1,ТабКлиенты[#Headers],0),0)</f>
        <v>Урицкого, 118/16</v>
      </c>
      <c r="G556" s="14" t="s">
        <v>1841</v>
      </c>
      <c r="H556" s="14">
        <v>4200</v>
      </c>
      <c r="I556" s="13" t="s">
        <v>1271</v>
      </c>
      <c r="J556" s="13">
        <v>1</v>
      </c>
      <c r="K556" t="str">
        <f t="shared" si="31"/>
        <v>4. 00:00 Лариса Западный
Тел.: +79497185141
Адрес: Урицкого, 118/16
№ заказа: Витамины
Кол-во мест: 1
https://yandex.ru/maps/?text=47.1223%2C37.5125
https://maps.google.com/?daddr=47.1223%2C37.5125
К оплате: **4200
**--------------------------------</v>
      </c>
    </row>
    <row r="557" spans="1:11" hidden="1" x14ac:dyDescent="0.25">
      <c r="A557">
        <v>5</v>
      </c>
      <c r="B557" s="1">
        <v>45703</v>
      </c>
      <c r="C557" t="s">
        <v>1502</v>
      </c>
      <c r="D557" t="str">
        <f>VLOOKUP($C557,ТабКлиенты[#Data],MATCH(D$1,ТабКлиенты[#Headers],0),0)</f>
        <v>+79497284454</v>
      </c>
      <c r="E557" t="str">
        <f>VLOOKUP($C557,ТабКлиенты[#Data],MATCH(E$1,ТабКлиенты[#Headers],0),0)</f>
        <v>строителей 156</v>
      </c>
      <c r="G557" s="14" t="str">
        <f>VLOOKUP($C557,ТабКлиенты[#Data],MATCH(G$1,ТабКлиенты[#Headers],0),0)</f>
        <v>47.1186, 37.5244</v>
      </c>
      <c r="H557" s="14">
        <v>0</v>
      </c>
      <c r="I557" s="13">
        <v>462</v>
      </c>
      <c r="J557" s="13">
        <v>1</v>
      </c>
      <c r="K557" t="str">
        <f t="shared" si="31"/>
        <v>5. 00:00 Елена Гайдар
Тел.: +79497284454
Адрес: строителей 156
№ заказа: 462
Кол-во мест: 1
https://yandex.ru/maps/?text=47.1186%2C37.5244
https://maps.google.com/?daddr=47.1186%2C37.5244
К оплате: **0
**--------------------------------</v>
      </c>
    </row>
    <row r="558" spans="1:11" hidden="1" x14ac:dyDescent="0.25">
      <c r="A558">
        <v>6</v>
      </c>
      <c r="B558" s="1">
        <v>45703</v>
      </c>
      <c r="C558" t="s">
        <v>2433</v>
      </c>
      <c r="D558" t="str">
        <f>VLOOKUP($C558,ТабКлиенты[#Data],MATCH(D$1,ТабКлиенты[#Headers],0),0)</f>
        <v>+79493276190</v>
      </c>
      <c r="E558" t="str">
        <f>VLOOKUP($C558,ТабКлиенты[#Data],MATCH(E$1,ТабКлиенты[#Headers],0),0)</f>
        <v>Строителей 145</v>
      </c>
      <c r="G558" s="14" t="str">
        <f>VLOOKUP($C558,ТабКлиенты[#Data],MATCH(G$1,ТабКлиенты[#Headers],0),0)</f>
        <v>47.1130, 37.5268</v>
      </c>
      <c r="H558" s="14">
        <v>0</v>
      </c>
      <c r="I558" s="13">
        <v>469</v>
      </c>
      <c r="J558" s="13">
        <v>1</v>
      </c>
      <c r="K558" t="str">
        <f t="shared" si="31"/>
        <v>6. 00:00 Михаил Строителей 145
Тел.: +79493276190
Адрес: Строителей 145
№ заказа: 469
Кол-во мест: 1
https://yandex.ru/maps/?text=47.1130%2C37.5268
https://maps.google.com/?daddr=47.1130%2C37.5268
К оплате: **0
**--------------------------------</v>
      </c>
    </row>
    <row r="559" spans="1:11" hidden="1" x14ac:dyDescent="0.25">
      <c r="A559">
        <v>7</v>
      </c>
      <c r="B559" s="1">
        <v>45703</v>
      </c>
      <c r="C559" t="s">
        <v>1523</v>
      </c>
      <c r="D559" t="str">
        <f>VLOOKUP($C559,ТабКлиенты[#Data],MATCH(D$1,ТабКлиенты[#Headers],0),0)</f>
        <v>+79494015912</v>
      </c>
      <c r="E559" t="str">
        <f>VLOOKUP($C559,ТабКлиенты[#Data],MATCH(E$1,ТабКлиенты[#Headers],0),0)</f>
        <v>Куприна 17</v>
      </c>
      <c r="G559" s="14" t="str">
        <f>VLOOKUP($C559,ТабКлиенты[#Data],MATCH(G$1,ТабКлиенты[#Headers],0),0)</f>
        <v>47.1034, 37.5110</v>
      </c>
      <c r="H559" s="14">
        <v>0</v>
      </c>
      <c r="I559" s="13">
        <v>471</v>
      </c>
      <c r="J559" s="13">
        <v>1</v>
      </c>
      <c r="K559" t="str">
        <f t="shared" si="31"/>
        <v>7. 00:00 Кирилл Куприна
Тел.: +79494015912
Адрес: Куприна 17
№ заказа: 471
Кол-во мест: 1
https://yandex.ru/maps/?text=47.1034%2C37.5110
https://maps.google.com/?daddr=47.1034%2C37.5110
К оплате: **0
**--------------------------------</v>
      </c>
    </row>
    <row r="560" spans="1:11" hidden="1" x14ac:dyDescent="0.25">
      <c r="A560">
        <v>1</v>
      </c>
      <c r="B560" s="1">
        <v>45708</v>
      </c>
      <c r="C560" t="s">
        <v>2490</v>
      </c>
      <c r="D560" s="19" t="s">
        <v>491</v>
      </c>
      <c r="E560" t="s">
        <v>2491</v>
      </c>
      <c r="G560" s="14" t="s">
        <v>2492</v>
      </c>
      <c r="H560" s="14">
        <v>0</v>
      </c>
      <c r="I560" s="13" t="s">
        <v>1271</v>
      </c>
      <c r="K560" t="str">
        <f t="shared" ref="K560:K566" si="32">A560&amp;". "&amp;TEXT(F560,"ЧЧ:ММ")&amp;" "&amp;C560&amp;CHAR(10)&amp;"Тел.: "&amp;D560&amp;CHAR(10)&amp;"Адрес: "&amp;E560&amp;CHAR(10)&amp;"№ заказа: "&amp;I560&amp;CHAR(10)&amp;"Кол-во мест: "&amp;J560&amp;CHAR(10)&amp;"https://yandex.ru/maps/?text="&amp;REPLACE(G560,SEARCH(",",G560),2,"%2C")&amp;CHAR(10)&amp;"https://maps.google.com/?daddr="&amp;REPLACE(G560,SEARCH(",",G560),2,"%2C")&amp;CHAR(10)&amp;"К оплате: "&amp;"**"&amp;H560&amp;CHAR(10)&amp;"**"&amp;"--------------------------------"</f>
        <v>1. 00:00 Элла маг у дома
Тел.: Нет
Адрес: Варганова 3
№ заказа: Витамины
Кол-во мест: 
https://yandex.ru/maps/?text=47.0985%2C37.5461
https://maps.google.com/?daddr=47.0985%2C37.5461
К оплате: **0
**--------------------------------</v>
      </c>
    </row>
    <row r="561" spans="1:11" hidden="1" x14ac:dyDescent="0.25">
      <c r="A561">
        <v>2</v>
      </c>
      <c r="B561" s="1">
        <v>45708</v>
      </c>
      <c r="C561" t="s">
        <v>2428</v>
      </c>
      <c r="D561" s="19" t="str">
        <f>VLOOKUP($C561,ТабКлиенты[#Data],MATCH(D$1,ТабКлиенты[#Headers],0),0)</f>
        <v>+79498079642</v>
      </c>
      <c r="E561" t="str">
        <f>VLOOKUP($C561,ТабКлиенты[#Data],MATCH(E$1,ТабКлиенты[#Headers],0),0)</f>
        <v>26 квартал 3</v>
      </c>
      <c r="G561" s="14" t="str">
        <f>VLOOKUP($C561,ТабКлиенты[#Data],MATCH(G$1,ТабКлиенты[#Headers],0),0)</f>
        <v>47.1295, 37.5580</v>
      </c>
      <c r="H561" s="14">
        <v>2600</v>
      </c>
      <c r="I561" s="13" t="s">
        <v>1271</v>
      </c>
      <c r="K561" t="str">
        <f t="shared" si="32"/>
        <v>2. 00:00 Татьяна Лаванда
Тел.: +79498079642
Адрес: 26 квартал 3
№ заказа: Витамины
Кол-во мест: 
https://yandex.ru/maps/?text=47.1295%2C37.5580
https://maps.google.com/?daddr=47.1295%2C37.5580
К оплате: **2600
**--------------------------------</v>
      </c>
    </row>
    <row r="562" spans="1:11" hidden="1" x14ac:dyDescent="0.25">
      <c r="A562">
        <v>3</v>
      </c>
      <c r="B562" s="1">
        <v>45708</v>
      </c>
      <c r="C562" t="s">
        <v>2493</v>
      </c>
      <c r="D562" s="19" t="s">
        <v>501</v>
      </c>
      <c r="E562" t="s">
        <v>2495</v>
      </c>
      <c r="G562" s="14" t="s">
        <v>2494</v>
      </c>
      <c r="H562" s="14">
        <v>8300</v>
      </c>
      <c r="I562" s="13" t="s">
        <v>1271</v>
      </c>
      <c r="K562" t="str">
        <f t="shared" si="32"/>
        <v>3. 00:00 Виктория ГБСМП
Тел.: +79497057045
Адрес: Новоселовка
№ заказа: Витамины
Кол-во мест: 
https://yandex.ru/maps/?text=47.1159%2C37.5478
https://maps.google.com/?daddr=47.1159%2C37.5478
К оплате: **8300
**--------------------------------</v>
      </c>
    </row>
    <row r="563" spans="1:11" hidden="1" x14ac:dyDescent="0.25">
      <c r="A563">
        <v>4</v>
      </c>
      <c r="B563" s="1">
        <v>45708</v>
      </c>
      <c r="C563" t="s">
        <v>2479</v>
      </c>
      <c r="D563" s="19" t="str">
        <f>VLOOKUP($C563,ТабКлиенты[#Data],MATCH(D$1,ТабКлиенты[#Headers],0),0)</f>
        <v>+79497135589</v>
      </c>
      <c r="E563" t="str">
        <f>VLOOKUP($C563,ТабКлиенты[#Data],MATCH(E$1,ТабКлиенты[#Headers],0),0)</f>
        <v>Бахмутская 20</v>
      </c>
      <c r="G563" s="14" t="str">
        <f>VLOOKUP($C563,ТабКлиенты[#Data],MATCH(G$1,ТабКлиенты[#Headers],0),0)</f>
        <v>47.1164, 37.5459</v>
      </c>
      <c r="H563" s="14">
        <v>7000</v>
      </c>
      <c r="I563" s="13" t="s">
        <v>1271</v>
      </c>
      <c r="K563" t="str">
        <f t="shared" si="32"/>
        <v>4. 00:00 Оксана молокозавод
Тел.: +79497135589
Адрес: Бахмутская 20
№ заказа: Витамины
Кол-во мест: 
https://yandex.ru/maps/?text=47.1164%2C37.5459
https://maps.google.com/?daddr=47.1164%2C37.5459
К оплате: **7000
**--------------------------------</v>
      </c>
    </row>
    <row r="564" spans="1:11" hidden="1" x14ac:dyDescent="0.25">
      <c r="A564">
        <v>5</v>
      </c>
      <c r="B564" s="1">
        <v>45708</v>
      </c>
      <c r="C564" t="s">
        <v>469</v>
      </c>
      <c r="D564" s="19" t="str">
        <f>VLOOKUP($C564,ТабКлиенты[#Data],MATCH(D$1,ТабКлиенты[#Headers],0),0)</f>
        <v>+79496334882</v>
      </c>
      <c r="E564" t="str">
        <f>VLOOKUP($C564,ТабКлиенты[#Data],MATCH(E$1,ТабКлиенты[#Headers],0),0)</f>
        <v>Шевченко 217</v>
      </c>
      <c r="G564" s="14" t="str">
        <f>VLOOKUP($C564,ТабКлиенты[#Data],MATCH(G$1,ТабКлиенты[#Headers],0),0)</f>
        <v>47.1130, 37.5406</v>
      </c>
      <c r="H564" s="14">
        <v>2300</v>
      </c>
      <c r="I564" s="13" t="s">
        <v>1271</v>
      </c>
      <c r="K564" t="str">
        <f t="shared" si="32"/>
        <v>5. 00:00 Елена Шевченко 217
Тел.: +79496334882
Адрес: Шевченко 217
№ заказа: Витамины
Кол-во мест: 
https://yandex.ru/maps/?text=47.1130%2C37.5406
https://maps.google.com/?daddr=47.1130%2C37.5406
К оплате: **2300
**--------------------------------</v>
      </c>
    </row>
    <row r="565" spans="1:11" hidden="1" x14ac:dyDescent="0.25">
      <c r="A565">
        <v>6</v>
      </c>
      <c r="B565" s="1">
        <v>45708</v>
      </c>
      <c r="C565" t="s">
        <v>2480</v>
      </c>
      <c r="D565" s="19" t="str">
        <f>VLOOKUP($C565,ТабКлиенты[#Data],MATCH(D$1,ТабКлиенты[#Headers],0),0)</f>
        <v>+79496243970</v>
      </c>
      <c r="E565" t="str">
        <f>VLOOKUP($C565,ТабКлиенты[#Data],MATCH(E$1,ТабКлиенты[#Headers],0),0)</f>
        <v>Урицкого 104 подъезд 2 кв. 43</v>
      </c>
      <c r="G565" s="14" t="str">
        <f>VLOOKUP($C565,ТабКлиенты[#Data],MATCH(G$1,ТабКлиенты[#Headers],0),0)</f>
        <v>47.1212, 37.5174</v>
      </c>
      <c r="H565" s="14">
        <v>3850</v>
      </c>
      <c r="I565" s="13" t="s">
        <v>1271</v>
      </c>
      <c r="K565" t="str">
        <f t="shared" si="32"/>
        <v>6. 00:00 Людмила Федоровна
Тел.: +79496243970
Адрес: Урицкого 104 подъезд 2 кв. 43
№ заказа: Витамины
Кол-во мест: 
https://yandex.ru/maps/?text=47.1212%2C37.5174
https://maps.google.com/?daddr=47.1212%2C37.5174
К оплате: **3850
**--------------------------------</v>
      </c>
    </row>
    <row r="566" spans="1:11" hidden="1" x14ac:dyDescent="0.25">
      <c r="A566">
        <v>7</v>
      </c>
      <c r="B566" s="1">
        <v>45708</v>
      </c>
      <c r="C566" t="s">
        <v>2483</v>
      </c>
      <c r="D566" s="19" t="s">
        <v>2489</v>
      </c>
      <c r="E566" t="s">
        <v>2484</v>
      </c>
      <c r="G566" s="14" t="s">
        <v>2485</v>
      </c>
      <c r="H566" s="14">
        <v>0</v>
      </c>
      <c r="I566" s="13" t="s">
        <v>1271</v>
      </c>
      <c r="K566" t="str">
        <f t="shared" si="32"/>
        <v>7. 00:00 Оксана заправка
Тел.: +79497166829
Адрес: Куприна 32
№ заказа: Витамины
Кол-во мест: 
https://yandex.ru/maps/?text=47.1083%2C37.5082
https://maps.google.com/?daddr=47.1083%2C37.5082
К оплате: **0
**--------------------------------</v>
      </c>
    </row>
    <row r="567" spans="1:11" hidden="1" x14ac:dyDescent="0.25">
      <c r="A567">
        <v>1</v>
      </c>
      <c r="B567" s="1">
        <v>45710</v>
      </c>
      <c r="C567" t="s">
        <v>2526</v>
      </c>
      <c r="D567" s="19" t="s">
        <v>2527</v>
      </c>
      <c r="E567" t="s">
        <v>2528</v>
      </c>
      <c r="F567" s="80">
        <v>0.35416666666666669</v>
      </c>
      <c r="G567" s="14" t="s">
        <v>2529</v>
      </c>
      <c r="H567" s="14">
        <v>0</v>
      </c>
      <c r="I567" s="13" t="s">
        <v>815</v>
      </c>
      <c r="J567" s="13">
        <v>1</v>
      </c>
      <c r="K567" t="str">
        <f t="shared" ref="K567:K584" si="33">A567&amp;". "&amp;TEXT(F567,"ЧЧ:ММ")&amp;" "&amp;C567&amp;CHAR(10)&amp;"Тел.: "&amp;D567&amp;CHAR(10)&amp;"Адрес: "&amp;E567&amp;CHAR(10)&amp;"№ заказа: "&amp;I567&amp;CHAR(10)&amp;"Кол-во мест: "&amp;J567&amp;CHAR(10)&amp;"https://yandex.ru/maps/?text="&amp;REPLACE(G567,SEARCH(",",G567),2,"%2C")&amp;CHAR(10)&amp;"https://maps.google.com/?daddr="&amp;REPLACE(G567,SEARCH(",",G567),2,"%2C")&amp;CHAR(10)&amp;"К оплате: "&amp;"**"&amp;H567&amp;CHAR(10)&amp;"**"&amp;"--------------------------------"</f>
        <v>1. 08:30 1000 мелочей Сергей водитель
Тел.: +79530891297
Адрес: Площадь свободы
№ заказа: Посылка
Кол-во мест: 1
https://yandex.ru/maps/?text=47.0984%2C37.5253
https://maps.google.com/?daddr=47.0984%2C37.5253
К оплате: **0
**--------------------------------</v>
      </c>
    </row>
    <row r="568" spans="1:11" hidden="1" x14ac:dyDescent="0.25">
      <c r="A568">
        <v>2</v>
      </c>
      <c r="B568" s="1">
        <v>45710</v>
      </c>
      <c r="C568" t="s">
        <v>359</v>
      </c>
      <c r="D568" s="19" t="str">
        <f>VLOOKUP($C568,ТабКлиенты[#Data],MATCH(D$1,ТабКлиенты[#Headers],0),0)</f>
        <v>+79497105263</v>
      </c>
      <c r="E568" t="str">
        <f>VLOOKUP($C568,ТабКлиенты[#Data],MATCH(E$1,ТабКлиенты[#Headers],0),0)</f>
        <v>Казанцева 31</v>
      </c>
      <c r="F568" s="80">
        <v>0.36458333333333331</v>
      </c>
      <c r="G568" s="14" t="str">
        <f>VLOOKUP($C568,ТабКлиенты[#Data],MATCH(G$1,ТабКлиенты[#Headers],0),0)</f>
        <v>47.1070, 37.5475</v>
      </c>
      <c r="H568" s="14">
        <v>3000</v>
      </c>
      <c r="I568" s="13" t="s">
        <v>1271</v>
      </c>
      <c r="J568" s="13">
        <v>1</v>
      </c>
      <c r="K568" t="str">
        <f t="shared" si="33"/>
        <v>2. 08:45 Анна соседка
Тел.: +79497105263
Адрес: Казанцева 31
№ заказа: Витамины
Кол-во мест: 1
https://yandex.ru/maps/?text=47.1070%2C37.5475
https://maps.google.com/?daddr=47.1070%2C37.5475
К оплате: **3000
**--------------------------------</v>
      </c>
    </row>
    <row r="569" spans="1:11" hidden="1" x14ac:dyDescent="0.25">
      <c r="A569">
        <v>3</v>
      </c>
      <c r="B569" s="1">
        <v>45710</v>
      </c>
      <c r="C569" t="s">
        <v>2375</v>
      </c>
      <c r="D569" s="19" t="str">
        <f>VLOOKUP($C569,ТабКлиенты[#Data],MATCH(D$1,ТабКлиенты[#Headers],0),0)</f>
        <v>+79497124527</v>
      </c>
      <c r="E569" t="str">
        <f>VLOOKUP($C569,ТабКлиенты[#Data],MATCH(E$1,ТабКлиенты[#Headers],0),0)</f>
        <v>Писарева 28</v>
      </c>
      <c r="F569" s="80">
        <v>0.36805555555555558</v>
      </c>
      <c r="G569" s="14" t="str">
        <f>VLOOKUP($C569,ТабКлиенты[#Data],MATCH(G$1,ТабКлиенты[#Headers],0),0)</f>
        <v>47.1065, 37.5478</v>
      </c>
      <c r="H569" s="14">
        <v>1000</v>
      </c>
      <c r="I569" s="13" t="s">
        <v>1271</v>
      </c>
      <c r="J569" s="13">
        <v>1</v>
      </c>
      <c r="K569" t="str">
        <f t="shared" si="33"/>
        <v>3. 08:50 Татьяна Писарева 28
Тел.: +79497124527
Адрес: Писарева 28
№ заказа: Витамины
Кол-во мест: 1
https://yandex.ru/maps/?text=47.1065%2C37.5478
https://maps.google.com/?daddr=47.1065%2C37.5478
К оплате: **1000
**--------------------------------</v>
      </c>
    </row>
    <row r="570" spans="1:11" hidden="1" x14ac:dyDescent="0.25">
      <c r="A570">
        <v>4</v>
      </c>
      <c r="B570" s="1">
        <v>45710</v>
      </c>
      <c r="C570" t="s">
        <v>295</v>
      </c>
      <c r="D570" s="19" t="str">
        <f>VLOOKUP($C570,ТабКлиенты[#Data],MATCH(D$1,ТабКлиенты[#Headers],0),0)</f>
        <v>+79497277100</v>
      </c>
      <c r="E570" t="str">
        <f>VLOOKUP($C570,ТабКлиенты[#Data],MATCH(E$1,ТабКлиенты[#Headers],0),0)</f>
        <v>Артема 132</v>
      </c>
      <c r="F570" s="80">
        <v>0.38194444444444442</v>
      </c>
      <c r="G570" s="14" t="str">
        <f>VLOOKUP($C570,ТабКлиенты[#Data],MATCH(G$1,ТабКлиенты[#Headers],0),0)</f>
        <v>47.1085, 37.5599</v>
      </c>
      <c r="H570" s="14">
        <f>2250+3200</f>
        <v>5450</v>
      </c>
      <c r="I570" s="13">
        <v>472</v>
      </c>
      <c r="J570" s="13">
        <v>1</v>
      </c>
      <c r="K570" t="str">
        <f t="shared" si="33"/>
        <v>4. 09:10 Александр Радин
Тел.: +79497277100
Адрес: Артема 132
№ заказа: 472
Кол-во мест: 1
https://yandex.ru/maps/?text=47.1085%2C37.5599
https://maps.google.com/?daddr=47.1085%2C37.5599
К оплате: **5450
**--------------------------------</v>
      </c>
    </row>
    <row r="571" spans="1:11" hidden="1" x14ac:dyDescent="0.25">
      <c r="A571">
        <v>5</v>
      </c>
      <c r="B571" s="1">
        <v>45710</v>
      </c>
      <c r="C571" t="s">
        <v>2517</v>
      </c>
      <c r="D571" s="19" t="str">
        <f>VLOOKUP($C571,ТабКлиенты[#Data],MATCH(D$1,ТабКлиенты[#Headers],0),0)</f>
        <v>+79495256416</v>
      </c>
      <c r="E571" t="str">
        <f>VLOOKUP($C571,ТабКлиенты[#Data],MATCH(E$1,ТабКлиенты[#Headers],0),0)</f>
        <v>Металлургов 129</v>
      </c>
      <c r="F571" s="80">
        <v>0.3888888888888889</v>
      </c>
      <c r="G571" s="14" t="str">
        <f>VLOOKUP($C571,ТабКлиенты[#Data],MATCH(G$1,ТабКлиенты[#Headers],0),0)</f>
        <v>47.1123, 37.5582</v>
      </c>
      <c r="H571" s="14">
        <v>0</v>
      </c>
      <c r="I571" s="13" t="s">
        <v>1271</v>
      </c>
      <c r="J571" s="13">
        <v>1</v>
      </c>
      <c r="K571" t="str">
        <f t="shared" si="33"/>
        <v>5. 09:20 Екатерина Металлургов 129
Тел.: +79495256416
Адрес: Металлургов 129
№ заказа: Витамины
Кол-во мест: 1
https://yandex.ru/maps/?text=47.1123%2C37.5582
https://maps.google.com/?daddr=47.1123%2C37.5582
К оплате: **0
**--------------------------------</v>
      </c>
    </row>
    <row r="572" spans="1:11" hidden="1" x14ac:dyDescent="0.25">
      <c r="A572">
        <v>6</v>
      </c>
      <c r="B572" s="1">
        <v>45710</v>
      </c>
      <c r="C572" t="s">
        <v>357</v>
      </c>
      <c r="D572" s="19" t="str">
        <f>VLOOKUP($C572,ТабКлиенты[#Data],MATCH(D$1,ТабКлиенты[#Headers],0),0)</f>
        <v>+79497114644</v>
      </c>
      <c r="E572" t="str">
        <f>VLOOKUP($C572,ТабКлиенты[#Data],MATCH(E$1,ТабКлиенты[#Headers],0),0)</f>
        <v>Металлургов 143</v>
      </c>
      <c r="F572" s="80">
        <v>0.39583333333333331</v>
      </c>
      <c r="G572" s="14" t="str">
        <f>VLOOKUP($C572,ТабКлиенты[#Data],MATCH(G$1,ТабКлиенты[#Headers],0),0)</f>
        <v>47.1199, 37.5643</v>
      </c>
      <c r="H572" s="14">
        <v>0</v>
      </c>
      <c r="I572" s="13">
        <v>478</v>
      </c>
      <c r="J572" s="13">
        <v>1</v>
      </c>
      <c r="K572" t="str">
        <f t="shared" si="33"/>
        <v>6. 09:30 Юля Ларисына
Тел.: +79497114644
Адрес: Металлургов 143
№ заказа: 478
Кол-во мест: 1
https://yandex.ru/maps/?text=47.1199%2C37.5643
https://maps.google.com/?daddr=47.1199%2C37.5643
К оплате: **0
**--------------------------------</v>
      </c>
    </row>
    <row r="573" spans="1:11" hidden="1" x14ac:dyDescent="0.25">
      <c r="A573">
        <v>7</v>
      </c>
      <c r="B573" s="1">
        <v>45710</v>
      </c>
      <c r="C573" t="s">
        <v>445</v>
      </c>
      <c r="D573" s="19" t="str">
        <f>VLOOKUP($C573,ТабКлиенты[#Data],MATCH(D$1,ТабКлиенты[#Headers],0),0)</f>
        <v>+79497262176</v>
      </c>
      <c r="E573" t="str">
        <f>VLOOKUP($C573,ТабКлиенты[#Data],MATCH(E$1,ТабКлиенты[#Headers],0),0)</f>
        <v>Металлургов 179, кв 114</v>
      </c>
      <c r="F573" s="80">
        <v>0.40277777777777779</v>
      </c>
      <c r="G573" s="14" t="str">
        <f>VLOOKUP($C573,ТабКлиенты[#Data],MATCH(G$1,ТабКлиенты[#Headers],0),0)</f>
        <v>47.1248, 37.5657</v>
      </c>
      <c r="H573" s="14">
        <v>0</v>
      </c>
      <c r="I573" s="13">
        <v>474</v>
      </c>
      <c r="J573" s="13">
        <v>2</v>
      </c>
      <c r="K573" t="str">
        <f t="shared" si="33"/>
        <v>7. 09:40 Светлана от Александра
Тел.: +79497262176
Адрес: Металлургов 179, кв 114
№ заказа: 474
Кол-во мест: 2
https://yandex.ru/maps/?text=47.1248%2C37.5657
https://maps.google.com/?daddr=47.1248%2C37.5657
К оплате: **0
**--------------------------------</v>
      </c>
    </row>
    <row r="574" spans="1:11" hidden="1" x14ac:dyDescent="0.25">
      <c r="A574">
        <v>8</v>
      </c>
      <c r="B574" s="1">
        <v>45710</v>
      </c>
      <c r="C574" t="s">
        <v>2377</v>
      </c>
      <c r="D574" s="19" t="str">
        <f>VLOOKUP($C574,ТабКлиенты[#Data],MATCH(D$1,ТабКлиенты[#Headers],0),0)</f>
        <v>+79497168896</v>
      </c>
      <c r="E574" t="s">
        <v>2515</v>
      </c>
      <c r="F574" s="80">
        <v>0.40972222222222221</v>
      </c>
      <c r="G574" s="14" t="s">
        <v>2514</v>
      </c>
      <c r="H574" s="14">
        <v>3500</v>
      </c>
      <c r="I574" s="13" t="s">
        <v>1271</v>
      </c>
      <c r="J574" s="13">
        <v>1</v>
      </c>
      <c r="K574" t="str">
        <f t="shared" si="33"/>
        <v>8. 09:50 Оксана Шевченко 240
Тел.: +79497168896
Адрес: Металлургов 156
№ заказа: Витамины
Кол-во мест: 1
https://yandex.ru/maps/?text=47.1258%2C37.5636
https://maps.google.com/?daddr=47.1258%2C37.5636
К оплате: **3500
**--------------------------------</v>
      </c>
    </row>
    <row r="575" spans="1:11" hidden="1" x14ac:dyDescent="0.25">
      <c r="A575">
        <v>9</v>
      </c>
      <c r="B575" s="1">
        <v>45710</v>
      </c>
      <c r="C575" t="s">
        <v>2470</v>
      </c>
      <c r="D575" s="19" t="str">
        <f>VLOOKUP($C575,ТабКлиенты[#Data],MATCH(D$1,ТабКлиенты[#Headers],0),0)</f>
        <v>+79497352267</v>
      </c>
      <c r="E575" t="str">
        <f>VLOOKUP($C575,ТабКлиенты[#Data],MATCH(E$1,ТабКлиенты[#Headers],0),0)</f>
        <v>Сеченова 70</v>
      </c>
      <c r="F575" s="80">
        <v>0.41666666666666669</v>
      </c>
      <c r="G575" s="14" t="str">
        <f>VLOOKUP($C575,ТабКлиенты[#Data],MATCH(G$1,ТабКлиенты[#Headers],0),0)</f>
        <v>47.1318, 37.5637</v>
      </c>
      <c r="H575" s="14">
        <v>0</v>
      </c>
      <c r="I575" s="13">
        <v>477</v>
      </c>
      <c r="J575" s="13">
        <v>1</v>
      </c>
      <c r="K575" t="str">
        <f t="shared" si="33"/>
        <v>9. 10:00 Юлина Мама
Тел.: +79497352267
Адрес: Сеченова 70
№ заказа: 477
Кол-во мест: 1
https://yandex.ru/maps/?text=47.1318%2C37.5637
https://maps.google.com/?daddr=47.1318%2C37.5637
К оплате: **0
**--------------------------------</v>
      </c>
    </row>
    <row r="576" spans="1:11" hidden="1" x14ac:dyDescent="0.25">
      <c r="A576">
        <v>10</v>
      </c>
      <c r="B576" s="1">
        <v>45710</v>
      </c>
      <c r="C576" t="s">
        <v>2513</v>
      </c>
      <c r="D576" s="19" t="str">
        <f>VLOOKUP($C576,ТабКлиенты[#Data],MATCH(D$1,ТабКлиенты[#Headers],0),0)</f>
        <v>+7949</v>
      </c>
      <c r="E576" t="str">
        <f>VLOOKUP($C576,ТабКлиенты[#Data],MATCH(E$1,ТабКлиенты[#Headers],0),0)</f>
        <v>Металлургов 235</v>
      </c>
      <c r="F576" s="80">
        <v>0.4236111111111111</v>
      </c>
      <c r="G576" s="14" t="str">
        <f>VLOOKUP($C576,ТабКлиенты[#Data],MATCH(G$1,ТабКлиенты[#Headers],0),0)</f>
        <v>47.1382, 37.5684</v>
      </c>
      <c r="H576" s="14">
        <v>400</v>
      </c>
      <c r="I576" s="13">
        <v>483</v>
      </c>
      <c r="J576" s="13">
        <v>1</v>
      </c>
      <c r="K576" t="str">
        <f t="shared" si="33"/>
        <v>10. 10:10 Виталик Металлургов 235
Тел.: +7949
Адрес: Металлургов 235
№ заказа: 483
Кол-во мест: 1
https://yandex.ru/maps/?text=47.1382%2C37.5684
https://maps.google.com/?daddr=47.1382%2C37.5684
К оплате: **400
**--------------------------------</v>
      </c>
    </row>
    <row r="577" spans="1:11" hidden="1" x14ac:dyDescent="0.25">
      <c r="A577">
        <v>11</v>
      </c>
      <c r="B577" s="1">
        <v>45710</v>
      </c>
      <c r="C577" t="s">
        <v>437</v>
      </c>
      <c r="D577" s="19" t="str">
        <f>VLOOKUP($C577,ТабКлиенты[#Data],MATCH(D$1,ТабКлиенты[#Headers],0),0)</f>
        <v>+79497115237</v>
      </c>
      <c r="E577" t="s">
        <v>2521</v>
      </c>
      <c r="F577" s="80">
        <v>0.43055555555555558</v>
      </c>
      <c r="G577" s="14" t="s">
        <v>2516</v>
      </c>
      <c r="H577" s="14">
        <v>8000</v>
      </c>
      <c r="I577" s="13" t="s">
        <v>1271</v>
      </c>
      <c r="J577" s="13">
        <v>1</v>
      </c>
      <c r="K577" t="str">
        <f t="shared" si="33"/>
        <v>11. 10:20 Аня Мирный
Тел.: +79497115237
Адрес: Левченко 1
№ заказа: Витамины
Кол-во мест: 1
https://yandex.ru/maps/?text=47.1396%2C37.5937
https://maps.google.com/?daddr=47.1396%2C37.5937
К оплате: **8000
**--------------------------------</v>
      </c>
    </row>
    <row r="578" spans="1:11" hidden="1" x14ac:dyDescent="0.25">
      <c r="A578">
        <v>12</v>
      </c>
      <c r="B578" s="1">
        <v>45710</v>
      </c>
      <c r="C578" t="s">
        <v>33</v>
      </c>
      <c r="D578" s="19" t="str">
        <f>VLOOKUP($C578,ТабКлиенты[#Data],MATCH(D$1,ТабКлиенты[#Headers],0),0)</f>
        <v>+79496069479</v>
      </c>
      <c r="E578" t="str">
        <f>VLOOKUP($C578,ТабКлиенты[#Data],MATCH(E$1,ТабКлиенты[#Headers],0),0)</f>
        <v>Марьинская 145 Новоселовка Церковь</v>
      </c>
      <c r="F578" s="80">
        <v>0.4375</v>
      </c>
      <c r="G578" s="14" t="str">
        <f>VLOOKUP($C578,ТабКлиенты[#Data],MATCH(G$1,ТабКлиенты[#Headers],0),0)</f>
        <v>47.1126, 37.5473</v>
      </c>
      <c r="H578" s="14">
        <v>2929</v>
      </c>
      <c r="I578" s="13">
        <v>476</v>
      </c>
      <c r="J578" s="13">
        <v>1</v>
      </c>
      <c r="K578" t="str">
        <f t="shared" si="33"/>
        <v>12. 10:30 Галина Агабекова(церковь)
Тел.: +79496069479
Адрес: Марьинская 145 Новоселовка Церковь
№ заказа: 476
Кол-во мест: 1
https://yandex.ru/maps/?text=47.1126%2C37.5473
https://maps.google.com/?daddr=47.1126%2C37.5473
К оплате: **2929
**--------------------------------</v>
      </c>
    </row>
    <row r="579" spans="1:11" hidden="1" x14ac:dyDescent="0.25">
      <c r="A579">
        <v>13</v>
      </c>
      <c r="B579" s="1">
        <v>45710</v>
      </c>
      <c r="C579" t="s">
        <v>418</v>
      </c>
      <c r="D579" s="19" t="str">
        <f>VLOOKUP($C579,ТабКлиенты[#Data],MATCH(D$1,ТабКлиенты[#Headers],0),0)</f>
        <v>+79497064345</v>
      </c>
      <c r="E579" t="str">
        <f>VLOOKUP($C579,ТабКлиенты[#Data],MATCH(E$1,ТабКлиенты[#Headers],0),0)</f>
        <v>Шевченко 270</v>
      </c>
      <c r="F579" s="80">
        <v>0.46875</v>
      </c>
      <c r="G579" s="14" t="str">
        <f>VLOOKUP($C579,ТабКлиенты[#Data],MATCH(G$1,ТабКлиенты[#Headers],0),0)</f>
        <v>47.1157, 37.5138</v>
      </c>
      <c r="H579" s="14">
        <v>1700</v>
      </c>
      <c r="I579" s="13" t="s">
        <v>1271</v>
      </c>
      <c r="J579" s="13">
        <v>1</v>
      </c>
      <c r="K579" t="str">
        <f t="shared" si="33"/>
        <v>13. 11:15 Татьяна Леонидовна
Тел.: +79497064345
Адрес: Шевченко 270
№ заказа: Витамины
Кол-во мест: 1
https://yandex.ru/maps/?text=47.1157%2C37.5138
https://maps.google.com/?daddr=47.1157%2C37.5138
К оплате: **1700
**--------------------------------</v>
      </c>
    </row>
    <row r="580" spans="1:11" hidden="1" x14ac:dyDescent="0.25">
      <c r="A580">
        <v>14</v>
      </c>
      <c r="B580" s="1">
        <v>45710</v>
      </c>
      <c r="C580" t="s">
        <v>1523</v>
      </c>
      <c r="D580" s="19" t="str">
        <f>VLOOKUP($C580,ТабКлиенты[#Data],MATCH(D$1,ТабКлиенты[#Headers],0),0)</f>
        <v>+79494015912</v>
      </c>
      <c r="E580" t="str">
        <f>VLOOKUP($C580,ТабКлиенты[#Data],MATCH(E$1,ТабКлиенты[#Headers],0),0)</f>
        <v>Куприна 17</v>
      </c>
      <c r="F580" s="80">
        <v>0.47569444444444442</v>
      </c>
      <c r="G580" s="14" t="str">
        <f>VLOOKUP($C580,ТабКлиенты[#Data],MATCH(G$1,ТабКлиенты[#Headers],0),0)</f>
        <v>47.1034, 37.5110</v>
      </c>
      <c r="H580" s="14">
        <v>0</v>
      </c>
      <c r="I580" s="13">
        <v>471</v>
      </c>
      <c r="J580" s="13">
        <v>1</v>
      </c>
      <c r="K580" t="str">
        <f t="shared" si="33"/>
        <v>14. 11:25 Кирилл Куприна
Тел.: +79494015912
Адрес: Куприна 17
№ заказа: 471
Кол-во мест: 1
https://yandex.ru/maps/?text=47.1034%2C37.5110
https://maps.google.com/?daddr=47.1034%2C37.5110
К оплате: **0
**--------------------------------</v>
      </c>
    </row>
    <row r="581" spans="1:11" hidden="1" x14ac:dyDescent="0.25">
      <c r="A581">
        <v>15</v>
      </c>
      <c r="B581" s="1">
        <v>45710</v>
      </c>
      <c r="C581" t="s">
        <v>385</v>
      </c>
      <c r="D581" s="19" t="str">
        <f>VLOOKUP($C581,ТабКлиенты[#Data],MATCH(D$1,ТабКлиенты[#Headers],0),0)</f>
        <v>+79497169864</v>
      </c>
      <c r="E581" t="str">
        <f>VLOOKUP($C581,ТабКлиенты[#Data],MATCH(E$1,ТабКлиенты[#Headers],0),0)</f>
        <v>пер. Ейский 9</v>
      </c>
      <c r="F581" s="80">
        <v>0.4861111111111111</v>
      </c>
      <c r="G581" s="14" t="str">
        <f>VLOOKUP($C581,ТабКлиенты[#Data],MATCH(G$1,ТабКлиенты[#Headers],0),0)</f>
        <v>47.0898, 37.5062</v>
      </c>
      <c r="H581" s="14">
        <v>9200</v>
      </c>
      <c r="I581" s="13" t="s">
        <v>1271</v>
      </c>
      <c r="J581" s="13">
        <v>1</v>
      </c>
      <c r="K581" t="str">
        <f t="shared" si="33"/>
        <v>15. 11:40 Надежда Витамины
Тел.: +79497169864
Адрес: пер. Ейский 9
№ заказа: Витамины
Кол-во мест: 1
https://yandex.ru/maps/?text=47.0898%2C37.5062
https://maps.google.com/?daddr=47.0898%2C37.5062
К оплате: **9200
**--------------------------------</v>
      </c>
    </row>
    <row r="582" spans="1:11" hidden="1" x14ac:dyDescent="0.25">
      <c r="A582">
        <v>16</v>
      </c>
      <c r="B582" s="1">
        <v>45710</v>
      </c>
      <c r="C582" t="s">
        <v>493</v>
      </c>
      <c r="D582" s="19" t="str">
        <f>VLOOKUP($C582,ТабКлиенты[#Data],MATCH(D$1,ТабКлиенты[#Headers],0),0)</f>
        <v>+79495521868, +79495332409</v>
      </c>
      <c r="E582" t="str">
        <f>VLOOKUP($C582,ТабКлиенты[#Data],MATCH(E$1,ТабКлиенты[#Headers],0),0)</f>
        <v>Нахимова 100</v>
      </c>
      <c r="F582" s="80">
        <v>0.49305555555555558</v>
      </c>
      <c r="G582" s="14" t="str">
        <f>VLOOKUP($C582,ТабКлиенты[#Data],MATCH(G$1,ТабКлиенты[#Headers],0),0)</f>
        <v>47.0793, 37.5157</v>
      </c>
      <c r="H582" s="14">
        <v>0</v>
      </c>
      <c r="I582" s="13">
        <v>482</v>
      </c>
      <c r="J582" s="13">
        <v>1</v>
      </c>
      <c r="K582" t="str">
        <f t="shared" si="33"/>
        <v>16. 11:50 АлисаСофия
Тел.: +79495521868, +79495332409
Адрес: Нахимова 100
№ заказа: 482
Кол-во мест: 1
https://yandex.ru/maps/?text=47.0793%2C37.5157
https://maps.google.com/?daddr=47.0793%2C37.5157
К оплате: **0
**--------------------------------</v>
      </c>
    </row>
    <row r="583" spans="1:11" hidden="1" x14ac:dyDescent="0.25">
      <c r="A583">
        <v>17</v>
      </c>
      <c r="B583" s="1">
        <v>45710</v>
      </c>
      <c r="C583" t="s">
        <v>2522</v>
      </c>
      <c r="D583" s="19" t="s">
        <v>2524</v>
      </c>
      <c r="E583" t="s">
        <v>2525</v>
      </c>
      <c r="F583" s="80">
        <v>0.50694444444444442</v>
      </c>
      <c r="G583" s="14" t="s">
        <v>2523</v>
      </c>
      <c r="H583" s="14">
        <v>0</v>
      </c>
      <c r="I583" s="13" t="s">
        <v>815</v>
      </c>
      <c r="J583" s="13">
        <v>1</v>
      </c>
      <c r="K583" t="str">
        <f t="shared" si="33"/>
        <v>17. 12:10 Блокпост Евгений
Тел.: +79494540143
Адрес: Покровское
№ заказа: Посылка
Кол-во мест: 1
https://yandex.ru/maps/?text=47.0400%2C37.4742
https://maps.google.com/?daddr=47.0400%2C37.4742
К оплате: **0
**--------------------------------</v>
      </c>
    </row>
    <row r="584" spans="1:11" hidden="1" x14ac:dyDescent="0.25">
      <c r="A584">
        <v>18</v>
      </c>
      <c r="B584" s="1">
        <v>45710</v>
      </c>
      <c r="C584" t="s">
        <v>1629</v>
      </c>
      <c r="D584" s="19" t="str">
        <f>VLOOKUP($C584,ТабКлиенты[#Data],MATCH(D$1,ТабКлиенты[#Headers],0),0)</f>
        <v>+79493770183</v>
      </c>
      <c r="E584" t="str">
        <f>VLOOKUP($C584,ТабКлиенты[#Data],MATCH(E$1,ТабКлиенты[#Headers],0),0)</f>
        <v>Лунина 13а</v>
      </c>
      <c r="F584" s="80">
        <v>0.51736111111111116</v>
      </c>
      <c r="G584" s="14" t="str">
        <f>VLOOKUP($C584,ТабКлиенты[#Data],MATCH(G$1,ТабКлиенты[#Headers],0),0)</f>
        <v>47.0682, 37.5102</v>
      </c>
      <c r="H584" s="14">
        <v>200</v>
      </c>
      <c r="I584" s="13">
        <v>481</v>
      </c>
      <c r="J584" s="13">
        <v>2</v>
      </c>
      <c r="K584" t="str">
        <f t="shared" si="33"/>
        <v>18. 12:25 Наталья Лунина 13
Тел.: +79493770183
Адрес: Лунина 13а
№ заказа: 481
Кол-во мест: 2
https://yandex.ru/maps/?text=47.0682%2C37.5102
https://maps.google.com/?daddr=47.0682%2C37.5102
К оплате: **200
**--------------------------------</v>
      </c>
    </row>
    <row r="585" spans="1:11" hidden="1" x14ac:dyDescent="0.25">
      <c r="A585">
        <v>1</v>
      </c>
      <c r="B585" s="1">
        <v>45717</v>
      </c>
      <c r="C585" t="s">
        <v>33</v>
      </c>
      <c r="D585" s="19" t="str">
        <f>VLOOKUP($C585,ТабКлиенты[#Data],MATCH(D$1,ТабКлиенты[#Headers],0),0)</f>
        <v>+79496069479</v>
      </c>
      <c r="E585" t="str">
        <f>VLOOKUP($C585,ТабКлиенты[#Data],MATCH(E$1,ТабКлиенты[#Headers],0),0)</f>
        <v>Марьинская 145 Новоселовка Церковь</v>
      </c>
      <c r="F585" s="80">
        <v>0.41666666666666669</v>
      </c>
      <c r="G585" s="14" t="str">
        <f>VLOOKUP($C585,ТабКлиенты[#Data],MATCH(G$1,ТабКлиенты[#Headers],0),0)</f>
        <v>47.1126, 37.5473</v>
      </c>
      <c r="H585" s="14">
        <v>0</v>
      </c>
      <c r="I585" s="13">
        <v>476</v>
      </c>
      <c r="J585" s="13">
        <v>1</v>
      </c>
      <c r="K585" t="str">
        <f t="shared" ref="K585:K594" si="34">A585&amp;". "&amp;TEXT(F585,"ЧЧ:ММ")&amp;" "&amp;C585&amp;CHAR(10)&amp;"Тел.: "&amp;D585&amp;CHAR(10)&amp;"Адрес: "&amp;E585&amp;CHAR(10)&amp;"№ заказа: "&amp;I585&amp;CHAR(10)&amp;"Кол-во мест: "&amp;J585&amp;CHAR(10)&amp;"https://yandex.ru/maps/?text="&amp;REPLACE(G585,SEARCH(",",G585),2,"%2C")&amp;CHAR(10)&amp;"https://maps.google.com/?daddr="&amp;REPLACE(G585,SEARCH(",",G585),2,"%2C")&amp;CHAR(10)&amp;"К оплате: "&amp;"**"&amp;H585&amp;CHAR(10)&amp;"**"&amp;"--------------------------------"</f>
        <v>1. 10:00 Галина Агабекова(церковь)
Тел.: +79496069479
Адрес: Марьинская 145 Новоселовка Церковь
№ заказа: 476
Кол-во мест: 1
https://yandex.ru/maps/?text=47.1126%2C37.5473
https://maps.google.com/?daddr=47.1126%2C37.5473
К оплате: **0
**--------------------------------</v>
      </c>
    </row>
    <row r="586" spans="1:11" hidden="1" x14ac:dyDescent="0.25">
      <c r="A586">
        <v>2</v>
      </c>
      <c r="B586" s="1">
        <v>45717</v>
      </c>
      <c r="C586" t="s">
        <v>357</v>
      </c>
      <c r="D586" s="19" t="str">
        <f>VLOOKUP($C586,ТабКлиенты[#Data],MATCH(D$1,ТабКлиенты[#Headers],0),0)</f>
        <v>+79497114644</v>
      </c>
      <c r="E586" t="str">
        <f>VLOOKUP($C586,ТабКлиенты[#Data],MATCH(E$1,ТабКлиенты[#Headers],0),0)</f>
        <v>Металлургов 143</v>
      </c>
      <c r="F586" s="80">
        <v>0.4236111111111111</v>
      </c>
      <c r="G586" s="14" t="str">
        <f>VLOOKUP($C586,ТабКлиенты[#Data],MATCH(G$1,ТабКлиенты[#Headers],0),0)</f>
        <v>47.1199, 37.5643</v>
      </c>
      <c r="H586" s="14">
        <v>0</v>
      </c>
      <c r="I586" s="13">
        <v>493</v>
      </c>
      <c r="J586" s="13">
        <v>1</v>
      </c>
      <c r="K586" t="str">
        <f t="shared" si="34"/>
        <v>2. 10:10 Юля Ларисына
Тел.: +79497114644
Адрес: Металлургов 143
№ заказа: 493
Кол-во мест: 1
https://yandex.ru/maps/?text=47.1199%2C37.5643
https://maps.google.com/?daddr=47.1199%2C37.5643
К оплате: **0
**--------------------------------</v>
      </c>
    </row>
    <row r="587" spans="1:11" hidden="1" x14ac:dyDescent="0.25">
      <c r="A587">
        <v>3</v>
      </c>
      <c r="B587" s="1">
        <v>45717</v>
      </c>
      <c r="C587" t="s">
        <v>123</v>
      </c>
      <c r="D587" s="19" t="str">
        <f>VLOOKUP($C587,ТабКлиенты[#Data],MATCH(D$1,ТабКлиенты[#Headers],0),0)</f>
        <v>+79497176548</v>
      </c>
      <c r="E587" t="str">
        <f>VLOOKUP($C587,ТабКлиенты[#Data],MATCH(E$1,ТабКлиенты[#Headers],0),0)</f>
        <v>металлургов 179</v>
      </c>
      <c r="F587" s="80">
        <v>0.42708333333333331</v>
      </c>
      <c r="G587" s="14" t="str">
        <f>VLOOKUP($C587,ТабКлиенты[#Data],MATCH(G$1,ТабКлиенты[#Headers],0),0)</f>
        <v>47.1248, 37.5657</v>
      </c>
      <c r="H587" s="14">
        <v>0</v>
      </c>
      <c r="I587" s="13">
        <v>492</v>
      </c>
      <c r="J587" s="13">
        <v>1</v>
      </c>
      <c r="K587" t="str">
        <f t="shared" si="34"/>
        <v>3. 10:15 Александр 3 Металлургов
Тел.: +79497176548
Адрес: металлургов 179
№ заказа: 492
Кол-во мест: 1
https://yandex.ru/maps/?text=47.1248%2C37.5657
https://maps.google.com/?daddr=47.1248%2C37.5657
К оплате: **0
**--------------------------------</v>
      </c>
    </row>
    <row r="588" spans="1:11" hidden="1" x14ac:dyDescent="0.25">
      <c r="A588">
        <v>4</v>
      </c>
      <c r="B588" s="1">
        <v>45717</v>
      </c>
      <c r="C588" t="s">
        <v>445</v>
      </c>
      <c r="D588" s="19" t="str">
        <f>VLOOKUP($C588,ТабКлиенты[#Data],MATCH(D$1,ТабКлиенты[#Headers],0),0)</f>
        <v>+79497262176</v>
      </c>
      <c r="E588" t="str">
        <f>VLOOKUP($C588,ТабКлиенты[#Data],MATCH(E$1,ТабКлиенты[#Headers],0),0)</f>
        <v>Металлургов 179, кв 114</v>
      </c>
      <c r="F588" s="80">
        <v>0.42708333333333331</v>
      </c>
      <c r="G588" s="14" t="str">
        <f>VLOOKUP($C588,ТабКлиенты[#Data],MATCH(G$1,ТабКлиенты[#Headers],0),0)</f>
        <v>47.1248, 37.5657</v>
      </c>
      <c r="H588" s="14">
        <v>0</v>
      </c>
      <c r="I588" s="13">
        <v>491</v>
      </c>
      <c r="J588" s="13">
        <v>2</v>
      </c>
      <c r="K588" t="str">
        <f t="shared" si="34"/>
        <v>4. 10:15 Светлана от Александра
Тел.: +79497262176
Адрес: Металлургов 179, кв 114
№ заказа: 491
Кол-во мест: 2
https://yandex.ru/maps/?text=47.1248%2C37.5657
https://maps.google.com/?daddr=47.1248%2C37.5657
К оплате: **0
**--------------------------------</v>
      </c>
    </row>
    <row r="589" spans="1:11" hidden="1" x14ac:dyDescent="0.25">
      <c r="A589">
        <v>5</v>
      </c>
      <c r="B589" s="1">
        <v>45717</v>
      </c>
      <c r="C589" t="s">
        <v>2470</v>
      </c>
      <c r="D589" s="19" t="str">
        <f>VLOOKUP($C589,ТабКлиенты[#Data],MATCH(D$1,ТабКлиенты[#Headers],0),0)</f>
        <v>+79497352267</v>
      </c>
      <c r="E589" t="str">
        <f>VLOOKUP($C589,ТабКлиенты[#Data],MATCH(E$1,ТабКлиенты[#Headers],0),0)</f>
        <v>Сеченова 70</v>
      </c>
      <c r="F589" s="80">
        <v>0.4513888888888889</v>
      </c>
      <c r="G589" s="14" t="str">
        <f>VLOOKUP($C589,ТабКлиенты[#Data],MATCH(G$1,ТабКлиенты[#Headers],0),0)</f>
        <v>47.1318, 37.5637</v>
      </c>
      <c r="H589" s="14">
        <v>0</v>
      </c>
      <c r="I589" s="13">
        <v>494</v>
      </c>
      <c r="J589" s="13">
        <v>1</v>
      </c>
      <c r="K589" t="str">
        <f t="shared" si="34"/>
        <v>5. 10:50 Юлина Мама
Тел.: +79497352267
Адрес: Сеченова 70
№ заказа: 494
Кол-во мест: 1
https://yandex.ru/maps/?text=47.1318%2C37.5637
https://maps.google.com/?daddr=47.1318%2C37.5637
К оплате: **0
**--------------------------------</v>
      </c>
    </row>
    <row r="590" spans="1:11" hidden="1" x14ac:dyDescent="0.25">
      <c r="A590">
        <v>6</v>
      </c>
      <c r="B590" s="1">
        <v>45717</v>
      </c>
      <c r="C590" t="s">
        <v>2562</v>
      </c>
      <c r="D590" s="19" t="s">
        <v>2563</v>
      </c>
      <c r="E590" t="s">
        <v>2564</v>
      </c>
      <c r="F590" s="80">
        <v>0.4548611111111111</v>
      </c>
      <c r="G590" s="14" t="s">
        <v>2565</v>
      </c>
      <c r="H590" s="14">
        <v>818</v>
      </c>
      <c r="I590" s="13" t="s">
        <v>1271</v>
      </c>
      <c r="J590" s="13">
        <v>1</v>
      </c>
      <c r="K590" t="str">
        <f t="shared" si="34"/>
        <v>6. 10:55 BMW
Тел.: +79490810530
Адрес: Металлургов 233 подъезд 2
№ заказа: Витамины
Кол-во мест: 1
https://yandex.ru/maps/?text=47.1377%2C37.5683
https://maps.google.com/?daddr=47.1377%2C37.5683
К оплате: **818
**--------------------------------</v>
      </c>
    </row>
    <row r="591" spans="1:11" hidden="1" x14ac:dyDescent="0.25">
      <c r="A591">
        <v>7</v>
      </c>
      <c r="B591" s="1">
        <v>45717</v>
      </c>
      <c r="C591" t="s">
        <v>2530</v>
      </c>
      <c r="D591" s="19" t="e">
        <f>VLOOKUP($C591,ТабКлиенты[#Data],MATCH(D$1,ТабКлиенты[#Headers],0),0)</f>
        <v>#N/A</v>
      </c>
      <c r="E591" t="e">
        <f>VLOOKUP($C591,ТабКлиенты[#Data],MATCH(E$1,ТабКлиенты[#Headers],0),0)</f>
        <v>#N/A</v>
      </c>
      <c r="F591" s="80">
        <v>0.46180555555555552</v>
      </c>
      <c r="G591" s="14" t="e">
        <f>VLOOKUP($C591,ТабКлиенты[#Data],MATCH(G$1,ТабКлиенты[#Headers],0),0)</f>
        <v>#N/A</v>
      </c>
      <c r="H591" s="14">
        <v>3855</v>
      </c>
      <c r="I591" s="13">
        <v>490</v>
      </c>
      <c r="J591" s="13">
        <v>4</v>
      </c>
      <c r="K591" t="e">
        <f t="shared" si="34"/>
        <v>#N/A</v>
      </c>
    </row>
    <row r="592" spans="1:11" hidden="1" x14ac:dyDescent="0.25">
      <c r="A592">
        <v>8</v>
      </c>
      <c r="B592" s="1">
        <v>45717</v>
      </c>
      <c r="C592" t="s">
        <v>1629</v>
      </c>
      <c r="D592" s="19" t="str">
        <f>VLOOKUP($C592,ТабКлиенты[#Data],MATCH(D$1,ТабКлиенты[#Headers],0),0)</f>
        <v>+79493770183</v>
      </c>
      <c r="E592" t="str">
        <f>VLOOKUP($C592,ТабКлиенты[#Data],MATCH(E$1,ТабКлиенты[#Headers],0),0)</f>
        <v>Лунина 13а</v>
      </c>
      <c r="F592" s="80">
        <v>0.47569444444444442</v>
      </c>
      <c r="G592" s="14" t="str">
        <f>VLOOKUP($C592,ТабКлиенты[#Data],MATCH(G$1,ТабКлиенты[#Headers],0),0)</f>
        <v>47.0682, 37.5102</v>
      </c>
      <c r="H592" s="14">
        <v>334</v>
      </c>
      <c r="I592" s="13">
        <v>497</v>
      </c>
      <c r="J592" s="13">
        <v>1</v>
      </c>
      <c r="K592" t="str">
        <f t="shared" si="34"/>
        <v>8. 11:25 Наталья Лунина 13
Тел.: +79493770183
Адрес: Лунина 13а
№ заказа: 497
Кол-во мест: 1
https://yandex.ru/maps/?text=47.0682%2C37.5102
https://maps.google.com/?daddr=47.0682%2C37.5102
К оплате: **334
**--------------------------------</v>
      </c>
    </row>
    <row r="593" spans="1:11" hidden="1" x14ac:dyDescent="0.25">
      <c r="A593">
        <v>9</v>
      </c>
      <c r="B593" s="1">
        <v>45717</v>
      </c>
      <c r="C593" t="s">
        <v>2566</v>
      </c>
      <c r="D593" s="19" t="str">
        <f>VLOOKUP($C593,ТабКлиенты[#Data],MATCH(D$1,ТабКлиенты[#Headers],0),0)</f>
        <v>+79497078921</v>
      </c>
      <c r="E593" t="str">
        <f>VLOOKUP($C593,ТабКлиенты[#Data],MATCH(E$1,ТабКлиенты[#Headers],0),0)</f>
        <v>Черноморская 17</v>
      </c>
      <c r="F593" s="80">
        <v>0.4861111111111111</v>
      </c>
      <c r="G593" s="14" t="str">
        <f>VLOOKUP($C593,ТабКлиенты[#Data],MATCH(G$1,ТабКлиенты[#Headers],0),0)</f>
        <v>47.0767, 37.5101</v>
      </c>
      <c r="H593" s="14">
        <v>10500</v>
      </c>
      <c r="I593" s="13" t="s">
        <v>1271</v>
      </c>
      <c r="J593" s="13">
        <v>1</v>
      </c>
      <c r="K593" t="str">
        <f t="shared" si="34"/>
        <v>9. 11:40 Оксана Черноморская
Тел.: +79497078921
Адрес: Черноморская 17
№ заказа: Витамины
Кол-во мест: 1
https://yandex.ru/maps/?text=47.0767%2C37.5101
https://maps.google.com/?daddr=47.0767%2C37.5101
К оплате: **10500
**--------------------------------</v>
      </c>
    </row>
    <row r="594" spans="1:11" hidden="1" x14ac:dyDescent="0.25">
      <c r="A594">
        <v>10</v>
      </c>
      <c r="B594" s="1">
        <v>45717</v>
      </c>
      <c r="C594" t="s">
        <v>2571</v>
      </c>
      <c r="D594" s="19" t="str">
        <f>VLOOKUP($C594,ТабКлиенты[#Data],MATCH(D$1,ТабКлиенты[#Headers],0),0)</f>
        <v>+79497183952</v>
      </c>
      <c r="E594" t="str">
        <f>VLOOKUP($C594,ТабКлиенты[#Data],MATCH(E$1,ТабКлиенты[#Headers],0),0)</f>
        <v>Краснофлотская 167</v>
      </c>
      <c r="F594" s="80">
        <v>0.49305555555555558</v>
      </c>
      <c r="G594" s="14" t="str">
        <f>VLOOKUP($C594,ТабКлиенты[#Data],MATCH(G$1,ТабКлиенты[#Headers],0),0)</f>
        <v>47.0910, 37.4981</v>
      </c>
      <c r="H594" s="14">
        <v>1500</v>
      </c>
      <c r="I594" s="13" t="s">
        <v>1271</v>
      </c>
      <c r="J594" s="13">
        <v>1</v>
      </c>
      <c r="K594" t="str">
        <f t="shared" si="34"/>
        <v>10. 11:50 Ксения Краснофлотская
Тел.: +79497183952
Адрес: Краснофлотская 167
№ заказа: Витамины
Кол-во мест: 1
https://yandex.ru/maps/?text=47.0910%2C37.4981
https://maps.google.com/?daddr=47.0910%2C37.4981
К оплате: **1500
**--------------------------------</v>
      </c>
    </row>
    <row r="595" spans="1:11" hidden="1" x14ac:dyDescent="0.25">
      <c r="A595">
        <v>1</v>
      </c>
      <c r="B595" s="1">
        <v>45723</v>
      </c>
      <c r="C595" t="s">
        <v>357</v>
      </c>
      <c r="D595" s="95" t="str">
        <f>VLOOKUP($C595,ТабКлиенты[#Data],MATCH(D$1,ТабКлиенты[#Headers],0),0)</f>
        <v>+79497114644</v>
      </c>
      <c r="E595" t="str">
        <f>VLOOKUP($C595,ТабКлиенты[#Data],MATCH(E$1,ТабКлиенты[#Headers],0),0)</f>
        <v>Металлургов 143</v>
      </c>
      <c r="F595" s="80">
        <v>0.41666666666666669</v>
      </c>
      <c r="G595" s="14" t="str">
        <f>VLOOKUP($C595,ТабКлиенты[#Data],MATCH(G$1,ТабКлиенты[#Headers],0),0)</f>
        <v>47.1199, 37.5643</v>
      </c>
      <c r="H595" s="14">
        <v>0</v>
      </c>
      <c r="I595" s="13">
        <v>500</v>
      </c>
      <c r="J595" s="13">
        <v>1</v>
      </c>
      <c r="K595" t="str">
        <f t="shared" ref="K595:K605" si="35">A595&amp;". "&amp;TEXT(F595,"ЧЧ:ММ")&amp;" "&amp;C595&amp;CHAR(10)&amp;"Тел.: "&amp;D595&amp;CHAR(10)&amp;"Адрес: "&amp;E595&amp;CHAR(10)&amp;"№ заказа: "&amp;I595&amp;CHAR(10)&amp;"Кол-во мест: "&amp;J595&amp;CHAR(10)&amp;"https://yandex.ru/maps/?text="&amp;REPLACE(G595,SEARCH(",",G595),2,"%2C")&amp;CHAR(10)&amp;"https://maps.google.com/?daddr="&amp;REPLACE(G595,SEARCH(",",G595),2,"%2C")&amp;CHAR(10)&amp;"К оплате: "&amp;"**"&amp;H595&amp;CHAR(10)&amp;"**"&amp;"--------------------------------"</f>
        <v>1. 10:00 Юля Ларисына
Тел.: +79497114644
Адрес: Металлургов 143
№ заказа: 500
Кол-во мест: 1
https://yandex.ru/maps/?text=47.1199%2C37.5643
https://maps.google.com/?daddr=47.1199%2C37.5643
К оплате: **0
**--------------------------------</v>
      </c>
    </row>
    <row r="596" spans="1:11" hidden="1" x14ac:dyDescent="0.25">
      <c r="A596">
        <v>2</v>
      </c>
      <c r="B596" s="1">
        <v>45723</v>
      </c>
      <c r="C596" t="s">
        <v>123</v>
      </c>
      <c r="D596" s="95" t="str">
        <f>VLOOKUP($C596,ТабКлиенты[#Data],MATCH(D$1,ТабКлиенты[#Headers],0),0)</f>
        <v>+79497176548</v>
      </c>
      <c r="E596" t="str">
        <f>VLOOKUP($C596,ТабКлиенты[#Data],MATCH(E$1,ТабКлиенты[#Headers],0),0)</f>
        <v>металлургов 179</v>
      </c>
      <c r="F596" s="80">
        <v>0.4236111111111111</v>
      </c>
      <c r="G596" s="14" t="str">
        <f>VLOOKUP($C596,ТабКлиенты[#Data],MATCH(G$1,ТабКлиенты[#Headers],0),0)</f>
        <v>47.1248, 37.5657</v>
      </c>
      <c r="H596" s="14">
        <v>0</v>
      </c>
      <c r="I596" s="13">
        <v>492</v>
      </c>
      <c r="J596" s="13">
        <v>1</v>
      </c>
      <c r="K596" t="str">
        <f t="shared" si="35"/>
        <v>2. 10:10 Александр 3 Металлургов
Тел.: +79497176548
Адрес: металлургов 179
№ заказа: 492
Кол-во мест: 1
https://yandex.ru/maps/?text=47.1248%2C37.5657
https://maps.google.com/?daddr=47.1248%2C37.5657
К оплате: **0
**--------------------------------</v>
      </c>
    </row>
    <row r="597" spans="1:11" hidden="1" x14ac:dyDescent="0.25">
      <c r="A597">
        <v>3</v>
      </c>
      <c r="B597" s="1">
        <v>45723</v>
      </c>
      <c r="C597" t="s">
        <v>445</v>
      </c>
      <c r="D597" s="95" t="str">
        <f>VLOOKUP($C597,ТабКлиенты[#Data],MATCH(D$1,ТабКлиенты[#Headers],0),0)</f>
        <v>+79497262176</v>
      </c>
      <c r="E597" t="str">
        <f>VLOOKUP($C597,ТабКлиенты[#Data],MATCH(E$1,ТабКлиенты[#Headers],0),0)</f>
        <v>Металлургов 179, кв 114</v>
      </c>
      <c r="F597" s="80">
        <v>0.4236111111111111</v>
      </c>
      <c r="G597" s="14" t="str">
        <f>VLOOKUP($C597,ТабКлиенты[#Data],MATCH(G$1,ТабКлиенты[#Headers],0),0)</f>
        <v>47.1248, 37.5657</v>
      </c>
      <c r="H597" s="14">
        <v>0</v>
      </c>
      <c r="I597" s="13">
        <v>495</v>
      </c>
      <c r="J597" s="13">
        <v>1</v>
      </c>
      <c r="K597" t="str">
        <f t="shared" si="35"/>
        <v>3. 10:10 Светлана от Александра
Тел.: +79497262176
Адрес: Металлургов 179, кв 114
№ заказа: 495
Кол-во мест: 1
https://yandex.ru/maps/?text=47.1248%2C37.5657
https://maps.google.com/?daddr=47.1248%2C37.5657
К оплате: **0
**--------------------------------</v>
      </c>
    </row>
    <row r="598" spans="1:11" hidden="1" x14ac:dyDescent="0.25">
      <c r="A598">
        <v>4</v>
      </c>
      <c r="B598" s="1">
        <v>45723</v>
      </c>
      <c r="C598" t="s">
        <v>2470</v>
      </c>
      <c r="D598" s="95" t="str">
        <f>VLOOKUP($C598,ТабКлиенты[#Data],MATCH(D$1,ТабКлиенты[#Headers],0),0)</f>
        <v>+79497352267</v>
      </c>
      <c r="E598" t="str">
        <f>VLOOKUP($C598,ТабКлиенты[#Data],MATCH(E$1,ТабКлиенты[#Headers],0),0)</f>
        <v>Сеченова 70</v>
      </c>
      <c r="F598" s="80">
        <v>0.43055555555555558</v>
      </c>
      <c r="G598" s="14" t="str">
        <f>VLOOKUP($C598,ТабКлиенты[#Data],MATCH(G$1,ТабКлиенты[#Headers],0),0)</f>
        <v>47.1318, 37.5637</v>
      </c>
      <c r="H598" s="14">
        <v>0</v>
      </c>
      <c r="I598" s="13">
        <v>494</v>
      </c>
      <c r="J598" s="13">
        <v>1</v>
      </c>
      <c r="K598" t="str">
        <f t="shared" si="35"/>
        <v>4. 10:20 Юлина Мама
Тел.: +79497352267
Адрес: Сеченова 70
№ заказа: 494
Кол-во мест: 1
https://yandex.ru/maps/?text=47.1318%2C37.5637
https://maps.google.com/?daddr=47.1318%2C37.5637
К оплате: **0
**--------------------------------</v>
      </c>
    </row>
    <row r="599" spans="1:11" hidden="1" x14ac:dyDescent="0.25">
      <c r="A599">
        <v>5</v>
      </c>
      <c r="B599" s="1">
        <v>45723</v>
      </c>
      <c r="C599" t="s">
        <v>2578</v>
      </c>
      <c r="D599" s="95" t="str">
        <f>VLOOKUP($C599,ТабКлиенты[#Data],MATCH(D$1,ТабКлиенты[#Headers],0),0)</f>
        <v>+79490034774</v>
      </c>
      <c r="E599" t="str">
        <f>VLOOKUP($C599,ТабКлиенты[#Data],MATCH(E$1,ТабКлиенты[#Headers],0),0)</f>
        <v>Рельефная 58</v>
      </c>
      <c r="F599" s="80">
        <v>0.4375</v>
      </c>
      <c r="G599" s="14" t="str">
        <f>VLOOKUP($C599,ТабКлиенты[#Data],MATCH(G$1,ТабКлиенты[#Headers],0),0)</f>
        <v>47.1353, 37.5730</v>
      </c>
      <c r="H599" s="14">
        <v>2526</v>
      </c>
      <c r="I599" s="13">
        <v>498</v>
      </c>
      <c r="J599" s="13">
        <v>2</v>
      </c>
      <c r="K599" t="str">
        <f t="shared" si="35"/>
        <v>5. 10:30 Игорь Рельефная
Тел.: +79490034774
Адрес: Рельефная 58
№ заказа: 498
Кол-во мест: 2
https://yandex.ru/maps/?text=47.1353%2C37.5730
https://maps.google.com/?daddr=47.1353%2C37.5730
К оплате: **2526
**--------------------------------</v>
      </c>
    </row>
    <row r="600" spans="1:11" hidden="1" x14ac:dyDescent="0.25">
      <c r="A600">
        <v>6</v>
      </c>
      <c r="B600" s="1">
        <v>45723</v>
      </c>
      <c r="C600" t="s">
        <v>33</v>
      </c>
      <c r="D600" s="95" t="str">
        <f>VLOOKUP($C600,ТабКлиенты[#Data],MATCH(D$1,ТабКлиенты[#Headers],0),0)</f>
        <v>+79496069479</v>
      </c>
      <c r="E600" t="str">
        <f>VLOOKUP($C600,ТабКлиенты[#Data],MATCH(E$1,ТабКлиенты[#Headers],0),0)</f>
        <v>Марьинская 145 Новоселовка Церковь</v>
      </c>
      <c r="F600" s="80">
        <v>0.44444444444444448</v>
      </c>
      <c r="G600" s="14" t="str">
        <f>VLOOKUP($C600,ТабКлиенты[#Data],MATCH(G$1,ТабКлиенты[#Headers],0),0)</f>
        <v>47.1126, 37.5473</v>
      </c>
      <c r="H600" s="14">
        <v>2701</v>
      </c>
      <c r="I600" s="13">
        <v>501</v>
      </c>
      <c r="J600" s="13">
        <v>1</v>
      </c>
      <c r="K600" t="str">
        <f t="shared" si="35"/>
        <v>6. 10:40 Галина Агабекова(церковь)
Тел.: +79496069479
Адрес: Марьинская 145 Новоселовка Церковь
№ заказа: 501
Кол-во мест: 1
https://yandex.ru/maps/?text=47.1126%2C37.5473
https://maps.google.com/?daddr=47.1126%2C37.5473
К оплате: **2701
**--------------------------------</v>
      </c>
    </row>
    <row r="601" spans="1:11" hidden="1" x14ac:dyDescent="0.25">
      <c r="A601">
        <v>7</v>
      </c>
      <c r="B601" s="1">
        <v>45723</v>
      </c>
      <c r="C601" t="s">
        <v>469</v>
      </c>
      <c r="D601" s="95" t="str">
        <f>VLOOKUP($C601,ТабКлиенты[#Data],MATCH(D$1,ТабКлиенты[#Headers],0),0)</f>
        <v>+79496334882</v>
      </c>
      <c r="E601" t="str">
        <f>VLOOKUP($C601,ТабКлиенты[#Data],MATCH(E$1,ТабКлиенты[#Headers],0),0)</f>
        <v>Шевченко 217</v>
      </c>
      <c r="F601" s="80">
        <v>0.44791666666666669</v>
      </c>
      <c r="G601" s="14" t="str">
        <f>VLOOKUP($C601,ТабКлиенты[#Data],MATCH(G$1,ТабКлиенты[#Headers],0),0)</f>
        <v>47.1130, 37.5406</v>
      </c>
      <c r="H601" s="14">
        <v>2600</v>
      </c>
      <c r="I601" s="13" t="s">
        <v>2226</v>
      </c>
      <c r="J601" s="13">
        <v>1</v>
      </c>
      <c r="K601" t="str">
        <f t="shared" si="35"/>
        <v>7. 10:45 Елена Шевченко 217
Тел.: +79496334882
Адрес: Шевченко 217
№ заказа: Витамины 1
Кол-во мест: 1
https://yandex.ru/maps/?text=47.1130%2C37.5406
https://maps.google.com/?daddr=47.1130%2C37.5406
К оплате: **2600
**--------------------------------</v>
      </c>
    </row>
    <row r="602" spans="1:11" hidden="1" x14ac:dyDescent="0.25">
      <c r="A602">
        <v>8</v>
      </c>
      <c r="B602" s="1">
        <v>45723</v>
      </c>
      <c r="C602" t="s">
        <v>2483</v>
      </c>
      <c r="D602" s="95" t="s">
        <v>2489</v>
      </c>
      <c r="E602" t="s">
        <v>2484</v>
      </c>
      <c r="F602" s="80">
        <v>0.48958333333333337</v>
      </c>
      <c r="G602" s="14" t="s">
        <v>2485</v>
      </c>
      <c r="H602" s="14">
        <v>0</v>
      </c>
      <c r="I602" s="13" t="s">
        <v>2227</v>
      </c>
      <c r="J602" s="13">
        <v>1</v>
      </c>
      <c r="K602" t="str">
        <f t="shared" si="35"/>
        <v>8. 11:45 Оксана заправка
Тел.: +79497166829
Адрес: Куприна 32
№ заказа: Витамины 2
Кол-во мест: 1
https://yandex.ru/maps/?text=47.1083%2C37.5082
https://maps.google.com/?daddr=47.1083%2C37.5082
К оплате: **0
**--------------------------------</v>
      </c>
    </row>
    <row r="603" spans="1:11" hidden="1" x14ac:dyDescent="0.25">
      <c r="A603">
        <v>9</v>
      </c>
      <c r="B603" s="1">
        <v>45723</v>
      </c>
      <c r="C603" t="s">
        <v>2603</v>
      </c>
      <c r="D603" s="95" t="s">
        <v>2449</v>
      </c>
      <c r="E603" t="s">
        <v>2604</v>
      </c>
      <c r="F603" s="80">
        <v>0.49652777777777779</v>
      </c>
      <c r="G603" s="14" t="s">
        <v>2605</v>
      </c>
      <c r="H603" s="14">
        <v>5000</v>
      </c>
      <c r="I603" s="13" t="s">
        <v>2228</v>
      </c>
      <c r="J603" s="13">
        <v>1</v>
      </c>
      <c r="K603" t="str">
        <f t="shared" si="35"/>
        <v>9. 11:55 Лариса
Тел.: +79497185141
Адрес: Строителей 19/16
№ заказа: Витамины 3
Кол-во мест: 1
https://yandex.ru/maps/?text=47.0813%2C37.5126
https://maps.google.com/?daddr=47.0813%2C37.5126
К оплате: **5000
**--------------------------------</v>
      </c>
    </row>
    <row r="604" spans="1:11" hidden="1" x14ac:dyDescent="0.25">
      <c r="A604">
        <v>10</v>
      </c>
      <c r="B604" s="1">
        <v>45723</v>
      </c>
      <c r="C604" t="s">
        <v>2566</v>
      </c>
      <c r="D604" s="95" t="str">
        <f>VLOOKUP($C604,ТабКлиенты[#Data],MATCH(D$1,ТабКлиенты[#Headers],0),0)</f>
        <v>+79497078921</v>
      </c>
      <c r="E604" t="str">
        <f>VLOOKUP($C604,ТабКлиенты[#Data],MATCH(E$1,ТабКлиенты[#Headers],0),0)</f>
        <v>Черноморская 17</v>
      </c>
      <c r="F604" s="80">
        <v>0.50347222222222221</v>
      </c>
      <c r="G604" s="14" t="str">
        <f>VLOOKUP($C604,ТабКлиенты[#Data],MATCH(G$1,ТабКлиенты[#Headers],0),0)</f>
        <v>47.0767, 37.5101</v>
      </c>
      <c r="H604" s="14">
        <v>7500</v>
      </c>
      <c r="I604" s="13" t="s">
        <v>2229</v>
      </c>
      <c r="J604" s="13">
        <v>1</v>
      </c>
      <c r="K604" t="str">
        <f t="shared" si="35"/>
        <v>10. 12:05 Оксана Черноморская
Тел.: +79497078921
Адрес: Черноморская 17
№ заказа: Витамины 4
Кол-во мест: 1
https://yandex.ru/maps/?text=47.0767%2C37.5101
https://maps.google.com/?daddr=47.0767%2C37.5101
К оплате: **7500
**--------------------------------</v>
      </c>
    </row>
    <row r="605" spans="1:11" hidden="1" x14ac:dyDescent="0.25">
      <c r="A605">
        <v>11</v>
      </c>
      <c r="B605" s="1">
        <v>45723</v>
      </c>
      <c r="C605" t="s">
        <v>2584</v>
      </c>
      <c r="D605" s="95" t="str">
        <f>VLOOKUP($C605,ТабКлиенты[#Data],MATCH(D$1,ТабКлиенты[#Headers],0),0)</f>
        <v>+79515014981</v>
      </c>
      <c r="G605" s="14">
        <v>1.1000000000000001</v>
      </c>
      <c r="H605" s="14"/>
      <c r="I605" s="13">
        <v>499</v>
      </c>
      <c r="J605" s="13">
        <v>2</v>
      </c>
      <c r="K605" t="str">
        <f t="shared" si="35"/>
        <v>11. 00:00 Константин от Наталья
Тел.: +79515014981
Адрес: 
№ заказа: 499
Кол-во мест: 2
https://yandex.ru/maps/?text=1%2C
https://maps.google.com/?daddr=1%2C
К оплате: **
**--------------------------------</v>
      </c>
    </row>
    <row r="606" spans="1:11" hidden="1" x14ac:dyDescent="0.25">
      <c r="A606">
        <v>1</v>
      </c>
      <c r="B606" s="1">
        <v>45731</v>
      </c>
      <c r="C606" t="s">
        <v>295</v>
      </c>
      <c r="D606" s="19" t="str">
        <f>VLOOKUP($C606,ТабКлиенты[#Data],MATCH(D$1,ТабКлиенты[#Headers],0),0)</f>
        <v>+79497277100</v>
      </c>
      <c r="E606" t="str">
        <f>VLOOKUP($C606,ТабКлиенты[#Data],MATCH(E$1,ТабКлиенты[#Headers],0),0)</f>
        <v>Артема 132</v>
      </c>
      <c r="F606" s="80">
        <v>0.40625</v>
      </c>
      <c r="G606" s="14" t="str">
        <f>VLOOKUP($C606,ТабКлиенты[#Data],MATCH(G$1,ТабКлиенты[#Headers],0),0)</f>
        <v>47.1085, 37.5599</v>
      </c>
      <c r="H606" s="14">
        <v>2573</v>
      </c>
      <c r="I606" s="13" t="s">
        <v>1271</v>
      </c>
      <c r="J606" s="13">
        <v>2</v>
      </c>
      <c r="K606" t="str">
        <f t="shared" ref="K606:K617" si="36">A606&amp;". "&amp;TEXT(F606,"ЧЧ:ММ")&amp;" "&amp;C606&amp;CHAR(10)&amp;"Тел.: "&amp;D606&amp;CHAR(10)&amp;"Адрес: "&amp;E606&amp;CHAR(10)&amp;"№ заказа: "&amp;I606&amp;CHAR(10)&amp;"Кол-во мест: "&amp;J606&amp;CHAR(10)&amp;"https://yandex.ru/maps/?text="&amp;REPLACE(G606,SEARCH(",",G606),2,"%2C")&amp;CHAR(10)&amp;"https://maps.google.com/?daddr="&amp;REPLACE(G606,SEARCH(",",G606),2,"%2C")&amp;CHAR(10)&amp;"К оплате: "&amp;"**"&amp;H606&amp;CHAR(10)&amp;"**"&amp;"--------------------------------"</f>
        <v>1. 09:45 Александр Радин
Тел.: +79497277100
Адрес: Артема 132
№ заказа: Витамины
Кол-во мест: 2
https://yandex.ru/maps/?text=47.1085%2C37.5599
https://maps.google.com/?daddr=47.1085%2C37.5599
К оплате: **2573
**--------------------------------</v>
      </c>
    </row>
    <row r="607" spans="1:11" hidden="1" x14ac:dyDescent="0.25">
      <c r="A607">
        <v>2</v>
      </c>
      <c r="B607" s="1">
        <v>45731</v>
      </c>
      <c r="C607" t="s">
        <v>357</v>
      </c>
      <c r="D607" s="19" t="str">
        <f>VLOOKUP($C607,ТабКлиенты[#Data],MATCH(D$1,ТабКлиенты[#Headers],0),0)</f>
        <v>+79497114644</v>
      </c>
      <c r="E607" t="str">
        <f>VLOOKUP($C607,ТабКлиенты[#Data],MATCH(E$1,ТабКлиенты[#Headers],0),0)</f>
        <v>Металлургов 143</v>
      </c>
      <c r="F607" s="80">
        <v>0.40972222222222221</v>
      </c>
      <c r="G607" s="14" t="str">
        <f>VLOOKUP($C607,ТабКлиенты[#Data],MATCH(G$1,ТабКлиенты[#Headers],0),0)</f>
        <v>47.1199, 37.5643</v>
      </c>
      <c r="H607" s="14">
        <v>0</v>
      </c>
      <c r="I607" s="13">
        <v>509</v>
      </c>
      <c r="J607" s="13">
        <v>3</v>
      </c>
      <c r="K607" t="str">
        <f t="shared" si="36"/>
        <v>2. 09:50 Юля Ларисына
Тел.: +79497114644
Адрес: Металлургов 143
№ заказа: 509
Кол-во мест: 3
https://yandex.ru/maps/?text=47.1199%2C37.5643
https://maps.google.com/?daddr=47.1199%2C37.5643
К оплате: **0
**--------------------------------</v>
      </c>
    </row>
    <row r="608" spans="1:11" hidden="1" x14ac:dyDescent="0.25">
      <c r="A608">
        <v>3</v>
      </c>
      <c r="B608" s="1">
        <v>45731</v>
      </c>
      <c r="C608" t="s">
        <v>445</v>
      </c>
      <c r="D608" s="19" t="str">
        <f>VLOOKUP($C608,ТабКлиенты[#Data],MATCH(D$1,ТабКлиенты[#Headers],0),0)</f>
        <v>+79497262176</v>
      </c>
      <c r="E608" t="str">
        <f>VLOOKUP($C608,ТабКлиенты[#Data],MATCH(E$1,ТабКлиенты[#Headers],0),0)</f>
        <v>Металлургов 179, кв 114</v>
      </c>
      <c r="F608" s="80">
        <v>0.41666666666666669</v>
      </c>
      <c r="G608" s="14" t="str">
        <f>VLOOKUP($C608,ТабКлиенты[#Data],MATCH(G$1,ТабКлиенты[#Headers],0),0)</f>
        <v>47.1248, 37.5657</v>
      </c>
      <c r="H608" s="14">
        <v>0</v>
      </c>
      <c r="I608" s="13">
        <v>512</v>
      </c>
      <c r="J608" s="13">
        <v>4</v>
      </c>
      <c r="K608" t="str">
        <f t="shared" si="36"/>
        <v>3. 10:00 Светлана от Александра
Тел.: +79497262176
Адрес: Металлургов 179, кв 114
№ заказа: 512
Кол-во мест: 4
https://yandex.ru/maps/?text=47.1248%2C37.5657
https://maps.google.com/?daddr=47.1248%2C37.5657
К оплате: **0
**--------------------------------</v>
      </c>
    </row>
    <row r="609" spans="1:11" hidden="1" x14ac:dyDescent="0.25">
      <c r="A609">
        <v>4</v>
      </c>
      <c r="B609" s="1">
        <v>45731</v>
      </c>
      <c r="C609" t="s">
        <v>2276</v>
      </c>
      <c r="D609" s="19" t="str">
        <f>VLOOKUP($C609,ТабКлиенты[#Data],MATCH(D$1,ТабКлиенты[#Headers],0),0)</f>
        <v>+79497036395</v>
      </c>
      <c r="E609" t="str">
        <f>VLOOKUP($C609,ТабКлиенты[#Data],MATCH(E$1,ТабКлиенты[#Headers],0),0)</f>
        <v>Металлургов 187</v>
      </c>
      <c r="F609" s="80">
        <v>0.4236111111111111</v>
      </c>
      <c r="G609" s="14" t="str">
        <f>VLOOKUP($C609,ТабКлиенты[#Data],MATCH(G$1,ТабКлиенты[#Headers],0),0)</f>
        <v>47.1270, 37.5662</v>
      </c>
      <c r="H609" s="14">
        <v>0</v>
      </c>
      <c r="I609" s="13">
        <v>503</v>
      </c>
      <c r="J609" s="13">
        <v>1</v>
      </c>
      <c r="K609" t="str">
        <f t="shared" si="36"/>
        <v>4. 10:10 Вячеслав Протонов
Тел.: +79497036395
Адрес: Металлургов 187
№ заказа: 503
Кол-во мест: 1
https://yandex.ru/maps/?text=47.1270%2C37.5662
https://maps.google.com/?daddr=47.1270%2C37.5662
К оплате: **0
**--------------------------------</v>
      </c>
    </row>
    <row r="610" spans="1:11" hidden="1" x14ac:dyDescent="0.25">
      <c r="A610">
        <v>5</v>
      </c>
      <c r="B610" s="1">
        <v>45731</v>
      </c>
      <c r="C610" t="s">
        <v>2578</v>
      </c>
      <c r="D610" s="19" t="str">
        <f>VLOOKUP($C610,ТабКлиенты[#Data],MATCH(D$1,ТабКлиенты[#Headers],0),0)</f>
        <v>+79490034774</v>
      </c>
      <c r="E610" t="str">
        <f>VLOOKUP($C610,ТабКлиенты[#Data],MATCH(E$1,ТабКлиенты[#Headers],0),0)</f>
        <v>Рельефная 58</v>
      </c>
      <c r="F610" s="80">
        <v>0.43055555555555558</v>
      </c>
      <c r="G610" s="14" t="str">
        <f>VLOOKUP($C610,ТабКлиенты[#Data],MATCH(G$1,ТабКлиенты[#Headers],0),0)</f>
        <v>47.1353, 37.5730</v>
      </c>
      <c r="H610" s="14">
        <v>2526</v>
      </c>
      <c r="I610" s="13">
        <v>498</v>
      </c>
      <c r="J610" s="13">
        <v>1</v>
      </c>
      <c r="K610" t="str">
        <f t="shared" si="36"/>
        <v>5. 10:20 Игорь Рельефная
Тел.: +79490034774
Адрес: Рельефная 58
№ заказа: 498
Кол-во мест: 1
https://yandex.ru/maps/?text=47.1353%2C37.5730
https://maps.google.com/?daddr=47.1353%2C37.5730
К оплате: **2526
**--------------------------------</v>
      </c>
    </row>
    <row r="611" spans="1:11" hidden="1" x14ac:dyDescent="0.25">
      <c r="A611">
        <v>6</v>
      </c>
      <c r="B611" s="1">
        <v>45731</v>
      </c>
      <c r="C611" t="s">
        <v>2635</v>
      </c>
      <c r="E611" t="s">
        <v>2636</v>
      </c>
      <c r="F611" s="80">
        <v>0.4375</v>
      </c>
      <c r="G611" s="2" t="s">
        <v>2637</v>
      </c>
      <c r="H611" s="2">
        <v>-2100</v>
      </c>
      <c r="I611" s="13" t="s">
        <v>1271</v>
      </c>
      <c r="J611" s="13">
        <v>1</v>
      </c>
      <c r="K611" t="str">
        <f t="shared" si="36"/>
        <v>6. 10:30 CoralClub
Тел.: 
Адрес: Шевченко
№ заказа: Витамины
Кол-во мест: 1
https://yandex.ru/maps/?text=47.1080%2C37.5525
https://maps.google.com/?daddr=47.1080%2C37.5525
К оплате: **-2100
**--------------------------------</v>
      </c>
    </row>
    <row r="612" spans="1:11" hidden="1" x14ac:dyDescent="0.25">
      <c r="A612">
        <v>7</v>
      </c>
      <c r="B612" s="1">
        <v>45731</v>
      </c>
      <c r="C612" t="s">
        <v>33</v>
      </c>
      <c r="D612" s="19" t="str">
        <f>VLOOKUP($C612,ТабКлиенты[#Data],MATCH(D$1,ТабКлиенты[#Headers],0),0)</f>
        <v>+79496069479</v>
      </c>
      <c r="E612" t="str">
        <f>VLOOKUP($C612,ТабКлиенты[#Data],MATCH(E$1,ТабКлиенты[#Headers],0),0)</f>
        <v>Марьинская 145 Новоселовка Церковь</v>
      </c>
      <c r="F612" s="80">
        <v>0.44791666666666669</v>
      </c>
      <c r="G612" s="14" t="str">
        <f>VLOOKUP($C612,ТабКлиенты[#Data],MATCH(G$1,ТабКлиенты[#Headers],0),0)</f>
        <v>47.1126, 37.5473</v>
      </c>
      <c r="H612" s="14">
        <v>2305</v>
      </c>
      <c r="I612" s="13">
        <v>510</v>
      </c>
      <c r="J612" s="13">
        <v>1</v>
      </c>
      <c r="K612" t="str">
        <f t="shared" si="36"/>
        <v>7. 10:45 Галина Агабекова(церковь)
Тел.: +79496069479
Адрес: Марьинская 145 Новоселовка Церковь
№ заказа: 510
Кол-во мест: 1
https://yandex.ru/maps/?text=47.1126%2C37.5473
https://maps.google.com/?daddr=47.1126%2C37.5473
К оплате: **2305
**--------------------------------</v>
      </c>
    </row>
    <row r="613" spans="1:11" hidden="1" x14ac:dyDescent="0.25">
      <c r="A613">
        <v>8</v>
      </c>
      <c r="B613" s="1">
        <v>45731</v>
      </c>
      <c r="C613" t="s">
        <v>1673</v>
      </c>
      <c r="D613" s="19" t="s">
        <v>1680</v>
      </c>
      <c r="E613" t="s">
        <v>2638</v>
      </c>
      <c r="F613" s="80">
        <v>0.4513888888888889</v>
      </c>
      <c r="G613" s="14" t="s">
        <v>1675</v>
      </c>
      <c r="H613" s="14">
        <v>18500</v>
      </c>
      <c r="I613" s="13" t="s">
        <v>1271</v>
      </c>
      <c r="J613" s="13">
        <v>1</v>
      </c>
      <c r="K613" t="str">
        <f t="shared" si="36"/>
        <v>8. 10:50 Ирина Станция крови
Тел.: +79497301213
Адрес: Шевченко Грация
№ заказа: Витамины
Кол-во мест: 1
https://yandex.ru/maps/?text=47.1179%2C37.5162
https://maps.google.com/?daddr=47.1179%2C37.5162
К оплате: **18500
**--------------------------------</v>
      </c>
    </row>
    <row r="614" spans="1:11" hidden="1" x14ac:dyDescent="0.25">
      <c r="A614">
        <v>9</v>
      </c>
      <c r="B614" s="1">
        <v>45731</v>
      </c>
      <c r="C614" t="s">
        <v>1523</v>
      </c>
      <c r="D614" s="19" t="str">
        <f>VLOOKUP($C614,ТабКлиенты[#Data],MATCH(D$1,ТабКлиенты[#Headers],0),0)</f>
        <v>+79494015912</v>
      </c>
      <c r="E614" t="str">
        <f>VLOOKUP($C614,ТабКлиенты[#Data],MATCH(E$1,ТабКлиенты[#Headers],0),0)</f>
        <v>Куприна 17</v>
      </c>
      <c r="F614" s="80">
        <v>0.47916666666666669</v>
      </c>
      <c r="G614" s="14" t="str">
        <f>VLOOKUP($C614,ТабКлиенты[#Data],MATCH(G$1,ТабКлиенты[#Headers],0),0)</f>
        <v>47.1034, 37.5110</v>
      </c>
      <c r="H614" s="14">
        <v>0</v>
      </c>
      <c r="I614" s="13">
        <v>513</v>
      </c>
      <c r="J614" s="13">
        <v>1</v>
      </c>
      <c r="K614" t="str">
        <f t="shared" si="36"/>
        <v>9. 11:30 Кирилл Куприна
Тел.: +79494015912
Адрес: Куприна 17
№ заказа: 513
Кол-во мест: 1
https://yandex.ru/maps/?text=47.1034%2C37.5110
https://maps.google.com/?daddr=47.1034%2C37.5110
К оплате: **0
**--------------------------------</v>
      </c>
    </row>
    <row r="615" spans="1:11" hidden="1" x14ac:dyDescent="0.25">
      <c r="A615">
        <v>10</v>
      </c>
      <c r="B615" s="1">
        <v>45731</v>
      </c>
      <c r="C615" t="s">
        <v>1995</v>
      </c>
      <c r="D615" s="19" t="str">
        <f>VLOOKUP($C615,ТабКлиенты[#Data],MATCH(D$1,ТабКлиенты[#Headers],0),0)</f>
        <v>+79495228017</v>
      </c>
      <c r="E615" t="str">
        <f>VLOOKUP($C615,ТабКлиенты[#Data],MATCH(E$1,ТабКлиенты[#Headers],0),0)</f>
        <v>Вахтангова 15а</v>
      </c>
      <c r="F615" s="80">
        <v>0.4861111111111111</v>
      </c>
      <c r="G615" s="14" t="str">
        <f>VLOOKUP($C615,ТабКлиенты[#Data],MATCH(G$1,ТабКлиенты[#Headers],0),0)</f>
        <v>47.0882, 37.5117</v>
      </c>
      <c r="H615" s="14">
        <v>2000</v>
      </c>
      <c r="I615" s="13" t="s">
        <v>1271</v>
      </c>
      <c r="J615" s="13">
        <v>1</v>
      </c>
      <c r="K615" t="str">
        <f t="shared" si="36"/>
        <v>10. 11:40 Татьяна Вахтангова
Тел.: +79495228017
Адрес: Вахтангова 15а
№ заказа: Витамины
Кол-во мест: 1
https://yandex.ru/maps/?text=47.0882%2C37.5117
https://maps.google.com/?daddr=47.0882%2C37.5117
К оплате: **2000
**--------------------------------</v>
      </c>
    </row>
    <row r="616" spans="1:11" hidden="1" x14ac:dyDescent="0.25">
      <c r="A616">
        <v>11</v>
      </c>
      <c r="B616" s="1">
        <v>45731</v>
      </c>
      <c r="C616" t="s">
        <v>1488</v>
      </c>
      <c r="D616" s="19" t="str">
        <f>VLOOKUP($C616,ТабКлиенты[#Data],MATCH(D$1,ТабКлиенты[#Headers],0),0)</f>
        <v>+79497050485</v>
      </c>
      <c r="E616" t="str">
        <f>VLOOKUP($C616,ТабКлиенты[#Data],MATCH(E$1,ТабКлиенты[#Headers],0),0)</f>
        <v>Лавицкого 20</v>
      </c>
      <c r="F616" s="80">
        <v>0.49305555555555558</v>
      </c>
      <c r="G616" s="14" t="str">
        <f>VLOOKUP($C616,ТабКлиенты[#Data],MATCH(G$1,ТабКлиенты[#Headers],0),0)</f>
        <v>47.0877, 37.5175</v>
      </c>
      <c r="H616" s="14">
        <v>1158</v>
      </c>
      <c r="I616" s="13">
        <v>521</v>
      </c>
      <c r="J616" s="13">
        <v>1</v>
      </c>
      <c r="K616" t="str">
        <f t="shared" si="36"/>
        <v>11. 11:50 Анна Лавицкого
Тел.: +79497050485
Адрес: Лавицкого 20
№ заказа: 521
Кол-во мест: 1
https://yandex.ru/maps/?text=47.0877%2C37.5175
https://maps.google.com/?daddr=47.0877%2C37.5175
К оплате: **1158
**--------------------------------</v>
      </c>
    </row>
    <row r="617" spans="1:11" hidden="1" x14ac:dyDescent="0.25">
      <c r="A617">
        <v>12</v>
      </c>
      <c r="B617" s="1">
        <v>45731</v>
      </c>
      <c r="C617" t="s">
        <v>1629</v>
      </c>
      <c r="D617" s="19" t="str">
        <f>VLOOKUP($C617,ТабКлиенты[#Data],MATCH(D$1,ТабКлиенты[#Headers],0),0)</f>
        <v>+79493770183</v>
      </c>
      <c r="E617" t="str">
        <f>VLOOKUP($C617,ТабКлиенты[#Data],MATCH(E$1,ТабКлиенты[#Headers],0),0)</f>
        <v>Лунина 13а</v>
      </c>
      <c r="F617" s="80">
        <v>0.5</v>
      </c>
      <c r="G617" s="14" t="str">
        <f>VLOOKUP($C617,ТабКлиенты[#Data],MATCH(G$1,ТабКлиенты[#Headers],0),0)</f>
        <v>47.0682, 37.5102</v>
      </c>
      <c r="H617" s="14">
        <v>392</v>
      </c>
      <c r="I617" s="13">
        <v>522</v>
      </c>
      <c r="J617" s="13">
        <v>1</v>
      </c>
      <c r="K617" t="str">
        <f t="shared" si="36"/>
        <v>12. 12:00 Наталья Лунина 13
Тел.: +79493770183
Адрес: Лунина 13а
№ заказа: 522
Кол-во мест: 1
https://yandex.ru/maps/?text=47.0682%2C37.5102
https://maps.google.com/?daddr=47.0682%2C37.5102
К оплате: **392
**--------------------------------</v>
      </c>
    </row>
    <row r="618" spans="1:11" hidden="1" x14ac:dyDescent="0.25">
      <c r="A618">
        <v>1</v>
      </c>
      <c r="B618" s="1">
        <v>45738</v>
      </c>
      <c r="C618" t="s">
        <v>357</v>
      </c>
      <c r="D618" s="19" t="str">
        <f>VLOOKUP($C618,ТабКлиенты[#Data],MATCH(D$1,ТабКлиенты[#Headers],0),0)</f>
        <v>+79497114644</v>
      </c>
      <c r="E618" t="str">
        <f>VLOOKUP($C618,ТабКлиенты[#Data],MATCH(E$1,ТабКлиенты[#Headers],0),0)</f>
        <v>Металлургов 143</v>
      </c>
      <c r="F618" s="80">
        <v>0.39583333333333331</v>
      </c>
      <c r="G618" s="14" t="str">
        <f>VLOOKUP($C618,ТабКлиенты[#Data],MATCH(G$1,ТабКлиенты[#Headers],0),0)</f>
        <v>47.1199, 37.5643</v>
      </c>
      <c r="H618" s="14">
        <v>0</v>
      </c>
      <c r="I618" s="13">
        <v>529</v>
      </c>
      <c r="J618" s="13">
        <v>1</v>
      </c>
      <c r="K618" t="str">
        <f t="shared" ref="K618:K625" si="37">A618&amp;". "&amp;TEXT(F618,"ЧЧ:ММ")&amp;" "&amp;C618&amp;CHAR(10)&amp;"Тел.: "&amp;D618&amp;CHAR(10)&amp;"Адрес: "&amp;E618&amp;CHAR(10)&amp;"№ заказа: "&amp;I618&amp;CHAR(10)&amp;"Кол-во мест: "&amp;J618&amp;CHAR(10)&amp;"https://yandex.ru/maps/?text="&amp;REPLACE(G618,SEARCH(",",G618),2,"%2C")&amp;CHAR(10)&amp;"https://maps.google.com/?daddr="&amp;REPLACE(G618,SEARCH(",",G618),2,"%2C")&amp;CHAR(10)&amp;"К оплате: "&amp;"**"&amp;H618&amp;CHAR(10)&amp;"**"&amp;"--------------------------------"</f>
        <v>1. 09:30 Юля Ларисына
Тел.: +79497114644
Адрес: Металлургов 143
№ заказа: 529
Кол-во мест: 1
https://yandex.ru/maps/?text=47.1199%2C37.5643
https://maps.google.com/?daddr=47.1199%2C37.5643
К оплате: **0
**--------------------------------</v>
      </c>
    </row>
    <row r="619" spans="1:11" hidden="1" x14ac:dyDescent="0.25">
      <c r="A619">
        <v>2</v>
      </c>
      <c r="B619" s="1">
        <v>45738</v>
      </c>
      <c r="C619" t="s">
        <v>445</v>
      </c>
      <c r="D619" s="19" t="str">
        <f>VLOOKUP($C619,ТабКлиенты[#Data],MATCH(D$1,ТабКлиенты[#Headers],0),0)</f>
        <v>+79497262176</v>
      </c>
      <c r="E619" t="str">
        <f>VLOOKUP($C619,ТабКлиенты[#Data],MATCH(E$1,ТабКлиенты[#Headers],0),0)</f>
        <v>Металлургов 179, кв 114</v>
      </c>
      <c r="F619" s="80">
        <v>0.39930555555555558</v>
      </c>
      <c r="G619" s="14" t="str">
        <f>VLOOKUP($C619,ТабКлиенты[#Data],MATCH(G$1,ТабКлиенты[#Headers],0),0)</f>
        <v>47.1248, 37.5657</v>
      </c>
      <c r="H619" s="14">
        <v>0</v>
      </c>
      <c r="I619" s="13">
        <v>527</v>
      </c>
      <c r="J619" s="13">
        <v>2</v>
      </c>
      <c r="K619" t="str">
        <f t="shared" si="37"/>
        <v>2. 09:35 Светлана от Александра
Тел.: +79497262176
Адрес: Металлургов 179, кв 114
№ заказа: 527
Кол-во мест: 2
https://yandex.ru/maps/?text=47.1248%2C37.5657
https://maps.google.com/?daddr=47.1248%2C37.5657
К оплате: **0
**--------------------------------</v>
      </c>
    </row>
    <row r="620" spans="1:11" hidden="1" x14ac:dyDescent="0.25">
      <c r="A620">
        <v>3</v>
      </c>
      <c r="B620" s="1">
        <v>45738</v>
      </c>
      <c r="C620" t="s">
        <v>2470</v>
      </c>
      <c r="D620" s="19" t="str">
        <f>VLOOKUP($C620,ТабКлиенты[#Data],MATCH(D$1,ТабКлиенты[#Headers],0),0)</f>
        <v>+79497352267</v>
      </c>
      <c r="E620" t="str">
        <f>VLOOKUP($C620,ТабКлиенты[#Data],MATCH(E$1,ТабКлиенты[#Headers],0),0)</f>
        <v>Сеченова 70</v>
      </c>
      <c r="F620" s="80">
        <v>0.40277777777777779</v>
      </c>
      <c r="G620" s="14" t="str">
        <f>VLOOKUP($C620,ТабКлиенты[#Data],MATCH(G$1,ТабКлиенты[#Headers],0),0)</f>
        <v>47.1318, 37.5637</v>
      </c>
      <c r="H620" s="14">
        <v>0</v>
      </c>
      <c r="I620" s="13">
        <v>528</v>
      </c>
      <c r="J620" s="13">
        <v>1</v>
      </c>
      <c r="K620" t="str">
        <f t="shared" si="37"/>
        <v>3. 09:40 Юлина Мама
Тел.: +79497352267
Адрес: Сеченова 70
№ заказа: 528
Кол-во мест: 1
https://yandex.ru/maps/?text=47.1318%2C37.5637
https://maps.google.com/?daddr=47.1318%2C37.5637
К оплате: **0
**--------------------------------</v>
      </c>
    </row>
    <row r="621" spans="1:11" hidden="1" x14ac:dyDescent="0.25">
      <c r="A621">
        <v>4</v>
      </c>
      <c r="B621" s="1">
        <v>45738</v>
      </c>
      <c r="C621" t="s">
        <v>2562</v>
      </c>
      <c r="D621" s="19" t="s">
        <v>2563</v>
      </c>
      <c r="E621" t="s">
        <v>2564</v>
      </c>
      <c r="F621" s="80">
        <v>0.40972222222222221</v>
      </c>
      <c r="G621" s="14" t="s">
        <v>2565</v>
      </c>
      <c r="H621" s="14">
        <v>556</v>
      </c>
      <c r="I621" s="13" t="s">
        <v>1271</v>
      </c>
      <c r="J621" s="13">
        <v>1</v>
      </c>
      <c r="K621" t="str">
        <f t="shared" si="37"/>
        <v>4. 09:50 BMW
Тел.: +79490810530
Адрес: Металлургов 233 подъезд 2
№ заказа: Витамины
Кол-во мест: 1
https://yandex.ru/maps/?text=47.1377%2C37.5683
https://maps.google.com/?daddr=47.1377%2C37.5683
К оплате: **556
**--------------------------------</v>
      </c>
    </row>
    <row r="622" spans="1:11" hidden="1" x14ac:dyDescent="0.25">
      <c r="A622">
        <v>5</v>
      </c>
      <c r="B622" s="1">
        <v>45738</v>
      </c>
      <c r="C622" t="s">
        <v>2578</v>
      </c>
      <c r="D622" s="19" t="str">
        <f>VLOOKUP($C622,ТабКлиенты[#Data],MATCH(D$1,ТабКлиенты[#Headers],0),0)</f>
        <v>+79490034774</v>
      </c>
      <c r="E622" t="str">
        <f>VLOOKUP($C622,ТабКлиенты[#Data],MATCH(E$1,ТабКлиенты[#Headers],0),0)</f>
        <v>Рельефная 58</v>
      </c>
      <c r="F622" s="80">
        <v>0.41319444444444442</v>
      </c>
      <c r="G622" s="14" t="str">
        <f>VLOOKUP($C622,ТабКлиенты[#Data],MATCH(G$1,ТабКлиенты[#Headers],0),0)</f>
        <v>47.1353, 37.5730</v>
      </c>
      <c r="H622" s="14">
        <v>1180</v>
      </c>
      <c r="I622" s="13">
        <v>525</v>
      </c>
      <c r="J622" s="13">
        <v>1</v>
      </c>
      <c r="K622" t="str">
        <f t="shared" si="37"/>
        <v>5. 09:55 Игорь Рельефная
Тел.: +79490034774
Адрес: Рельефная 58
№ заказа: 525
Кол-во мест: 1
https://yandex.ru/maps/?text=47.1353%2C37.5730
https://maps.google.com/?daddr=47.1353%2C37.5730
К оплате: **1180
**--------------------------------</v>
      </c>
    </row>
    <row r="623" spans="1:11" hidden="1" x14ac:dyDescent="0.25">
      <c r="A623">
        <v>6</v>
      </c>
      <c r="B623" s="1">
        <v>45738</v>
      </c>
      <c r="C623" t="s">
        <v>33</v>
      </c>
      <c r="D623" s="19" t="str">
        <f>VLOOKUP($C623,ТабКлиенты[#Data],MATCH(D$1,ТабКлиенты[#Headers],0),0)</f>
        <v>+79496069479</v>
      </c>
      <c r="E623" t="str">
        <f>VLOOKUP($C623,ТабКлиенты[#Data],MATCH(E$1,ТабКлиенты[#Headers],0),0)</f>
        <v>Марьинская 145 Новоселовка Церковь</v>
      </c>
      <c r="F623" s="80">
        <v>0.4236111111111111</v>
      </c>
      <c r="G623" s="14" t="str">
        <f>VLOOKUP($C623,ТабКлиенты[#Data],MATCH(G$1,ТабКлиенты[#Headers],0),0)</f>
        <v>47.1126, 37.5473</v>
      </c>
      <c r="H623" s="14">
        <v>7963</v>
      </c>
      <c r="I623" s="13">
        <v>531</v>
      </c>
      <c r="J623" s="13">
        <v>1</v>
      </c>
      <c r="K623" t="str">
        <f t="shared" si="37"/>
        <v>6. 10:10 Галина Агабекова(церковь)
Тел.: +79496069479
Адрес: Марьинская 145 Новоселовка Церковь
№ заказа: 531
Кол-во мест: 1
https://yandex.ru/maps/?text=47.1126%2C37.5473
https://maps.google.com/?daddr=47.1126%2C37.5473
К оплате: **7963
**--------------------------------</v>
      </c>
    </row>
    <row r="624" spans="1:11" hidden="1" x14ac:dyDescent="0.25">
      <c r="A624">
        <v>7</v>
      </c>
      <c r="B624" s="1">
        <v>45738</v>
      </c>
      <c r="C624" t="s">
        <v>2697</v>
      </c>
      <c r="D624" s="19" t="s">
        <v>1520</v>
      </c>
      <c r="E624" t="s">
        <v>450</v>
      </c>
      <c r="F624" s="80">
        <v>0.46875</v>
      </c>
      <c r="G624" s="14" t="s">
        <v>2698</v>
      </c>
      <c r="H624" s="14">
        <v>0</v>
      </c>
      <c r="I624" s="13">
        <v>513</v>
      </c>
      <c r="J624" s="13">
        <v>1</v>
      </c>
      <c r="K624" t="str">
        <f t="shared" si="37"/>
        <v>7. 11:15 Кирилл Строителей
Тел.: +79494015912
Адрес: Строителей 145
№ заказа: 513
Кол-во мест: 1
https://yandex.ru/maps/?text=47.1130%2C37.5265
https://maps.google.com/?daddr=47.1130%2C37.5265
К оплате: **0
**--------------------------------</v>
      </c>
    </row>
    <row r="625" spans="1:11" hidden="1" x14ac:dyDescent="0.25">
      <c r="A625">
        <v>8</v>
      </c>
      <c r="B625" s="1">
        <v>45738</v>
      </c>
      <c r="C625" t="s">
        <v>456</v>
      </c>
      <c r="D625" s="19" t="str">
        <f>VLOOKUP($C625,ТабКлиенты[#Data],MATCH(D$1,ТабКлиенты[#Headers],0),0)</f>
        <v>+79497488953</v>
      </c>
      <c r="E625" t="str">
        <f>VLOOKUP($C625,ТабКлиенты[#Data],MATCH(E$1,ТабКлиенты[#Headers],0),0)</f>
        <v>Ленина 183 подъезд 1 (Изумрудный)</v>
      </c>
      <c r="F625" s="80">
        <v>0.47569444444444442</v>
      </c>
      <c r="G625" s="14" t="str">
        <f>VLOOKUP($C625,ТабКлиенты[#Data],MATCH(G$1,ТабКлиенты[#Headers],0),0)</f>
        <v>47.0982, 37.4785</v>
      </c>
      <c r="H625" s="14">
        <v>2312</v>
      </c>
      <c r="I625" s="13">
        <v>535</v>
      </c>
      <c r="J625" s="13">
        <v>1</v>
      </c>
      <c r="K625" t="str">
        <f t="shared" si="37"/>
        <v>8. 11:25 Лана
Тел.: +79497488953
Адрес: Ленина 183 подъезд 1 (Изумрудный)
№ заказа: 535
Кол-во мест: 1
https://yandex.ru/maps/?text=47.0982%2C37.4785
https://maps.google.com/?daddr=47.0982%2C37.4785
К оплате: **2312
**--------------------------------</v>
      </c>
    </row>
    <row r="626" spans="1:11" hidden="1" x14ac:dyDescent="0.25">
      <c r="A626">
        <v>1</v>
      </c>
      <c r="B626" s="1">
        <v>45745</v>
      </c>
      <c r="C626" t="s">
        <v>33</v>
      </c>
      <c r="D626" s="19" t="str">
        <f>VLOOKUP($C626,ТабКлиенты[#Data],MATCH(D$1,ТабКлиенты[#Headers],0),0)</f>
        <v>+79496069479</v>
      </c>
      <c r="E626" t="str">
        <f>VLOOKUP($C626,ТабКлиенты[#Data],MATCH(E$1,ТабКлиенты[#Headers],0),0)</f>
        <v>Марьинская 145 Новоселовка Церковь</v>
      </c>
      <c r="F626" s="80">
        <v>0.41666666666666669</v>
      </c>
      <c r="G626" s="14" t="str">
        <f>VLOOKUP($C626,ТабКлиенты[#Data],MATCH(G$1,ТабКлиенты[#Headers],0),0)</f>
        <v>47.1126, 37.5473</v>
      </c>
      <c r="H626" s="14">
        <v>0</v>
      </c>
      <c r="I626" s="13">
        <v>541</v>
      </c>
      <c r="J626" s="13">
        <v>2</v>
      </c>
      <c r="K626" t="str">
        <f t="shared" ref="K626:K889" si="38">A626&amp;". "&amp;TEXT(F626,"ЧЧ:ММ")&amp;" "&amp;C626&amp;CHAR(10)&amp;"Тел.: "&amp;D626&amp;CHAR(10)&amp;"Адрес: "&amp;E626&amp;CHAR(10)&amp;"№ заказа: "&amp;I626&amp;CHAR(10)&amp;"Кол-во мест: "&amp;J626&amp;CHAR(10)&amp;"https://yandex.ru/maps/?text="&amp;REPLACE(G626,SEARCH(",",G626),2,"%2C")&amp;CHAR(10)&amp;"https://maps.google.com/?daddr="&amp;REPLACE(G626,SEARCH(",",G626),2,"%2C")&amp;CHAR(10)&amp;"К оплате: "&amp;"**"&amp;H626&amp;CHAR(10)&amp;"**"&amp;"--------------------------------"</f>
        <v>1. 10:00 Галина Агабекова(церковь)
Тел.: +79496069479
Адрес: Марьинская 145 Новоселовка Церковь
№ заказа: 541
Кол-во мест: 2
https://yandex.ru/maps/?text=47.1126%2C37.5473
https://maps.google.com/?daddr=47.1126%2C37.5473
К оплате: **0
**--------------------------------</v>
      </c>
    </row>
    <row r="627" spans="1:11" hidden="1" x14ac:dyDescent="0.25">
      <c r="A627">
        <v>2</v>
      </c>
      <c r="B627" s="1">
        <v>45745</v>
      </c>
      <c r="C627" t="s">
        <v>357</v>
      </c>
      <c r="D627" s="19" t="str">
        <f>VLOOKUP($C627,ТабКлиенты[#Data],MATCH(D$1,ТабКлиенты[#Headers],0),0)</f>
        <v>+79497114644</v>
      </c>
      <c r="E627" t="str">
        <f>VLOOKUP($C627,ТабКлиенты[#Data],MATCH(E$1,ТабКлиенты[#Headers],0),0)</f>
        <v>Металлургов 143</v>
      </c>
      <c r="F627" s="80">
        <v>0.4236111111111111</v>
      </c>
      <c r="G627" s="14" t="str">
        <f>VLOOKUP($C627,ТабКлиенты[#Data],MATCH(G$1,ТабКлиенты[#Headers],0),0)</f>
        <v>47.1199, 37.5643</v>
      </c>
      <c r="H627" s="14">
        <v>0</v>
      </c>
      <c r="I627" s="13">
        <v>539</v>
      </c>
      <c r="J627" s="13">
        <v>1</v>
      </c>
      <c r="K627" t="str">
        <f t="shared" si="38"/>
        <v>2. 10:10 Юля Ларисына
Тел.: +79497114644
Адрес: Металлургов 143
№ заказа: 539
Кол-во мест: 1
https://yandex.ru/maps/?text=47.1199%2C37.5643
https://maps.google.com/?daddr=47.1199%2C37.5643
К оплате: **0
**--------------------------------</v>
      </c>
    </row>
    <row r="628" spans="1:11" hidden="1" x14ac:dyDescent="0.25">
      <c r="A628">
        <v>3</v>
      </c>
      <c r="B628" s="1">
        <v>45745</v>
      </c>
      <c r="C628" t="s">
        <v>445</v>
      </c>
      <c r="D628" s="19" t="str">
        <f>VLOOKUP($C628,ТабКлиенты[#Data],MATCH(D$1,ТабКлиенты[#Headers],0),0)</f>
        <v>+79497262176</v>
      </c>
      <c r="E628" t="str">
        <f>VLOOKUP($C628,ТабКлиенты[#Data],MATCH(E$1,ТабКлиенты[#Headers],0),0)</f>
        <v>Металлургов 179, кв 114</v>
      </c>
      <c r="F628" s="80">
        <v>0.42708333333333331</v>
      </c>
      <c r="G628" s="14" t="str">
        <f>VLOOKUP($C628,ТабКлиенты[#Data],MATCH(G$1,ТабКлиенты[#Headers],0),0)</f>
        <v>47.1248, 37.5657</v>
      </c>
      <c r="H628" s="14">
        <v>0</v>
      </c>
      <c r="I628" s="13">
        <v>527</v>
      </c>
      <c r="J628" s="13">
        <v>1</v>
      </c>
      <c r="K628" t="str">
        <f t="shared" si="38"/>
        <v>3. 10:15 Светлана от Александра
Тел.: +79497262176
Адрес: Металлургов 179, кв 114
№ заказа: 527
Кол-во мест: 1
https://yandex.ru/maps/?text=47.1248%2C37.5657
https://maps.google.com/?daddr=47.1248%2C37.5657
К оплате: **0
**--------------------------------</v>
      </c>
    </row>
    <row r="629" spans="1:11" hidden="1" x14ac:dyDescent="0.25">
      <c r="A629">
        <v>4</v>
      </c>
      <c r="B629" s="1">
        <v>45745</v>
      </c>
      <c r="C629" t="s">
        <v>112</v>
      </c>
      <c r="D629" s="19" t="str">
        <f>VLOOKUP($C629,ТабКлиенты[#Data],MATCH(D$1,ТабКлиенты[#Headers],0),0)</f>
        <v>+79497340681</v>
      </c>
      <c r="E629" t="str">
        <f>VLOOKUP($C629,ТабКлиенты[#Data],MATCH(E$1,ТабКлиенты[#Headers],0),0)</f>
        <v>Покрышкина 99</v>
      </c>
      <c r="F629" s="80">
        <v>0.43055555555555558</v>
      </c>
      <c r="G629" s="14" t="str">
        <f>VLOOKUP($C629,ТабКлиенты[#Data],MATCH(G$1,ТабКлиенты[#Headers],0),0)</f>
        <v>47.1259, 37.5629</v>
      </c>
      <c r="H629" s="14">
        <v>0</v>
      </c>
      <c r="I629" s="13">
        <v>530</v>
      </c>
      <c r="J629" s="13">
        <v>1</v>
      </c>
      <c r="K629" t="str">
        <f t="shared" si="38"/>
        <v>4. 10:20 Митрофанов Евгений
Тел.: +79497340681
Адрес: Покрышкина 99
№ заказа: 530
Кол-во мест: 1
https://yandex.ru/maps/?text=47.1259%2C37.5629
https://maps.google.com/?daddr=47.1259%2C37.5629
К оплате: **0
**--------------------------------</v>
      </c>
    </row>
    <row r="630" spans="1:11" hidden="1" x14ac:dyDescent="0.25">
      <c r="A630">
        <v>5</v>
      </c>
      <c r="B630" s="1">
        <v>45745</v>
      </c>
      <c r="C630" t="s">
        <v>2470</v>
      </c>
      <c r="D630" s="19" t="str">
        <f>VLOOKUP($C630,ТабКлиенты[#Data],MATCH(D$1,ТабКлиенты[#Headers],0),0)</f>
        <v>+79497352267</v>
      </c>
      <c r="E630" t="str">
        <f>VLOOKUP($C630,ТабКлиенты[#Data],MATCH(E$1,ТабКлиенты[#Headers],0),0)</f>
        <v>Сеченова 70</v>
      </c>
      <c r="F630" s="80">
        <v>0.4375</v>
      </c>
      <c r="G630" s="14" t="str">
        <f>VLOOKUP($C630,ТабКлиенты[#Data],MATCH(G$1,ТабКлиенты[#Headers],0),0)</f>
        <v>47.1318, 37.5637</v>
      </c>
      <c r="H630" s="14">
        <v>0</v>
      </c>
      <c r="I630" s="13">
        <v>528</v>
      </c>
      <c r="J630" s="13">
        <v>1</v>
      </c>
      <c r="K630" t="str">
        <f t="shared" si="38"/>
        <v>5. 10:30 Юлина Мама
Тел.: +79497352267
Адрес: Сеченова 70
№ заказа: 528
Кол-во мест: 1
https://yandex.ru/maps/?text=47.1318%2C37.5637
https://maps.google.com/?daddr=47.1318%2C37.5637
К оплате: **0
**--------------------------------</v>
      </c>
    </row>
    <row r="631" spans="1:11" hidden="1" x14ac:dyDescent="0.25">
      <c r="A631">
        <v>6</v>
      </c>
      <c r="B631" s="1">
        <v>45745</v>
      </c>
      <c r="C631" t="s">
        <v>2578</v>
      </c>
      <c r="D631" s="19" t="str">
        <f>VLOOKUP($C631,ТабКлиенты[#Data],MATCH(D$1,ТабКлиенты[#Headers],0),0)</f>
        <v>+79490034774</v>
      </c>
      <c r="E631" t="str">
        <f>VLOOKUP($C631,ТабКлиенты[#Data],MATCH(E$1,ТабКлиенты[#Headers],0),0)</f>
        <v>Рельефная 58</v>
      </c>
      <c r="F631" s="80">
        <v>0.44444444444444442</v>
      </c>
      <c r="G631" s="14" t="str">
        <f>VLOOKUP($C631,ТабКлиенты[#Data],MATCH(G$1,ТабКлиенты[#Headers],0),0)</f>
        <v>47.1353, 37.5730</v>
      </c>
      <c r="H631" s="14">
        <v>0</v>
      </c>
      <c r="I631" s="13">
        <v>490</v>
      </c>
      <c r="J631" s="13">
        <v>1</v>
      </c>
      <c r="K631" t="str">
        <f t="shared" si="38"/>
        <v>6. 10:40 Игорь Рельефная
Тел.: +79490034774
Адрес: Рельефная 58
№ заказа: 490
Кол-во мест: 1
https://yandex.ru/maps/?text=47.1353%2C37.5730
https://maps.google.com/?daddr=47.1353%2C37.5730
К оплате: **0
**--------------------------------</v>
      </c>
    </row>
    <row r="632" spans="1:11" hidden="1" x14ac:dyDescent="0.25">
      <c r="A632">
        <v>7</v>
      </c>
      <c r="B632" s="1">
        <v>45745</v>
      </c>
      <c r="C632" t="s">
        <v>123</v>
      </c>
      <c r="D632" s="19" t="str">
        <f>VLOOKUP($C632,ТабКлиенты[#Data],MATCH(D$1,ТабКлиенты[#Headers],0),0)</f>
        <v>+79497176548</v>
      </c>
      <c r="E632" t="str">
        <f>VLOOKUP($C632,ТабКлиенты[#Data],MATCH(E$1,ТабКлиенты[#Headers],0),0)</f>
        <v>металлургов 179</v>
      </c>
      <c r="F632" s="80">
        <v>0.4548611111111111</v>
      </c>
      <c r="G632" s="14" t="s">
        <v>2733</v>
      </c>
      <c r="H632" s="14">
        <v>0</v>
      </c>
      <c r="I632" s="13">
        <v>537</v>
      </c>
      <c r="J632" s="13">
        <v>1</v>
      </c>
      <c r="K632" t="str">
        <f t="shared" si="38"/>
        <v>7. 10:55 Александр 3 Металлургов
Тел.: +79497176548
Адрес: металлургов 179
№ заказа: 537
Кол-во мест: 1
https://yandex.ru/maps/?text=47.0948%2C37.5426
https://maps.google.com/?daddr=47.0948%2C37.5426
К оплате: **0
**--------------------------------</v>
      </c>
    </row>
    <row r="633" spans="1:11" hidden="1" x14ac:dyDescent="0.25">
      <c r="A633">
        <v>8</v>
      </c>
      <c r="B633" s="1">
        <v>45745</v>
      </c>
      <c r="C633" t="s">
        <v>2717</v>
      </c>
      <c r="D633" s="19" t="str">
        <f>VLOOKUP($C633,ТабКлиенты[#Data],MATCH(D$1,ТабКлиенты[#Headers],0),0)</f>
        <v>+79836342386</v>
      </c>
      <c r="E633" t="str">
        <f>VLOOKUP($C633,ТабКлиенты[#Data],MATCH(E$1,ТабКлиенты[#Headers],0),0)</f>
        <v>Бахчиванджи 55</v>
      </c>
      <c r="F633" s="80">
        <v>0.46180555555555558</v>
      </c>
      <c r="G633" s="14" t="str">
        <f>VLOOKUP($C633,ТабКлиенты[#Data],MATCH(G$1,ТабКлиенты[#Headers],0),0)</f>
        <v>47.0940, 37.5130</v>
      </c>
      <c r="H633" s="14">
        <v>0</v>
      </c>
      <c r="I633" s="13">
        <v>546</v>
      </c>
      <c r="J633" s="13">
        <v>1</v>
      </c>
      <c r="K633" t="str">
        <f t="shared" si="38"/>
        <v>8. 11:05 Владимир Миленко
Тел.: +79836342386
Адрес: Бахчиванджи 55
№ заказа: 546
Кол-во мест: 1
https://yandex.ru/maps/?text=47.0940%2C37.5130
https://maps.google.com/?daddr=47.0940%2C37.5130
К оплате: **0
**--------------------------------</v>
      </c>
    </row>
    <row r="634" spans="1:11" hidden="1" x14ac:dyDescent="0.25">
      <c r="A634">
        <v>9</v>
      </c>
      <c r="B634" s="1">
        <v>45745</v>
      </c>
      <c r="C634" t="s">
        <v>1523</v>
      </c>
      <c r="D634" s="19" t="str">
        <f>VLOOKUP($C634,ТабКлиенты[#Data],MATCH(D$1,ТабКлиенты[#Headers],0),0)</f>
        <v>+79494015912</v>
      </c>
      <c r="E634" t="str">
        <f>VLOOKUP($C634,ТабКлиенты[#Data],MATCH(E$1,ТабКлиенты[#Headers],0),0)</f>
        <v>Куприна 17</v>
      </c>
      <c r="F634" s="80">
        <v>0.46875</v>
      </c>
      <c r="G634" s="14" t="str">
        <f>VLOOKUP($C634,ТабКлиенты[#Data],MATCH(G$1,ТабКлиенты[#Headers],0),0)</f>
        <v>47.1034, 37.5110</v>
      </c>
      <c r="H634" s="14">
        <v>0</v>
      </c>
      <c r="I634" s="13">
        <v>543</v>
      </c>
      <c r="J634" s="13">
        <v>1</v>
      </c>
      <c r="K634" t="str">
        <f t="shared" si="38"/>
        <v>9. 11:15 Кирилл Куприна
Тел.: +79494015912
Адрес: Куприна 17
№ заказа: 543
Кол-во мест: 1
https://yandex.ru/maps/?text=47.1034%2C37.5110
https://maps.google.com/?daddr=47.1034%2C37.5110
К оплате: **0
**--------------------------------</v>
      </c>
    </row>
    <row r="635" spans="1:11" hidden="1" x14ac:dyDescent="0.25">
      <c r="A635">
        <v>10</v>
      </c>
      <c r="B635" s="1">
        <v>45745</v>
      </c>
      <c r="C635" t="s">
        <v>2699</v>
      </c>
      <c r="D635" s="19" t="str">
        <f>VLOOKUP($C635,ТабКлиенты[#Data],MATCH(D$1,ТабКлиенты[#Headers],0),0)</f>
        <v>+79494817063</v>
      </c>
      <c r="E635" t="str">
        <f>VLOOKUP($C635,ТабКлиенты[#Data],MATCH(E$1,ТабКлиенты[#Headers],0),0)</f>
        <v>Куприна 17, подъезд 1</v>
      </c>
      <c r="F635" s="80">
        <v>0.46875</v>
      </c>
      <c r="G635" s="14" t="str">
        <f>VLOOKUP($C635,ТабКлиенты[#Data],MATCH(G$1,ТабКлиенты[#Headers],0),0)</f>
        <v>47.1034, 37.5110</v>
      </c>
      <c r="H635" s="14">
        <v>0</v>
      </c>
      <c r="I635" s="13">
        <v>538</v>
      </c>
      <c r="J635" s="13">
        <v>1</v>
      </c>
      <c r="K635" t="str">
        <f t="shared" si="38"/>
        <v>10. 11:15 Роман Куприна
Тел.: +79494817063
Адрес: Куприна 17, подъезд 1
№ заказа: 538
Кол-во мест: 1
https://yandex.ru/maps/?text=47.1034%2C37.5110
https://maps.google.com/?daddr=47.1034%2C37.5110
К оплате: **0
**--------------------------------</v>
      </c>
    </row>
    <row r="636" spans="1:11" hidden="1" x14ac:dyDescent="0.25">
      <c r="A636">
        <v>11</v>
      </c>
      <c r="B636" s="1">
        <v>45745</v>
      </c>
      <c r="C636" t="s">
        <v>2433</v>
      </c>
      <c r="D636" s="19" t="str">
        <f>VLOOKUP($C636,ТабКлиенты[#Data],MATCH(D$1,ТабКлиенты[#Headers],0),0)</f>
        <v>+79493276190</v>
      </c>
      <c r="E636" t="str">
        <f>VLOOKUP($C636,ТабКлиенты[#Data],MATCH(E$1,ТабКлиенты[#Headers],0),0)</f>
        <v>Строителей 145</v>
      </c>
      <c r="F636" s="80">
        <v>0.47569444444444442</v>
      </c>
      <c r="G636" s="14" t="str">
        <f>VLOOKUP($C636,ТабКлиенты[#Data],MATCH(G$1,ТабКлиенты[#Headers],0),0)</f>
        <v>47.1130, 37.5268</v>
      </c>
      <c r="H636" s="14">
        <v>0</v>
      </c>
      <c r="I636" s="13">
        <v>545</v>
      </c>
      <c r="J636" s="13">
        <v>1</v>
      </c>
      <c r="K636" t="str">
        <f t="shared" si="38"/>
        <v>11. 11:25 Михаил Строителей 145
Тел.: +79493276190
Адрес: Строителей 145
№ заказа: 545
Кол-во мест: 1
https://yandex.ru/maps/?text=47.1130%2C37.5268
https://maps.google.com/?daddr=47.1130%2C37.5268
К оплате: **0
**--------------------------------</v>
      </c>
    </row>
    <row r="637" spans="1:11" hidden="1" x14ac:dyDescent="0.25">
      <c r="A637">
        <v>12</v>
      </c>
      <c r="B637" s="1">
        <v>45745</v>
      </c>
      <c r="C637" t="s">
        <v>1502</v>
      </c>
      <c r="D637" s="19" t="str">
        <f>VLOOKUP($C637,ТабКлиенты[#Data],MATCH(D$1,ТабКлиенты[#Headers],0),0)</f>
        <v>+79497284454</v>
      </c>
      <c r="E637" t="str">
        <f>VLOOKUP($C637,ТабКлиенты[#Data],MATCH(E$1,ТабКлиенты[#Headers],0),0)</f>
        <v>строителей 156</v>
      </c>
      <c r="F637" s="80">
        <v>0.4826388888888889</v>
      </c>
      <c r="G637" s="14" t="str">
        <f>VLOOKUP($C637,ТабКлиенты[#Data],MATCH(G$1,ТабКлиенты[#Headers],0),0)</f>
        <v>47.1186, 37.5244</v>
      </c>
      <c r="H637" s="14">
        <v>0</v>
      </c>
      <c r="I637" s="13">
        <v>544</v>
      </c>
      <c r="J637" s="13">
        <v>2</v>
      </c>
      <c r="K637" t="str">
        <f t="shared" si="38"/>
        <v>12. 11:35 Елена Гайдар
Тел.: +79497284454
Адрес: строителей 156
№ заказа: 544
Кол-во мест: 2
https://yandex.ru/maps/?text=47.1186%2C37.5244
https://maps.google.com/?daddr=47.1186%2C37.5244
К оплате: **0
**--------------------------------</v>
      </c>
    </row>
    <row r="638" spans="1:11" hidden="1" x14ac:dyDescent="0.25">
      <c r="A638">
        <v>1</v>
      </c>
      <c r="B638" s="1">
        <v>45749</v>
      </c>
      <c r="C638" t="s">
        <v>2754</v>
      </c>
      <c r="D638" s="19" t="str">
        <f>VLOOKUP($C638,ТабКлиенты[#Data],MATCH(D$1,ТабКлиенты[#Headers],0),0)</f>
        <v>+79497163227</v>
      </c>
      <c r="E638" t="str">
        <f>VLOOKUP($C638,ТабКлиенты[#Data],MATCH(E$1,ТабКлиенты[#Headers],0),0)</f>
        <v>Артема 44</v>
      </c>
      <c r="F638" s="80">
        <v>0.39583333333333331</v>
      </c>
      <c r="G638" s="14" t="str">
        <f>VLOOKUP($C638,ТабКлиенты[#Data],MATCH(G$1,ТабКлиенты[#Headers],0),0)</f>
        <v>47.0943, 37.5487</v>
      </c>
      <c r="H638" s="14">
        <v>5500</v>
      </c>
      <c r="I638" s="13" t="s">
        <v>2226</v>
      </c>
      <c r="J638" s="13">
        <v>1</v>
      </c>
      <c r="K638" t="str">
        <f t="shared" ref="K638:K647" si="39">A638&amp;". "&amp;TEXT(F638,"ЧЧ:ММ")&amp;" "&amp;C638&amp;CHAR(10)&amp;"Тел.: "&amp;D638&amp;CHAR(10)&amp;"Адрес: "&amp;E638&amp;CHAR(10)&amp;"№ заказа: "&amp;I638&amp;CHAR(10)&amp;"Кол-во мест: "&amp;J638&amp;CHAR(10)&amp;"https://yandex.ru/maps/?text="&amp;REPLACE(G638,SEARCH(",",G638),2,"%2C")&amp;CHAR(10)&amp;"https://maps.google.com/?daddr="&amp;REPLACE(G638,SEARCH(",",G638),2,"%2C")&amp;CHAR(10)&amp;"К оплате: "&amp;"**"&amp;H638&amp;CHAR(10)&amp;"**"&amp;"--------------------------------"</f>
        <v>1. 09:30 Виктория Страховка
Тел.: +79497163227
Адрес: Артема 44
№ заказа: Витамины 1
Кол-во мест: 1
https://yandex.ru/maps/?text=47.0943%2C37.5487
https://maps.google.com/?daddr=47.0943%2C37.5487
К оплате: **5500
**--------------------------------</v>
      </c>
    </row>
    <row r="639" spans="1:11" hidden="1" x14ac:dyDescent="0.25">
      <c r="A639">
        <v>2</v>
      </c>
      <c r="B639" s="1">
        <v>45749</v>
      </c>
      <c r="C639" t="s">
        <v>237</v>
      </c>
      <c r="D639" s="19" t="str">
        <f>VLOOKUP($C639,ТабКлиенты[#Data],MATCH(D$1,ТабКлиенты[#Headers],0),0)</f>
        <v>+79497190408</v>
      </c>
      <c r="E639" t="str">
        <f>VLOOKUP($C639,ТабКлиенты[#Data],MATCH(E$1,ТабКлиенты[#Headers],0),0)</f>
        <v>Проектная 10</v>
      </c>
      <c r="F639" s="80">
        <v>0.40625</v>
      </c>
      <c r="G639" s="14" t="str">
        <f>VLOOKUP($C639,ТабКлиенты[#Data],MATCH(G$1,ТабКлиенты[#Headers],0),0)</f>
        <v>47.1281, 37.5732</v>
      </c>
      <c r="H639" s="14">
        <v>3000</v>
      </c>
      <c r="I639" s="13" t="s">
        <v>2227</v>
      </c>
      <c r="J639" s="13">
        <v>1</v>
      </c>
      <c r="K639" t="str">
        <f t="shared" si="39"/>
        <v>2. 09:45 Елена пер. Фруктовый
Тел.: +79497190408
Адрес: Проектная 10
№ заказа: Витамины 2
Кол-во мест: 1
https://yandex.ru/maps/?text=47.1281%2C37.5732
https://maps.google.com/?daddr=47.1281%2C37.5732
К оплате: **3000
**--------------------------------</v>
      </c>
    </row>
    <row r="640" spans="1:11" hidden="1" x14ac:dyDescent="0.25">
      <c r="A640">
        <v>3</v>
      </c>
      <c r="B640" s="1">
        <v>45749</v>
      </c>
      <c r="C640" t="s">
        <v>2747</v>
      </c>
      <c r="D640" s="19" t="str">
        <f>VLOOKUP($C640,ТабКлиенты[#Data],MATCH(D$1,ТабКлиенты[#Headers],0),0)</f>
        <v>+79497379017</v>
      </c>
      <c r="E640" t="str">
        <f>VLOOKUP($C640,ТабКлиенты[#Data],MATCH(E$1,ТабКлиенты[#Headers],0),0)</f>
        <v>Металлургов 158</v>
      </c>
      <c r="F640" s="80">
        <v>0.41666666666666669</v>
      </c>
      <c r="G640" s="14" t="str">
        <f>VLOOKUP($C640,ТабКлиенты[#Data],MATCH(G$1,ТабКлиенты[#Headers],0),0)</f>
        <v>47.1266, 37.5631</v>
      </c>
      <c r="H640" s="14">
        <v>4500</v>
      </c>
      <c r="I640" s="13" t="s">
        <v>2228</v>
      </c>
      <c r="J640" s="13">
        <v>1</v>
      </c>
      <c r="K640" t="str">
        <f t="shared" si="39"/>
        <v>3. 10:00 Любовь Металлургов 158
Тел.: +79497379017
Адрес: Металлургов 158
№ заказа: Витамины 3
Кол-во мест: 1
https://yandex.ru/maps/?text=47.1266%2C37.5631
https://maps.google.com/?daddr=47.1266%2C37.5631
К оплате: **4500
**--------------------------------</v>
      </c>
    </row>
    <row r="641" spans="1:11" hidden="1" x14ac:dyDescent="0.25">
      <c r="A641">
        <v>4</v>
      </c>
      <c r="B641" s="1">
        <v>45749</v>
      </c>
      <c r="C641" t="s">
        <v>2762</v>
      </c>
      <c r="D641" s="19" t="str">
        <f>VLOOKUP($C641,ТабКлиенты[#Data],MATCH(D$1,ТабКлиенты[#Headers],0),0)</f>
        <v>+79497108197</v>
      </c>
      <c r="E641" t="str">
        <f>VLOOKUP($C641,ТабКлиенты[#Data],MATCH(E$1,ТабКлиенты[#Headers],0),0)</f>
        <v>Леси Украинки 24</v>
      </c>
      <c r="F641" s="80">
        <v>0.4236111111111111</v>
      </c>
      <c r="G641" s="14" t="str">
        <f>VLOOKUP($C641,ТабКлиенты[#Data],MATCH(G$1,ТабКлиенты[#Headers],0),0)</f>
        <v>47.1035, 37.5324</v>
      </c>
      <c r="H641" s="14">
        <v>7800</v>
      </c>
      <c r="I641" s="13" t="s">
        <v>2229</v>
      </c>
      <c r="J641" s="13">
        <v>1</v>
      </c>
      <c r="K641" t="str">
        <f t="shared" si="39"/>
        <v>4. 10:10 Лилия Леси Украинки
Тел.: +79497108197
Адрес: Леси Украинки 24
№ заказа: Витамины 4
Кол-во мест: 1
https://yandex.ru/maps/?text=47.1035%2C37.5324
https://maps.google.com/?daddr=47.1035%2C37.5324
К оплате: **7800
**--------------------------------</v>
      </c>
    </row>
    <row r="642" spans="1:11" hidden="1" x14ac:dyDescent="0.25">
      <c r="A642">
        <v>5</v>
      </c>
      <c r="B642" s="1">
        <v>45749</v>
      </c>
      <c r="C642" t="s">
        <v>2759</v>
      </c>
      <c r="D642" s="19" t="str">
        <f>VLOOKUP($C642,ТабКлиенты[#Data],MATCH(D$1,ТабКлиенты[#Headers],0),0)</f>
        <v>+79497049936</v>
      </c>
      <c r="E642" t="str">
        <f>VLOOKUP($C642,ТабКлиенты[#Data],MATCH(E$1,ТабКлиенты[#Headers],0),0)</f>
        <v>Шевченко 317 Грация</v>
      </c>
      <c r="F642" s="80">
        <v>0.43055555555555558</v>
      </c>
      <c r="G642" s="14" t="str">
        <f>VLOOKUP($C642,ТабКлиенты[#Data],MATCH(G$1,ТабКлиенты[#Headers],0),0)</f>
        <v>47.1179, 37.5163</v>
      </c>
      <c r="H642" s="14">
        <v>5000</v>
      </c>
      <c r="I642" s="13" t="s">
        <v>2230</v>
      </c>
      <c r="J642" s="13">
        <v>1</v>
      </c>
      <c r="K642" t="str">
        <f t="shared" si="39"/>
        <v>5. 10:20 Алена Грация
Тел.: +79497049936
Адрес: Шевченко 317 Грация
№ заказа: Витамины 5
Кол-во мест: 1
https://yandex.ru/maps/?text=47.1179%2C37.5163
https://maps.google.com/?daddr=47.1179%2C37.5163
К оплате: **5000
**--------------------------------</v>
      </c>
    </row>
    <row r="643" spans="1:11" hidden="1" x14ac:dyDescent="0.25">
      <c r="A643">
        <v>6</v>
      </c>
      <c r="B643" s="1">
        <v>45749</v>
      </c>
      <c r="C643" t="s">
        <v>2751</v>
      </c>
      <c r="D643" s="19" t="str">
        <f>VLOOKUP($C643,ТабКлиенты[#Data],MATCH(D$1,ТабКлиенты[#Headers],0),0)</f>
        <v>+79495600470</v>
      </c>
      <c r="E643" t="str">
        <f>VLOOKUP($C643,ТабКлиенты[#Data],MATCH(E$1,ТабКлиенты[#Headers],0),0)</f>
        <v>50 Лет СССР 16</v>
      </c>
      <c r="F643" s="80">
        <v>0.4375</v>
      </c>
      <c r="G643" s="14" t="str">
        <f>VLOOKUP($C643,ТабКлиенты[#Data],MATCH(G$1,ТабКлиенты[#Headers],0),0)</f>
        <v>47.1106, 37.5233</v>
      </c>
      <c r="H643" s="14">
        <v>2000</v>
      </c>
      <c r="I643" s="13" t="s">
        <v>2231</v>
      </c>
      <c r="J643" s="13">
        <v>1</v>
      </c>
      <c r="K643" t="str">
        <f t="shared" si="39"/>
        <v>6. 10:30 Марина 50 Лет СССР 16
Тел.: +79495600470
Адрес: 50 Лет СССР 16
№ заказа: Витамины 6
Кол-во мест: 1
https://yandex.ru/maps/?text=47.1106%2C37.5233
https://maps.google.com/?daddr=47.1106%2C37.5233
К оплате: **2000
**--------------------------------</v>
      </c>
    </row>
    <row r="644" spans="1:11" hidden="1" x14ac:dyDescent="0.25">
      <c r="A644">
        <v>7</v>
      </c>
      <c r="B644" s="1">
        <v>45749</v>
      </c>
      <c r="C644" t="s">
        <v>400</v>
      </c>
      <c r="D644" s="19" t="str">
        <f>VLOOKUP($C644,ТабКлиенты[#Data],MATCH(D$1,ТабКлиенты[#Headers],0),0)</f>
        <v>+79497336840</v>
      </c>
      <c r="E644" t="str">
        <f>VLOOKUP($C644,ТабКлиенты[#Data],MATCH(E$1,ТабКлиенты[#Headers],0),0)</f>
        <v>Бригантина 152</v>
      </c>
      <c r="F644" s="80">
        <v>0.44444444444444442</v>
      </c>
      <c r="G644" s="14" t="str">
        <f>VLOOKUP($C644,ТабКлиенты[#Data],MATCH(G$1,ТабКлиенты[#Headers],0),0)</f>
        <v>47.0779, 37.4879</v>
      </c>
      <c r="H644" s="14">
        <v>7000</v>
      </c>
      <c r="I644" s="13" t="s">
        <v>2302</v>
      </c>
      <c r="J644" s="13">
        <v>1</v>
      </c>
      <c r="K644" t="str">
        <f t="shared" si="39"/>
        <v>7. 10:40 Татьяна Бригантина
Тел.: +79497336840
Адрес: Бригантина 152
№ заказа: Витамины 7
Кол-во мест: 1
https://yandex.ru/maps/?text=47.0779%2C37.4879
https://maps.google.com/?daddr=47.0779%2C37.4879
К оплате: **7000
**--------------------------------</v>
      </c>
    </row>
    <row r="645" spans="1:11" hidden="1" x14ac:dyDescent="0.25">
      <c r="A645">
        <v>8</v>
      </c>
      <c r="B645" s="1">
        <v>45749</v>
      </c>
      <c r="C645" t="s">
        <v>385</v>
      </c>
      <c r="D645" s="19" t="str">
        <f>VLOOKUP($C645,ТабКлиенты[#Data],MATCH(D$1,ТабКлиенты[#Headers],0),0)</f>
        <v>+79497169864</v>
      </c>
      <c r="E645" t="str">
        <f>VLOOKUP($C645,ТабКлиенты[#Data],MATCH(E$1,ТабКлиенты[#Headers],0),0)</f>
        <v>пер. Ейский 9</v>
      </c>
      <c r="F645" s="80">
        <v>0.47916666666666669</v>
      </c>
      <c r="G645" s="14" t="str">
        <f>VLOOKUP($C645,ТабКлиенты[#Data],MATCH(G$1,ТабКлиенты[#Headers],0),0)</f>
        <v>47.0898, 37.5062</v>
      </c>
      <c r="H645" s="14">
        <v>11300</v>
      </c>
      <c r="I645" s="13" t="s">
        <v>2305</v>
      </c>
      <c r="J645" s="13">
        <v>1</v>
      </c>
      <c r="K645" t="str">
        <f t="shared" si="39"/>
        <v>8. 11:30 Надежда Витамины
Тел.: +79497169864
Адрес: пер. Ейский 9
№ заказа: Витамины 8
Кол-во мест: 1
https://yandex.ru/maps/?text=47.0898%2C37.5062
https://maps.google.com/?daddr=47.0898%2C37.5062
К оплате: **11300
**--------------------------------</v>
      </c>
    </row>
    <row r="646" spans="1:11" hidden="1" x14ac:dyDescent="0.25">
      <c r="A646">
        <v>9</v>
      </c>
      <c r="B646" s="1">
        <v>45749</v>
      </c>
      <c r="C646" t="s">
        <v>2566</v>
      </c>
      <c r="D646" s="19" t="str">
        <f>VLOOKUP($C646,ТабКлиенты[#Data],MATCH(D$1,ТабКлиенты[#Headers],0),0)</f>
        <v>+79497078921</v>
      </c>
      <c r="E646" t="str">
        <f>VLOOKUP($C646,ТабКлиенты[#Data],MATCH(E$1,ТабКлиенты[#Headers],0),0)</f>
        <v>Черноморская 17</v>
      </c>
      <c r="F646" s="80">
        <v>0.4861111111111111</v>
      </c>
      <c r="G646" s="14" t="str">
        <f>VLOOKUP($C646,ТабКлиенты[#Data],MATCH(G$1,ТабКлиенты[#Headers],0),0)</f>
        <v>47.0767, 37.5101</v>
      </c>
      <c r="H646" s="14">
        <v>9200</v>
      </c>
      <c r="I646" s="13" t="s">
        <v>2342</v>
      </c>
      <c r="J646" s="13">
        <v>1</v>
      </c>
      <c r="K646" t="str">
        <f t="shared" si="39"/>
        <v>9. 11:40 Оксана Черноморская
Тел.: +79497078921
Адрес: Черноморская 17
№ заказа: Витамины 9
Кол-во мест: 1
https://yandex.ru/maps/?text=47.0767%2C37.5101
https://maps.google.com/?daddr=47.0767%2C37.5101
К оплате: **9200
**--------------------------------</v>
      </c>
    </row>
    <row r="647" spans="1:11" hidden="1" x14ac:dyDescent="0.25">
      <c r="A647">
        <v>10</v>
      </c>
      <c r="B647" s="1">
        <v>45749</v>
      </c>
      <c r="C647" t="s">
        <v>1900</v>
      </c>
      <c r="D647" s="19" t="str">
        <f>VLOOKUP($C647,ТабКлиенты[#Data],MATCH(D$1,ТабКлиенты[#Headers],0),0)</f>
        <v>+79497178192</v>
      </c>
      <c r="E647" t="str">
        <f>VLOOKUP($C647,ТабКлиенты[#Data],MATCH(E$1,ТабКлиенты[#Headers],0),0)</f>
        <v>Новороссийская 28, ЖД Больница</v>
      </c>
      <c r="F647" s="80">
        <v>0.49305555555555558</v>
      </c>
      <c r="G647" s="14" t="str">
        <f>VLOOKUP($C647,ТабКлиенты[#Data],MATCH(G$1,ТабКлиенты[#Headers],0),0)</f>
        <v>47.0718, 37.4881</v>
      </c>
      <c r="H647" s="14">
        <v>4700</v>
      </c>
      <c r="I647" s="13" t="s">
        <v>2764</v>
      </c>
      <c r="J647" s="13">
        <v>1</v>
      </c>
      <c r="K647" t="str">
        <f t="shared" si="39"/>
        <v>10. 11:50 Ольга ЖД больница
Тел.: +79497178192
Адрес: Новороссийская 28, ЖД Больница
№ заказа: Витамины 10
Кол-во мест: 1
https://yandex.ru/maps/?text=47.0718%2C37.4881
https://maps.google.com/?daddr=47.0718%2C37.4881
К оплате: **4700
**--------------------------------</v>
      </c>
    </row>
    <row r="648" spans="1:11" hidden="1" x14ac:dyDescent="0.25">
      <c r="A648">
        <v>1</v>
      </c>
      <c r="B648" s="1">
        <v>45752</v>
      </c>
      <c r="C648" t="s">
        <v>357</v>
      </c>
      <c r="D648" s="19" t="str">
        <f>VLOOKUP($C648,ТабКлиенты[#Data],MATCH(D$1,ТабКлиенты[#Headers],0),0)</f>
        <v>+79497114644</v>
      </c>
      <c r="E648" t="str">
        <f>VLOOKUP($C648,ТабКлиенты[#Data],MATCH(E$1,ТабКлиенты[#Headers],0),0)</f>
        <v>Металлургов 143</v>
      </c>
      <c r="F648" s="80">
        <v>0.40625</v>
      </c>
      <c r="G648" s="14" t="str">
        <f>VLOOKUP($C648,ТабКлиенты[#Data],MATCH(G$1,ТабКлиенты[#Headers],0),0)</f>
        <v>47.1199, 37.5643</v>
      </c>
      <c r="H648" s="14">
        <v>0</v>
      </c>
      <c r="I648" s="13">
        <v>542</v>
      </c>
      <c r="J648" s="13">
        <v>1</v>
      </c>
      <c r="K648" t="str">
        <f t="shared" ref="K648:K655" si="40">A648&amp;". "&amp;TEXT(F648,"ЧЧ:ММ")&amp;" "&amp;C648&amp;CHAR(10)&amp;"Тел.: "&amp;D648&amp;CHAR(10)&amp;"Адрес: "&amp;E648&amp;CHAR(10)&amp;"№ заказа: "&amp;I648&amp;CHAR(10)&amp;"Кол-во мест: "&amp;J648&amp;CHAR(10)&amp;"https://yandex.ru/maps/?text="&amp;REPLACE(G648,SEARCH(",",G648),2,"%2C")&amp;CHAR(10)&amp;"https://maps.google.com/?daddr="&amp;REPLACE(G648,SEARCH(",",G648),2,"%2C")&amp;CHAR(10)&amp;"К оплате: "&amp;"**"&amp;H648&amp;CHAR(10)&amp;"**"&amp;"--------------------------------"</f>
        <v>1. 09:45 Юля Ларисына
Тел.: +79497114644
Адрес: Металлургов 143
№ заказа: 542
Кол-во мест: 1
https://yandex.ru/maps/?text=47.1199%2C37.5643
https://maps.google.com/?daddr=47.1199%2C37.5643
К оплате: **0
**--------------------------------</v>
      </c>
    </row>
    <row r="649" spans="1:11" hidden="1" x14ac:dyDescent="0.25">
      <c r="A649">
        <v>2</v>
      </c>
      <c r="B649" s="1">
        <v>45752</v>
      </c>
      <c r="C649" t="s">
        <v>2276</v>
      </c>
      <c r="D649" s="19" t="str">
        <f>VLOOKUP($C649,ТабКлиенты[#Data],MATCH(D$1,ТабКлиенты[#Headers],0),0)</f>
        <v>+79497036395</v>
      </c>
      <c r="E649" t="str">
        <f>VLOOKUP($C649,ТабКлиенты[#Data],MATCH(E$1,ТабКлиенты[#Headers],0),0)</f>
        <v>Металлургов 187</v>
      </c>
      <c r="F649" s="80">
        <v>0.40972222222222221</v>
      </c>
      <c r="G649" s="14" t="str">
        <f>VLOOKUP($C649,ТабКлиенты[#Data],MATCH(G$1,ТабКлиенты[#Headers],0),0)</f>
        <v>47.1270, 37.5662</v>
      </c>
      <c r="H649" s="14">
        <v>0</v>
      </c>
      <c r="I649" s="13">
        <v>550</v>
      </c>
      <c r="J649" s="13">
        <v>1</v>
      </c>
      <c r="K649" t="str">
        <f t="shared" si="40"/>
        <v>2. 09:50 Вячеслав Протонов
Тел.: +79497036395
Адрес: Металлургов 187
№ заказа: 550
Кол-во мест: 1
https://yandex.ru/maps/?text=47.1270%2C37.5662
https://maps.google.com/?daddr=47.1270%2C37.5662
К оплате: **0
**--------------------------------</v>
      </c>
    </row>
    <row r="650" spans="1:11" hidden="1" x14ac:dyDescent="0.25">
      <c r="A650">
        <v>3</v>
      </c>
      <c r="B650" s="1">
        <v>45752</v>
      </c>
      <c r="C650" t="s">
        <v>33</v>
      </c>
      <c r="D650" s="19" t="str">
        <f>VLOOKUP($C650,ТабКлиенты[#Data],MATCH(D$1,ТабКлиенты[#Headers],0),0)</f>
        <v>+79496069479</v>
      </c>
      <c r="E650" t="str">
        <f>VLOOKUP($C650,ТабКлиенты[#Data],MATCH(E$1,ТабКлиенты[#Headers],0),0)</f>
        <v>Марьинская 145 Новоселовка Церковь</v>
      </c>
      <c r="F650" s="80">
        <v>0.41666666666666669</v>
      </c>
      <c r="G650" s="14" t="str">
        <f>VLOOKUP($C650,ТабКлиенты[#Data],MATCH(G$1,ТабКлиенты[#Headers],0),0)</f>
        <v>47.1126, 37.5473</v>
      </c>
      <c r="H650" s="14">
        <v>1407</v>
      </c>
      <c r="I650" s="13">
        <v>548</v>
      </c>
      <c r="J650" s="13">
        <v>1</v>
      </c>
      <c r="K650" t="str">
        <f t="shared" si="40"/>
        <v>3. 10:00 Галина Агабекова(церковь)
Тел.: +79496069479
Адрес: Марьинская 145 Новоселовка Церковь
№ заказа: 548
Кол-во мест: 1
https://yandex.ru/maps/?text=47.1126%2C37.5473
https://maps.google.com/?daddr=47.1126%2C37.5473
К оплате: **1407
**--------------------------------</v>
      </c>
    </row>
    <row r="651" spans="1:11" hidden="1" x14ac:dyDescent="0.25">
      <c r="A651">
        <v>4</v>
      </c>
      <c r="B651" s="1">
        <v>45752</v>
      </c>
      <c r="C651" t="s">
        <v>2433</v>
      </c>
      <c r="D651" s="19" t="str">
        <f>VLOOKUP($C651,ТабКлиенты[#Data],MATCH(D$1,ТабКлиенты[#Headers],0),0)</f>
        <v>+79493276190</v>
      </c>
      <c r="E651" t="str">
        <f>VLOOKUP($C651,ТабКлиенты[#Data],MATCH(E$1,ТабКлиенты[#Headers],0),0)</f>
        <v>Строителей 145</v>
      </c>
      <c r="F651" s="80">
        <v>0.4236111111111111</v>
      </c>
      <c r="G651" s="14" t="str">
        <f>VLOOKUP($C651,ТабКлиенты[#Data],MATCH(G$1,ТабКлиенты[#Headers],0),0)</f>
        <v>47.1130, 37.5268</v>
      </c>
      <c r="H651" s="14">
        <v>0</v>
      </c>
      <c r="I651" s="13">
        <v>545</v>
      </c>
      <c r="J651" s="13">
        <v>1</v>
      </c>
      <c r="K651" t="str">
        <f t="shared" si="40"/>
        <v>4. 10:10 Михаил Строителей 145
Тел.: +79493276190
Адрес: Строителей 145
№ заказа: 545
Кол-во мест: 1
https://yandex.ru/maps/?text=47.1130%2C37.5268
https://maps.google.com/?daddr=47.1130%2C37.5268
К оплате: **0
**--------------------------------</v>
      </c>
    </row>
    <row r="652" spans="1:11" hidden="1" x14ac:dyDescent="0.25">
      <c r="A652">
        <v>5</v>
      </c>
      <c r="B652" s="1">
        <v>45752</v>
      </c>
      <c r="C652" t="s">
        <v>1502</v>
      </c>
      <c r="D652" s="19" t="str">
        <f>VLOOKUP($C652,ТабКлиенты[#Data],MATCH(D$1,ТабКлиенты[#Headers],0),0)</f>
        <v>+79497284454</v>
      </c>
      <c r="E652" t="str">
        <f>VLOOKUP($C652,ТабКлиенты[#Data],MATCH(E$1,ТабКлиенты[#Headers],0),0)</f>
        <v>строителей 156</v>
      </c>
      <c r="F652" s="80">
        <v>0.43055555555555558</v>
      </c>
      <c r="G652" s="14" t="str">
        <f>VLOOKUP($C652,ТабКлиенты[#Data],MATCH(G$1,ТабКлиенты[#Headers],0),0)</f>
        <v>47.1186, 37.5244</v>
      </c>
      <c r="H652" s="14">
        <v>0</v>
      </c>
      <c r="I652" s="13">
        <v>544</v>
      </c>
      <c r="J652" s="13">
        <v>1</v>
      </c>
      <c r="K652" t="str">
        <f t="shared" si="40"/>
        <v>5. 10:20 Елена Гайдар
Тел.: +79497284454
Адрес: строителей 156
№ заказа: 544
Кол-во мест: 1
https://yandex.ru/maps/?text=47.1186%2C37.5244
https://maps.google.com/?daddr=47.1186%2C37.5244
К оплате: **0
**--------------------------------</v>
      </c>
    </row>
    <row r="653" spans="1:11" hidden="1" x14ac:dyDescent="0.25">
      <c r="A653">
        <v>6</v>
      </c>
      <c r="B653" s="1">
        <v>45752</v>
      </c>
      <c r="C653" t="s">
        <v>2773</v>
      </c>
      <c r="D653" s="19" t="str">
        <f>VLOOKUP($C653,ТабКлиенты[#Data],MATCH(D$1,ТабКлиенты[#Headers],0),0)</f>
        <v>+79490042184</v>
      </c>
      <c r="E653" t="str">
        <f>VLOOKUP($C653,ТабКлиенты[#Data],MATCH(E$1,ТабКлиенты[#Headers],0),0)</f>
        <v>9 Авиадивизии 30</v>
      </c>
      <c r="F653" s="80">
        <v>0.43402777777777779</v>
      </c>
      <c r="G653" s="14" t="str">
        <f>VLOOKUP($C653,ТабКлиенты[#Data],MATCH(G$1,ТабКлиенты[#Headers],0),0)</f>
        <v>47.1234, 37.5200</v>
      </c>
      <c r="H653" s="14">
        <v>200</v>
      </c>
      <c r="I653" s="13">
        <v>560</v>
      </c>
      <c r="J653" s="13">
        <v>1</v>
      </c>
      <c r="K653" t="str">
        <f t="shared" si="40"/>
        <v>6. 10:25 Артем 9 Авиадивизии
Тел.: +79490042184
Адрес: 9 Авиадивизии 30
№ заказа: 560
Кол-во мест: 1
https://yandex.ru/maps/?text=47.1234%2C37.5200
https://maps.google.com/?daddr=47.1234%2C37.5200
К оплате: **200
**--------------------------------</v>
      </c>
    </row>
    <row r="654" spans="1:11" hidden="1" x14ac:dyDescent="0.25">
      <c r="A654">
        <v>7</v>
      </c>
      <c r="B654" s="1">
        <v>45752</v>
      </c>
      <c r="C654" t="s">
        <v>2741</v>
      </c>
      <c r="D654" s="19" t="str">
        <f>VLOOKUP($C654,ТабКлиенты[#Data],MATCH(D$1,ТабКлиенты[#Headers],0),0)</f>
        <v>+79495995496</v>
      </c>
      <c r="E654" t="str">
        <f>VLOOKUP($C654,ТабКлиенты[#Data],MATCH(E$1,ТабКлиенты[#Headers],0),0)</f>
        <v>Шевченко 305</v>
      </c>
      <c r="F654" s="80">
        <v>0.44444444444444442</v>
      </c>
      <c r="G654" s="14" t="str">
        <f>VLOOKUP($C654,ТабКлиенты[#Data],MATCH(G$1,ТабКлиенты[#Headers],0),0)</f>
        <v>47.1185, 37.5198</v>
      </c>
      <c r="H654" s="14">
        <v>4044</v>
      </c>
      <c r="I654" s="13">
        <v>547</v>
      </c>
      <c r="J654" s="13">
        <v>1</v>
      </c>
      <c r="K654" t="str">
        <f t="shared" si="40"/>
        <v>7. 10:40 Юля Шевченко 305
Тел.: +79495995496
Адрес: Шевченко 305
№ заказа: 547
Кол-во мест: 1
https://yandex.ru/maps/?text=47.1185%2C37.5198
https://maps.google.com/?daddr=47.1185%2C37.5198
К оплате: **4044
**--------------------------------</v>
      </c>
    </row>
    <row r="655" spans="1:11" hidden="1" x14ac:dyDescent="0.25">
      <c r="A655">
        <v>8</v>
      </c>
      <c r="B655" s="1">
        <v>45752</v>
      </c>
      <c r="C655" t="s">
        <v>1629</v>
      </c>
      <c r="D655" s="19" t="str">
        <f>VLOOKUP($C655,ТабКлиенты[#Data],MATCH(D$1,ТабКлиенты[#Headers],0),0)</f>
        <v>+79493770183</v>
      </c>
      <c r="E655" t="str">
        <f>VLOOKUP($C655,ТабКлиенты[#Data],MATCH(E$1,ТабКлиенты[#Headers],0),0)</f>
        <v>Лунина 13а</v>
      </c>
      <c r="F655" s="80">
        <v>0.47916666666666669</v>
      </c>
      <c r="G655" s="14" t="str">
        <f>VLOOKUP($C655,ТабКлиенты[#Data],MATCH(G$1,ТабКлиенты[#Headers],0),0)</f>
        <v>47.0682, 37.5102</v>
      </c>
      <c r="H655" s="14">
        <v>200</v>
      </c>
      <c r="I655" s="13">
        <v>559</v>
      </c>
      <c r="J655" s="13">
        <v>1</v>
      </c>
      <c r="K655" t="str">
        <f t="shared" si="40"/>
        <v>8. 11:30 Наталья Лунина 13
Тел.: +79493770183
Адрес: Лунина 13а
№ заказа: 559
Кол-во мест: 1
https://yandex.ru/maps/?text=47.0682%2C37.5102
https://maps.google.com/?daddr=47.0682%2C37.5102
К оплате: **200
**--------------------------------</v>
      </c>
    </row>
    <row r="656" spans="1:11" hidden="1" x14ac:dyDescent="0.25">
      <c r="A656">
        <v>1</v>
      </c>
      <c r="B656" s="1">
        <v>45759</v>
      </c>
      <c r="C656" t="s">
        <v>148</v>
      </c>
      <c r="D656" s="19" t="str">
        <f>VLOOKUP($C656,ТабКлиенты[#Data],MATCH(D$1,ТабКлиенты[#Headers],0),0)</f>
        <v>+79497270194</v>
      </c>
      <c r="E656" t="str">
        <f>VLOOKUP($C656,ТабКлиенты[#Data],MATCH(E$1,ТабКлиенты[#Headers],0),0)</f>
        <v>Металлургов 92</v>
      </c>
      <c r="F656" s="80">
        <v>0.39583333333333331</v>
      </c>
      <c r="G656" s="14" t="str">
        <f>VLOOKUP($C656,ТабКлиенты[#Data],MATCH(G$1,ТабКлиенты[#Headers],0),0)</f>
        <v>47.1053, 37.5487</v>
      </c>
      <c r="H656" s="14">
        <v>327</v>
      </c>
      <c r="I656" s="13">
        <v>564</v>
      </c>
      <c r="J656" s="13">
        <v>2</v>
      </c>
      <c r="K656" t="str">
        <f t="shared" ref="K656:K665" si="41">A656&amp;". "&amp;TEXT(F656,"ЧЧ:ММ")&amp;" "&amp;C656&amp;CHAR(10)&amp;"Тел.: "&amp;D656&amp;CHAR(10)&amp;"Адрес: "&amp;E656&amp;CHAR(10)&amp;"№ заказа: "&amp;I656&amp;CHAR(10)&amp;"Кол-во мест: "&amp;J656&amp;CHAR(10)&amp;"https://yandex.ru/maps/?text="&amp;REPLACE(G656,SEARCH(",",G656),2,"%2C")&amp;CHAR(10)&amp;"https://maps.google.com/?daddr="&amp;REPLACE(G656,SEARCH(",",G656),2,"%2C")&amp;CHAR(10)&amp;"К оплате: "&amp;"**"&amp;H656&amp;CHAR(10)&amp;"**"&amp;"--------------------------------"</f>
        <v>1. 09:30 Олег Федоров
Тел.: +79497270194
Адрес: Металлургов 92
№ заказа: 564
Кол-во мест: 2
https://yandex.ru/maps/?text=47.1053%2C37.5487
https://maps.google.com/?daddr=47.1053%2C37.5487
К оплате: **327
**--------------------------------</v>
      </c>
    </row>
    <row r="657" spans="1:11" hidden="1" x14ac:dyDescent="0.25">
      <c r="A657">
        <v>2</v>
      </c>
      <c r="B657" s="1">
        <v>45759</v>
      </c>
      <c r="C657" t="s">
        <v>357</v>
      </c>
      <c r="D657" s="19" t="str">
        <f>VLOOKUP($C657,ТабКлиенты[#Data],MATCH(D$1,ТабКлиенты[#Headers],0),0)</f>
        <v>+79497114644</v>
      </c>
      <c r="E657" t="str">
        <f>VLOOKUP($C657,ТабКлиенты[#Data],MATCH(E$1,ТабКлиенты[#Headers],0),0)</f>
        <v>Металлургов 143</v>
      </c>
      <c r="F657" s="80">
        <v>0.40277777777777779</v>
      </c>
      <c r="G657" s="14" t="str">
        <f>VLOOKUP($C657,ТабКлиенты[#Data],MATCH(G$1,ТабКлиенты[#Headers],0),0)</f>
        <v>47.1199, 37.5643</v>
      </c>
      <c r="H657" s="14">
        <v>0</v>
      </c>
      <c r="I657" s="13">
        <v>562</v>
      </c>
      <c r="J657" s="13">
        <v>1</v>
      </c>
      <c r="K657" t="str">
        <f t="shared" si="41"/>
        <v>2. 09:40 Юля Ларисына
Тел.: +79497114644
Адрес: Металлургов 143
№ заказа: 562
Кол-во мест: 1
https://yandex.ru/maps/?text=47.1199%2C37.5643
https://maps.google.com/?daddr=47.1199%2C37.5643
К оплате: **0
**--------------------------------</v>
      </c>
    </row>
    <row r="658" spans="1:11" hidden="1" x14ac:dyDescent="0.25">
      <c r="A658">
        <v>3</v>
      </c>
      <c r="B658" s="1">
        <v>45759</v>
      </c>
      <c r="C658" t="s">
        <v>1797</v>
      </c>
      <c r="D658" s="19" t="str">
        <f>VLOOKUP($C658,ТабКлиенты[#Data],MATCH(D$1,ТабКлиенты[#Headers],0),0)</f>
        <v>+79497273525</v>
      </c>
      <c r="E658" t="str">
        <f>VLOOKUP($C658,ТабКлиенты[#Data],MATCH(E$1,ТабКлиенты[#Headers],0),0)</f>
        <v>Металлургов 169</v>
      </c>
      <c r="F658" s="80">
        <v>0.40625</v>
      </c>
      <c r="G658" s="14" t="str">
        <f>VLOOKUP($C658,ТабКлиенты[#Data],MATCH(G$1,ТабКлиенты[#Headers],0),0)</f>
        <v>47.1244, 37.5643</v>
      </c>
      <c r="H658" s="14">
        <v>0</v>
      </c>
      <c r="I658" s="13">
        <v>563</v>
      </c>
      <c r="J658" s="13">
        <v>1</v>
      </c>
      <c r="K658" t="str">
        <f t="shared" si="41"/>
        <v>3. 09:45 Валентина от Светланы
Тел.: +79497273525
Адрес: Металлургов 169
№ заказа: 563
Кол-во мест: 1
https://yandex.ru/maps/?text=47.1244%2C37.5643
https://maps.google.com/?daddr=47.1244%2C37.5643
К оплате: **0
**--------------------------------</v>
      </c>
    </row>
    <row r="659" spans="1:11" hidden="1" x14ac:dyDescent="0.25">
      <c r="A659">
        <v>4</v>
      </c>
      <c r="B659" s="1">
        <v>45759</v>
      </c>
      <c r="C659" t="s">
        <v>3069</v>
      </c>
      <c r="D659" s="19" t="str">
        <f>VLOOKUP($C659,ТабКлиенты[#Data],MATCH(D$1,ТабКлиенты[#Headers],0),0)</f>
        <v>+79497216198</v>
      </c>
      <c r="E659" t="str">
        <f>VLOOKUP($C659,ТабКлиенты[#Data],MATCH(E$1,ТабКлиенты[#Headers],0),0)</f>
        <v>Металлургов, 175 Парикмахерская Максим</v>
      </c>
      <c r="F659" s="80">
        <v>0.40972222222222221</v>
      </c>
      <c r="G659" s="14" t="str">
        <f>VLOOKUP($C659,ТабКлиенты[#Data],MATCH(G$1,ТабКлиенты[#Headers],0),0)</f>
        <v>47.1250, 37.5644</v>
      </c>
      <c r="H659" s="14">
        <v>0</v>
      </c>
      <c r="I659" s="13">
        <v>566</v>
      </c>
      <c r="J659" s="13">
        <v>1</v>
      </c>
      <c r="K659" t="str">
        <f t="shared" si="41"/>
        <v>4. 09:50 Елена жена Александра
Тел.: +79497216198
Адрес: Металлургов, 175 Парикмахерская Максим
№ заказа: 566
Кол-во мест: 1
https://yandex.ru/maps/?text=47.1250%2C37.5644
https://maps.google.com/?daddr=47.1250%2C37.5644
К оплате: **0
**--------------------------------</v>
      </c>
    </row>
    <row r="660" spans="1:11" hidden="1" x14ac:dyDescent="0.25">
      <c r="A660">
        <v>5</v>
      </c>
      <c r="B660" s="1">
        <v>45759</v>
      </c>
      <c r="C660" t="s">
        <v>2276</v>
      </c>
      <c r="D660" s="19" t="str">
        <f>VLOOKUP($C660,ТабКлиенты[#Data],MATCH(D$1,ТабКлиенты[#Headers],0),0)</f>
        <v>+79497036395</v>
      </c>
      <c r="E660" t="str">
        <f>VLOOKUP($C660,ТабКлиенты[#Data],MATCH(E$1,ТабКлиенты[#Headers],0),0)</f>
        <v>Металлургов 187</v>
      </c>
      <c r="F660" s="80">
        <v>0.41319444444444442</v>
      </c>
      <c r="G660" s="14" t="str">
        <f>VLOOKUP($C660,ТабКлиенты[#Data],MATCH(G$1,ТабКлиенты[#Headers],0),0)</f>
        <v>47.1270, 37.5662</v>
      </c>
      <c r="H660" s="14">
        <v>0</v>
      </c>
      <c r="I660" s="13">
        <v>550</v>
      </c>
      <c r="J660" s="13">
        <v>1</v>
      </c>
      <c r="K660" t="str">
        <f t="shared" si="41"/>
        <v>5. 09:55 Вячеслав Протонов
Тел.: +79497036395
Адрес: Металлургов 187
№ заказа: 550
Кол-во мест: 1
https://yandex.ru/maps/?text=47.1270%2C37.5662
https://maps.google.com/?daddr=47.1270%2C37.5662
К оплате: **0
**--------------------------------</v>
      </c>
    </row>
    <row r="661" spans="1:11" hidden="1" x14ac:dyDescent="0.25">
      <c r="A661">
        <v>6</v>
      </c>
      <c r="B661" s="1">
        <v>45759</v>
      </c>
      <c r="C661" t="s">
        <v>2470</v>
      </c>
      <c r="D661" s="19" t="str">
        <f>VLOOKUP($C661,ТабКлиенты[#Data],MATCH(D$1,ТабКлиенты[#Headers],0),0)</f>
        <v>+79497352267</v>
      </c>
      <c r="E661" t="str">
        <f>VLOOKUP($C661,ТабКлиенты[#Data],MATCH(E$1,ТабКлиенты[#Headers],0),0)</f>
        <v>Сеченова 70</v>
      </c>
      <c r="F661" s="80">
        <v>0.41666666666666669</v>
      </c>
      <c r="G661" s="14" t="str">
        <f>VLOOKUP($C661,ТабКлиенты[#Data],MATCH(G$1,ТабКлиенты[#Headers],0),0)</f>
        <v>47.1318, 37.5637</v>
      </c>
      <c r="H661" s="14">
        <v>0</v>
      </c>
      <c r="I661" s="13">
        <v>561</v>
      </c>
      <c r="J661" s="13">
        <v>1</v>
      </c>
      <c r="K661" t="str">
        <f t="shared" si="41"/>
        <v>6. 10:00 Юлина Мама
Тел.: +79497352267
Адрес: Сеченова 70
№ заказа: 561
Кол-во мест: 1
https://yandex.ru/maps/?text=47.1318%2C37.5637
https://maps.google.com/?daddr=47.1318%2C37.5637
К оплате: **0
**--------------------------------</v>
      </c>
    </row>
    <row r="662" spans="1:11" hidden="1" x14ac:dyDescent="0.25">
      <c r="A662">
        <v>7</v>
      </c>
      <c r="B662" s="1">
        <v>45759</v>
      </c>
      <c r="C662" t="s">
        <v>441</v>
      </c>
      <c r="D662" s="19" t="str">
        <f>VLOOKUP($C662,ТабКлиенты[#Data],MATCH(D$1,ТабКлиенты[#Headers],0),0)</f>
        <v>+79497213168</v>
      </c>
      <c r="E662" t="str">
        <f>VLOOKUP($C662,ТабКлиенты[#Data],MATCH(E$1,ТабКлиенты[#Headers],0),0)</f>
        <v>Шопена 92</v>
      </c>
      <c r="F662" s="80">
        <v>0.43055555555555558</v>
      </c>
      <c r="G662" s="14" t="str">
        <f>VLOOKUP($C662,ТабКлиенты[#Data],MATCH(G$1,ТабКлиенты[#Headers],0),0)</f>
        <v>47.1582, 37.6032</v>
      </c>
      <c r="H662" s="14">
        <v>3700</v>
      </c>
      <c r="I662" s="13" t="s">
        <v>1271</v>
      </c>
      <c r="J662" s="13">
        <v>1</v>
      </c>
      <c r="K662" t="str">
        <f t="shared" si="41"/>
        <v>7. 10:20 Светлана Федоровна
Тел.: +79497213168
Адрес: Шопена 92
№ заказа: Витамины
Кол-во мест: 1
https://yandex.ru/maps/?text=47.1582%2C37.6032
https://maps.google.com/?daddr=47.1582%2C37.6032
К оплате: **3700
**--------------------------------</v>
      </c>
    </row>
    <row r="663" spans="1:11" hidden="1" x14ac:dyDescent="0.25">
      <c r="A663">
        <v>8</v>
      </c>
      <c r="B663" s="1">
        <v>45759</v>
      </c>
      <c r="C663" t="s">
        <v>33</v>
      </c>
      <c r="D663" s="19" t="str">
        <f>VLOOKUP($C663,ТабКлиенты[#Data],MATCH(D$1,ТабКлиенты[#Headers],0),0)</f>
        <v>+79496069479</v>
      </c>
      <c r="E663" t="str">
        <f>VLOOKUP($C663,ТабКлиенты[#Data],MATCH(E$1,ТабКлиенты[#Headers],0),0)</f>
        <v>Марьинская 145 Новоселовка Церковь</v>
      </c>
      <c r="F663" s="80">
        <v>0.44791666666666669</v>
      </c>
      <c r="G663" s="14" t="str">
        <f>VLOOKUP($C663,ТабКлиенты[#Data],MATCH(G$1,ТабКлиенты[#Headers],0),0)</f>
        <v>47.1126, 37.5473</v>
      </c>
      <c r="H663" s="14">
        <v>0</v>
      </c>
      <c r="I663" s="13">
        <v>548</v>
      </c>
      <c r="J663" s="13">
        <v>1</v>
      </c>
      <c r="K663" t="str">
        <f t="shared" si="41"/>
        <v>8. 10:45 Галина Агабекова(церковь)
Тел.: +79496069479
Адрес: Марьинская 145 Новоселовка Церковь
№ заказа: 548
Кол-во мест: 1
https://yandex.ru/maps/?text=47.1126%2C37.5473
https://maps.google.com/?daddr=47.1126%2C37.5473
К оплате: **0
**--------------------------------</v>
      </c>
    </row>
    <row r="664" spans="1:11" hidden="1" x14ac:dyDescent="0.25">
      <c r="A664">
        <v>9</v>
      </c>
      <c r="B664" s="1">
        <v>45759</v>
      </c>
      <c r="C664" t="s">
        <v>493</v>
      </c>
      <c r="D664" s="19" t="str">
        <f>VLOOKUP($C664,ТабКлиенты[#Data],MATCH(D$1,ТабКлиенты[#Headers],0),0)</f>
        <v>+79495521868, +79495332409</v>
      </c>
      <c r="E664" t="str">
        <f>VLOOKUP($C664,ТабКлиенты[#Data],MATCH(E$1,ТабКлиенты[#Headers],0),0)</f>
        <v>Нахимова 100</v>
      </c>
      <c r="F664" s="80">
        <v>0.45833333333333331</v>
      </c>
      <c r="G664" s="14" t="str">
        <f>VLOOKUP($C664,ТабКлиенты[#Data],MATCH(G$1,ТабКлиенты[#Headers],0),0)</f>
        <v>47.0793, 37.5157</v>
      </c>
      <c r="H664" s="14">
        <v>0</v>
      </c>
      <c r="I664" s="13">
        <v>568</v>
      </c>
      <c r="J664" s="13">
        <v>1</v>
      </c>
      <c r="K664" t="str">
        <f t="shared" si="41"/>
        <v>9. 11:00 АлисаСофия
Тел.: +79495521868, +79495332409
Адрес: Нахимова 100
№ заказа: 568
Кол-во мест: 1
https://yandex.ru/maps/?text=47.0793%2C37.5157
https://maps.google.com/?daddr=47.0793%2C37.5157
К оплате: **0
**--------------------------------</v>
      </c>
    </row>
    <row r="665" spans="1:11" hidden="1" x14ac:dyDescent="0.25">
      <c r="A665">
        <v>10</v>
      </c>
      <c r="B665" s="1">
        <v>45759</v>
      </c>
      <c r="C665" t="s">
        <v>456</v>
      </c>
      <c r="D665" s="19" t="str">
        <f>VLOOKUP($C665,ТабКлиенты[#Data],MATCH(D$1,ТабКлиенты[#Headers],0),0)</f>
        <v>+79497488953</v>
      </c>
      <c r="E665" t="str">
        <f>VLOOKUP($C665,ТабКлиенты[#Data],MATCH(E$1,ТабКлиенты[#Headers],0),0)</f>
        <v>Ленина 183 подъезд 1 (Изумрудный)</v>
      </c>
      <c r="F665" s="80">
        <v>0.46527777777777779</v>
      </c>
      <c r="G665" s="14" t="str">
        <f>VLOOKUP($C665,ТабКлиенты[#Data],MATCH(G$1,ТабКлиенты[#Headers],0),0)</f>
        <v>47.0982, 37.4785</v>
      </c>
      <c r="H665" s="14">
        <v>200</v>
      </c>
      <c r="I665" s="13">
        <v>569</v>
      </c>
      <c r="J665" s="13">
        <v>1</v>
      </c>
      <c r="K665" t="str">
        <f t="shared" si="41"/>
        <v>10. 11:10 Лана
Тел.: +79497488953
Адрес: Ленина 183 подъезд 1 (Изумрудный)
№ заказа: 569
Кол-во мест: 1
https://yandex.ru/maps/?text=47.0982%2C37.4785
https://maps.google.com/?daddr=47.0982%2C37.4785
К оплате: **200
**--------------------------------</v>
      </c>
    </row>
    <row r="666" spans="1:11" hidden="1" x14ac:dyDescent="0.25">
      <c r="A666">
        <v>1</v>
      </c>
      <c r="B666" s="1">
        <v>45764</v>
      </c>
      <c r="C666" t="s">
        <v>2479</v>
      </c>
      <c r="D666" s="19" t="str">
        <f>VLOOKUP($C666,ТабКлиенты[#Data],MATCH(D$1,ТабКлиенты[#Headers],0),0)</f>
        <v>+79497135589</v>
      </c>
      <c r="E666" t="str">
        <f>VLOOKUP($C666,ТабКлиенты[#Data],MATCH(E$1,ТабКлиенты[#Headers],0),0)</f>
        <v>Бахмутская 20</v>
      </c>
      <c r="F666" s="80"/>
      <c r="G666" s="14" t="str">
        <f>VLOOKUP($C666,ТабКлиенты[#Data],MATCH(G$1,ТабКлиенты[#Headers],0),0)</f>
        <v>47.1164, 37.5459</v>
      </c>
      <c r="H666" s="14">
        <v>13750</v>
      </c>
      <c r="K666" t="str">
        <f t="shared" ref="K666:K671" si="42">A666&amp;". "&amp;TEXT(F666,"ЧЧ:ММ")&amp;" "&amp;C666&amp;CHAR(10)&amp;"Тел.: "&amp;D666&amp;CHAR(10)&amp;"Адрес: "&amp;E666&amp;CHAR(10)&amp;"№ заказа: "&amp;I666&amp;CHAR(10)&amp;"Кол-во мест: "&amp;J666&amp;CHAR(10)&amp;"https://yandex.ru/maps/?text="&amp;REPLACE(G666,SEARCH(",",G666),2,"%2C")&amp;CHAR(10)&amp;"https://maps.google.com/?daddr="&amp;REPLACE(G666,SEARCH(",",G666),2,"%2C")&amp;CHAR(10)&amp;"К оплате: "&amp;"**"&amp;H666&amp;CHAR(10)&amp;"**"&amp;"--------------------------------"</f>
        <v>1. 00:00 Оксана молокозавод
Тел.: +79497135589
Адрес: Бахмутская 20
№ заказа: 
Кол-во мест: 
https://yandex.ru/maps/?text=47.1164%2C37.5459
https://maps.google.com/?daddr=47.1164%2C37.5459
К оплате: **13750
**--------------------------------</v>
      </c>
    </row>
    <row r="667" spans="1:11" hidden="1" x14ac:dyDescent="0.25">
      <c r="A667">
        <v>2</v>
      </c>
      <c r="B667" s="1">
        <v>45764</v>
      </c>
      <c r="C667" t="s">
        <v>1432</v>
      </c>
      <c r="D667" s="19" t="str">
        <f>VLOOKUP($C667,ТабКлиенты[#Data],MATCH(D$1,ТабКлиенты[#Headers],0),0)</f>
        <v>+79497095528</v>
      </c>
      <c r="E667" t="str">
        <f>VLOOKUP($C667,ТабКлиенты[#Data],MATCH(E$1,ТабКлиенты[#Headers],0),0)</f>
        <v>9 Авиадивизии 28</v>
      </c>
      <c r="F667" s="80"/>
      <c r="G667" s="14" t="str">
        <f>VLOOKUP($C667,ТабКлиенты[#Data],MATCH(G$1,ТабКлиенты[#Headers],0),0)</f>
        <v>47.1235, 37.5191</v>
      </c>
      <c r="H667" s="14">
        <v>2900</v>
      </c>
      <c r="K667" t="str">
        <f t="shared" si="42"/>
        <v>2. 00:00 Людмила Кордицепс
Тел.: +79497095528
Адрес: 9 Авиадивизии 28
№ заказа: 
Кол-во мест: 
https://yandex.ru/maps/?text=47.1235%2C37.5191
https://maps.google.com/?daddr=47.1235%2C37.5191
К оплате: **2900
**--------------------------------</v>
      </c>
    </row>
    <row r="668" spans="1:11" hidden="1" x14ac:dyDescent="0.25">
      <c r="A668">
        <v>3</v>
      </c>
      <c r="B668" s="1">
        <v>45764</v>
      </c>
      <c r="C668" t="s">
        <v>3085</v>
      </c>
      <c r="D668" s="19" t="str">
        <f>VLOOKUP($C668,ТабКлиенты[#Data],MATCH(D$1,ТабКлиенты[#Headers],0),0)</f>
        <v>+79493850065</v>
      </c>
      <c r="E668" t="str">
        <f>VLOOKUP($C668,ТабКлиенты[#Data],MATCH(E$1,ТабКлиенты[#Headers],0),0)</f>
        <v>Рынок Юмовила</v>
      </c>
      <c r="F668" s="80"/>
      <c r="G668" s="14" t="str">
        <f>VLOOKUP($C668,ТабКлиенты[#Data],MATCH(G$1,ТабКлиенты[#Headers],0),0)</f>
        <v>47.1143, 37.5157</v>
      </c>
      <c r="H668" s="14">
        <v>0</v>
      </c>
      <c r="K668" t="str">
        <f t="shared" si="42"/>
        <v>3. 00:00 Любовь 17
Тел.: +79493850065
Адрес: Рынок Юмовила
№ заказа: 
Кол-во мест: 
https://yandex.ru/maps/?text=47.1143%2C37.5157
https://maps.google.com/?daddr=47.1143%2C37.5157
К оплате: **0
**--------------------------------</v>
      </c>
    </row>
    <row r="669" spans="1:11" hidden="1" x14ac:dyDescent="0.25">
      <c r="A669">
        <v>4</v>
      </c>
      <c r="B669" s="1">
        <v>45764</v>
      </c>
      <c r="C669" t="s">
        <v>3088</v>
      </c>
      <c r="D669" s="19" t="s">
        <v>3091</v>
      </c>
      <c r="E669" t="s">
        <v>3089</v>
      </c>
      <c r="F669" s="80"/>
      <c r="G669" s="14" t="s">
        <v>3090</v>
      </c>
      <c r="H669" s="14">
        <v>2900</v>
      </c>
      <c r="K669" t="str">
        <f t="shared" si="42"/>
        <v>4. 00:00 Сын Надежды
Тел.: +79495996151
Адрес: Краснофлотская 165
№ заказа: 
Кол-во мест: 
https://yandex.ru/maps/?text=47.0904%2C37.4974
https://maps.google.com/?daddr=47.0904%2C37.4974
К оплате: **2900
**--------------------------------</v>
      </c>
    </row>
    <row r="670" spans="1:11" hidden="1" x14ac:dyDescent="0.25">
      <c r="A670">
        <v>5</v>
      </c>
      <c r="B670" s="1">
        <v>45764</v>
      </c>
      <c r="C670" t="s">
        <v>2566</v>
      </c>
      <c r="D670" s="19" t="str">
        <f>VLOOKUP($C670,ТабКлиенты[#Data],MATCH(D$1,ТабКлиенты[#Headers],0),0)</f>
        <v>+79497078921</v>
      </c>
      <c r="E670" t="str">
        <f>VLOOKUP($C670,ТабКлиенты[#Data],MATCH(E$1,ТабКлиенты[#Headers],0),0)</f>
        <v>Черноморская 17</v>
      </c>
      <c r="F670" s="80"/>
      <c r="G670" s="14" t="str">
        <f>VLOOKUP($C670,ТабКлиенты[#Data],MATCH(G$1,ТабКлиенты[#Headers],0),0)</f>
        <v>47.0767, 37.5101</v>
      </c>
      <c r="H670" s="14">
        <v>12400</v>
      </c>
      <c r="K670" t="str">
        <f t="shared" si="42"/>
        <v>5. 00:00 Оксана Черноморская
Тел.: +79497078921
Адрес: Черноморская 17
№ заказа: 
Кол-во мест: 
https://yandex.ru/maps/?text=47.0767%2C37.5101
https://maps.google.com/?daddr=47.0767%2C37.5101
К оплате: **12400
**--------------------------------</v>
      </c>
    </row>
    <row r="671" spans="1:11" hidden="1" x14ac:dyDescent="0.25">
      <c r="A671">
        <v>6</v>
      </c>
      <c r="B671" s="1">
        <v>45764</v>
      </c>
      <c r="C671" t="s">
        <v>3081</v>
      </c>
      <c r="D671" s="19" t="str">
        <f>VLOOKUP($C671,ТабКлиенты[#Data],MATCH(D$1,ТабКлиенты[#Headers],0),0)</f>
        <v>+79495524078</v>
      </c>
      <c r="E671" t="str">
        <f>VLOOKUP($C671,ТабКлиенты[#Data],MATCH(E$1,ТабКлиенты[#Headers],0),0)</f>
        <v>Ленина 87</v>
      </c>
      <c r="F671" s="80"/>
      <c r="G671" s="14" t="str">
        <f>VLOOKUP($C671,ТабКлиенты[#Data],MATCH(G$1,ТабКлиенты[#Headers],0),0)</f>
        <v>47.0980, 37.5374</v>
      </c>
      <c r="H671" s="14">
        <v>2800</v>
      </c>
      <c r="K671" t="str">
        <f t="shared" si="42"/>
        <v>6. 00:00 Елена Ленина 87
Тел.: +79495524078
Адрес: Ленина 87
№ заказа: 
Кол-во мест: 
https://yandex.ru/maps/?text=47.0980%2C37.5374
https://maps.google.com/?daddr=47.0980%2C37.5374
К оплате: **2800
**--------------------------------</v>
      </c>
    </row>
    <row r="672" spans="1:11" x14ac:dyDescent="0.25">
      <c r="A672">
        <v>1</v>
      </c>
      <c r="B672" s="1">
        <v>45766</v>
      </c>
      <c r="C672" t="s">
        <v>148</v>
      </c>
      <c r="D672" s="19" t="str">
        <f>VLOOKUP($C672,ТабКлиенты[#Data],MATCH(D$1,ТабКлиенты[#Headers],0),0)</f>
        <v>+79497270194</v>
      </c>
      <c r="E672" t="str">
        <f>VLOOKUP($C672,ТабКлиенты[#Data],MATCH(E$1,ТабКлиенты[#Headers],0),0)</f>
        <v>Металлургов 92</v>
      </c>
      <c r="F672" s="80">
        <v>0.39583333333333331</v>
      </c>
      <c r="G672" s="14" t="str">
        <f>VLOOKUP($C672,ТабКлиенты[#Data],MATCH(G$1,ТабКлиенты[#Headers],0),0)</f>
        <v>47.1053, 37.5487</v>
      </c>
      <c r="H672" s="14">
        <v>0</v>
      </c>
      <c r="I672" s="13">
        <v>571</v>
      </c>
      <c r="J672" s="13">
        <v>1</v>
      </c>
      <c r="K672" t="str">
        <f t="shared" ref="K672:K680" si="43">A672&amp;". "&amp;TEXT(F672,"ЧЧ:ММ")&amp;" "&amp;C672&amp;CHAR(10)&amp;"Тел.: "&amp;D672&amp;CHAR(10)&amp;"Адрес: "&amp;E672&amp;CHAR(10)&amp;"№ заказа: "&amp;I672&amp;CHAR(10)&amp;"Кол-во мест: "&amp;J672&amp;CHAR(10)&amp;"https://yandex.ru/maps/?text="&amp;REPLACE(G672,SEARCH(",",G672),2,"%2C")&amp;CHAR(10)&amp;"https://maps.google.com/?daddr="&amp;REPLACE(G672,SEARCH(",",G672),2,"%2C")&amp;CHAR(10)&amp;"К оплате: "&amp;"**"&amp;H672&amp;CHAR(10)&amp;"**"&amp;"--------------------------------"</f>
        <v>1. 09:30 Олег Федоров
Тел.: +79497270194
Адрес: Металлургов 92
№ заказа: 571
Кол-во мест: 1
https://yandex.ru/maps/?text=47.1053%2C37.5487
https://maps.google.com/?daddr=47.1053%2C37.5487
К оплате: **0
**--------------------------------</v>
      </c>
    </row>
    <row r="673" spans="1:11" x14ac:dyDescent="0.25">
      <c r="A673">
        <v>2</v>
      </c>
      <c r="B673" s="1">
        <v>45766</v>
      </c>
      <c r="C673" t="s">
        <v>295</v>
      </c>
      <c r="D673" s="19" t="str">
        <f>VLOOKUP($C673,ТабКлиенты[#Data],MATCH(D$1,ТабКлиенты[#Headers],0),0)</f>
        <v>+79497277100</v>
      </c>
      <c r="E673" t="str">
        <f>VLOOKUP($C673,ТабКлиенты[#Data],MATCH(E$1,ТабКлиенты[#Headers],0),0)</f>
        <v>Артема 132</v>
      </c>
      <c r="F673" s="80">
        <v>0.40277777777777779</v>
      </c>
      <c r="G673" s="14" t="str">
        <f>VLOOKUP($C673,ТабКлиенты[#Data],MATCH(G$1,ТабКлиенты[#Headers],0),0)</f>
        <v>47.1085, 37.5599</v>
      </c>
      <c r="H673" s="14">
        <v>7000</v>
      </c>
      <c r="I673" s="13" t="s">
        <v>1271</v>
      </c>
      <c r="J673" s="13">
        <v>1</v>
      </c>
      <c r="K673" t="str">
        <f t="shared" si="43"/>
        <v>2. 09:40 Александр Радин
Тел.: +79497277100
Адрес: Артема 132
№ заказа: Витамины
Кол-во мест: 1
https://yandex.ru/maps/?text=47.1085%2C37.5599
https://maps.google.com/?daddr=47.1085%2C37.5599
К оплате: **7000
**--------------------------------</v>
      </c>
    </row>
    <row r="674" spans="1:11" x14ac:dyDescent="0.25">
      <c r="A674">
        <v>3</v>
      </c>
      <c r="B674" s="1">
        <v>45766</v>
      </c>
      <c r="C674" t="s">
        <v>357</v>
      </c>
      <c r="D674" s="19" t="str">
        <f>VLOOKUP($C674,ТабКлиенты[#Data],MATCH(D$1,ТабКлиенты[#Headers],0),0)</f>
        <v>+79497114644</v>
      </c>
      <c r="E674" t="str">
        <f>VLOOKUP($C674,ТабКлиенты[#Data],MATCH(E$1,ТабКлиенты[#Headers],0),0)</f>
        <v>Металлургов 143</v>
      </c>
      <c r="F674" s="80">
        <v>0.40972222222222221</v>
      </c>
      <c r="G674" s="14" t="str">
        <f>VLOOKUP($C674,ТабКлиенты[#Data],MATCH(G$1,ТабКлиенты[#Headers],0),0)</f>
        <v>47.1199, 37.5643</v>
      </c>
      <c r="H674" s="14">
        <v>0</v>
      </c>
      <c r="I674" s="13">
        <v>562</v>
      </c>
      <c r="J674" s="13">
        <v>1</v>
      </c>
      <c r="K674" t="str">
        <f t="shared" si="43"/>
        <v>3. 09:50 Юля Ларисына
Тел.: +79497114644
Адрес: Металлургов 143
№ заказа: 562
Кол-во мест: 1
https://yandex.ru/maps/?text=47.1199%2C37.5643
https://maps.google.com/?daddr=47.1199%2C37.5643
К оплате: **0
**--------------------------------</v>
      </c>
    </row>
    <row r="675" spans="1:11" x14ac:dyDescent="0.25">
      <c r="A675">
        <v>4</v>
      </c>
      <c r="B675" s="1">
        <v>45766</v>
      </c>
      <c r="C675" t="s">
        <v>1797</v>
      </c>
      <c r="D675" s="19" t="str">
        <f>VLOOKUP($C675,ТабКлиенты[#Data],MATCH(D$1,ТабКлиенты[#Headers],0),0)</f>
        <v>+79497273525</v>
      </c>
      <c r="E675" t="str">
        <f>VLOOKUP($C675,ТабКлиенты[#Data],MATCH(E$1,ТабКлиенты[#Headers],0),0)</f>
        <v>Металлургов 169</v>
      </c>
      <c r="F675" s="80">
        <v>0.41319444444444442</v>
      </c>
      <c r="G675" s="14" t="str">
        <f>VLOOKUP($C675,ТабКлиенты[#Data],MATCH(G$1,ТабКлиенты[#Headers],0),0)</f>
        <v>47.1244, 37.5643</v>
      </c>
      <c r="H675" s="14">
        <v>0</v>
      </c>
      <c r="I675" s="13">
        <v>563</v>
      </c>
      <c r="J675" s="13">
        <v>1</v>
      </c>
      <c r="K675" t="str">
        <f t="shared" si="43"/>
        <v>4. 09:55 Валентина от Светланы
Тел.: +79497273525
Адрес: Металлургов 169
№ заказа: 563
Кол-во мест: 1
https://yandex.ru/maps/?text=47.1244%2C37.5643
https://maps.google.com/?daddr=47.1244%2C37.5643
К оплате: **0
**--------------------------------</v>
      </c>
    </row>
    <row r="676" spans="1:11" x14ac:dyDescent="0.25">
      <c r="A676">
        <v>5</v>
      </c>
      <c r="B676" s="1">
        <v>45766</v>
      </c>
      <c r="C676" t="s">
        <v>445</v>
      </c>
      <c r="D676" s="19" t="str">
        <f>VLOOKUP($C676,ТабКлиенты[#Data],MATCH(D$1,ТабКлиенты[#Headers],0),0)</f>
        <v>+79497262176</v>
      </c>
      <c r="E676" t="str">
        <f>VLOOKUP($C676,ТабКлиенты[#Data],MATCH(E$1,ТабКлиенты[#Headers],0),0)</f>
        <v>Металлургов 179, кв 114</v>
      </c>
      <c r="F676" s="80">
        <v>0.41666666666666669</v>
      </c>
      <c r="G676" s="14" t="str">
        <f>VLOOKUP($C676,ТабКлиенты[#Data],MATCH(G$1,ТабКлиенты[#Headers],0),0)</f>
        <v>47.1248, 37.5657</v>
      </c>
      <c r="H676" s="14">
        <v>0</v>
      </c>
      <c r="I676" s="13">
        <v>504</v>
      </c>
      <c r="J676" s="13">
        <v>1</v>
      </c>
      <c r="K676" t="str">
        <f t="shared" si="43"/>
        <v>5. 10:00 Светлана от Александра
Тел.: +79497262176
Адрес: Металлургов 179, кв 114
№ заказа: 504
Кол-во мест: 1
https://yandex.ru/maps/?text=47.1248%2C37.5657
https://maps.google.com/?daddr=47.1248%2C37.5657
К оплате: **0
**--------------------------------</v>
      </c>
    </row>
    <row r="677" spans="1:11" x14ac:dyDescent="0.25">
      <c r="A677">
        <v>6</v>
      </c>
      <c r="B677" s="1">
        <v>45766</v>
      </c>
      <c r="C677" t="s">
        <v>437</v>
      </c>
      <c r="D677" s="19" t="str">
        <f>VLOOKUP($C677,ТабКлиенты[#Data],MATCH(D$1,ТабКлиенты[#Headers],0),0)</f>
        <v>+79497115237</v>
      </c>
      <c r="E677" t="s">
        <v>2521</v>
      </c>
      <c r="F677" s="80">
        <v>0.4236111111111111</v>
      </c>
      <c r="G677" s="14" t="s">
        <v>2516</v>
      </c>
      <c r="H677" s="14">
        <v>2900</v>
      </c>
      <c r="I677" s="13" t="s">
        <v>1271</v>
      </c>
      <c r="J677" s="13">
        <v>1</v>
      </c>
      <c r="K677" t="str">
        <f t="shared" si="43"/>
        <v>6. 10:10 Аня Мирный
Тел.: +79497115237
Адрес: Левченко 1
№ заказа: Витамины
Кол-во мест: 1
https://yandex.ru/maps/?text=47.1396%2C37.5937
https://maps.google.com/?daddr=47.1396%2C37.5937
К оплате: **2900
**--------------------------------</v>
      </c>
    </row>
    <row r="678" spans="1:11" x14ac:dyDescent="0.25">
      <c r="A678">
        <v>7</v>
      </c>
      <c r="B678" s="1">
        <v>45766</v>
      </c>
      <c r="C678" t="s">
        <v>2741</v>
      </c>
      <c r="D678" s="19" t="str">
        <f>VLOOKUP($C678,ТабКлиенты[#Data],MATCH(D$1,ТабКлиенты[#Headers],0),0)</f>
        <v>+79495995496</v>
      </c>
      <c r="E678" t="str">
        <f>VLOOKUP($C678,ТабКлиенты[#Data],MATCH(E$1,ТабКлиенты[#Headers],0),0)</f>
        <v>Шевченко 305</v>
      </c>
      <c r="F678" s="80">
        <v>0.4375</v>
      </c>
      <c r="G678" s="14" t="str">
        <f>VLOOKUP($C678,ТабКлиенты[#Data],MATCH(G$1,ТабКлиенты[#Headers],0),0)</f>
        <v>47.1185, 37.5198</v>
      </c>
      <c r="H678" s="14">
        <v>0</v>
      </c>
      <c r="I678" s="13">
        <v>570</v>
      </c>
      <c r="J678" s="13">
        <v>1</v>
      </c>
      <c r="K678" t="str">
        <f t="shared" si="43"/>
        <v>7. 10:30 Юля Шевченко 305
Тел.: +79495995496
Адрес: Шевченко 305
№ заказа: 570
Кол-во мест: 1
https://yandex.ru/maps/?text=47.1185%2C37.5198
https://maps.google.com/?daddr=47.1185%2C37.5198
К оплате: **0
**--------------------------------</v>
      </c>
    </row>
    <row r="679" spans="1:11" x14ac:dyDescent="0.25">
      <c r="A679">
        <v>8</v>
      </c>
      <c r="B679" s="1">
        <v>45766</v>
      </c>
      <c r="C679" t="s">
        <v>1482</v>
      </c>
      <c r="D679" s="19" t="str">
        <f>VLOOKUP($C679,ТабКлиенты[#Data],MATCH(D$1,ТабКлиенты[#Headers],0),0)</f>
        <v>+79497178586</v>
      </c>
      <c r="E679" t="str">
        <f>VLOOKUP($C679,ТабКлиенты[#Data],MATCH(E$1,ТабКлиенты[#Headers],0),0)</f>
        <v>Куприна 51</v>
      </c>
      <c r="F679" s="80">
        <v>0.47916666666666669</v>
      </c>
      <c r="G679" s="14" t="str">
        <f>VLOOKUP($C679,ТабКлиенты[#Data],MATCH(G$1,ТабКлиенты[#Headers],0),0)</f>
        <v>47.1094, 37.5104</v>
      </c>
      <c r="H679" s="14">
        <v>0</v>
      </c>
      <c r="I679" s="13">
        <v>565</v>
      </c>
      <c r="J679" s="13">
        <v>1</v>
      </c>
      <c r="K679" t="str">
        <f t="shared" si="43"/>
        <v>8. 11:30 Михаил Куприна
Тел.: +79497178586
Адрес: Куприна 51
№ заказа: 565
Кол-во мест: 1
https://yandex.ru/maps/?text=47.1094%2C37.5104
https://maps.google.com/?daddr=47.1094%2C37.5104
К оплате: **0
**--------------------------------</v>
      </c>
    </row>
    <row r="680" spans="1:11" x14ac:dyDescent="0.25">
      <c r="A680">
        <v>9</v>
      </c>
      <c r="B680" s="1">
        <v>45766</v>
      </c>
      <c r="C680" t="s">
        <v>2751</v>
      </c>
      <c r="D680" s="19" t="str">
        <f>VLOOKUP($C680,ТабКлиенты[#Data],MATCH(D$1,ТабКлиенты[#Headers],0),0)</f>
        <v>+79495600470</v>
      </c>
      <c r="E680" t="s">
        <v>3095</v>
      </c>
      <c r="F680" s="80">
        <v>0.48958333333333331</v>
      </c>
      <c r="G680" s="14" t="s">
        <v>3096</v>
      </c>
      <c r="H680" s="14">
        <v>1200</v>
      </c>
      <c r="I680" s="13" t="s">
        <v>1271</v>
      </c>
      <c r="J680" s="13">
        <v>1</v>
      </c>
      <c r="K680" t="str">
        <f t="shared" si="43"/>
        <v>9. 11:45 Марина 50 Лет СССР 16
Тел.: +79495600470
Адрес: Нахимова 168
№ заказа: Витамины
Кол-во мест: 1
https://yandex.ru/maps/?text=47.0884%2C37.5258
https://maps.google.com/?daddr=47.0884%2C37.5258
К оплате: **1200
**--------------------------------</v>
      </c>
    </row>
    <row r="681" spans="1:11" hidden="1" x14ac:dyDescent="0.25">
      <c r="D681" s="19" t="e">
        <f>VLOOKUP($C681,ТабКлиенты[#Data],MATCH(D$1,ТабКлиенты[#Headers],0),0)</f>
        <v>#N/A</v>
      </c>
      <c r="E681" t="e">
        <f>VLOOKUP($C681,ТабКлиенты[#Data],MATCH(E$1,ТабКлиенты[#Headers],0),0)</f>
        <v>#N/A</v>
      </c>
      <c r="F681" s="80"/>
      <c r="G681" s="14" t="e">
        <f>VLOOKUP($C681,ТабКлиенты[#Data],MATCH(G$1,ТабКлиенты[#Headers],0),0)</f>
        <v>#N/A</v>
      </c>
      <c r="H681" s="14"/>
      <c r="K681" t="e">
        <f t="shared" ref="K681:K762" si="44">A681&amp;". "&amp;TEXT(F681,"ЧЧ:ММ")&amp;" "&amp;C681&amp;CHAR(10)&amp;"Тел.: "&amp;D681&amp;CHAR(10)&amp;"Адрес: "&amp;E681&amp;CHAR(10)&amp;"№ заказа: "&amp;I681&amp;CHAR(10)&amp;"Кол-во мест: "&amp;J681&amp;CHAR(10)&amp;"https://yandex.ru/maps/?text="&amp;REPLACE(G681,SEARCH(",",G681),2,"%2C")&amp;CHAR(10)&amp;"https://maps.google.com/?daddr="&amp;REPLACE(G681,SEARCH(",",G681),2,"%2C")&amp;CHAR(10)&amp;"К оплате: "&amp;"**"&amp;H681&amp;CHAR(10)&amp;"**"&amp;"--------------------------------"</f>
        <v>#N/A</v>
      </c>
    </row>
    <row r="682" spans="1:11" hidden="1" x14ac:dyDescent="0.25">
      <c r="D682" s="19" t="e">
        <f>VLOOKUP($C682,ТабКлиенты[#Data],MATCH(D$1,ТабКлиенты[#Headers],0),0)</f>
        <v>#N/A</v>
      </c>
      <c r="E682" t="e">
        <f>VLOOKUP($C682,ТабКлиенты[#Data],MATCH(E$1,ТабКлиенты[#Headers],0),0)</f>
        <v>#N/A</v>
      </c>
      <c r="F682" s="80"/>
      <c r="G682" s="14" t="e">
        <f>VLOOKUP($C682,ТабКлиенты[#Data],MATCH(G$1,ТабКлиенты[#Headers],0),0)</f>
        <v>#N/A</v>
      </c>
      <c r="H682" s="14"/>
      <c r="K682" t="e">
        <f t="shared" si="44"/>
        <v>#N/A</v>
      </c>
    </row>
    <row r="683" spans="1:11" hidden="1" x14ac:dyDescent="0.25">
      <c r="D683" s="19" t="e">
        <f>VLOOKUP($C683,ТабКлиенты[#Data],MATCH(D$1,ТабКлиенты[#Headers],0),0)</f>
        <v>#N/A</v>
      </c>
      <c r="E683" t="e">
        <f>VLOOKUP($C683,ТабКлиенты[#Data],MATCH(E$1,ТабКлиенты[#Headers],0),0)</f>
        <v>#N/A</v>
      </c>
      <c r="F683" s="80"/>
      <c r="G683" s="14" t="e">
        <f>VLOOKUP($C683,ТабКлиенты[#Data],MATCH(G$1,ТабКлиенты[#Headers],0),0)</f>
        <v>#N/A</v>
      </c>
      <c r="H683" s="14"/>
      <c r="K683" t="e">
        <f t="shared" si="44"/>
        <v>#N/A</v>
      </c>
    </row>
    <row r="684" spans="1:11" hidden="1" x14ac:dyDescent="0.25">
      <c r="D684" s="19" t="e">
        <f>VLOOKUP($C684,ТабКлиенты[#Data],MATCH(D$1,ТабКлиенты[#Headers],0),0)</f>
        <v>#N/A</v>
      </c>
      <c r="E684" t="e">
        <f>VLOOKUP($C684,ТабКлиенты[#Data],MATCH(E$1,ТабКлиенты[#Headers],0),0)</f>
        <v>#N/A</v>
      </c>
      <c r="F684" s="80"/>
      <c r="G684" s="14" t="e">
        <f>VLOOKUP($C684,ТабКлиенты[#Data],MATCH(G$1,ТабКлиенты[#Headers],0),0)</f>
        <v>#N/A</v>
      </c>
      <c r="H684" s="14"/>
      <c r="K684" t="e">
        <f t="shared" si="44"/>
        <v>#N/A</v>
      </c>
    </row>
    <row r="685" spans="1:11" hidden="1" x14ac:dyDescent="0.25">
      <c r="D685" s="19" t="e">
        <f>VLOOKUP($C685,ТабКлиенты[#Data],MATCH(D$1,ТабКлиенты[#Headers],0),0)</f>
        <v>#N/A</v>
      </c>
      <c r="E685" t="e">
        <f>VLOOKUP($C685,ТабКлиенты[#Data],MATCH(E$1,ТабКлиенты[#Headers],0),0)</f>
        <v>#N/A</v>
      </c>
      <c r="F685" s="80"/>
      <c r="G685" s="14" t="e">
        <f>VLOOKUP($C685,ТабКлиенты[#Data],MATCH(G$1,ТабКлиенты[#Headers],0),0)</f>
        <v>#N/A</v>
      </c>
      <c r="H685" s="14"/>
      <c r="K685" t="e">
        <f t="shared" si="44"/>
        <v>#N/A</v>
      </c>
    </row>
    <row r="686" spans="1:11" hidden="1" x14ac:dyDescent="0.25">
      <c r="D686" s="19" t="e">
        <f>VLOOKUP($C686,ТабКлиенты[#Data],MATCH(D$1,ТабКлиенты[#Headers],0),0)</f>
        <v>#N/A</v>
      </c>
      <c r="E686" t="e">
        <f>VLOOKUP($C686,ТабКлиенты[#Data],MATCH(E$1,ТабКлиенты[#Headers],0),0)</f>
        <v>#N/A</v>
      </c>
      <c r="F686" s="80"/>
      <c r="G686" s="14" t="e">
        <f>VLOOKUP($C686,ТабКлиенты[#Data],MATCH(G$1,ТабКлиенты[#Headers],0),0)</f>
        <v>#N/A</v>
      </c>
      <c r="H686" s="14"/>
      <c r="K686" t="e">
        <f t="shared" si="44"/>
        <v>#N/A</v>
      </c>
    </row>
    <row r="687" spans="1:11" hidden="1" x14ac:dyDescent="0.25">
      <c r="D687" s="19" t="e">
        <f>VLOOKUP($C687,ТабКлиенты[#Data],MATCH(D$1,ТабКлиенты[#Headers],0),0)</f>
        <v>#N/A</v>
      </c>
      <c r="E687" t="e">
        <f>VLOOKUP($C687,ТабКлиенты[#Data],MATCH(E$1,ТабКлиенты[#Headers],0),0)</f>
        <v>#N/A</v>
      </c>
      <c r="F687" s="80"/>
      <c r="G687" s="14" t="e">
        <f>VLOOKUP($C687,ТабКлиенты[#Data],MATCH(G$1,ТабКлиенты[#Headers],0),0)</f>
        <v>#N/A</v>
      </c>
      <c r="H687" s="14"/>
      <c r="K687" t="e">
        <f t="shared" si="44"/>
        <v>#N/A</v>
      </c>
    </row>
    <row r="688" spans="1:11" hidden="1" x14ac:dyDescent="0.25">
      <c r="D688" s="19" t="e">
        <f>VLOOKUP($C688,ТабКлиенты[#Data],MATCH(D$1,ТабКлиенты[#Headers],0),0)</f>
        <v>#N/A</v>
      </c>
      <c r="E688" t="e">
        <f>VLOOKUP($C688,ТабКлиенты[#Data],MATCH(E$1,ТабКлиенты[#Headers],0),0)</f>
        <v>#N/A</v>
      </c>
      <c r="F688" s="80"/>
      <c r="G688" s="14" t="e">
        <f>VLOOKUP($C688,ТабКлиенты[#Data],MATCH(G$1,ТабКлиенты[#Headers],0),0)</f>
        <v>#N/A</v>
      </c>
      <c r="H688" s="14"/>
      <c r="K688" t="e">
        <f t="shared" si="44"/>
        <v>#N/A</v>
      </c>
    </row>
    <row r="689" spans="4:11" hidden="1" x14ac:dyDescent="0.25">
      <c r="D689" s="19" t="e">
        <f>VLOOKUP($C689,ТабКлиенты[#Data],MATCH(D$1,ТабКлиенты[#Headers],0),0)</f>
        <v>#N/A</v>
      </c>
      <c r="E689" t="e">
        <f>VLOOKUP($C689,ТабКлиенты[#Data],MATCH(E$1,ТабКлиенты[#Headers],0),0)</f>
        <v>#N/A</v>
      </c>
      <c r="F689" s="80"/>
      <c r="G689" s="14" t="e">
        <f>VLOOKUP($C689,ТабКлиенты[#Data],MATCH(G$1,ТабКлиенты[#Headers],0),0)</f>
        <v>#N/A</v>
      </c>
      <c r="H689" s="14"/>
      <c r="K689" t="e">
        <f t="shared" si="44"/>
        <v>#N/A</v>
      </c>
    </row>
    <row r="690" spans="4:11" hidden="1" x14ac:dyDescent="0.25">
      <c r="D690" s="19" t="e">
        <f>VLOOKUP($C690,ТабКлиенты[#Data],MATCH(D$1,ТабКлиенты[#Headers],0),0)</f>
        <v>#N/A</v>
      </c>
      <c r="E690" t="e">
        <f>VLOOKUP($C690,ТабКлиенты[#Data],MATCH(E$1,ТабКлиенты[#Headers],0),0)</f>
        <v>#N/A</v>
      </c>
      <c r="F690" s="80"/>
      <c r="G690" s="14" t="e">
        <f>VLOOKUP($C690,ТабКлиенты[#Data],MATCH(G$1,ТабКлиенты[#Headers],0),0)</f>
        <v>#N/A</v>
      </c>
      <c r="H690" s="14"/>
      <c r="K690" t="e">
        <f t="shared" si="44"/>
        <v>#N/A</v>
      </c>
    </row>
    <row r="691" spans="4:11" hidden="1" x14ac:dyDescent="0.25">
      <c r="D691" s="19" t="e">
        <f>VLOOKUP($C691,ТабКлиенты[#Data],MATCH(D$1,ТабКлиенты[#Headers],0),0)</f>
        <v>#N/A</v>
      </c>
      <c r="E691" t="e">
        <f>VLOOKUP($C691,ТабКлиенты[#Data],MATCH(E$1,ТабКлиенты[#Headers],0),0)</f>
        <v>#N/A</v>
      </c>
      <c r="F691" s="80"/>
      <c r="G691" s="14" t="e">
        <f>VLOOKUP($C691,ТабКлиенты[#Data],MATCH(G$1,ТабКлиенты[#Headers],0),0)</f>
        <v>#N/A</v>
      </c>
      <c r="H691" s="14"/>
      <c r="K691" t="e">
        <f t="shared" si="44"/>
        <v>#N/A</v>
      </c>
    </row>
    <row r="692" spans="4:11" hidden="1" x14ac:dyDescent="0.25">
      <c r="D692" s="19" t="e">
        <f>VLOOKUP($C692,ТабКлиенты[#Data],MATCH(D$1,ТабКлиенты[#Headers],0),0)</f>
        <v>#N/A</v>
      </c>
      <c r="E692" t="e">
        <f>VLOOKUP($C692,ТабКлиенты[#Data],MATCH(E$1,ТабКлиенты[#Headers],0),0)</f>
        <v>#N/A</v>
      </c>
      <c r="F692" s="80"/>
      <c r="G692" s="14" t="e">
        <f>VLOOKUP($C692,ТабКлиенты[#Data],MATCH(G$1,ТабКлиенты[#Headers],0),0)</f>
        <v>#N/A</v>
      </c>
      <c r="H692" s="14"/>
      <c r="K692" t="e">
        <f t="shared" si="44"/>
        <v>#N/A</v>
      </c>
    </row>
    <row r="693" spans="4:11" hidden="1" x14ac:dyDescent="0.25">
      <c r="D693" s="19" t="e">
        <f>VLOOKUP($C693,ТабКлиенты[#Data],MATCH(D$1,ТабКлиенты[#Headers],0),0)</f>
        <v>#N/A</v>
      </c>
      <c r="E693" t="e">
        <f>VLOOKUP($C693,ТабКлиенты[#Data],MATCH(E$1,ТабКлиенты[#Headers],0),0)</f>
        <v>#N/A</v>
      </c>
      <c r="F693" s="80"/>
      <c r="G693" s="14" t="e">
        <f>VLOOKUP($C693,ТабКлиенты[#Data],MATCH(G$1,ТабКлиенты[#Headers],0),0)</f>
        <v>#N/A</v>
      </c>
      <c r="H693" s="14"/>
      <c r="K693" t="e">
        <f t="shared" si="44"/>
        <v>#N/A</v>
      </c>
    </row>
    <row r="694" spans="4:11" hidden="1" x14ac:dyDescent="0.25">
      <c r="D694" s="19" t="e">
        <f>VLOOKUP($C694,ТабКлиенты[#Data],MATCH(D$1,ТабКлиенты[#Headers],0),0)</f>
        <v>#N/A</v>
      </c>
      <c r="E694" t="e">
        <f>VLOOKUP($C694,ТабКлиенты[#Data],MATCH(E$1,ТабКлиенты[#Headers],0),0)</f>
        <v>#N/A</v>
      </c>
      <c r="F694" s="80"/>
      <c r="G694" s="14" t="e">
        <f>VLOOKUP($C694,ТабКлиенты[#Data],MATCH(G$1,ТабКлиенты[#Headers],0),0)</f>
        <v>#N/A</v>
      </c>
      <c r="H694" s="14"/>
      <c r="K694" t="e">
        <f t="shared" si="44"/>
        <v>#N/A</v>
      </c>
    </row>
    <row r="695" spans="4:11" hidden="1" x14ac:dyDescent="0.25">
      <c r="D695" s="19" t="e">
        <f>VLOOKUP($C695,ТабКлиенты[#Data],MATCH(D$1,ТабКлиенты[#Headers],0),0)</f>
        <v>#N/A</v>
      </c>
      <c r="E695" t="e">
        <f>VLOOKUP($C695,ТабКлиенты[#Data],MATCH(E$1,ТабКлиенты[#Headers],0),0)</f>
        <v>#N/A</v>
      </c>
      <c r="F695" s="80"/>
      <c r="G695" s="14" t="e">
        <f>VLOOKUP($C695,ТабКлиенты[#Data],MATCH(G$1,ТабКлиенты[#Headers],0),0)</f>
        <v>#N/A</v>
      </c>
      <c r="H695" s="14"/>
      <c r="K695" t="e">
        <f t="shared" si="44"/>
        <v>#N/A</v>
      </c>
    </row>
    <row r="696" spans="4:11" hidden="1" x14ac:dyDescent="0.25">
      <c r="D696" s="19" t="e">
        <f>VLOOKUP($C696,ТабКлиенты[#Data],MATCH(D$1,ТабКлиенты[#Headers],0),0)</f>
        <v>#N/A</v>
      </c>
      <c r="E696" t="e">
        <f>VLOOKUP($C696,ТабКлиенты[#Data],MATCH(E$1,ТабКлиенты[#Headers],0),0)</f>
        <v>#N/A</v>
      </c>
      <c r="F696" s="80"/>
      <c r="G696" s="14" t="e">
        <f>VLOOKUP($C696,ТабКлиенты[#Data],MATCH(G$1,ТабКлиенты[#Headers],0),0)</f>
        <v>#N/A</v>
      </c>
      <c r="H696" s="14"/>
      <c r="K696" t="e">
        <f t="shared" si="44"/>
        <v>#N/A</v>
      </c>
    </row>
    <row r="697" spans="4:11" hidden="1" x14ac:dyDescent="0.25">
      <c r="D697" s="19" t="e">
        <f>VLOOKUP($C697,ТабКлиенты[#Data],MATCH(D$1,ТабКлиенты[#Headers],0),0)</f>
        <v>#N/A</v>
      </c>
      <c r="E697" t="e">
        <f>VLOOKUP($C697,ТабКлиенты[#Data],MATCH(E$1,ТабКлиенты[#Headers],0),0)</f>
        <v>#N/A</v>
      </c>
      <c r="F697" s="80"/>
      <c r="G697" s="14" t="e">
        <f>VLOOKUP($C697,ТабКлиенты[#Data],MATCH(G$1,ТабКлиенты[#Headers],0),0)</f>
        <v>#N/A</v>
      </c>
      <c r="H697" s="14"/>
      <c r="K697" t="e">
        <f t="shared" si="44"/>
        <v>#N/A</v>
      </c>
    </row>
    <row r="698" spans="4:11" hidden="1" x14ac:dyDescent="0.25">
      <c r="D698" s="19" t="e">
        <f>VLOOKUP($C698,ТабКлиенты[#Data],MATCH(D$1,ТабКлиенты[#Headers],0),0)</f>
        <v>#N/A</v>
      </c>
      <c r="E698" t="e">
        <f>VLOOKUP($C698,ТабКлиенты[#Data],MATCH(E$1,ТабКлиенты[#Headers],0),0)</f>
        <v>#N/A</v>
      </c>
      <c r="F698" s="80"/>
      <c r="G698" s="14" t="e">
        <f>VLOOKUP($C698,ТабКлиенты[#Data],MATCH(G$1,ТабКлиенты[#Headers],0),0)</f>
        <v>#N/A</v>
      </c>
      <c r="H698" s="14"/>
      <c r="K698" t="e">
        <f t="shared" si="44"/>
        <v>#N/A</v>
      </c>
    </row>
    <row r="699" spans="4:11" hidden="1" x14ac:dyDescent="0.25">
      <c r="D699" s="19" t="e">
        <f>VLOOKUP($C699,ТабКлиенты[#Data],MATCH(D$1,ТабКлиенты[#Headers],0),0)</f>
        <v>#N/A</v>
      </c>
      <c r="E699" t="e">
        <f>VLOOKUP($C699,ТабКлиенты[#Data],MATCH(E$1,ТабКлиенты[#Headers],0),0)</f>
        <v>#N/A</v>
      </c>
      <c r="F699" s="80"/>
      <c r="G699" s="14" t="e">
        <f>VLOOKUP($C699,ТабКлиенты[#Data],MATCH(G$1,ТабКлиенты[#Headers],0),0)</f>
        <v>#N/A</v>
      </c>
      <c r="H699" s="14"/>
      <c r="K699" t="e">
        <f t="shared" si="44"/>
        <v>#N/A</v>
      </c>
    </row>
    <row r="700" spans="4:11" hidden="1" x14ac:dyDescent="0.25">
      <c r="D700" s="19" t="e">
        <f>VLOOKUP($C700,ТабКлиенты[#Data],MATCH(D$1,ТабКлиенты[#Headers],0),0)</f>
        <v>#N/A</v>
      </c>
      <c r="E700" t="e">
        <f>VLOOKUP($C700,ТабКлиенты[#Data],MATCH(E$1,ТабКлиенты[#Headers],0),0)</f>
        <v>#N/A</v>
      </c>
      <c r="F700" s="80"/>
      <c r="G700" s="14" t="e">
        <f>VLOOKUP($C700,ТабКлиенты[#Data],MATCH(G$1,ТабКлиенты[#Headers],0),0)</f>
        <v>#N/A</v>
      </c>
      <c r="H700" s="14"/>
      <c r="K700" t="e">
        <f t="shared" si="44"/>
        <v>#N/A</v>
      </c>
    </row>
    <row r="701" spans="4:11" hidden="1" x14ac:dyDescent="0.25">
      <c r="D701" s="19" t="e">
        <f>VLOOKUP($C701,ТабКлиенты[#Data],MATCH(D$1,ТабКлиенты[#Headers],0),0)</f>
        <v>#N/A</v>
      </c>
      <c r="E701" t="e">
        <f>VLOOKUP($C701,ТабКлиенты[#Data],MATCH(E$1,ТабКлиенты[#Headers],0),0)</f>
        <v>#N/A</v>
      </c>
      <c r="F701" s="80"/>
      <c r="G701" s="14" t="e">
        <f>VLOOKUP($C701,ТабКлиенты[#Data],MATCH(G$1,ТабКлиенты[#Headers],0),0)</f>
        <v>#N/A</v>
      </c>
      <c r="H701" s="14"/>
      <c r="K701" t="e">
        <f t="shared" si="44"/>
        <v>#N/A</v>
      </c>
    </row>
    <row r="702" spans="4:11" hidden="1" x14ac:dyDescent="0.25">
      <c r="D702" s="19" t="e">
        <f>VLOOKUP($C702,ТабКлиенты[#Data],MATCH(D$1,ТабКлиенты[#Headers],0),0)</f>
        <v>#N/A</v>
      </c>
      <c r="E702" t="e">
        <f>VLOOKUP($C702,ТабКлиенты[#Data],MATCH(E$1,ТабКлиенты[#Headers],0),0)</f>
        <v>#N/A</v>
      </c>
      <c r="F702" s="80"/>
      <c r="G702" s="14" t="e">
        <f>VLOOKUP($C702,ТабКлиенты[#Data],MATCH(G$1,ТабКлиенты[#Headers],0),0)</f>
        <v>#N/A</v>
      </c>
      <c r="H702" s="14"/>
      <c r="K702" t="e">
        <f t="shared" si="44"/>
        <v>#N/A</v>
      </c>
    </row>
    <row r="703" spans="4:11" hidden="1" x14ac:dyDescent="0.25">
      <c r="D703" s="19" t="e">
        <f>VLOOKUP($C703,ТабКлиенты[#Data],MATCH(D$1,ТабКлиенты[#Headers],0),0)</f>
        <v>#N/A</v>
      </c>
      <c r="E703" t="e">
        <f>VLOOKUP($C703,ТабКлиенты[#Data],MATCH(E$1,ТабКлиенты[#Headers],0),0)</f>
        <v>#N/A</v>
      </c>
      <c r="F703" s="80"/>
      <c r="G703" s="14" t="e">
        <f>VLOOKUP($C703,ТабКлиенты[#Data],MATCH(G$1,ТабКлиенты[#Headers],0),0)</f>
        <v>#N/A</v>
      </c>
      <c r="H703" s="14"/>
      <c r="K703" t="e">
        <f t="shared" si="44"/>
        <v>#N/A</v>
      </c>
    </row>
    <row r="704" spans="4:11" hidden="1" x14ac:dyDescent="0.25">
      <c r="D704" s="19" t="e">
        <f>VLOOKUP($C704,ТабКлиенты[#Data],MATCH(D$1,ТабКлиенты[#Headers],0),0)</f>
        <v>#N/A</v>
      </c>
      <c r="E704" t="e">
        <f>VLOOKUP($C704,ТабКлиенты[#Data],MATCH(E$1,ТабКлиенты[#Headers],0),0)</f>
        <v>#N/A</v>
      </c>
      <c r="F704" s="80"/>
      <c r="G704" s="14" t="e">
        <f>VLOOKUP($C704,ТабКлиенты[#Data],MATCH(G$1,ТабКлиенты[#Headers],0),0)</f>
        <v>#N/A</v>
      </c>
      <c r="H704" s="14"/>
      <c r="K704" t="e">
        <f t="shared" si="44"/>
        <v>#N/A</v>
      </c>
    </row>
    <row r="705" spans="4:11" hidden="1" x14ac:dyDescent="0.25">
      <c r="D705" s="19" t="e">
        <f>VLOOKUP($C705,ТабКлиенты[#Data],MATCH(D$1,ТабКлиенты[#Headers],0),0)</f>
        <v>#N/A</v>
      </c>
      <c r="E705" t="e">
        <f>VLOOKUP($C705,ТабКлиенты[#Data],MATCH(E$1,ТабКлиенты[#Headers],0),0)</f>
        <v>#N/A</v>
      </c>
      <c r="F705" s="80"/>
      <c r="G705" s="14" t="e">
        <f>VLOOKUP($C705,ТабКлиенты[#Data],MATCH(G$1,ТабКлиенты[#Headers],0),0)</f>
        <v>#N/A</v>
      </c>
      <c r="H705" s="14"/>
      <c r="K705" t="e">
        <f t="shared" si="44"/>
        <v>#N/A</v>
      </c>
    </row>
    <row r="706" spans="4:11" hidden="1" x14ac:dyDescent="0.25">
      <c r="D706" s="19" t="e">
        <f>VLOOKUP($C706,ТабКлиенты[#Data],MATCH(D$1,ТабКлиенты[#Headers],0),0)</f>
        <v>#N/A</v>
      </c>
      <c r="E706" t="e">
        <f>VLOOKUP($C706,ТабКлиенты[#Data],MATCH(E$1,ТабКлиенты[#Headers],0),0)</f>
        <v>#N/A</v>
      </c>
      <c r="F706" s="80"/>
      <c r="G706" s="14" t="e">
        <f>VLOOKUP($C706,ТабКлиенты[#Data],MATCH(G$1,ТабКлиенты[#Headers],0),0)</f>
        <v>#N/A</v>
      </c>
      <c r="H706" s="14"/>
      <c r="K706" t="e">
        <f t="shared" si="44"/>
        <v>#N/A</v>
      </c>
    </row>
    <row r="707" spans="4:11" hidden="1" x14ac:dyDescent="0.25">
      <c r="D707" s="19" t="e">
        <f>VLOOKUP($C707,ТабКлиенты[#Data],MATCH(D$1,ТабКлиенты[#Headers],0),0)</f>
        <v>#N/A</v>
      </c>
      <c r="E707" t="e">
        <f>VLOOKUP($C707,ТабКлиенты[#Data],MATCH(E$1,ТабКлиенты[#Headers],0),0)</f>
        <v>#N/A</v>
      </c>
      <c r="F707" s="80"/>
      <c r="G707" s="14" t="e">
        <f>VLOOKUP($C707,ТабКлиенты[#Data],MATCH(G$1,ТабКлиенты[#Headers],0),0)</f>
        <v>#N/A</v>
      </c>
      <c r="H707" s="14"/>
      <c r="K707" t="e">
        <f t="shared" si="44"/>
        <v>#N/A</v>
      </c>
    </row>
    <row r="708" spans="4:11" hidden="1" x14ac:dyDescent="0.25">
      <c r="D708" s="19" t="e">
        <f>VLOOKUP($C708,ТабКлиенты[#Data],MATCH(D$1,ТабКлиенты[#Headers],0),0)</f>
        <v>#N/A</v>
      </c>
      <c r="E708" t="e">
        <f>VLOOKUP($C708,ТабКлиенты[#Data],MATCH(E$1,ТабКлиенты[#Headers],0),0)</f>
        <v>#N/A</v>
      </c>
      <c r="F708" s="80"/>
      <c r="G708" s="14" t="e">
        <f>VLOOKUP($C708,ТабКлиенты[#Data],MATCH(G$1,ТабКлиенты[#Headers],0),0)</f>
        <v>#N/A</v>
      </c>
      <c r="H708" s="14"/>
      <c r="K708" t="e">
        <f t="shared" si="44"/>
        <v>#N/A</v>
      </c>
    </row>
    <row r="709" spans="4:11" hidden="1" x14ac:dyDescent="0.25">
      <c r="D709" s="19" t="e">
        <f>VLOOKUP($C709,ТабКлиенты[#Data],MATCH(D$1,ТабКлиенты[#Headers],0),0)</f>
        <v>#N/A</v>
      </c>
      <c r="E709" t="e">
        <f>VLOOKUP($C709,ТабКлиенты[#Data],MATCH(E$1,ТабКлиенты[#Headers],0),0)</f>
        <v>#N/A</v>
      </c>
      <c r="F709" s="80"/>
      <c r="G709" s="14" t="e">
        <f>VLOOKUP($C709,ТабКлиенты[#Data],MATCH(G$1,ТабКлиенты[#Headers],0),0)</f>
        <v>#N/A</v>
      </c>
      <c r="H709" s="14"/>
      <c r="K709" t="e">
        <f t="shared" si="44"/>
        <v>#N/A</v>
      </c>
    </row>
    <row r="710" spans="4:11" hidden="1" x14ac:dyDescent="0.25">
      <c r="D710" s="19" t="e">
        <f>VLOOKUP($C710,ТабКлиенты[#Data],MATCH(D$1,ТабКлиенты[#Headers],0),0)</f>
        <v>#N/A</v>
      </c>
      <c r="E710" t="e">
        <f>VLOOKUP($C710,ТабКлиенты[#Data],MATCH(E$1,ТабКлиенты[#Headers],0),0)</f>
        <v>#N/A</v>
      </c>
      <c r="F710" s="80"/>
      <c r="G710" s="14" t="e">
        <f>VLOOKUP($C710,ТабКлиенты[#Data],MATCH(G$1,ТабКлиенты[#Headers],0),0)</f>
        <v>#N/A</v>
      </c>
      <c r="H710" s="14"/>
      <c r="K710" t="e">
        <f t="shared" si="44"/>
        <v>#N/A</v>
      </c>
    </row>
    <row r="711" spans="4:11" hidden="1" x14ac:dyDescent="0.25">
      <c r="D711" s="19" t="e">
        <f>VLOOKUP($C711,ТабКлиенты[#Data],MATCH(D$1,ТабКлиенты[#Headers],0),0)</f>
        <v>#N/A</v>
      </c>
      <c r="E711" t="e">
        <f>VLOOKUP($C711,ТабКлиенты[#Data],MATCH(E$1,ТабКлиенты[#Headers],0),0)</f>
        <v>#N/A</v>
      </c>
      <c r="F711" s="80"/>
      <c r="G711" s="14" t="e">
        <f>VLOOKUP($C711,ТабКлиенты[#Data],MATCH(G$1,ТабКлиенты[#Headers],0),0)</f>
        <v>#N/A</v>
      </c>
      <c r="H711" s="14"/>
      <c r="K711" t="e">
        <f t="shared" si="44"/>
        <v>#N/A</v>
      </c>
    </row>
    <row r="712" spans="4:11" hidden="1" x14ac:dyDescent="0.25">
      <c r="D712" s="19" t="e">
        <f>VLOOKUP($C712,ТабКлиенты[#Data],MATCH(D$1,ТабКлиенты[#Headers],0),0)</f>
        <v>#N/A</v>
      </c>
      <c r="E712" t="e">
        <f>VLOOKUP($C712,ТабКлиенты[#Data],MATCH(E$1,ТабКлиенты[#Headers],0),0)</f>
        <v>#N/A</v>
      </c>
      <c r="F712" s="80"/>
      <c r="G712" s="14" t="e">
        <f>VLOOKUP($C712,ТабКлиенты[#Data],MATCH(G$1,ТабКлиенты[#Headers],0),0)</f>
        <v>#N/A</v>
      </c>
      <c r="H712" s="14"/>
      <c r="K712" t="e">
        <f t="shared" si="44"/>
        <v>#N/A</v>
      </c>
    </row>
    <row r="713" spans="4:11" hidden="1" x14ac:dyDescent="0.25">
      <c r="D713" s="19" t="e">
        <f>VLOOKUP($C713,ТабКлиенты[#Data],MATCH(D$1,ТабКлиенты[#Headers],0),0)</f>
        <v>#N/A</v>
      </c>
      <c r="E713" t="e">
        <f>VLOOKUP($C713,ТабКлиенты[#Data],MATCH(E$1,ТабКлиенты[#Headers],0),0)</f>
        <v>#N/A</v>
      </c>
      <c r="F713" s="80"/>
      <c r="G713" s="14" t="e">
        <f>VLOOKUP($C713,ТабКлиенты[#Data],MATCH(G$1,ТабКлиенты[#Headers],0),0)</f>
        <v>#N/A</v>
      </c>
      <c r="H713" s="14"/>
      <c r="K713" t="e">
        <f t="shared" si="44"/>
        <v>#N/A</v>
      </c>
    </row>
    <row r="714" spans="4:11" hidden="1" x14ac:dyDescent="0.25">
      <c r="D714" s="19" t="e">
        <f>VLOOKUP($C714,ТабКлиенты[#Data],MATCH(D$1,ТабКлиенты[#Headers],0),0)</f>
        <v>#N/A</v>
      </c>
      <c r="E714" t="e">
        <f>VLOOKUP($C714,ТабКлиенты[#Data],MATCH(E$1,ТабКлиенты[#Headers],0),0)</f>
        <v>#N/A</v>
      </c>
      <c r="F714" s="80"/>
      <c r="G714" s="14" t="e">
        <f>VLOOKUP($C714,ТабКлиенты[#Data],MATCH(G$1,ТабКлиенты[#Headers],0),0)</f>
        <v>#N/A</v>
      </c>
      <c r="H714" s="14"/>
      <c r="K714" t="e">
        <f t="shared" si="44"/>
        <v>#N/A</v>
      </c>
    </row>
    <row r="715" spans="4:11" hidden="1" x14ac:dyDescent="0.25">
      <c r="D715" s="19" t="e">
        <f>VLOOKUP($C715,ТабКлиенты[#Data],MATCH(D$1,ТабКлиенты[#Headers],0),0)</f>
        <v>#N/A</v>
      </c>
      <c r="E715" t="e">
        <f>VLOOKUP($C715,ТабКлиенты[#Data],MATCH(E$1,ТабКлиенты[#Headers],0),0)</f>
        <v>#N/A</v>
      </c>
      <c r="F715" s="80"/>
      <c r="G715" s="14" t="e">
        <f>VLOOKUP($C715,ТабКлиенты[#Data],MATCH(G$1,ТабКлиенты[#Headers],0),0)</f>
        <v>#N/A</v>
      </c>
      <c r="H715" s="14"/>
      <c r="K715" t="e">
        <f t="shared" si="44"/>
        <v>#N/A</v>
      </c>
    </row>
    <row r="716" spans="4:11" hidden="1" x14ac:dyDescent="0.25">
      <c r="D716" s="19" t="e">
        <f>VLOOKUP($C716,ТабКлиенты[#Data],MATCH(D$1,ТабКлиенты[#Headers],0),0)</f>
        <v>#N/A</v>
      </c>
      <c r="E716" t="e">
        <f>VLOOKUP($C716,ТабКлиенты[#Data],MATCH(E$1,ТабКлиенты[#Headers],0),0)</f>
        <v>#N/A</v>
      </c>
      <c r="F716" s="80"/>
      <c r="G716" s="14" t="e">
        <f>VLOOKUP($C716,ТабКлиенты[#Data],MATCH(G$1,ТабКлиенты[#Headers],0),0)</f>
        <v>#N/A</v>
      </c>
      <c r="H716" s="14"/>
      <c r="K716" t="e">
        <f t="shared" si="44"/>
        <v>#N/A</v>
      </c>
    </row>
    <row r="717" spans="4:11" hidden="1" x14ac:dyDescent="0.25">
      <c r="D717" s="19" t="e">
        <f>VLOOKUP($C717,ТабКлиенты[#Data],MATCH(D$1,ТабКлиенты[#Headers],0),0)</f>
        <v>#N/A</v>
      </c>
      <c r="E717" t="e">
        <f>VLOOKUP($C717,ТабКлиенты[#Data],MATCH(E$1,ТабКлиенты[#Headers],0),0)</f>
        <v>#N/A</v>
      </c>
      <c r="F717" s="80"/>
      <c r="G717" s="14" t="e">
        <f>VLOOKUP($C717,ТабКлиенты[#Data],MATCH(G$1,ТабКлиенты[#Headers],0),0)</f>
        <v>#N/A</v>
      </c>
      <c r="H717" s="14"/>
      <c r="K717" t="e">
        <f t="shared" si="44"/>
        <v>#N/A</v>
      </c>
    </row>
    <row r="718" spans="4:11" hidden="1" x14ac:dyDescent="0.25">
      <c r="D718" s="19" t="e">
        <f>VLOOKUP($C718,ТабКлиенты[#Data],MATCH(D$1,ТабКлиенты[#Headers],0),0)</f>
        <v>#N/A</v>
      </c>
      <c r="E718" t="e">
        <f>VLOOKUP($C718,ТабКлиенты[#Data],MATCH(E$1,ТабКлиенты[#Headers],0),0)</f>
        <v>#N/A</v>
      </c>
      <c r="F718" s="80"/>
      <c r="G718" s="14" t="e">
        <f>VLOOKUP($C718,ТабКлиенты[#Data],MATCH(G$1,ТабКлиенты[#Headers],0),0)</f>
        <v>#N/A</v>
      </c>
      <c r="H718" s="14"/>
      <c r="K718" t="e">
        <f t="shared" si="44"/>
        <v>#N/A</v>
      </c>
    </row>
    <row r="719" spans="4:11" hidden="1" x14ac:dyDescent="0.25">
      <c r="D719" s="19" t="e">
        <f>VLOOKUP($C719,ТабКлиенты[#Data],MATCH(D$1,ТабКлиенты[#Headers],0),0)</f>
        <v>#N/A</v>
      </c>
      <c r="E719" t="e">
        <f>VLOOKUP($C719,ТабКлиенты[#Data],MATCH(E$1,ТабКлиенты[#Headers],0),0)</f>
        <v>#N/A</v>
      </c>
      <c r="F719" s="80"/>
      <c r="G719" s="14" t="e">
        <f>VLOOKUP($C719,ТабКлиенты[#Data],MATCH(G$1,ТабКлиенты[#Headers],0),0)</f>
        <v>#N/A</v>
      </c>
      <c r="H719" s="14"/>
      <c r="K719" t="e">
        <f t="shared" si="44"/>
        <v>#N/A</v>
      </c>
    </row>
    <row r="720" spans="4:11" hidden="1" x14ac:dyDescent="0.25">
      <c r="D720" s="19" t="e">
        <f>VLOOKUP($C720,ТабКлиенты[#Data],MATCH(D$1,ТабКлиенты[#Headers],0),0)</f>
        <v>#N/A</v>
      </c>
      <c r="E720" t="e">
        <f>VLOOKUP($C720,ТабКлиенты[#Data],MATCH(E$1,ТабКлиенты[#Headers],0),0)</f>
        <v>#N/A</v>
      </c>
      <c r="F720" s="80"/>
      <c r="G720" s="14" t="e">
        <f>VLOOKUP($C720,ТабКлиенты[#Data],MATCH(G$1,ТабКлиенты[#Headers],0),0)</f>
        <v>#N/A</v>
      </c>
      <c r="H720" s="14"/>
      <c r="K720" t="e">
        <f t="shared" si="44"/>
        <v>#N/A</v>
      </c>
    </row>
    <row r="721" spans="4:11" hidden="1" x14ac:dyDescent="0.25">
      <c r="D721" s="19" t="e">
        <f>VLOOKUP($C721,ТабКлиенты[#Data],MATCH(D$1,ТабКлиенты[#Headers],0),0)</f>
        <v>#N/A</v>
      </c>
      <c r="E721" t="e">
        <f>VLOOKUP($C721,ТабКлиенты[#Data],MATCH(E$1,ТабКлиенты[#Headers],0),0)</f>
        <v>#N/A</v>
      </c>
      <c r="F721" s="80"/>
      <c r="G721" s="14" t="e">
        <f>VLOOKUP($C721,ТабКлиенты[#Data],MATCH(G$1,ТабКлиенты[#Headers],0),0)</f>
        <v>#N/A</v>
      </c>
      <c r="H721" s="14"/>
      <c r="K721" t="e">
        <f t="shared" si="44"/>
        <v>#N/A</v>
      </c>
    </row>
    <row r="722" spans="4:11" hidden="1" x14ac:dyDescent="0.25">
      <c r="D722" s="19" t="e">
        <f>VLOOKUP($C722,ТабКлиенты[#Data],MATCH(D$1,ТабКлиенты[#Headers],0),0)</f>
        <v>#N/A</v>
      </c>
      <c r="E722" t="e">
        <f>VLOOKUP($C722,ТабКлиенты[#Data],MATCH(E$1,ТабКлиенты[#Headers],0),0)</f>
        <v>#N/A</v>
      </c>
      <c r="F722" s="80"/>
      <c r="G722" s="14" t="e">
        <f>VLOOKUP($C722,ТабКлиенты[#Data],MATCH(G$1,ТабКлиенты[#Headers],0),0)</f>
        <v>#N/A</v>
      </c>
      <c r="H722" s="14"/>
      <c r="K722" t="e">
        <f t="shared" si="44"/>
        <v>#N/A</v>
      </c>
    </row>
    <row r="723" spans="4:11" hidden="1" x14ac:dyDescent="0.25">
      <c r="D723" s="19" t="e">
        <f>VLOOKUP($C723,ТабКлиенты[#Data],MATCH(D$1,ТабКлиенты[#Headers],0),0)</f>
        <v>#N/A</v>
      </c>
      <c r="E723" t="e">
        <f>VLOOKUP($C723,ТабКлиенты[#Data],MATCH(E$1,ТабКлиенты[#Headers],0),0)</f>
        <v>#N/A</v>
      </c>
      <c r="F723" s="80"/>
      <c r="G723" s="14" t="e">
        <f>VLOOKUP($C723,ТабКлиенты[#Data],MATCH(G$1,ТабКлиенты[#Headers],0),0)</f>
        <v>#N/A</v>
      </c>
      <c r="H723" s="14"/>
      <c r="K723" t="e">
        <f t="shared" si="44"/>
        <v>#N/A</v>
      </c>
    </row>
    <row r="724" spans="4:11" hidden="1" x14ac:dyDescent="0.25">
      <c r="D724" s="19" t="e">
        <f>VLOOKUP($C724,ТабКлиенты[#Data],MATCH(D$1,ТабКлиенты[#Headers],0),0)</f>
        <v>#N/A</v>
      </c>
      <c r="E724" t="e">
        <f>VLOOKUP($C724,ТабКлиенты[#Data],MATCH(E$1,ТабКлиенты[#Headers],0),0)</f>
        <v>#N/A</v>
      </c>
      <c r="F724" s="80"/>
      <c r="G724" s="14" t="e">
        <f>VLOOKUP($C724,ТабКлиенты[#Data],MATCH(G$1,ТабКлиенты[#Headers],0),0)</f>
        <v>#N/A</v>
      </c>
      <c r="H724" s="14"/>
      <c r="K724" t="e">
        <f t="shared" si="44"/>
        <v>#N/A</v>
      </c>
    </row>
    <row r="725" spans="4:11" hidden="1" x14ac:dyDescent="0.25">
      <c r="D725" s="19" t="e">
        <f>VLOOKUP($C725,ТабКлиенты[#Data],MATCH(D$1,ТабКлиенты[#Headers],0),0)</f>
        <v>#N/A</v>
      </c>
      <c r="E725" t="e">
        <f>VLOOKUP($C725,ТабКлиенты[#Data],MATCH(E$1,ТабКлиенты[#Headers],0),0)</f>
        <v>#N/A</v>
      </c>
      <c r="F725" s="80"/>
      <c r="G725" s="14" t="e">
        <f>VLOOKUP($C725,ТабКлиенты[#Data],MATCH(G$1,ТабКлиенты[#Headers],0),0)</f>
        <v>#N/A</v>
      </c>
      <c r="H725" s="14"/>
      <c r="K725" t="e">
        <f t="shared" si="44"/>
        <v>#N/A</v>
      </c>
    </row>
    <row r="726" spans="4:11" hidden="1" x14ac:dyDescent="0.25">
      <c r="D726" s="19" t="e">
        <f>VLOOKUP($C726,ТабКлиенты[#Data],MATCH(D$1,ТабКлиенты[#Headers],0),0)</f>
        <v>#N/A</v>
      </c>
      <c r="E726" t="e">
        <f>VLOOKUP($C726,ТабКлиенты[#Data],MATCH(E$1,ТабКлиенты[#Headers],0),0)</f>
        <v>#N/A</v>
      </c>
      <c r="F726" s="80"/>
      <c r="G726" s="14" t="e">
        <f>VLOOKUP($C726,ТабКлиенты[#Data],MATCH(G$1,ТабКлиенты[#Headers],0),0)</f>
        <v>#N/A</v>
      </c>
      <c r="H726" s="14"/>
      <c r="K726" t="e">
        <f t="shared" si="44"/>
        <v>#N/A</v>
      </c>
    </row>
    <row r="727" spans="4:11" hidden="1" x14ac:dyDescent="0.25">
      <c r="D727" s="19" t="e">
        <f>VLOOKUP($C727,ТабКлиенты[#Data],MATCH(D$1,ТабКлиенты[#Headers],0),0)</f>
        <v>#N/A</v>
      </c>
      <c r="E727" t="e">
        <f>VLOOKUP($C727,ТабКлиенты[#Data],MATCH(E$1,ТабКлиенты[#Headers],0),0)</f>
        <v>#N/A</v>
      </c>
      <c r="F727" s="80"/>
      <c r="G727" s="14" t="e">
        <f>VLOOKUP($C727,ТабКлиенты[#Data],MATCH(G$1,ТабКлиенты[#Headers],0),0)</f>
        <v>#N/A</v>
      </c>
      <c r="H727" s="14"/>
      <c r="K727" t="e">
        <f t="shared" si="44"/>
        <v>#N/A</v>
      </c>
    </row>
    <row r="728" spans="4:11" hidden="1" x14ac:dyDescent="0.25">
      <c r="D728" s="19" t="e">
        <f>VLOOKUP($C728,ТабКлиенты[#Data],MATCH(D$1,ТабКлиенты[#Headers],0),0)</f>
        <v>#N/A</v>
      </c>
      <c r="E728" t="e">
        <f>VLOOKUP($C728,ТабКлиенты[#Data],MATCH(E$1,ТабКлиенты[#Headers],0),0)</f>
        <v>#N/A</v>
      </c>
      <c r="F728" s="80"/>
      <c r="G728" s="14" t="e">
        <f>VLOOKUP($C728,ТабКлиенты[#Data],MATCH(G$1,ТабКлиенты[#Headers],0),0)</f>
        <v>#N/A</v>
      </c>
      <c r="H728" s="14"/>
      <c r="K728" t="e">
        <f t="shared" si="44"/>
        <v>#N/A</v>
      </c>
    </row>
    <row r="729" spans="4:11" hidden="1" x14ac:dyDescent="0.25">
      <c r="D729" s="19" t="e">
        <f>VLOOKUP($C729,ТабКлиенты[#Data],MATCH(D$1,ТабКлиенты[#Headers],0),0)</f>
        <v>#N/A</v>
      </c>
      <c r="E729" t="e">
        <f>VLOOKUP($C729,ТабКлиенты[#Data],MATCH(E$1,ТабКлиенты[#Headers],0),0)</f>
        <v>#N/A</v>
      </c>
      <c r="F729" s="80"/>
      <c r="G729" s="14" t="e">
        <f>VLOOKUP($C729,ТабКлиенты[#Data],MATCH(G$1,ТабКлиенты[#Headers],0),0)</f>
        <v>#N/A</v>
      </c>
      <c r="H729" s="14"/>
      <c r="K729" t="e">
        <f t="shared" si="44"/>
        <v>#N/A</v>
      </c>
    </row>
    <row r="730" spans="4:11" hidden="1" x14ac:dyDescent="0.25">
      <c r="D730" s="19" t="e">
        <f>VLOOKUP($C730,ТабКлиенты[#Data],MATCH(D$1,ТабКлиенты[#Headers],0),0)</f>
        <v>#N/A</v>
      </c>
      <c r="E730" t="e">
        <f>VLOOKUP($C730,ТабКлиенты[#Data],MATCH(E$1,ТабКлиенты[#Headers],0),0)</f>
        <v>#N/A</v>
      </c>
      <c r="F730" s="80"/>
      <c r="G730" s="14" t="e">
        <f>VLOOKUP($C730,ТабКлиенты[#Data],MATCH(G$1,ТабКлиенты[#Headers],0),0)</f>
        <v>#N/A</v>
      </c>
      <c r="H730" s="14"/>
      <c r="K730" t="e">
        <f t="shared" si="44"/>
        <v>#N/A</v>
      </c>
    </row>
    <row r="731" spans="4:11" hidden="1" x14ac:dyDescent="0.25">
      <c r="D731" s="19" t="e">
        <f>VLOOKUP($C731,ТабКлиенты[#Data],MATCH(D$1,ТабКлиенты[#Headers],0),0)</f>
        <v>#N/A</v>
      </c>
      <c r="E731" t="e">
        <f>VLOOKUP($C731,ТабКлиенты[#Data],MATCH(E$1,ТабКлиенты[#Headers],0),0)</f>
        <v>#N/A</v>
      </c>
      <c r="F731" s="80"/>
      <c r="G731" s="14" t="e">
        <f>VLOOKUP($C731,ТабКлиенты[#Data],MATCH(G$1,ТабКлиенты[#Headers],0),0)</f>
        <v>#N/A</v>
      </c>
      <c r="H731" s="14"/>
      <c r="K731" t="e">
        <f t="shared" si="44"/>
        <v>#N/A</v>
      </c>
    </row>
    <row r="732" spans="4:11" hidden="1" x14ac:dyDescent="0.25">
      <c r="D732" s="19" t="e">
        <f>VLOOKUP($C732,ТабКлиенты[#Data],MATCH(D$1,ТабКлиенты[#Headers],0),0)</f>
        <v>#N/A</v>
      </c>
      <c r="E732" t="e">
        <f>VLOOKUP($C732,ТабКлиенты[#Data],MATCH(E$1,ТабКлиенты[#Headers],0),0)</f>
        <v>#N/A</v>
      </c>
      <c r="F732" s="80"/>
      <c r="G732" s="14" t="e">
        <f>VLOOKUP($C732,ТабКлиенты[#Data],MATCH(G$1,ТабКлиенты[#Headers],0),0)</f>
        <v>#N/A</v>
      </c>
      <c r="H732" s="14"/>
      <c r="K732" t="e">
        <f t="shared" si="44"/>
        <v>#N/A</v>
      </c>
    </row>
    <row r="733" spans="4:11" hidden="1" x14ac:dyDescent="0.25">
      <c r="D733" s="19" t="e">
        <f>VLOOKUP($C733,ТабКлиенты[#Data],MATCH(D$1,ТабКлиенты[#Headers],0),0)</f>
        <v>#N/A</v>
      </c>
      <c r="E733" t="e">
        <f>VLOOKUP($C733,ТабКлиенты[#Data],MATCH(E$1,ТабКлиенты[#Headers],0),0)</f>
        <v>#N/A</v>
      </c>
      <c r="F733" s="80"/>
      <c r="G733" s="14" t="e">
        <f>VLOOKUP($C733,ТабКлиенты[#Data],MATCH(G$1,ТабКлиенты[#Headers],0),0)</f>
        <v>#N/A</v>
      </c>
      <c r="H733" s="14"/>
      <c r="K733" t="e">
        <f t="shared" si="44"/>
        <v>#N/A</v>
      </c>
    </row>
    <row r="734" spans="4:11" hidden="1" x14ac:dyDescent="0.25">
      <c r="D734" s="19" t="e">
        <f>VLOOKUP($C734,ТабКлиенты[#Data],MATCH(D$1,ТабКлиенты[#Headers],0),0)</f>
        <v>#N/A</v>
      </c>
      <c r="E734" t="e">
        <f>VLOOKUP($C734,ТабКлиенты[#Data],MATCH(E$1,ТабКлиенты[#Headers],0),0)</f>
        <v>#N/A</v>
      </c>
      <c r="F734" s="80"/>
      <c r="G734" s="14" t="e">
        <f>VLOOKUP($C734,ТабКлиенты[#Data],MATCH(G$1,ТабКлиенты[#Headers],0),0)</f>
        <v>#N/A</v>
      </c>
      <c r="H734" s="14"/>
      <c r="K734" t="e">
        <f t="shared" si="44"/>
        <v>#N/A</v>
      </c>
    </row>
    <row r="735" spans="4:11" hidden="1" x14ac:dyDescent="0.25">
      <c r="D735" s="19" t="e">
        <f>VLOOKUP($C735,ТабКлиенты[#Data],MATCH(D$1,ТабКлиенты[#Headers],0),0)</f>
        <v>#N/A</v>
      </c>
      <c r="E735" t="e">
        <f>VLOOKUP($C735,ТабКлиенты[#Data],MATCH(E$1,ТабКлиенты[#Headers],0),0)</f>
        <v>#N/A</v>
      </c>
      <c r="F735" s="80"/>
      <c r="G735" s="14" t="e">
        <f>VLOOKUP($C735,ТабКлиенты[#Data],MATCH(G$1,ТабКлиенты[#Headers],0),0)</f>
        <v>#N/A</v>
      </c>
      <c r="H735" s="14"/>
      <c r="K735" t="e">
        <f t="shared" si="44"/>
        <v>#N/A</v>
      </c>
    </row>
    <row r="736" spans="4:11" hidden="1" x14ac:dyDescent="0.25">
      <c r="D736" s="19" t="e">
        <f>VLOOKUP($C736,ТабКлиенты[#Data],MATCH(D$1,ТабКлиенты[#Headers],0),0)</f>
        <v>#N/A</v>
      </c>
      <c r="E736" t="e">
        <f>VLOOKUP($C736,ТабКлиенты[#Data],MATCH(E$1,ТабКлиенты[#Headers],0),0)</f>
        <v>#N/A</v>
      </c>
      <c r="F736" s="80"/>
      <c r="G736" s="14" t="e">
        <f>VLOOKUP($C736,ТабКлиенты[#Data],MATCH(G$1,ТабКлиенты[#Headers],0),0)</f>
        <v>#N/A</v>
      </c>
      <c r="H736" s="14"/>
      <c r="K736" t="e">
        <f t="shared" si="44"/>
        <v>#N/A</v>
      </c>
    </row>
    <row r="737" spans="4:11" hidden="1" x14ac:dyDescent="0.25">
      <c r="D737" s="19" t="e">
        <f>VLOOKUP($C737,ТабКлиенты[#Data],MATCH(D$1,ТабКлиенты[#Headers],0),0)</f>
        <v>#N/A</v>
      </c>
      <c r="E737" t="e">
        <f>VLOOKUP($C737,ТабКлиенты[#Data],MATCH(E$1,ТабКлиенты[#Headers],0),0)</f>
        <v>#N/A</v>
      </c>
      <c r="F737" s="80"/>
      <c r="G737" s="14" t="e">
        <f>VLOOKUP($C737,ТабКлиенты[#Data],MATCH(G$1,ТабКлиенты[#Headers],0),0)</f>
        <v>#N/A</v>
      </c>
      <c r="H737" s="14"/>
      <c r="K737" t="e">
        <f t="shared" si="44"/>
        <v>#N/A</v>
      </c>
    </row>
    <row r="738" spans="4:11" hidden="1" x14ac:dyDescent="0.25">
      <c r="D738" s="19" t="e">
        <f>VLOOKUP($C738,ТабКлиенты[#Data],MATCH(D$1,ТабКлиенты[#Headers],0),0)</f>
        <v>#N/A</v>
      </c>
      <c r="E738" t="e">
        <f>VLOOKUP($C738,ТабКлиенты[#Data],MATCH(E$1,ТабКлиенты[#Headers],0),0)</f>
        <v>#N/A</v>
      </c>
      <c r="F738" s="80"/>
      <c r="G738" s="14" t="e">
        <f>VLOOKUP($C738,ТабКлиенты[#Data],MATCH(G$1,ТабКлиенты[#Headers],0),0)</f>
        <v>#N/A</v>
      </c>
      <c r="H738" s="14"/>
      <c r="K738" t="e">
        <f t="shared" si="44"/>
        <v>#N/A</v>
      </c>
    </row>
    <row r="739" spans="4:11" hidden="1" x14ac:dyDescent="0.25">
      <c r="D739" s="19" t="e">
        <f>VLOOKUP($C739,ТабКлиенты[#Data],MATCH(D$1,ТабКлиенты[#Headers],0),0)</f>
        <v>#N/A</v>
      </c>
      <c r="E739" t="e">
        <f>VLOOKUP($C739,ТабКлиенты[#Data],MATCH(E$1,ТабКлиенты[#Headers],0),0)</f>
        <v>#N/A</v>
      </c>
      <c r="F739" s="80"/>
      <c r="G739" s="14" t="e">
        <f>VLOOKUP($C739,ТабКлиенты[#Data],MATCH(G$1,ТабКлиенты[#Headers],0),0)</f>
        <v>#N/A</v>
      </c>
      <c r="H739" s="14"/>
      <c r="K739" t="e">
        <f t="shared" si="44"/>
        <v>#N/A</v>
      </c>
    </row>
    <row r="740" spans="4:11" hidden="1" x14ac:dyDescent="0.25">
      <c r="D740" s="19" t="e">
        <f>VLOOKUP($C740,ТабКлиенты[#Data],MATCH(D$1,ТабКлиенты[#Headers],0),0)</f>
        <v>#N/A</v>
      </c>
      <c r="E740" t="e">
        <f>VLOOKUP($C740,ТабКлиенты[#Data],MATCH(E$1,ТабКлиенты[#Headers],0),0)</f>
        <v>#N/A</v>
      </c>
      <c r="F740" s="80"/>
      <c r="G740" s="14" t="e">
        <f>VLOOKUP($C740,ТабКлиенты[#Data],MATCH(G$1,ТабКлиенты[#Headers],0),0)</f>
        <v>#N/A</v>
      </c>
      <c r="H740" s="14"/>
      <c r="K740" t="e">
        <f t="shared" si="44"/>
        <v>#N/A</v>
      </c>
    </row>
    <row r="741" spans="4:11" hidden="1" x14ac:dyDescent="0.25">
      <c r="D741" s="19" t="e">
        <f>VLOOKUP($C741,ТабКлиенты[#Data],MATCH(D$1,ТабКлиенты[#Headers],0),0)</f>
        <v>#N/A</v>
      </c>
      <c r="E741" t="e">
        <f>VLOOKUP($C741,ТабКлиенты[#Data],MATCH(E$1,ТабКлиенты[#Headers],0),0)</f>
        <v>#N/A</v>
      </c>
      <c r="F741" s="80"/>
      <c r="G741" s="14" t="e">
        <f>VLOOKUP($C741,ТабКлиенты[#Data],MATCH(G$1,ТабКлиенты[#Headers],0),0)</f>
        <v>#N/A</v>
      </c>
      <c r="H741" s="14"/>
      <c r="K741" t="e">
        <f t="shared" si="44"/>
        <v>#N/A</v>
      </c>
    </row>
    <row r="742" spans="4:11" hidden="1" x14ac:dyDescent="0.25">
      <c r="D742" s="19" t="e">
        <f>VLOOKUP($C742,ТабКлиенты[#Data],MATCH(D$1,ТабКлиенты[#Headers],0),0)</f>
        <v>#N/A</v>
      </c>
      <c r="E742" t="e">
        <f>VLOOKUP($C742,ТабКлиенты[#Data],MATCH(E$1,ТабКлиенты[#Headers],0),0)</f>
        <v>#N/A</v>
      </c>
      <c r="F742" s="80"/>
      <c r="G742" s="14" t="e">
        <f>VLOOKUP($C742,ТабКлиенты[#Data],MATCH(G$1,ТабКлиенты[#Headers],0),0)</f>
        <v>#N/A</v>
      </c>
      <c r="H742" s="14"/>
      <c r="K742" t="e">
        <f t="shared" si="44"/>
        <v>#N/A</v>
      </c>
    </row>
    <row r="743" spans="4:11" hidden="1" x14ac:dyDescent="0.25">
      <c r="D743" s="19" t="e">
        <f>VLOOKUP($C743,ТабКлиенты[#Data],MATCH(D$1,ТабКлиенты[#Headers],0),0)</f>
        <v>#N/A</v>
      </c>
      <c r="E743" t="e">
        <f>VLOOKUP($C743,ТабКлиенты[#Data],MATCH(E$1,ТабКлиенты[#Headers],0),0)</f>
        <v>#N/A</v>
      </c>
      <c r="F743" s="80"/>
      <c r="G743" s="14" t="e">
        <f>VLOOKUP($C743,ТабКлиенты[#Data],MATCH(G$1,ТабКлиенты[#Headers],0),0)</f>
        <v>#N/A</v>
      </c>
      <c r="H743" s="14"/>
      <c r="K743" t="e">
        <f t="shared" si="44"/>
        <v>#N/A</v>
      </c>
    </row>
    <row r="744" spans="4:11" hidden="1" x14ac:dyDescent="0.25">
      <c r="D744" s="19" t="e">
        <f>VLOOKUP($C744,ТабКлиенты[#Data],MATCH(D$1,ТабКлиенты[#Headers],0),0)</f>
        <v>#N/A</v>
      </c>
      <c r="E744" t="e">
        <f>VLOOKUP($C744,ТабКлиенты[#Data],MATCH(E$1,ТабКлиенты[#Headers],0),0)</f>
        <v>#N/A</v>
      </c>
      <c r="F744" s="80"/>
      <c r="G744" s="14" t="e">
        <f>VLOOKUP($C744,ТабКлиенты[#Data],MATCH(G$1,ТабКлиенты[#Headers],0),0)</f>
        <v>#N/A</v>
      </c>
      <c r="H744" s="14"/>
      <c r="K744" t="e">
        <f t="shared" si="44"/>
        <v>#N/A</v>
      </c>
    </row>
    <row r="745" spans="4:11" hidden="1" x14ac:dyDescent="0.25">
      <c r="D745" s="19" t="e">
        <f>VLOOKUP($C745,ТабКлиенты[#Data],MATCH(D$1,ТабКлиенты[#Headers],0),0)</f>
        <v>#N/A</v>
      </c>
      <c r="E745" t="e">
        <f>VLOOKUP($C745,ТабКлиенты[#Data],MATCH(E$1,ТабКлиенты[#Headers],0),0)</f>
        <v>#N/A</v>
      </c>
      <c r="F745" s="80"/>
      <c r="G745" s="14" t="e">
        <f>VLOOKUP($C745,ТабКлиенты[#Data],MATCH(G$1,ТабКлиенты[#Headers],0),0)</f>
        <v>#N/A</v>
      </c>
      <c r="H745" s="14"/>
      <c r="K745" t="e">
        <f t="shared" si="44"/>
        <v>#N/A</v>
      </c>
    </row>
    <row r="746" spans="4:11" hidden="1" x14ac:dyDescent="0.25">
      <c r="D746" s="19" t="e">
        <f>VLOOKUP($C746,ТабКлиенты[#Data],MATCH(D$1,ТабКлиенты[#Headers],0),0)</f>
        <v>#N/A</v>
      </c>
      <c r="E746" t="e">
        <f>VLOOKUP($C746,ТабКлиенты[#Data],MATCH(E$1,ТабКлиенты[#Headers],0),0)</f>
        <v>#N/A</v>
      </c>
      <c r="F746" s="80"/>
      <c r="G746" s="14" t="e">
        <f>VLOOKUP($C746,ТабКлиенты[#Data],MATCH(G$1,ТабКлиенты[#Headers],0),0)</f>
        <v>#N/A</v>
      </c>
      <c r="H746" s="14"/>
      <c r="K746" t="e">
        <f t="shared" si="44"/>
        <v>#N/A</v>
      </c>
    </row>
    <row r="747" spans="4:11" hidden="1" x14ac:dyDescent="0.25">
      <c r="D747" s="19" t="e">
        <f>VLOOKUP($C747,ТабКлиенты[#Data],MATCH(D$1,ТабКлиенты[#Headers],0),0)</f>
        <v>#N/A</v>
      </c>
      <c r="E747" t="e">
        <f>VLOOKUP($C747,ТабКлиенты[#Data],MATCH(E$1,ТабКлиенты[#Headers],0),0)</f>
        <v>#N/A</v>
      </c>
      <c r="F747" s="80"/>
      <c r="G747" s="14" t="e">
        <f>VLOOKUP($C747,ТабКлиенты[#Data],MATCH(G$1,ТабКлиенты[#Headers],0),0)</f>
        <v>#N/A</v>
      </c>
      <c r="H747" s="14"/>
      <c r="K747" t="e">
        <f t="shared" si="44"/>
        <v>#N/A</v>
      </c>
    </row>
    <row r="748" spans="4:11" hidden="1" x14ac:dyDescent="0.25">
      <c r="D748" s="19" t="e">
        <f>VLOOKUP($C748,ТабКлиенты[#Data],MATCH(D$1,ТабКлиенты[#Headers],0),0)</f>
        <v>#N/A</v>
      </c>
      <c r="E748" t="e">
        <f>VLOOKUP($C748,ТабКлиенты[#Data],MATCH(E$1,ТабКлиенты[#Headers],0),0)</f>
        <v>#N/A</v>
      </c>
      <c r="F748" s="80"/>
      <c r="G748" s="14" t="e">
        <f>VLOOKUP($C748,ТабКлиенты[#Data],MATCH(G$1,ТабКлиенты[#Headers],0),0)</f>
        <v>#N/A</v>
      </c>
      <c r="H748" s="14"/>
      <c r="K748" t="e">
        <f t="shared" si="44"/>
        <v>#N/A</v>
      </c>
    </row>
    <row r="749" spans="4:11" hidden="1" x14ac:dyDescent="0.25">
      <c r="D749" s="19" t="e">
        <f>VLOOKUP($C749,ТабКлиенты[#Data],MATCH(D$1,ТабКлиенты[#Headers],0),0)</f>
        <v>#N/A</v>
      </c>
      <c r="E749" t="e">
        <f>VLOOKUP($C749,ТабКлиенты[#Data],MATCH(E$1,ТабКлиенты[#Headers],0),0)</f>
        <v>#N/A</v>
      </c>
      <c r="F749" s="80"/>
      <c r="G749" s="14" t="e">
        <f>VLOOKUP($C749,ТабКлиенты[#Data],MATCH(G$1,ТабКлиенты[#Headers],0),0)</f>
        <v>#N/A</v>
      </c>
      <c r="H749" s="14"/>
      <c r="K749" t="e">
        <f t="shared" si="44"/>
        <v>#N/A</v>
      </c>
    </row>
    <row r="750" spans="4:11" hidden="1" x14ac:dyDescent="0.25">
      <c r="D750" s="19" t="e">
        <f>VLOOKUP($C750,ТабКлиенты[#Data],MATCH(D$1,ТабКлиенты[#Headers],0),0)</f>
        <v>#N/A</v>
      </c>
      <c r="E750" t="e">
        <f>VLOOKUP($C750,ТабКлиенты[#Data],MATCH(E$1,ТабКлиенты[#Headers],0),0)</f>
        <v>#N/A</v>
      </c>
      <c r="F750" s="80"/>
      <c r="G750" s="14" t="e">
        <f>VLOOKUP($C750,ТабКлиенты[#Data],MATCH(G$1,ТабКлиенты[#Headers],0),0)</f>
        <v>#N/A</v>
      </c>
      <c r="H750" s="14"/>
      <c r="K750" t="e">
        <f t="shared" si="44"/>
        <v>#N/A</v>
      </c>
    </row>
    <row r="751" spans="4:11" hidden="1" x14ac:dyDescent="0.25">
      <c r="D751" s="19" t="e">
        <f>VLOOKUP($C751,ТабКлиенты[#Data],MATCH(D$1,ТабКлиенты[#Headers],0),0)</f>
        <v>#N/A</v>
      </c>
      <c r="E751" t="e">
        <f>VLOOKUP($C751,ТабКлиенты[#Data],MATCH(E$1,ТабКлиенты[#Headers],0),0)</f>
        <v>#N/A</v>
      </c>
      <c r="F751" s="80"/>
      <c r="G751" s="14" t="e">
        <f>VLOOKUP($C751,ТабКлиенты[#Data],MATCH(G$1,ТабКлиенты[#Headers],0),0)</f>
        <v>#N/A</v>
      </c>
      <c r="H751" s="14"/>
      <c r="K751" t="e">
        <f t="shared" si="44"/>
        <v>#N/A</v>
      </c>
    </row>
    <row r="752" spans="4:11" hidden="1" x14ac:dyDescent="0.25">
      <c r="D752" s="19" t="e">
        <f>VLOOKUP($C752,ТабКлиенты[#Data],MATCH(D$1,ТабКлиенты[#Headers],0),0)</f>
        <v>#N/A</v>
      </c>
      <c r="E752" t="e">
        <f>VLOOKUP($C752,ТабКлиенты[#Data],MATCH(E$1,ТабКлиенты[#Headers],0),0)</f>
        <v>#N/A</v>
      </c>
      <c r="F752" s="80"/>
      <c r="G752" s="14" t="e">
        <f>VLOOKUP($C752,ТабКлиенты[#Data],MATCH(G$1,ТабКлиенты[#Headers],0),0)</f>
        <v>#N/A</v>
      </c>
      <c r="H752" s="14"/>
      <c r="K752" t="e">
        <f t="shared" si="44"/>
        <v>#N/A</v>
      </c>
    </row>
    <row r="753" spans="4:11" hidden="1" x14ac:dyDescent="0.25">
      <c r="D753" s="19" t="e">
        <f>VLOOKUP($C753,ТабКлиенты[#Data],MATCH(D$1,ТабКлиенты[#Headers],0),0)</f>
        <v>#N/A</v>
      </c>
      <c r="E753" t="e">
        <f>VLOOKUP($C753,ТабКлиенты[#Data],MATCH(E$1,ТабКлиенты[#Headers],0),0)</f>
        <v>#N/A</v>
      </c>
      <c r="F753" s="80"/>
      <c r="G753" s="14" t="e">
        <f>VLOOKUP($C753,ТабКлиенты[#Data],MATCH(G$1,ТабКлиенты[#Headers],0),0)</f>
        <v>#N/A</v>
      </c>
      <c r="H753" s="14"/>
      <c r="K753" t="e">
        <f t="shared" si="44"/>
        <v>#N/A</v>
      </c>
    </row>
    <row r="754" spans="4:11" hidden="1" x14ac:dyDescent="0.25">
      <c r="D754" s="19" t="e">
        <f>VLOOKUP($C754,ТабКлиенты[#Data],MATCH(D$1,ТабКлиенты[#Headers],0),0)</f>
        <v>#N/A</v>
      </c>
      <c r="E754" t="e">
        <f>VLOOKUP($C754,ТабКлиенты[#Data],MATCH(E$1,ТабКлиенты[#Headers],0),0)</f>
        <v>#N/A</v>
      </c>
      <c r="F754" s="80"/>
      <c r="G754" s="14" t="e">
        <f>VLOOKUP($C754,ТабКлиенты[#Data],MATCH(G$1,ТабКлиенты[#Headers],0),0)</f>
        <v>#N/A</v>
      </c>
      <c r="H754" s="14"/>
      <c r="K754" t="e">
        <f t="shared" si="44"/>
        <v>#N/A</v>
      </c>
    </row>
    <row r="755" spans="4:11" hidden="1" x14ac:dyDescent="0.25">
      <c r="D755" s="19" t="e">
        <f>VLOOKUP($C755,ТабКлиенты[#Data],MATCH(D$1,ТабКлиенты[#Headers],0),0)</f>
        <v>#N/A</v>
      </c>
      <c r="E755" t="e">
        <f>VLOOKUP($C755,ТабКлиенты[#Data],MATCH(E$1,ТабКлиенты[#Headers],0),0)</f>
        <v>#N/A</v>
      </c>
      <c r="F755" s="80"/>
      <c r="G755" s="14" t="e">
        <f>VLOOKUP($C755,ТабКлиенты[#Data],MATCH(G$1,ТабКлиенты[#Headers],0),0)</f>
        <v>#N/A</v>
      </c>
      <c r="H755" s="14"/>
      <c r="K755" t="e">
        <f t="shared" si="44"/>
        <v>#N/A</v>
      </c>
    </row>
    <row r="756" spans="4:11" hidden="1" x14ac:dyDescent="0.25">
      <c r="D756" s="19" t="e">
        <f>VLOOKUP($C756,ТабКлиенты[#Data],MATCH(D$1,ТабКлиенты[#Headers],0),0)</f>
        <v>#N/A</v>
      </c>
      <c r="E756" t="e">
        <f>VLOOKUP($C756,ТабКлиенты[#Data],MATCH(E$1,ТабКлиенты[#Headers],0),0)</f>
        <v>#N/A</v>
      </c>
      <c r="F756" s="80"/>
      <c r="G756" s="14" t="e">
        <f>VLOOKUP($C756,ТабКлиенты[#Data],MATCH(G$1,ТабКлиенты[#Headers],0),0)</f>
        <v>#N/A</v>
      </c>
      <c r="H756" s="14"/>
      <c r="K756" t="e">
        <f t="shared" si="44"/>
        <v>#N/A</v>
      </c>
    </row>
    <row r="757" spans="4:11" hidden="1" x14ac:dyDescent="0.25">
      <c r="D757" s="19" t="e">
        <f>VLOOKUP($C757,ТабКлиенты[#Data],MATCH(D$1,ТабКлиенты[#Headers],0),0)</f>
        <v>#N/A</v>
      </c>
      <c r="E757" t="e">
        <f>VLOOKUP($C757,ТабКлиенты[#Data],MATCH(E$1,ТабКлиенты[#Headers],0),0)</f>
        <v>#N/A</v>
      </c>
      <c r="F757" s="80"/>
      <c r="G757" s="14" t="e">
        <f>VLOOKUP($C757,ТабКлиенты[#Data],MATCH(G$1,ТабКлиенты[#Headers],0),0)</f>
        <v>#N/A</v>
      </c>
      <c r="H757" s="14"/>
      <c r="K757" t="e">
        <f t="shared" si="44"/>
        <v>#N/A</v>
      </c>
    </row>
    <row r="758" spans="4:11" hidden="1" x14ac:dyDescent="0.25">
      <c r="D758" s="19" t="e">
        <f>VLOOKUP($C758,ТабКлиенты[#Data],MATCH(D$1,ТабКлиенты[#Headers],0),0)</f>
        <v>#N/A</v>
      </c>
      <c r="E758" t="e">
        <f>VLOOKUP($C758,ТабКлиенты[#Data],MATCH(E$1,ТабКлиенты[#Headers],0),0)</f>
        <v>#N/A</v>
      </c>
      <c r="F758" s="80"/>
      <c r="G758" s="14" t="e">
        <f>VLOOKUP($C758,ТабКлиенты[#Data],MATCH(G$1,ТабКлиенты[#Headers],0),0)</f>
        <v>#N/A</v>
      </c>
      <c r="H758" s="14"/>
      <c r="K758" t="e">
        <f t="shared" si="44"/>
        <v>#N/A</v>
      </c>
    </row>
    <row r="759" spans="4:11" hidden="1" x14ac:dyDescent="0.25">
      <c r="D759" s="19" t="e">
        <f>VLOOKUP($C759,ТабКлиенты[#Data],MATCH(D$1,ТабКлиенты[#Headers],0),0)</f>
        <v>#N/A</v>
      </c>
      <c r="E759" t="e">
        <f>VLOOKUP($C759,ТабКлиенты[#Data],MATCH(E$1,ТабКлиенты[#Headers],0),0)</f>
        <v>#N/A</v>
      </c>
      <c r="F759" s="80"/>
      <c r="G759" s="14" t="e">
        <f>VLOOKUP($C759,ТабКлиенты[#Data],MATCH(G$1,ТабКлиенты[#Headers],0),0)</f>
        <v>#N/A</v>
      </c>
      <c r="H759" s="14"/>
      <c r="K759" t="e">
        <f t="shared" si="44"/>
        <v>#N/A</v>
      </c>
    </row>
    <row r="760" spans="4:11" hidden="1" x14ac:dyDescent="0.25">
      <c r="D760" s="19" t="e">
        <f>VLOOKUP($C760,ТабКлиенты[#Data],MATCH(D$1,ТабКлиенты[#Headers],0),0)</f>
        <v>#N/A</v>
      </c>
      <c r="E760" t="e">
        <f>VLOOKUP($C760,ТабКлиенты[#Data],MATCH(E$1,ТабКлиенты[#Headers],0),0)</f>
        <v>#N/A</v>
      </c>
      <c r="F760" s="80"/>
      <c r="G760" s="14" t="e">
        <f>VLOOKUP($C760,ТабКлиенты[#Data],MATCH(G$1,ТабКлиенты[#Headers],0),0)</f>
        <v>#N/A</v>
      </c>
      <c r="H760" s="14"/>
      <c r="K760" t="e">
        <f t="shared" si="44"/>
        <v>#N/A</v>
      </c>
    </row>
    <row r="761" spans="4:11" hidden="1" x14ac:dyDescent="0.25">
      <c r="D761" s="19" t="e">
        <f>VLOOKUP($C761,ТабКлиенты[#Data],MATCH(D$1,ТабКлиенты[#Headers],0),0)</f>
        <v>#N/A</v>
      </c>
      <c r="E761" t="e">
        <f>VLOOKUP($C761,ТабКлиенты[#Data],MATCH(E$1,ТабКлиенты[#Headers],0),0)</f>
        <v>#N/A</v>
      </c>
      <c r="F761" s="80"/>
      <c r="G761" s="14" t="e">
        <f>VLOOKUP($C761,ТабКлиенты[#Data],MATCH(G$1,ТабКлиенты[#Headers],0),0)</f>
        <v>#N/A</v>
      </c>
      <c r="H761" s="14"/>
      <c r="K761" t="e">
        <f t="shared" si="44"/>
        <v>#N/A</v>
      </c>
    </row>
    <row r="762" spans="4:11" hidden="1" x14ac:dyDescent="0.25">
      <c r="D762" s="19" t="e">
        <f>VLOOKUP($C762,ТабКлиенты[#Data],MATCH(D$1,ТабКлиенты[#Headers],0),0)</f>
        <v>#N/A</v>
      </c>
      <c r="E762" t="e">
        <f>VLOOKUP($C762,ТабКлиенты[#Data],MATCH(E$1,ТабКлиенты[#Headers],0),0)</f>
        <v>#N/A</v>
      </c>
      <c r="F762" s="80"/>
      <c r="G762" s="14" t="e">
        <f>VLOOKUP($C762,ТабКлиенты[#Data],MATCH(G$1,ТабКлиенты[#Headers],0),0)</f>
        <v>#N/A</v>
      </c>
      <c r="H762" s="14"/>
      <c r="K762" t="e">
        <f t="shared" si="44"/>
        <v>#N/A</v>
      </c>
    </row>
    <row r="763" spans="4:11" hidden="1" x14ac:dyDescent="0.25">
      <c r="D763" s="19" t="e">
        <f>VLOOKUP($C763,ТабКлиенты[#Data],MATCH(D$1,ТабКлиенты[#Headers],0),0)</f>
        <v>#N/A</v>
      </c>
      <c r="E763" t="e">
        <f>VLOOKUP($C763,ТабКлиенты[#Data],MATCH(E$1,ТабКлиенты[#Headers],0),0)</f>
        <v>#N/A</v>
      </c>
      <c r="F763" s="80"/>
      <c r="G763" s="14" t="e">
        <f>VLOOKUP($C763,ТабКлиенты[#Data],MATCH(G$1,ТабКлиенты[#Headers],0),0)</f>
        <v>#N/A</v>
      </c>
      <c r="H763" s="14"/>
      <c r="K763" t="e">
        <f t="shared" si="38"/>
        <v>#N/A</v>
      </c>
    </row>
    <row r="764" spans="4:11" hidden="1" x14ac:dyDescent="0.25">
      <c r="D764" s="19" t="e">
        <f>VLOOKUP($C764,ТабКлиенты[#Data],MATCH(D$1,ТабКлиенты[#Headers],0),0)</f>
        <v>#N/A</v>
      </c>
      <c r="E764" t="e">
        <f>VLOOKUP($C764,ТабКлиенты[#Data],MATCH(E$1,ТабКлиенты[#Headers],0),0)</f>
        <v>#N/A</v>
      </c>
      <c r="F764" s="80"/>
      <c r="G764" s="14" t="e">
        <f>VLOOKUP($C764,ТабКлиенты[#Data],MATCH(G$1,ТабКлиенты[#Headers],0),0)</f>
        <v>#N/A</v>
      </c>
      <c r="H764" s="14"/>
      <c r="K764" t="e">
        <f t="shared" si="38"/>
        <v>#N/A</v>
      </c>
    </row>
    <row r="765" spans="4:11" hidden="1" x14ac:dyDescent="0.25">
      <c r="D765" s="19" t="e">
        <f>VLOOKUP($C765,ТабКлиенты[#Data],MATCH(D$1,ТабКлиенты[#Headers],0),0)</f>
        <v>#N/A</v>
      </c>
      <c r="E765" t="e">
        <f>VLOOKUP($C765,ТабКлиенты[#Data],MATCH(E$1,ТабКлиенты[#Headers],0),0)</f>
        <v>#N/A</v>
      </c>
      <c r="F765" s="80"/>
      <c r="G765" s="14" t="e">
        <f>VLOOKUP($C765,ТабКлиенты[#Data],MATCH(G$1,ТабКлиенты[#Headers],0),0)</f>
        <v>#N/A</v>
      </c>
      <c r="H765" s="14"/>
      <c r="K765" t="e">
        <f t="shared" si="38"/>
        <v>#N/A</v>
      </c>
    </row>
    <row r="766" spans="4:11" hidden="1" x14ac:dyDescent="0.25">
      <c r="D766" s="19" t="e">
        <f>VLOOKUP($C766,ТабКлиенты[#Data],MATCH(D$1,ТабКлиенты[#Headers],0),0)</f>
        <v>#N/A</v>
      </c>
      <c r="E766" t="e">
        <f>VLOOKUP($C766,ТабКлиенты[#Data],MATCH(E$1,ТабКлиенты[#Headers],0),0)</f>
        <v>#N/A</v>
      </c>
      <c r="F766" s="80"/>
      <c r="G766" s="14" t="e">
        <f>VLOOKUP($C766,ТабКлиенты[#Data],MATCH(G$1,ТабКлиенты[#Headers],0),0)</f>
        <v>#N/A</v>
      </c>
      <c r="H766" s="14"/>
      <c r="K766" t="e">
        <f t="shared" si="38"/>
        <v>#N/A</v>
      </c>
    </row>
    <row r="767" spans="4:11" hidden="1" x14ac:dyDescent="0.25">
      <c r="D767" s="19" t="e">
        <f>VLOOKUP($C767,ТабКлиенты[#Data],MATCH(D$1,ТабКлиенты[#Headers],0),0)</f>
        <v>#N/A</v>
      </c>
      <c r="E767" t="e">
        <f>VLOOKUP($C767,ТабКлиенты[#Data],MATCH(E$1,ТабКлиенты[#Headers],0),0)</f>
        <v>#N/A</v>
      </c>
      <c r="F767" s="80"/>
      <c r="G767" s="14" t="e">
        <f>VLOOKUP($C767,ТабКлиенты[#Data],MATCH(G$1,ТабКлиенты[#Headers],0),0)</f>
        <v>#N/A</v>
      </c>
      <c r="H767" s="14"/>
      <c r="K767" t="e">
        <f t="shared" si="38"/>
        <v>#N/A</v>
      </c>
    </row>
    <row r="768" spans="4:11" hidden="1" x14ac:dyDescent="0.25">
      <c r="D768" s="19" t="e">
        <f>VLOOKUP($C768,ТабКлиенты[#Data],MATCH(D$1,ТабКлиенты[#Headers],0),0)</f>
        <v>#N/A</v>
      </c>
      <c r="E768" t="e">
        <f>VLOOKUP($C768,ТабКлиенты[#Data],MATCH(E$1,ТабКлиенты[#Headers],0),0)</f>
        <v>#N/A</v>
      </c>
      <c r="F768" s="80"/>
      <c r="G768" s="14" t="e">
        <f>VLOOKUP($C768,ТабКлиенты[#Data],MATCH(G$1,ТабКлиенты[#Headers],0),0)</f>
        <v>#N/A</v>
      </c>
      <c r="H768" s="14"/>
      <c r="K768" t="e">
        <f t="shared" si="38"/>
        <v>#N/A</v>
      </c>
    </row>
    <row r="769" spans="4:11" hidden="1" x14ac:dyDescent="0.25">
      <c r="D769" s="19" t="e">
        <f>VLOOKUP($C769,ТабКлиенты[#Data],MATCH(D$1,ТабКлиенты[#Headers],0),0)</f>
        <v>#N/A</v>
      </c>
      <c r="E769" t="e">
        <f>VLOOKUP($C769,ТабКлиенты[#Data],MATCH(E$1,ТабКлиенты[#Headers],0),0)</f>
        <v>#N/A</v>
      </c>
      <c r="F769" s="80"/>
      <c r="G769" s="14" t="e">
        <f>VLOOKUP($C769,ТабКлиенты[#Data],MATCH(G$1,ТабКлиенты[#Headers],0),0)</f>
        <v>#N/A</v>
      </c>
      <c r="H769" s="14"/>
      <c r="K769" t="e">
        <f t="shared" si="38"/>
        <v>#N/A</v>
      </c>
    </row>
    <row r="770" spans="4:11" hidden="1" x14ac:dyDescent="0.25">
      <c r="D770" s="19" t="e">
        <f>VLOOKUP($C770,ТабКлиенты[#Data],MATCH(D$1,ТабКлиенты[#Headers],0),0)</f>
        <v>#N/A</v>
      </c>
      <c r="E770" t="e">
        <f>VLOOKUP($C770,ТабКлиенты[#Data],MATCH(E$1,ТабКлиенты[#Headers],0),0)</f>
        <v>#N/A</v>
      </c>
      <c r="F770" s="80"/>
      <c r="G770" s="14" t="e">
        <f>VLOOKUP($C770,ТабКлиенты[#Data],MATCH(G$1,ТабКлиенты[#Headers],0),0)</f>
        <v>#N/A</v>
      </c>
      <c r="H770" s="14"/>
      <c r="K770" t="e">
        <f t="shared" si="38"/>
        <v>#N/A</v>
      </c>
    </row>
    <row r="771" spans="4:11" hidden="1" x14ac:dyDescent="0.25">
      <c r="D771" s="19" t="e">
        <f>VLOOKUP($C771,ТабКлиенты[#Data],MATCH(D$1,ТабКлиенты[#Headers],0),0)</f>
        <v>#N/A</v>
      </c>
      <c r="E771" t="e">
        <f>VLOOKUP($C771,ТабКлиенты[#Data],MATCH(E$1,ТабКлиенты[#Headers],0),0)</f>
        <v>#N/A</v>
      </c>
      <c r="F771" s="80"/>
      <c r="G771" s="14" t="e">
        <f>VLOOKUP($C771,ТабКлиенты[#Data],MATCH(G$1,ТабКлиенты[#Headers],0),0)</f>
        <v>#N/A</v>
      </c>
      <c r="H771" s="14"/>
      <c r="K771" t="e">
        <f t="shared" si="38"/>
        <v>#N/A</v>
      </c>
    </row>
    <row r="772" spans="4:11" hidden="1" x14ac:dyDescent="0.25">
      <c r="D772" s="19" t="e">
        <f>VLOOKUP($C772,ТабКлиенты[#Data],MATCH(D$1,ТабКлиенты[#Headers],0),0)</f>
        <v>#N/A</v>
      </c>
      <c r="E772" t="e">
        <f>VLOOKUP($C772,ТабКлиенты[#Data],MATCH(E$1,ТабКлиенты[#Headers],0),0)</f>
        <v>#N/A</v>
      </c>
      <c r="F772" s="80"/>
      <c r="G772" s="14" t="e">
        <f>VLOOKUP($C772,ТабКлиенты[#Data],MATCH(G$1,ТабКлиенты[#Headers],0),0)</f>
        <v>#N/A</v>
      </c>
      <c r="H772" s="14"/>
      <c r="K772" t="e">
        <f t="shared" si="38"/>
        <v>#N/A</v>
      </c>
    </row>
    <row r="773" spans="4:11" hidden="1" x14ac:dyDescent="0.25">
      <c r="D773" s="19" t="e">
        <f>VLOOKUP($C773,ТабКлиенты[#Data],MATCH(D$1,ТабКлиенты[#Headers],0),0)</f>
        <v>#N/A</v>
      </c>
      <c r="E773" t="e">
        <f>VLOOKUP($C773,ТабКлиенты[#Data],MATCH(E$1,ТабКлиенты[#Headers],0),0)</f>
        <v>#N/A</v>
      </c>
      <c r="F773" s="80"/>
      <c r="G773" s="14" t="e">
        <f>VLOOKUP($C773,ТабКлиенты[#Data],MATCH(G$1,ТабКлиенты[#Headers],0),0)</f>
        <v>#N/A</v>
      </c>
      <c r="H773" s="14"/>
      <c r="K773" t="e">
        <f t="shared" si="38"/>
        <v>#N/A</v>
      </c>
    </row>
    <row r="774" spans="4:11" hidden="1" x14ac:dyDescent="0.25">
      <c r="D774" s="19" t="e">
        <f>VLOOKUP($C774,ТабКлиенты[#Data],MATCH(D$1,ТабКлиенты[#Headers],0),0)</f>
        <v>#N/A</v>
      </c>
      <c r="E774" t="e">
        <f>VLOOKUP($C774,ТабКлиенты[#Data],MATCH(E$1,ТабКлиенты[#Headers],0),0)</f>
        <v>#N/A</v>
      </c>
      <c r="F774" s="80"/>
      <c r="G774" s="14" t="e">
        <f>VLOOKUP($C774,ТабКлиенты[#Data],MATCH(G$1,ТабКлиенты[#Headers],0),0)</f>
        <v>#N/A</v>
      </c>
      <c r="H774" s="14"/>
      <c r="K774" t="e">
        <f t="shared" si="38"/>
        <v>#N/A</v>
      </c>
    </row>
    <row r="775" spans="4:11" hidden="1" x14ac:dyDescent="0.25">
      <c r="D775" s="19" t="e">
        <f>VLOOKUP($C775,ТабКлиенты[#Data],MATCH(D$1,ТабКлиенты[#Headers],0),0)</f>
        <v>#N/A</v>
      </c>
      <c r="E775" t="e">
        <f>VLOOKUP($C775,ТабКлиенты[#Data],MATCH(E$1,ТабКлиенты[#Headers],0),0)</f>
        <v>#N/A</v>
      </c>
      <c r="F775" s="80"/>
      <c r="G775" s="14" t="e">
        <f>VLOOKUP($C775,ТабКлиенты[#Data],MATCH(G$1,ТабКлиенты[#Headers],0),0)</f>
        <v>#N/A</v>
      </c>
      <c r="H775" s="14"/>
      <c r="K775" t="e">
        <f t="shared" si="38"/>
        <v>#N/A</v>
      </c>
    </row>
    <row r="776" spans="4:11" hidden="1" x14ac:dyDescent="0.25">
      <c r="D776" s="19" t="e">
        <f>VLOOKUP($C776,ТабКлиенты[#Data],MATCH(D$1,ТабКлиенты[#Headers],0),0)</f>
        <v>#N/A</v>
      </c>
      <c r="E776" t="e">
        <f>VLOOKUP($C776,ТабКлиенты[#Data],MATCH(E$1,ТабКлиенты[#Headers],0),0)</f>
        <v>#N/A</v>
      </c>
      <c r="F776" s="80"/>
      <c r="G776" s="14" t="e">
        <f>VLOOKUP($C776,ТабКлиенты[#Data],MATCH(G$1,ТабКлиенты[#Headers],0),0)</f>
        <v>#N/A</v>
      </c>
      <c r="H776" s="14"/>
      <c r="K776" t="e">
        <f t="shared" si="38"/>
        <v>#N/A</v>
      </c>
    </row>
    <row r="777" spans="4:11" hidden="1" x14ac:dyDescent="0.25">
      <c r="D777" s="19" t="e">
        <f>VLOOKUP($C777,ТабКлиенты[#Data],MATCH(D$1,ТабКлиенты[#Headers],0),0)</f>
        <v>#N/A</v>
      </c>
      <c r="E777" t="e">
        <f>VLOOKUP($C777,ТабКлиенты[#Data],MATCH(E$1,ТабКлиенты[#Headers],0),0)</f>
        <v>#N/A</v>
      </c>
      <c r="F777" s="80"/>
      <c r="G777" s="14" t="e">
        <f>VLOOKUP($C777,ТабКлиенты[#Data],MATCH(G$1,ТабКлиенты[#Headers],0),0)</f>
        <v>#N/A</v>
      </c>
      <c r="H777" s="14"/>
      <c r="K777" t="e">
        <f t="shared" si="38"/>
        <v>#N/A</v>
      </c>
    </row>
    <row r="778" spans="4:11" hidden="1" x14ac:dyDescent="0.25">
      <c r="D778" s="19" t="e">
        <f>VLOOKUP($C778,ТабКлиенты[#Data],MATCH(D$1,ТабКлиенты[#Headers],0),0)</f>
        <v>#N/A</v>
      </c>
      <c r="E778" t="e">
        <f>VLOOKUP($C778,ТабКлиенты[#Data],MATCH(E$1,ТабКлиенты[#Headers],0),0)</f>
        <v>#N/A</v>
      </c>
      <c r="F778" s="80"/>
      <c r="G778" s="14" t="e">
        <f>VLOOKUP($C778,ТабКлиенты[#Data],MATCH(G$1,ТабКлиенты[#Headers],0),0)</f>
        <v>#N/A</v>
      </c>
      <c r="H778" s="14"/>
      <c r="K778" t="e">
        <f t="shared" si="38"/>
        <v>#N/A</v>
      </c>
    </row>
    <row r="779" spans="4:11" hidden="1" x14ac:dyDescent="0.25">
      <c r="D779" s="19" t="e">
        <f>VLOOKUP($C779,ТабКлиенты[#Data],MATCH(D$1,ТабКлиенты[#Headers],0),0)</f>
        <v>#N/A</v>
      </c>
      <c r="E779" t="e">
        <f>VLOOKUP($C779,ТабКлиенты[#Data],MATCH(E$1,ТабКлиенты[#Headers],0),0)</f>
        <v>#N/A</v>
      </c>
      <c r="F779" s="80"/>
      <c r="G779" s="14" t="e">
        <f>VLOOKUP($C779,ТабКлиенты[#Data],MATCH(G$1,ТабКлиенты[#Headers],0),0)</f>
        <v>#N/A</v>
      </c>
      <c r="H779" s="14"/>
      <c r="K779" t="e">
        <f t="shared" si="38"/>
        <v>#N/A</v>
      </c>
    </row>
    <row r="780" spans="4:11" hidden="1" x14ac:dyDescent="0.25">
      <c r="D780" s="19" t="e">
        <f>VLOOKUP($C780,ТабКлиенты[#Data],MATCH(D$1,ТабКлиенты[#Headers],0),0)</f>
        <v>#N/A</v>
      </c>
      <c r="E780" t="e">
        <f>VLOOKUP($C780,ТабКлиенты[#Data],MATCH(E$1,ТабКлиенты[#Headers],0),0)</f>
        <v>#N/A</v>
      </c>
      <c r="F780" s="80"/>
      <c r="G780" s="14" t="e">
        <f>VLOOKUP($C780,ТабКлиенты[#Data],MATCH(G$1,ТабКлиенты[#Headers],0),0)</f>
        <v>#N/A</v>
      </c>
      <c r="H780" s="14"/>
      <c r="K780" t="e">
        <f t="shared" si="38"/>
        <v>#N/A</v>
      </c>
    </row>
    <row r="781" spans="4:11" hidden="1" x14ac:dyDescent="0.25">
      <c r="D781" s="19" t="e">
        <f>VLOOKUP($C781,ТабКлиенты[#Data],MATCH(D$1,ТабКлиенты[#Headers],0),0)</f>
        <v>#N/A</v>
      </c>
      <c r="E781" t="e">
        <f>VLOOKUP($C781,ТабКлиенты[#Data],MATCH(E$1,ТабКлиенты[#Headers],0),0)</f>
        <v>#N/A</v>
      </c>
      <c r="F781" s="80"/>
      <c r="G781" s="14" t="e">
        <f>VLOOKUP($C781,ТабКлиенты[#Data],MATCH(G$1,ТабКлиенты[#Headers],0),0)</f>
        <v>#N/A</v>
      </c>
      <c r="H781" s="14"/>
      <c r="K781" t="e">
        <f t="shared" si="38"/>
        <v>#N/A</v>
      </c>
    </row>
    <row r="782" spans="4:11" hidden="1" x14ac:dyDescent="0.25">
      <c r="D782" s="19" t="e">
        <f>VLOOKUP($C782,ТабКлиенты[#Data],MATCH(D$1,ТабКлиенты[#Headers],0),0)</f>
        <v>#N/A</v>
      </c>
      <c r="E782" t="e">
        <f>VLOOKUP($C782,ТабКлиенты[#Data],MATCH(E$1,ТабКлиенты[#Headers],0),0)</f>
        <v>#N/A</v>
      </c>
      <c r="F782" s="80"/>
      <c r="G782" s="14" t="e">
        <f>VLOOKUP($C782,ТабКлиенты[#Data],MATCH(G$1,ТабКлиенты[#Headers],0),0)</f>
        <v>#N/A</v>
      </c>
      <c r="H782" s="14"/>
      <c r="K782" t="e">
        <f t="shared" si="38"/>
        <v>#N/A</v>
      </c>
    </row>
    <row r="783" spans="4:11" hidden="1" x14ac:dyDescent="0.25">
      <c r="D783" s="19" t="e">
        <f>VLOOKUP($C783,ТабКлиенты[#Data],MATCH(D$1,ТабКлиенты[#Headers],0),0)</f>
        <v>#N/A</v>
      </c>
      <c r="E783" t="e">
        <f>VLOOKUP($C783,ТабКлиенты[#Data],MATCH(E$1,ТабКлиенты[#Headers],0),0)</f>
        <v>#N/A</v>
      </c>
      <c r="F783" s="80"/>
      <c r="G783" s="14" t="e">
        <f>VLOOKUP($C783,ТабКлиенты[#Data],MATCH(G$1,ТабКлиенты[#Headers],0),0)</f>
        <v>#N/A</v>
      </c>
      <c r="H783" s="14"/>
      <c r="K783" t="e">
        <f t="shared" si="38"/>
        <v>#N/A</v>
      </c>
    </row>
    <row r="784" spans="4:11" hidden="1" x14ac:dyDescent="0.25">
      <c r="D784" s="19" t="e">
        <f>VLOOKUP($C784,ТабКлиенты[#Data],MATCH(D$1,ТабКлиенты[#Headers],0),0)</f>
        <v>#N/A</v>
      </c>
      <c r="E784" t="e">
        <f>VLOOKUP($C784,ТабКлиенты[#Data],MATCH(E$1,ТабКлиенты[#Headers],0),0)</f>
        <v>#N/A</v>
      </c>
      <c r="F784" s="80"/>
      <c r="G784" s="14" t="e">
        <f>VLOOKUP($C784,ТабКлиенты[#Data],MATCH(G$1,ТабКлиенты[#Headers],0),0)</f>
        <v>#N/A</v>
      </c>
      <c r="H784" s="14"/>
      <c r="K784" t="e">
        <f t="shared" si="38"/>
        <v>#N/A</v>
      </c>
    </row>
    <row r="785" spans="4:11" hidden="1" x14ac:dyDescent="0.25">
      <c r="D785" s="19" t="e">
        <f>VLOOKUP($C785,ТабКлиенты[#Data],MATCH(D$1,ТабКлиенты[#Headers],0),0)</f>
        <v>#N/A</v>
      </c>
      <c r="E785" t="e">
        <f>VLOOKUP($C785,ТабКлиенты[#Data],MATCH(E$1,ТабКлиенты[#Headers],0),0)</f>
        <v>#N/A</v>
      </c>
      <c r="F785" s="80"/>
      <c r="G785" s="14" t="e">
        <f>VLOOKUP($C785,ТабКлиенты[#Data],MATCH(G$1,ТабКлиенты[#Headers],0),0)</f>
        <v>#N/A</v>
      </c>
      <c r="H785" s="14"/>
      <c r="K785" t="e">
        <f t="shared" si="38"/>
        <v>#N/A</v>
      </c>
    </row>
    <row r="786" spans="4:11" hidden="1" x14ac:dyDescent="0.25">
      <c r="D786" s="19" t="e">
        <f>VLOOKUP($C786,ТабКлиенты[#Data],MATCH(D$1,ТабКлиенты[#Headers],0),0)</f>
        <v>#N/A</v>
      </c>
      <c r="E786" t="e">
        <f>VLOOKUP($C786,ТабКлиенты[#Data],MATCH(E$1,ТабКлиенты[#Headers],0),0)</f>
        <v>#N/A</v>
      </c>
      <c r="F786" s="80"/>
      <c r="G786" s="14" t="e">
        <f>VLOOKUP($C786,ТабКлиенты[#Data],MATCH(G$1,ТабКлиенты[#Headers],0),0)</f>
        <v>#N/A</v>
      </c>
      <c r="H786" s="14"/>
      <c r="K786" t="e">
        <f t="shared" si="38"/>
        <v>#N/A</v>
      </c>
    </row>
    <row r="787" spans="4:11" hidden="1" x14ac:dyDescent="0.25">
      <c r="D787" s="19" t="e">
        <f>VLOOKUP($C787,ТабКлиенты[#Data],MATCH(D$1,ТабКлиенты[#Headers],0),0)</f>
        <v>#N/A</v>
      </c>
      <c r="E787" t="e">
        <f>VLOOKUP($C787,ТабКлиенты[#Data],MATCH(E$1,ТабКлиенты[#Headers],0),0)</f>
        <v>#N/A</v>
      </c>
      <c r="F787" s="80"/>
      <c r="G787" s="14" t="e">
        <f>VLOOKUP($C787,ТабКлиенты[#Data],MATCH(G$1,ТабКлиенты[#Headers],0),0)</f>
        <v>#N/A</v>
      </c>
      <c r="H787" s="14"/>
      <c r="K787" t="e">
        <f t="shared" si="38"/>
        <v>#N/A</v>
      </c>
    </row>
    <row r="788" spans="4:11" hidden="1" x14ac:dyDescent="0.25">
      <c r="D788" s="19" t="e">
        <f>VLOOKUP($C788,ТабКлиенты[#Data],MATCH(D$1,ТабКлиенты[#Headers],0),0)</f>
        <v>#N/A</v>
      </c>
      <c r="E788" t="e">
        <f>VLOOKUP($C788,ТабКлиенты[#Data],MATCH(E$1,ТабКлиенты[#Headers],0),0)</f>
        <v>#N/A</v>
      </c>
      <c r="F788" s="80"/>
      <c r="G788" s="14" t="e">
        <f>VLOOKUP($C788,ТабКлиенты[#Data],MATCH(G$1,ТабКлиенты[#Headers],0),0)</f>
        <v>#N/A</v>
      </c>
      <c r="H788" s="14"/>
      <c r="K788" t="e">
        <f t="shared" si="38"/>
        <v>#N/A</v>
      </c>
    </row>
    <row r="789" spans="4:11" hidden="1" x14ac:dyDescent="0.25">
      <c r="D789" s="19" t="e">
        <f>VLOOKUP($C789,ТабКлиенты[#Data],MATCH(D$1,ТабКлиенты[#Headers],0),0)</f>
        <v>#N/A</v>
      </c>
      <c r="E789" t="e">
        <f>VLOOKUP($C789,ТабКлиенты[#Data],MATCH(E$1,ТабКлиенты[#Headers],0),0)</f>
        <v>#N/A</v>
      </c>
      <c r="F789" s="80"/>
      <c r="G789" s="14" t="e">
        <f>VLOOKUP($C789,ТабКлиенты[#Data],MATCH(G$1,ТабКлиенты[#Headers],0),0)</f>
        <v>#N/A</v>
      </c>
      <c r="H789" s="14"/>
      <c r="K789" t="e">
        <f t="shared" si="38"/>
        <v>#N/A</v>
      </c>
    </row>
    <row r="790" spans="4:11" hidden="1" x14ac:dyDescent="0.25">
      <c r="D790" s="19" t="e">
        <f>VLOOKUP($C790,ТабКлиенты[#Data],MATCH(D$1,ТабКлиенты[#Headers],0),0)</f>
        <v>#N/A</v>
      </c>
      <c r="E790" t="e">
        <f>VLOOKUP($C790,ТабКлиенты[#Data],MATCH(E$1,ТабКлиенты[#Headers],0),0)</f>
        <v>#N/A</v>
      </c>
      <c r="F790" s="80"/>
      <c r="G790" s="14" t="e">
        <f>VLOOKUP($C790,ТабКлиенты[#Data],MATCH(G$1,ТабКлиенты[#Headers],0),0)</f>
        <v>#N/A</v>
      </c>
      <c r="H790" s="14"/>
      <c r="K790" t="e">
        <f t="shared" si="38"/>
        <v>#N/A</v>
      </c>
    </row>
    <row r="791" spans="4:11" hidden="1" x14ac:dyDescent="0.25">
      <c r="D791" s="19" t="e">
        <f>VLOOKUP($C791,ТабКлиенты[#Data],MATCH(D$1,ТабКлиенты[#Headers],0),0)</f>
        <v>#N/A</v>
      </c>
      <c r="E791" t="e">
        <f>VLOOKUP($C791,ТабКлиенты[#Data],MATCH(E$1,ТабКлиенты[#Headers],0),0)</f>
        <v>#N/A</v>
      </c>
      <c r="F791" s="80"/>
      <c r="G791" s="14" t="e">
        <f>VLOOKUP($C791,ТабКлиенты[#Data],MATCH(G$1,ТабКлиенты[#Headers],0),0)</f>
        <v>#N/A</v>
      </c>
      <c r="H791" s="14"/>
      <c r="K791" t="e">
        <f t="shared" si="38"/>
        <v>#N/A</v>
      </c>
    </row>
    <row r="792" spans="4:11" hidden="1" x14ac:dyDescent="0.25">
      <c r="D792" s="19" t="e">
        <f>VLOOKUP($C792,ТабКлиенты[#Data],MATCH(D$1,ТабКлиенты[#Headers],0),0)</f>
        <v>#N/A</v>
      </c>
      <c r="E792" t="e">
        <f>VLOOKUP($C792,ТабКлиенты[#Data],MATCH(E$1,ТабКлиенты[#Headers],0),0)</f>
        <v>#N/A</v>
      </c>
      <c r="F792" s="80"/>
      <c r="G792" s="14" t="e">
        <f>VLOOKUP($C792,ТабКлиенты[#Data],MATCH(G$1,ТабКлиенты[#Headers],0),0)</f>
        <v>#N/A</v>
      </c>
      <c r="H792" s="14"/>
      <c r="K792" t="e">
        <f t="shared" si="38"/>
        <v>#N/A</v>
      </c>
    </row>
    <row r="793" spans="4:11" hidden="1" x14ac:dyDescent="0.25">
      <c r="D793" s="19" t="e">
        <f>VLOOKUP($C793,ТабКлиенты[#Data],MATCH(D$1,ТабКлиенты[#Headers],0),0)</f>
        <v>#N/A</v>
      </c>
      <c r="E793" t="e">
        <f>VLOOKUP($C793,ТабКлиенты[#Data],MATCH(E$1,ТабКлиенты[#Headers],0),0)</f>
        <v>#N/A</v>
      </c>
      <c r="F793" s="80"/>
      <c r="G793" s="14" t="e">
        <f>VLOOKUP($C793,ТабКлиенты[#Data],MATCH(G$1,ТабКлиенты[#Headers],0),0)</f>
        <v>#N/A</v>
      </c>
      <c r="H793" s="14"/>
      <c r="K793" t="e">
        <f t="shared" si="38"/>
        <v>#N/A</v>
      </c>
    </row>
    <row r="794" spans="4:11" hidden="1" x14ac:dyDescent="0.25">
      <c r="D794" s="19" t="e">
        <f>VLOOKUP($C794,ТабКлиенты[#Data],MATCH(D$1,ТабКлиенты[#Headers],0),0)</f>
        <v>#N/A</v>
      </c>
      <c r="E794" t="e">
        <f>VLOOKUP($C794,ТабКлиенты[#Data],MATCH(E$1,ТабКлиенты[#Headers],0),0)</f>
        <v>#N/A</v>
      </c>
      <c r="F794" s="80"/>
      <c r="G794" s="14" t="e">
        <f>VLOOKUP($C794,ТабКлиенты[#Data],MATCH(G$1,ТабКлиенты[#Headers],0),0)</f>
        <v>#N/A</v>
      </c>
      <c r="H794" s="14"/>
      <c r="K794" t="e">
        <f t="shared" si="38"/>
        <v>#N/A</v>
      </c>
    </row>
    <row r="795" spans="4:11" hidden="1" x14ac:dyDescent="0.25">
      <c r="D795" s="19" t="e">
        <f>VLOOKUP($C795,ТабКлиенты[#Data],MATCH(D$1,ТабКлиенты[#Headers],0),0)</f>
        <v>#N/A</v>
      </c>
      <c r="E795" t="e">
        <f>VLOOKUP($C795,ТабКлиенты[#Data],MATCH(E$1,ТабКлиенты[#Headers],0),0)</f>
        <v>#N/A</v>
      </c>
      <c r="F795" s="80"/>
      <c r="G795" s="14" t="e">
        <f>VLOOKUP($C795,ТабКлиенты[#Data],MATCH(G$1,ТабКлиенты[#Headers],0),0)</f>
        <v>#N/A</v>
      </c>
      <c r="H795" s="14"/>
      <c r="K795" t="e">
        <f t="shared" ref="K795:K826" si="45">A795&amp;". "&amp;TEXT(F795,"ЧЧ:ММ")&amp;" "&amp;C795&amp;CHAR(10)&amp;"Тел.: "&amp;D795&amp;CHAR(10)&amp;"Адрес: "&amp;E795&amp;CHAR(10)&amp;"№ заказа: "&amp;I795&amp;CHAR(10)&amp;"Кол-во мест: "&amp;J795&amp;CHAR(10)&amp;"https://yandex.ru/maps/?text="&amp;REPLACE(G795,SEARCH(",",G795),2,"%2C")&amp;CHAR(10)&amp;"https://maps.google.com/?daddr="&amp;REPLACE(G795,SEARCH(",",G795),2,"%2C")&amp;CHAR(10)&amp;"К оплате: "&amp;"**"&amp;H795&amp;CHAR(10)&amp;"**"&amp;"--------------------------------"</f>
        <v>#N/A</v>
      </c>
    </row>
    <row r="796" spans="4:11" hidden="1" x14ac:dyDescent="0.25">
      <c r="D796" s="19" t="e">
        <f>VLOOKUP($C796,ТабКлиенты[#Data],MATCH(D$1,ТабКлиенты[#Headers],0),0)</f>
        <v>#N/A</v>
      </c>
      <c r="E796" t="e">
        <f>VLOOKUP($C796,ТабКлиенты[#Data],MATCH(E$1,ТабКлиенты[#Headers],0),0)</f>
        <v>#N/A</v>
      </c>
      <c r="F796" s="80"/>
      <c r="G796" s="14" t="e">
        <f>VLOOKUP($C796,ТабКлиенты[#Data],MATCH(G$1,ТабКлиенты[#Headers],0),0)</f>
        <v>#N/A</v>
      </c>
      <c r="H796" s="14"/>
      <c r="K796" t="e">
        <f t="shared" si="45"/>
        <v>#N/A</v>
      </c>
    </row>
    <row r="797" spans="4:11" hidden="1" x14ac:dyDescent="0.25">
      <c r="D797" s="19" t="e">
        <f>VLOOKUP($C797,ТабКлиенты[#Data],MATCH(D$1,ТабКлиенты[#Headers],0),0)</f>
        <v>#N/A</v>
      </c>
      <c r="E797" t="e">
        <f>VLOOKUP($C797,ТабКлиенты[#Data],MATCH(E$1,ТабКлиенты[#Headers],0),0)</f>
        <v>#N/A</v>
      </c>
      <c r="F797" s="80"/>
      <c r="G797" s="14" t="e">
        <f>VLOOKUP($C797,ТабКлиенты[#Data],MATCH(G$1,ТабКлиенты[#Headers],0),0)</f>
        <v>#N/A</v>
      </c>
      <c r="H797" s="14"/>
      <c r="K797" t="e">
        <f t="shared" si="45"/>
        <v>#N/A</v>
      </c>
    </row>
    <row r="798" spans="4:11" hidden="1" x14ac:dyDescent="0.25">
      <c r="D798" s="19" t="e">
        <f>VLOOKUP($C798,ТабКлиенты[#Data],MATCH(D$1,ТабКлиенты[#Headers],0),0)</f>
        <v>#N/A</v>
      </c>
      <c r="E798" t="e">
        <f>VLOOKUP($C798,ТабКлиенты[#Data],MATCH(E$1,ТабКлиенты[#Headers],0),0)</f>
        <v>#N/A</v>
      </c>
      <c r="F798" s="80"/>
      <c r="G798" s="14" t="e">
        <f>VLOOKUP($C798,ТабКлиенты[#Data],MATCH(G$1,ТабКлиенты[#Headers],0),0)</f>
        <v>#N/A</v>
      </c>
      <c r="H798" s="14"/>
      <c r="K798" t="e">
        <f t="shared" si="45"/>
        <v>#N/A</v>
      </c>
    </row>
    <row r="799" spans="4:11" hidden="1" x14ac:dyDescent="0.25">
      <c r="D799" s="19" t="e">
        <f>VLOOKUP($C799,ТабКлиенты[#Data],MATCH(D$1,ТабКлиенты[#Headers],0),0)</f>
        <v>#N/A</v>
      </c>
      <c r="E799" t="e">
        <f>VLOOKUP($C799,ТабКлиенты[#Data],MATCH(E$1,ТабКлиенты[#Headers],0),0)</f>
        <v>#N/A</v>
      </c>
      <c r="F799" s="80"/>
      <c r="G799" s="14" t="e">
        <f>VLOOKUP($C799,ТабКлиенты[#Data],MATCH(G$1,ТабКлиенты[#Headers],0),0)</f>
        <v>#N/A</v>
      </c>
      <c r="H799" s="14"/>
      <c r="K799" t="e">
        <f t="shared" si="45"/>
        <v>#N/A</v>
      </c>
    </row>
    <row r="800" spans="4:11" hidden="1" x14ac:dyDescent="0.25">
      <c r="D800" s="19" t="e">
        <f>VLOOKUP($C800,ТабКлиенты[#Data],MATCH(D$1,ТабКлиенты[#Headers],0),0)</f>
        <v>#N/A</v>
      </c>
      <c r="E800" t="e">
        <f>VLOOKUP($C800,ТабКлиенты[#Data],MATCH(E$1,ТабКлиенты[#Headers],0),0)</f>
        <v>#N/A</v>
      </c>
      <c r="F800" s="80"/>
      <c r="G800" s="14" t="e">
        <f>VLOOKUP($C800,ТабКлиенты[#Data],MATCH(G$1,ТабКлиенты[#Headers],0),0)</f>
        <v>#N/A</v>
      </c>
      <c r="H800" s="14"/>
      <c r="K800" t="e">
        <f t="shared" si="45"/>
        <v>#N/A</v>
      </c>
    </row>
    <row r="801" spans="4:11" hidden="1" x14ac:dyDescent="0.25">
      <c r="D801" s="19" t="e">
        <f>VLOOKUP($C801,ТабКлиенты[#Data],MATCH(D$1,ТабКлиенты[#Headers],0),0)</f>
        <v>#N/A</v>
      </c>
      <c r="E801" t="e">
        <f>VLOOKUP($C801,ТабКлиенты[#Data],MATCH(E$1,ТабКлиенты[#Headers],0),0)</f>
        <v>#N/A</v>
      </c>
      <c r="F801" s="80"/>
      <c r="G801" s="14" t="e">
        <f>VLOOKUP($C801,ТабКлиенты[#Data],MATCH(G$1,ТабКлиенты[#Headers],0),0)</f>
        <v>#N/A</v>
      </c>
      <c r="H801" s="14"/>
      <c r="K801" t="e">
        <f t="shared" si="45"/>
        <v>#N/A</v>
      </c>
    </row>
    <row r="802" spans="4:11" hidden="1" x14ac:dyDescent="0.25">
      <c r="D802" s="19" t="e">
        <f>VLOOKUP($C802,ТабКлиенты[#Data],MATCH(D$1,ТабКлиенты[#Headers],0),0)</f>
        <v>#N/A</v>
      </c>
      <c r="E802" t="e">
        <f>VLOOKUP($C802,ТабКлиенты[#Data],MATCH(E$1,ТабКлиенты[#Headers],0),0)</f>
        <v>#N/A</v>
      </c>
      <c r="F802" s="80"/>
      <c r="G802" s="14" t="e">
        <f>VLOOKUP($C802,ТабКлиенты[#Data],MATCH(G$1,ТабКлиенты[#Headers],0),0)</f>
        <v>#N/A</v>
      </c>
      <c r="H802" s="14"/>
      <c r="K802" t="e">
        <f t="shared" si="45"/>
        <v>#N/A</v>
      </c>
    </row>
    <row r="803" spans="4:11" hidden="1" x14ac:dyDescent="0.25">
      <c r="D803" s="19" t="e">
        <f>VLOOKUP($C803,ТабКлиенты[#Data],MATCH(D$1,ТабКлиенты[#Headers],0),0)</f>
        <v>#N/A</v>
      </c>
      <c r="E803" t="e">
        <f>VLOOKUP($C803,ТабКлиенты[#Data],MATCH(E$1,ТабКлиенты[#Headers],0),0)</f>
        <v>#N/A</v>
      </c>
      <c r="F803" s="80"/>
      <c r="G803" s="14" t="e">
        <f>VLOOKUP($C803,ТабКлиенты[#Data],MATCH(G$1,ТабКлиенты[#Headers],0),0)</f>
        <v>#N/A</v>
      </c>
      <c r="H803" s="14"/>
      <c r="K803" t="e">
        <f t="shared" si="45"/>
        <v>#N/A</v>
      </c>
    </row>
    <row r="804" spans="4:11" hidden="1" x14ac:dyDescent="0.25">
      <c r="D804" s="19" t="e">
        <f>VLOOKUP($C804,ТабКлиенты[#Data],MATCH(D$1,ТабКлиенты[#Headers],0),0)</f>
        <v>#N/A</v>
      </c>
      <c r="E804" t="e">
        <f>VLOOKUP($C804,ТабКлиенты[#Data],MATCH(E$1,ТабКлиенты[#Headers],0),0)</f>
        <v>#N/A</v>
      </c>
      <c r="F804" s="80"/>
      <c r="G804" s="14" t="e">
        <f>VLOOKUP($C804,ТабКлиенты[#Data],MATCH(G$1,ТабКлиенты[#Headers],0),0)</f>
        <v>#N/A</v>
      </c>
      <c r="H804" s="14"/>
      <c r="K804" t="e">
        <f t="shared" si="45"/>
        <v>#N/A</v>
      </c>
    </row>
    <row r="805" spans="4:11" hidden="1" x14ac:dyDescent="0.25">
      <c r="D805" s="19" t="e">
        <f>VLOOKUP($C805,ТабКлиенты[#Data],MATCH(D$1,ТабКлиенты[#Headers],0),0)</f>
        <v>#N/A</v>
      </c>
      <c r="E805" t="e">
        <f>VLOOKUP($C805,ТабКлиенты[#Data],MATCH(E$1,ТабКлиенты[#Headers],0),0)</f>
        <v>#N/A</v>
      </c>
      <c r="F805" s="80"/>
      <c r="G805" s="14" t="e">
        <f>VLOOKUP($C805,ТабКлиенты[#Data],MATCH(G$1,ТабКлиенты[#Headers],0),0)</f>
        <v>#N/A</v>
      </c>
      <c r="H805" s="14"/>
      <c r="K805" t="e">
        <f t="shared" si="45"/>
        <v>#N/A</v>
      </c>
    </row>
    <row r="806" spans="4:11" hidden="1" x14ac:dyDescent="0.25">
      <c r="D806" s="19" t="e">
        <f>VLOOKUP($C806,ТабКлиенты[#Data],MATCH(D$1,ТабКлиенты[#Headers],0),0)</f>
        <v>#N/A</v>
      </c>
      <c r="E806" t="e">
        <f>VLOOKUP($C806,ТабКлиенты[#Data],MATCH(E$1,ТабКлиенты[#Headers],0),0)</f>
        <v>#N/A</v>
      </c>
      <c r="F806" s="80"/>
      <c r="G806" s="14" t="e">
        <f>VLOOKUP($C806,ТабКлиенты[#Data],MATCH(G$1,ТабКлиенты[#Headers],0),0)</f>
        <v>#N/A</v>
      </c>
      <c r="H806" s="14"/>
      <c r="K806" t="e">
        <f t="shared" si="45"/>
        <v>#N/A</v>
      </c>
    </row>
    <row r="807" spans="4:11" hidden="1" x14ac:dyDescent="0.25">
      <c r="D807" s="19" t="e">
        <f>VLOOKUP($C807,ТабКлиенты[#Data],MATCH(D$1,ТабКлиенты[#Headers],0),0)</f>
        <v>#N/A</v>
      </c>
      <c r="E807" t="e">
        <f>VLOOKUP($C807,ТабКлиенты[#Data],MATCH(E$1,ТабКлиенты[#Headers],0),0)</f>
        <v>#N/A</v>
      </c>
      <c r="F807" s="80"/>
      <c r="G807" s="14" t="e">
        <f>VLOOKUP($C807,ТабКлиенты[#Data],MATCH(G$1,ТабКлиенты[#Headers],0),0)</f>
        <v>#N/A</v>
      </c>
      <c r="H807" s="14"/>
      <c r="K807" t="e">
        <f t="shared" si="45"/>
        <v>#N/A</v>
      </c>
    </row>
    <row r="808" spans="4:11" hidden="1" x14ac:dyDescent="0.25">
      <c r="D808" s="19" t="e">
        <f>VLOOKUP($C808,ТабКлиенты[#Data],MATCH(D$1,ТабКлиенты[#Headers],0),0)</f>
        <v>#N/A</v>
      </c>
      <c r="E808" t="e">
        <f>VLOOKUP($C808,ТабКлиенты[#Data],MATCH(E$1,ТабКлиенты[#Headers],0),0)</f>
        <v>#N/A</v>
      </c>
      <c r="F808" s="80"/>
      <c r="G808" s="14" t="e">
        <f>VLOOKUP($C808,ТабКлиенты[#Data],MATCH(G$1,ТабКлиенты[#Headers],0),0)</f>
        <v>#N/A</v>
      </c>
      <c r="H808" s="14"/>
      <c r="K808" t="e">
        <f t="shared" si="45"/>
        <v>#N/A</v>
      </c>
    </row>
    <row r="809" spans="4:11" hidden="1" x14ac:dyDescent="0.25">
      <c r="D809" s="19" t="e">
        <f>VLOOKUP($C809,ТабКлиенты[#Data],MATCH(D$1,ТабКлиенты[#Headers],0),0)</f>
        <v>#N/A</v>
      </c>
      <c r="E809" t="e">
        <f>VLOOKUP($C809,ТабКлиенты[#Data],MATCH(E$1,ТабКлиенты[#Headers],0),0)</f>
        <v>#N/A</v>
      </c>
      <c r="F809" s="80"/>
      <c r="G809" s="14" t="e">
        <f>VLOOKUP($C809,ТабКлиенты[#Data],MATCH(G$1,ТабКлиенты[#Headers],0),0)</f>
        <v>#N/A</v>
      </c>
      <c r="H809" s="14"/>
      <c r="K809" t="e">
        <f t="shared" si="45"/>
        <v>#N/A</v>
      </c>
    </row>
    <row r="810" spans="4:11" hidden="1" x14ac:dyDescent="0.25">
      <c r="D810" s="19" t="e">
        <f>VLOOKUP($C810,ТабКлиенты[#Data],MATCH(D$1,ТабКлиенты[#Headers],0),0)</f>
        <v>#N/A</v>
      </c>
      <c r="E810" t="e">
        <f>VLOOKUP($C810,ТабКлиенты[#Data],MATCH(E$1,ТабКлиенты[#Headers],0),0)</f>
        <v>#N/A</v>
      </c>
      <c r="F810" s="80"/>
      <c r="G810" s="14" t="e">
        <f>VLOOKUP($C810,ТабКлиенты[#Data],MATCH(G$1,ТабКлиенты[#Headers],0),0)</f>
        <v>#N/A</v>
      </c>
      <c r="H810" s="14"/>
      <c r="K810" t="e">
        <f t="shared" si="45"/>
        <v>#N/A</v>
      </c>
    </row>
    <row r="811" spans="4:11" hidden="1" x14ac:dyDescent="0.25">
      <c r="D811" s="19" t="e">
        <f>VLOOKUP($C811,ТабКлиенты[#Data],MATCH(D$1,ТабКлиенты[#Headers],0),0)</f>
        <v>#N/A</v>
      </c>
      <c r="E811" t="e">
        <f>VLOOKUP($C811,ТабКлиенты[#Data],MATCH(E$1,ТабКлиенты[#Headers],0),0)</f>
        <v>#N/A</v>
      </c>
      <c r="F811" s="80"/>
      <c r="G811" s="14" t="e">
        <f>VLOOKUP($C811,ТабКлиенты[#Data],MATCH(G$1,ТабКлиенты[#Headers],0),0)</f>
        <v>#N/A</v>
      </c>
      <c r="H811" s="14"/>
      <c r="K811" t="e">
        <f t="shared" si="45"/>
        <v>#N/A</v>
      </c>
    </row>
    <row r="812" spans="4:11" hidden="1" x14ac:dyDescent="0.25">
      <c r="D812" s="19" t="e">
        <f>VLOOKUP($C812,ТабКлиенты[#Data],MATCH(D$1,ТабКлиенты[#Headers],0),0)</f>
        <v>#N/A</v>
      </c>
      <c r="E812" t="e">
        <f>VLOOKUP($C812,ТабКлиенты[#Data],MATCH(E$1,ТабКлиенты[#Headers],0),0)</f>
        <v>#N/A</v>
      </c>
      <c r="F812" s="80"/>
      <c r="G812" s="14" t="e">
        <f>VLOOKUP($C812,ТабКлиенты[#Data],MATCH(G$1,ТабКлиенты[#Headers],0),0)</f>
        <v>#N/A</v>
      </c>
      <c r="H812" s="14"/>
      <c r="K812" t="e">
        <f t="shared" si="45"/>
        <v>#N/A</v>
      </c>
    </row>
    <row r="813" spans="4:11" hidden="1" x14ac:dyDescent="0.25">
      <c r="D813" s="19" t="e">
        <f>VLOOKUP($C813,ТабКлиенты[#Data],MATCH(D$1,ТабКлиенты[#Headers],0),0)</f>
        <v>#N/A</v>
      </c>
      <c r="E813" t="e">
        <f>VLOOKUP($C813,ТабКлиенты[#Data],MATCH(E$1,ТабКлиенты[#Headers],0),0)</f>
        <v>#N/A</v>
      </c>
      <c r="F813" s="80"/>
      <c r="G813" s="14" t="e">
        <f>VLOOKUP($C813,ТабКлиенты[#Data],MATCH(G$1,ТабКлиенты[#Headers],0),0)</f>
        <v>#N/A</v>
      </c>
      <c r="H813" s="14"/>
      <c r="K813" t="e">
        <f t="shared" si="45"/>
        <v>#N/A</v>
      </c>
    </row>
    <row r="814" spans="4:11" hidden="1" x14ac:dyDescent="0.25">
      <c r="D814" s="19" t="e">
        <f>VLOOKUP($C814,ТабКлиенты[#Data],MATCH(D$1,ТабКлиенты[#Headers],0),0)</f>
        <v>#N/A</v>
      </c>
      <c r="E814" t="e">
        <f>VLOOKUP($C814,ТабКлиенты[#Data],MATCH(E$1,ТабКлиенты[#Headers],0),0)</f>
        <v>#N/A</v>
      </c>
      <c r="F814" s="80"/>
      <c r="G814" s="14" t="e">
        <f>VLOOKUP($C814,ТабКлиенты[#Data],MATCH(G$1,ТабКлиенты[#Headers],0),0)</f>
        <v>#N/A</v>
      </c>
      <c r="H814" s="14"/>
      <c r="K814" t="e">
        <f t="shared" si="45"/>
        <v>#N/A</v>
      </c>
    </row>
    <row r="815" spans="4:11" hidden="1" x14ac:dyDescent="0.25">
      <c r="D815" s="19" t="e">
        <f>VLOOKUP($C815,ТабКлиенты[#Data],MATCH(D$1,ТабКлиенты[#Headers],0),0)</f>
        <v>#N/A</v>
      </c>
      <c r="E815" t="e">
        <f>VLOOKUP($C815,ТабКлиенты[#Data],MATCH(E$1,ТабКлиенты[#Headers],0),0)</f>
        <v>#N/A</v>
      </c>
      <c r="F815" s="80"/>
      <c r="G815" s="14" t="e">
        <f>VLOOKUP($C815,ТабКлиенты[#Data],MATCH(G$1,ТабКлиенты[#Headers],0),0)</f>
        <v>#N/A</v>
      </c>
      <c r="H815" s="14"/>
      <c r="K815" t="e">
        <f t="shared" si="45"/>
        <v>#N/A</v>
      </c>
    </row>
    <row r="816" spans="4:11" hidden="1" x14ac:dyDescent="0.25">
      <c r="D816" s="19" t="e">
        <f>VLOOKUP($C816,ТабКлиенты[#Data],MATCH(D$1,ТабКлиенты[#Headers],0),0)</f>
        <v>#N/A</v>
      </c>
      <c r="E816" t="e">
        <f>VLOOKUP($C816,ТабКлиенты[#Data],MATCH(E$1,ТабКлиенты[#Headers],0),0)</f>
        <v>#N/A</v>
      </c>
      <c r="F816" s="80"/>
      <c r="G816" s="14" t="e">
        <f>VLOOKUP($C816,ТабКлиенты[#Data],MATCH(G$1,ТабКлиенты[#Headers],0),0)</f>
        <v>#N/A</v>
      </c>
      <c r="H816" s="14"/>
      <c r="K816" t="e">
        <f t="shared" si="45"/>
        <v>#N/A</v>
      </c>
    </row>
    <row r="817" spans="4:11" hidden="1" x14ac:dyDescent="0.25">
      <c r="D817" s="19" t="e">
        <f>VLOOKUP($C817,ТабКлиенты[#Data],MATCH(D$1,ТабКлиенты[#Headers],0),0)</f>
        <v>#N/A</v>
      </c>
      <c r="E817" t="e">
        <f>VLOOKUP($C817,ТабКлиенты[#Data],MATCH(E$1,ТабКлиенты[#Headers],0),0)</f>
        <v>#N/A</v>
      </c>
      <c r="F817" s="80"/>
      <c r="G817" s="14" t="e">
        <f>VLOOKUP($C817,ТабКлиенты[#Data],MATCH(G$1,ТабКлиенты[#Headers],0),0)</f>
        <v>#N/A</v>
      </c>
      <c r="H817" s="14"/>
      <c r="K817" t="e">
        <f t="shared" si="45"/>
        <v>#N/A</v>
      </c>
    </row>
    <row r="818" spans="4:11" hidden="1" x14ac:dyDescent="0.25">
      <c r="D818" s="19" t="e">
        <f>VLOOKUP($C818,ТабКлиенты[#Data],MATCH(D$1,ТабКлиенты[#Headers],0),0)</f>
        <v>#N/A</v>
      </c>
      <c r="E818" t="e">
        <f>VLOOKUP($C818,ТабКлиенты[#Data],MATCH(E$1,ТабКлиенты[#Headers],0),0)</f>
        <v>#N/A</v>
      </c>
      <c r="F818" s="80"/>
      <c r="G818" s="14" t="e">
        <f>VLOOKUP($C818,ТабКлиенты[#Data],MATCH(G$1,ТабКлиенты[#Headers],0),0)</f>
        <v>#N/A</v>
      </c>
      <c r="H818" s="14"/>
      <c r="K818" t="e">
        <f t="shared" si="45"/>
        <v>#N/A</v>
      </c>
    </row>
    <row r="819" spans="4:11" hidden="1" x14ac:dyDescent="0.25">
      <c r="D819" s="19" t="e">
        <f>VLOOKUP($C819,ТабКлиенты[#Data],MATCH(D$1,ТабКлиенты[#Headers],0),0)</f>
        <v>#N/A</v>
      </c>
      <c r="E819" t="e">
        <f>VLOOKUP($C819,ТабКлиенты[#Data],MATCH(E$1,ТабКлиенты[#Headers],0),0)</f>
        <v>#N/A</v>
      </c>
      <c r="F819" s="80"/>
      <c r="G819" s="14" t="e">
        <f>VLOOKUP($C819,ТабКлиенты[#Data],MATCH(G$1,ТабКлиенты[#Headers],0),0)</f>
        <v>#N/A</v>
      </c>
      <c r="H819" s="14"/>
      <c r="K819" t="e">
        <f t="shared" si="45"/>
        <v>#N/A</v>
      </c>
    </row>
    <row r="820" spans="4:11" hidden="1" x14ac:dyDescent="0.25">
      <c r="D820" s="19" t="e">
        <f>VLOOKUP($C820,ТабКлиенты[#Data],MATCH(D$1,ТабКлиенты[#Headers],0),0)</f>
        <v>#N/A</v>
      </c>
      <c r="E820" t="e">
        <f>VLOOKUP($C820,ТабКлиенты[#Data],MATCH(E$1,ТабКлиенты[#Headers],0),0)</f>
        <v>#N/A</v>
      </c>
      <c r="F820" s="80"/>
      <c r="G820" s="14" t="e">
        <f>VLOOKUP($C820,ТабКлиенты[#Data],MATCH(G$1,ТабКлиенты[#Headers],0),0)</f>
        <v>#N/A</v>
      </c>
      <c r="H820" s="14"/>
      <c r="K820" t="e">
        <f t="shared" si="45"/>
        <v>#N/A</v>
      </c>
    </row>
    <row r="821" spans="4:11" hidden="1" x14ac:dyDescent="0.25">
      <c r="D821" s="19" t="e">
        <f>VLOOKUP($C821,ТабКлиенты[#Data],MATCH(D$1,ТабКлиенты[#Headers],0),0)</f>
        <v>#N/A</v>
      </c>
      <c r="E821" t="e">
        <f>VLOOKUP($C821,ТабКлиенты[#Data],MATCH(E$1,ТабКлиенты[#Headers],0),0)</f>
        <v>#N/A</v>
      </c>
      <c r="F821" s="80"/>
      <c r="G821" s="14" t="e">
        <f>VLOOKUP($C821,ТабКлиенты[#Data],MATCH(G$1,ТабКлиенты[#Headers],0),0)</f>
        <v>#N/A</v>
      </c>
      <c r="H821" s="14"/>
      <c r="K821" t="e">
        <f t="shared" si="45"/>
        <v>#N/A</v>
      </c>
    </row>
    <row r="822" spans="4:11" hidden="1" x14ac:dyDescent="0.25">
      <c r="D822" s="19" t="e">
        <f>VLOOKUP($C822,ТабКлиенты[#Data],MATCH(D$1,ТабКлиенты[#Headers],0),0)</f>
        <v>#N/A</v>
      </c>
      <c r="E822" t="e">
        <f>VLOOKUP($C822,ТабКлиенты[#Data],MATCH(E$1,ТабКлиенты[#Headers],0),0)</f>
        <v>#N/A</v>
      </c>
      <c r="F822" s="80"/>
      <c r="G822" s="14" t="e">
        <f>VLOOKUP($C822,ТабКлиенты[#Data],MATCH(G$1,ТабКлиенты[#Headers],0),0)</f>
        <v>#N/A</v>
      </c>
      <c r="H822" s="14"/>
      <c r="K822" t="e">
        <f t="shared" si="45"/>
        <v>#N/A</v>
      </c>
    </row>
    <row r="823" spans="4:11" hidden="1" x14ac:dyDescent="0.25">
      <c r="D823" s="19" t="e">
        <f>VLOOKUP($C823,ТабКлиенты[#Data],MATCH(D$1,ТабКлиенты[#Headers],0),0)</f>
        <v>#N/A</v>
      </c>
      <c r="E823" t="e">
        <f>VLOOKUP($C823,ТабКлиенты[#Data],MATCH(E$1,ТабКлиенты[#Headers],0),0)</f>
        <v>#N/A</v>
      </c>
      <c r="F823" s="80"/>
      <c r="G823" s="14" t="e">
        <f>VLOOKUP($C823,ТабКлиенты[#Data],MATCH(G$1,ТабКлиенты[#Headers],0),0)</f>
        <v>#N/A</v>
      </c>
      <c r="H823" s="14"/>
      <c r="K823" t="e">
        <f t="shared" si="45"/>
        <v>#N/A</v>
      </c>
    </row>
    <row r="824" spans="4:11" hidden="1" x14ac:dyDescent="0.25">
      <c r="D824" s="19" t="e">
        <f>VLOOKUP($C824,ТабКлиенты[#Data],MATCH(D$1,ТабКлиенты[#Headers],0),0)</f>
        <v>#N/A</v>
      </c>
      <c r="E824" t="e">
        <f>VLOOKUP($C824,ТабКлиенты[#Data],MATCH(E$1,ТабКлиенты[#Headers],0),0)</f>
        <v>#N/A</v>
      </c>
      <c r="F824" s="80"/>
      <c r="G824" s="14" t="e">
        <f>VLOOKUP($C824,ТабКлиенты[#Data],MATCH(G$1,ТабКлиенты[#Headers],0),0)</f>
        <v>#N/A</v>
      </c>
      <c r="H824" s="14"/>
      <c r="K824" t="e">
        <f t="shared" si="45"/>
        <v>#N/A</v>
      </c>
    </row>
    <row r="825" spans="4:11" hidden="1" x14ac:dyDescent="0.25">
      <c r="D825" s="19" t="e">
        <f>VLOOKUP($C825,ТабКлиенты[#Data],MATCH(D$1,ТабКлиенты[#Headers],0),0)</f>
        <v>#N/A</v>
      </c>
      <c r="E825" t="e">
        <f>VLOOKUP($C825,ТабКлиенты[#Data],MATCH(E$1,ТабКлиенты[#Headers],0),0)</f>
        <v>#N/A</v>
      </c>
      <c r="F825" s="80"/>
      <c r="G825" s="14" t="e">
        <f>VLOOKUP($C825,ТабКлиенты[#Data],MATCH(G$1,ТабКлиенты[#Headers],0),0)</f>
        <v>#N/A</v>
      </c>
      <c r="H825" s="14"/>
      <c r="K825" t="e">
        <f t="shared" si="45"/>
        <v>#N/A</v>
      </c>
    </row>
    <row r="826" spans="4:11" hidden="1" x14ac:dyDescent="0.25">
      <c r="D826" s="19" t="e">
        <f>VLOOKUP($C826,ТабКлиенты[#Data],MATCH(D$1,ТабКлиенты[#Headers],0),0)</f>
        <v>#N/A</v>
      </c>
      <c r="E826" t="e">
        <f>VLOOKUP($C826,ТабКлиенты[#Data],MATCH(E$1,ТабКлиенты[#Headers],0),0)</f>
        <v>#N/A</v>
      </c>
      <c r="F826" s="80"/>
      <c r="G826" s="14" t="e">
        <f>VLOOKUP($C826,ТабКлиенты[#Data],MATCH(G$1,ТабКлиенты[#Headers],0),0)</f>
        <v>#N/A</v>
      </c>
      <c r="H826" s="14"/>
      <c r="K826" t="e">
        <f t="shared" si="45"/>
        <v>#N/A</v>
      </c>
    </row>
    <row r="827" spans="4:11" hidden="1" x14ac:dyDescent="0.25">
      <c r="D827" s="19" t="e">
        <f>VLOOKUP($C827,ТабКлиенты[#Data],MATCH(D$1,ТабКлиенты[#Headers],0),0)</f>
        <v>#N/A</v>
      </c>
      <c r="E827" t="e">
        <f>VLOOKUP($C827,ТабКлиенты[#Data],MATCH(E$1,ТабКлиенты[#Headers],0),0)</f>
        <v>#N/A</v>
      </c>
      <c r="F827" s="80"/>
      <c r="G827" s="14" t="e">
        <f>VLOOKUP($C827,ТабКлиенты[#Data],MATCH(G$1,ТабКлиенты[#Headers],0),0)</f>
        <v>#N/A</v>
      </c>
      <c r="H827" s="14"/>
      <c r="K827" t="e">
        <f t="shared" ref="K827:K858" si="46">A827&amp;". "&amp;TEXT(F827,"ЧЧ:ММ")&amp;" "&amp;C827&amp;CHAR(10)&amp;"Тел.: "&amp;D827&amp;CHAR(10)&amp;"Адрес: "&amp;E827&amp;CHAR(10)&amp;"№ заказа: "&amp;I827&amp;CHAR(10)&amp;"Кол-во мест: "&amp;J827&amp;CHAR(10)&amp;"https://yandex.ru/maps/?text="&amp;REPLACE(G827,SEARCH(",",G827),2,"%2C")&amp;CHAR(10)&amp;"https://maps.google.com/?daddr="&amp;REPLACE(G827,SEARCH(",",G827),2,"%2C")&amp;CHAR(10)&amp;"К оплате: "&amp;"**"&amp;H827&amp;CHAR(10)&amp;"**"&amp;"--------------------------------"</f>
        <v>#N/A</v>
      </c>
    </row>
    <row r="828" spans="4:11" hidden="1" x14ac:dyDescent="0.25">
      <c r="D828" s="19" t="e">
        <f>VLOOKUP($C828,ТабКлиенты[#Data],MATCH(D$1,ТабКлиенты[#Headers],0),0)</f>
        <v>#N/A</v>
      </c>
      <c r="E828" t="e">
        <f>VLOOKUP($C828,ТабКлиенты[#Data],MATCH(E$1,ТабКлиенты[#Headers],0),0)</f>
        <v>#N/A</v>
      </c>
      <c r="F828" s="80"/>
      <c r="G828" s="14" t="e">
        <f>VLOOKUP($C828,ТабКлиенты[#Data],MATCH(G$1,ТабКлиенты[#Headers],0),0)</f>
        <v>#N/A</v>
      </c>
      <c r="H828" s="14"/>
      <c r="K828" t="e">
        <f t="shared" si="46"/>
        <v>#N/A</v>
      </c>
    </row>
    <row r="829" spans="4:11" hidden="1" x14ac:dyDescent="0.25">
      <c r="D829" s="19" t="e">
        <f>VLOOKUP($C829,ТабКлиенты[#Data],MATCH(D$1,ТабКлиенты[#Headers],0),0)</f>
        <v>#N/A</v>
      </c>
      <c r="E829" t="e">
        <f>VLOOKUP($C829,ТабКлиенты[#Data],MATCH(E$1,ТабКлиенты[#Headers],0),0)</f>
        <v>#N/A</v>
      </c>
      <c r="F829" s="80"/>
      <c r="G829" s="14" t="e">
        <f>VLOOKUP($C829,ТабКлиенты[#Data],MATCH(G$1,ТабКлиенты[#Headers],0),0)</f>
        <v>#N/A</v>
      </c>
      <c r="H829" s="14"/>
      <c r="K829" t="e">
        <f t="shared" si="46"/>
        <v>#N/A</v>
      </c>
    </row>
    <row r="830" spans="4:11" hidden="1" x14ac:dyDescent="0.25">
      <c r="D830" s="19" t="e">
        <f>VLOOKUP($C830,ТабКлиенты[#Data],MATCH(D$1,ТабКлиенты[#Headers],0),0)</f>
        <v>#N/A</v>
      </c>
      <c r="E830" t="e">
        <f>VLOOKUP($C830,ТабКлиенты[#Data],MATCH(E$1,ТабКлиенты[#Headers],0),0)</f>
        <v>#N/A</v>
      </c>
      <c r="F830" s="80"/>
      <c r="G830" s="14" t="e">
        <f>VLOOKUP($C830,ТабКлиенты[#Data],MATCH(G$1,ТабКлиенты[#Headers],0),0)</f>
        <v>#N/A</v>
      </c>
      <c r="H830" s="14"/>
      <c r="K830" t="e">
        <f t="shared" si="46"/>
        <v>#N/A</v>
      </c>
    </row>
    <row r="831" spans="4:11" hidden="1" x14ac:dyDescent="0.25">
      <c r="D831" s="19" t="e">
        <f>VLOOKUP($C831,ТабКлиенты[#Data],MATCH(D$1,ТабКлиенты[#Headers],0),0)</f>
        <v>#N/A</v>
      </c>
      <c r="E831" t="e">
        <f>VLOOKUP($C831,ТабКлиенты[#Data],MATCH(E$1,ТабКлиенты[#Headers],0),0)</f>
        <v>#N/A</v>
      </c>
      <c r="F831" s="80"/>
      <c r="G831" s="14" t="e">
        <f>VLOOKUP($C831,ТабКлиенты[#Data],MATCH(G$1,ТабКлиенты[#Headers],0),0)</f>
        <v>#N/A</v>
      </c>
      <c r="H831" s="14"/>
      <c r="K831" t="e">
        <f t="shared" si="46"/>
        <v>#N/A</v>
      </c>
    </row>
    <row r="832" spans="4:11" hidden="1" x14ac:dyDescent="0.25">
      <c r="D832" s="19" t="e">
        <f>VLOOKUP($C832,ТабКлиенты[#Data],MATCH(D$1,ТабКлиенты[#Headers],0),0)</f>
        <v>#N/A</v>
      </c>
      <c r="E832" t="e">
        <f>VLOOKUP($C832,ТабКлиенты[#Data],MATCH(E$1,ТабКлиенты[#Headers],0),0)</f>
        <v>#N/A</v>
      </c>
      <c r="F832" s="80"/>
      <c r="G832" s="14" t="e">
        <f>VLOOKUP($C832,ТабКлиенты[#Data],MATCH(G$1,ТабКлиенты[#Headers],0),0)</f>
        <v>#N/A</v>
      </c>
      <c r="H832" s="14"/>
      <c r="K832" t="e">
        <f t="shared" si="46"/>
        <v>#N/A</v>
      </c>
    </row>
    <row r="833" spans="4:11" hidden="1" x14ac:dyDescent="0.25">
      <c r="D833" s="19" t="e">
        <f>VLOOKUP($C833,ТабКлиенты[#Data],MATCH(D$1,ТабКлиенты[#Headers],0),0)</f>
        <v>#N/A</v>
      </c>
      <c r="E833" t="e">
        <f>VLOOKUP($C833,ТабКлиенты[#Data],MATCH(E$1,ТабКлиенты[#Headers],0),0)</f>
        <v>#N/A</v>
      </c>
      <c r="F833" s="80"/>
      <c r="G833" s="14" t="e">
        <f>VLOOKUP($C833,ТабКлиенты[#Data],MATCH(G$1,ТабКлиенты[#Headers],0),0)</f>
        <v>#N/A</v>
      </c>
      <c r="H833" s="14"/>
      <c r="K833" t="e">
        <f t="shared" si="46"/>
        <v>#N/A</v>
      </c>
    </row>
    <row r="834" spans="4:11" hidden="1" x14ac:dyDescent="0.25">
      <c r="D834" s="19" t="e">
        <f>VLOOKUP($C834,ТабКлиенты[#Data],MATCH(D$1,ТабКлиенты[#Headers],0),0)</f>
        <v>#N/A</v>
      </c>
      <c r="E834" t="e">
        <f>VLOOKUP($C834,ТабКлиенты[#Data],MATCH(E$1,ТабКлиенты[#Headers],0),0)</f>
        <v>#N/A</v>
      </c>
      <c r="F834" s="80"/>
      <c r="G834" s="14" t="e">
        <f>VLOOKUP($C834,ТабКлиенты[#Data],MATCH(G$1,ТабКлиенты[#Headers],0),0)</f>
        <v>#N/A</v>
      </c>
      <c r="H834" s="14"/>
      <c r="K834" t="e">
        <f t="shared" si="46"/>
        <v>#N/A</v>
      </c>
    </row>
    <row r="835" spans="4:11" hidden="1" x14ac:dyDescent="0.25">
      <c r="D835" s="19" t="e">
        <f>VLOOKUP($C835,ТабКлиенты[#Data],MATCH(D$1,ТабКлиенты[#Headers],0),0)</f>
        <v>#N/A</v>
      </c>
      <c r="E835" t="e">
        <f>VLOOKUP($C835,ТабКлиенты[#Data],MATCH(E$1,ТабКлиенты[#Headers],0),0)</f>
        <v>#N/A</v>
      </c>
      <c r="F835" s="80"/>
      <c r="G835" s="14" t="e">
        <f>VLOOKUP($C835,ТабКлиенты[#Data],MATCH(G$1,ТабКлиенты[#Headers],0),0)</f>
        <v>#N/A</v>
      </c>
      <c r="H835" s="14"/>
      <c r="K835" t="e">
        <f t="shared" si="46"/>
        <v>#N/A</v>
      </c>
    </row>
    <row r="836" spans="4:11" hidden="1" x14ac:dyDescent="0.25">
      <c r="D836" s="19" t="e">
        <f>VLOOKUP($C836,ТабКлиенты[#Data],MATCH(D$1,ТабКлиенты[#Headers],0),0)</f>
        <v>#N/A</v>
      </c>
      <c r="E836" t="e">
        <f>VLOOKUP($C836,ТабКлиенты[#Data],MATCH(E$1,ТабКлиенты[#Headers],0),0)</f>
        <v>#N/A</v>
      </c>
      <c r="F836" s="80"/>
      <c r="G836" s="14" t="e">
        <f>VLOOKUP($C836,ТабКлиенты[#Data],MATCH(G$1,ТабКлиенты[#Headers],0),0)</f>
        <v>#N/A</v>
      </c>
      <c r="H836" s="14"/>
      <c r="K836" t="e">
        <f t="shared" si="46"/>
        <v>#N/A</v>
      </c>
    </row>
    <row r="837" spans="4:11" hidden="1" x14ac:dyDescent="0.25">
      <c r="D837" s="19" t="e">
        <f>VLOOKUP($C837,ТабКлиенты[#Data],MATCH(D$1,ТабКлиенты[#Headers],0),0)</f>
        <v>#N/A</v>
      </c>
      <c r="E837" t="e">
        <f>VLOOKUP($C837,ТабКлиенты[#Data],MATCH(E$1,ТабКлиенты[#Headers],0),0)</f>
        <v>#N/A</v>
      </c>
      <c r="F837" s="80"/>
      <c r="G837" s="14" t="e">
        <f>VLOOKUP($C837,ТабКлиенты[#Data],MATCH(G$1,ТабКлиенты[#Headers],0),0)</f>
        <v>#N/A</v>
      </c>
      <c r="H837" s="14"/>
      <c r="K837" t="e">
        <f t="shared" si="46"/>
        <v>#N/A</v>
      </c>
    </row>
    <row r="838" spans="4:11" hidden="1" x14ac:dyDescent="0.25">
      <c r="D838" s="19" t="e">
        <f>VLOOKUP($C838,ТабКлиенты[#Data],MATCH(D$1,ТабКлиенты[#Headers],0),0)</f>
        <v>#N/A</v>
      </c>
      <c r="E838" t="e">
        <f>VLOOKUP($C838,ТабКлиенты[#Data],MATCH(E$1,ТабКлиенты[#Headers],0),0)</f>
        <v>#N/A</v>
      </c>
      <c r="F838" s="80"/>
      <c r="G838" s="14" t="e">
        <f>VLOOKUP($C838,ТабКлиенты[#Data],MATCH(G$1,ТабКлиенты[#Headers],0),0)</f>
        <v>#N/A</v>
      </c>
      <c r="H838" s="14"/>
      <c r="K838" t="e">
        <f t="shared" si="46"/>
        <v>#N/A</v>
      </c>
    </row>
    <row r="839" spans="4:11" hidden="1" x14ac:dyDescent="0.25">
      <c r="D839" s="19" t="e">
        <f>VLOOKUP($C839,ТабКлиенты[#Data],MATCH(D$1,ТабКлиенты[#Headers],0),0)</f>
        <v>#N/A</v>
      </c>
      <c r="E839" t="e">
        <f>VLOOKUP($C839,ТабКлиенты[#Data],MATCH(E$1,ТабКлиенты[#Headers],0),0)</f>
        <v>#N/A</v>
      </c>
      <c r="F839" s="80"/>
      <c r="G839" s="14" t="e">
        <f>VLOOKUP($C839,ТабКлиенты[#Data],MATCH(G$1,ТабКлиенты[#Headers],0),0)</f>
        <v>#N/A</v>
      </c>
      <c r="H839" s="14"/>
      <c r="K839" t="e">
        <f t="shared" si="46"/>
        <v>#N/A</v>
      </c>
    </row>
    <row r="840" spans="4:11" hidden="1" x14ac:dyDescent="0.25">
      <c r="D840" s="19" t="e">
        <f>VLOOKUP($C840,ТабКлиенты[#Data],MATCH(D$1,ТабКлиенты[#Headers],0),0)</f>
        <v>#N/A</v>
      </c>
      <c r="E840" t="e">
        <f>VLOOKUP($C840,ТабКлиенты[#Data],MATCH(E$1,ТабКлиенты[#Headers],0),0)</f>
        <v>#N/A</v>
      </c>
      <c r="F840" s="80"/>
      <c r="G840" s="14" t="e">
        <f>VLOOKUP($C840,ТабКлиенты[#Data],MATCH(G$1,ТабКлиенты[#Headers],0),0)</f>
        <v>#N/A</v>
      </c>
      <c r="H840" s="14"/>
      <c r="K840" t="e">
        <f t="shared" si="46"/>
        <v>#N/A</v>
      </c>
    </row>
    <row r="841" spans="4:11" hidden="1" x14ac:dyDescent="0.25">
      <c r="D841" s="19" t="e">
        <f>VLOOKUP($C841,ТабКлиенты[#Data],MATCH(D$1,ТабКлиенты[#Headers],0),0)</f>
        <v>#N/A</v>
      </c>
      <c r="E841" t="e">
        <f>VLOOKUP($C841,ТабКлиенты[#Data],MATCH(E$1,ТабКлиенты[#Headers],0),0)</f>
        <v>#N/A</v>
      </c>
      <c r="F841" s="80"/>
      <c r="G841" s="14" t="e">
        <f>VLOOKUP($C841,ТабКлиенты[#Data],MATCH(G$1,ТабКлиенты[#Headers],0),0)</f>
        <v>#N/A</v>
      </c>
      <c r="H841" s="14"/>
      <c r="K841" t="e">
        <f t="shared" si="46"/>
        <v>#N/A</v>
      </c>
    </row>
    <row r="842" spans="4:11" hidden="1" x14ac:dyDescent="0.25">
      <c r="D842" s="19" t="e">
        <f>VLOOKUP($C842,ТабКлиенты[#Data],MATCH(D$1,ТабКлиенты[#Headers],0),0)</f>
        <v>#N/A</v>
      </c>
      <c r="E842" t="e">
        <f>VLOOKUP($C842,ТабКлиенты[#Data],MATCH(E$1,ТабКлиенты[#Headers],0),0)</f>
        <v>#N/A</v>
      </c>
      <c r="F842" s="80"/>
      <c r="G842" s="14" t="e">
        <f>VLOOKUP($C842,ТабКлиенты[#Data],MATCH(G$1,ТабКлиенты[#Headers],0),0)</f>
        <v>#N/A</v>
      </c>
      <c r="H842" s="14"/>
      <c r="K842" t="e">
        <f t="shared" si="46"/>
        <v>#N/A</v>
      </c>
    </row>
    <row r="843" spans="4:11" hidden="1" x14ac:dyDescent="0.25">
      <c r="D843" s="19" t="e">
        <f>VLOOKUP($C843,ТабКлиенты[#Data],MATCH(D$1,ТабКлиенты[#Headers],0),0)</f>
        <v>#N/A</v>
      </c>
      <c r="E843" t="e">
        <f>VLOOKUP($C843,ТабКлиенты[#Data],MATCH(E$1,ТабКлиенты[#Headers],0),0)</f>
        <v>#N/A</v>
      </c>
      <c r="F843" s="80"/>
      <c r="G843" s="14" t="e">
        <f>VLOOKUP($C843,ТабКлиенты[#Data],MATCH(G$1,ТабКлиенты[#Headers],0),0)</f>
        <v>#N/A</v>
      </c>
      <c r="H843" s="14"/>
      <c r="K843" t="e">
        <f t="shared" si="46"/>
        <v>#N/A</v>
      </c>
    </row>
    <row r="844" spans="4:11" hidden="1" x14ac:dyDescent="0.25">
      <c r="D844" s="19" t="e">
        <f>VLOOKUP($C844,ТабКлиенты[#Data],MATCH(D$1,ТабКлиенты[#Headers],0),0)</f>
        <v>#N/A</v>
      </c>
      <c r="E844" t="e">
        <f>VLOOKUP($C844,ТабКлиенты[#Data],MATCH(E$1,ТабКлиенты[#Headers],0),0)</f>
        <v>#N/A</v>
      </c>
      <c r="F844" s="80"/>
      <c r="G844" s="14" t="e">
        <f>VLOOKUP($C844,ТабКлиенты[#Data],MATCH(G$1,ТабКлиенты[#Headers],0),0)</f>
        <v>#N/A</v>
      </c>
      <c r="H844" s="14"/>
      <c r="K844" t="e">
        <f t="shared" si="46"/>
        <v>#N/A</v>
      </c>
    </row>
    <row r="845" spans="4:11" hidden="1" x14ac:dyDescent="0.25">
      <c r="D845" s="19" t="e">
        <f>VLOOKUP($C845,ТабКлиенты[#Data],MATCH(D$1,ТабКлиенты[#Headers],0),0)</f>
        <v>#N/A</v>
      </c>
      <c r="E845" t="e">
        <f>VLOOKUP($C845,ТабКлиенты[#Data],MATCH(E$1,ТабКлиенты[#Headers],0),0)</f>
        <v>#N/A</v>
      </c>
      <c r="F845" s="80"/>
      <c r="G845" s="14" t="e">
        <f>VLOOKUP($C845,ТабКлиенты[#Data],MATCH(G$1,ТабКлиенты[#Headers],0),0)</f>
        <v>#N/A</v>
      </c>
      <c r="H845" s="14"/>
      <c r="K845" t="e">
        <f t="shared" si="46"/>
        <v>#N/A</v>
      </c>
    </row>
    <row r="846" spans="4:11" hidden="1" x14ac:dyDescent="0.25">
      <c r="D846" s="19" t="e">
        <f>VLOOKUP($C846,ТабКлиенты[#Data],MATCH(D$1,ТабКлиенты[#Headers],0),0)</f>
        <v>#N/A</v>
      </c>
      <c r="E846" t="e">
        <f>VLOOKUP($C846,ТабКлиенты[#Data],MATCH(E$1,ТабКлиенты[#Headers],0),0)</f>
        <v>#N/A</v>
      </c>
      <c r="F846" s="80"/>
      <c r="G846" s="14" t="e">
        <f>VLOOKUP($C846,ТабКлиенты[#Data],MATCH(G$1,ТабКлиенты[#Headers],0),0)</f>
        <v>#N/A</v>
      </c>
      <c r="H846" s="14"/>
      <c r="K846" t="e">
        <f t="shared" si="46"/>
        <v>#N/A</v>
      </c>
    </row>
    <row r="847" spans="4:11" hidden="1" x14ac:dyDescent="0.25">
      <c r="D847" s="19" t="e">
        <f>VLOOKUP($C847,ТабКлиенты[#Data],MATCH(D$1,ТабКлиенты[#Headers],0),0)</f>
        <v>#N/A</v>
      </c>
      <c r="E847" t="e">
        <f>VLOOKUP($C847,ТабКлиенты[#Data],MATCH(E$1,ТабКлиенты[#Headers],0),0)</f>
        <v>#N/A</v>
      </c>
      <c r="F847" s="80"/>
      <c r="G847" s="14" t="e">
        <f>VLOOKUP($C847,ТабКлиенты[#Data],MATCH(G$1,ТабКлиенты[#Headers],0),0)</f>
        <v>#N/A</v>
      </c>
      <c r="H847" s="14"/>
      <c r="K847" t="e">
        <f t="shared" si="46"/>
        <v>#N/A</v>
      </c>
    </row>
    <row r="848" spans="4:11" hidden="1" x14ac:dyDescent="0.25">
      <c r="D848" s="19" t="e">
        <f>VLOOKUP($C848,ТабКлиенты[#Data],MATCH(D$1,ТабКлиенты[#Headers],0),0)</f>
        <v>#N/A</v>
      </c>
      <c r="E848" t="e">
        <f>VLOOKUP($C848,ТабКлиенты[#Data],MATCH(E$1,ТабКлиенты[#Headers],0),0)</f>
        <v>#N/A</v>
      </c>
      <c r="F848" s="80"/>
      <c r="G848" s="14" t="e">
        <f>VLOOKUP($C848,ТабКлиенты[#Data],MATCH(G$1,ТабКлиенты[#Headers],0),0)</f>
        <v>#N/A</v>
      </c>
      <c r="H848" s="14"/>
      <c r="K848" t="e">
        <f t="shared" si="46"/>
        <v>#N/A</v>
      </c>
    </row>
    <row r="849" spans="4:11" hidden="1" x14ac:dyDescent="0.25">
      <c r="D849" s="19" t="e">
        <f>VLOOKUP($C849,ТабКлиенты[#Data],MATCH(D$1,ТабКлиенты[#Headers],0),0)</f>
        <v>#N/A</v>
      </c>
      <c r="E849" t="e">
        <f>VLOOKUP($C849,ТабКлиенты[#Data],MATCH(E$1,ТабКлиенты[#Headers],0),0)</f>
        <v>#N/A</v>
      </c>
      <c r="F849" s="80"/>
      <c r="G849" s="14" t="e">
        <f>VLOOKUP($C849,ТабКлиенты[#Data],MATCH(G$1,ТабКлиенты[#Headers],0),0)</f>
        <v>#N/A</v>
      </c>
      <c r="H849" s="14"/>
      <c r="K849" t="e">
        <f t="shared" si="46"/>
        <v>#N/A</v>
      </c>
    </row>
    <row r="850" spans="4:11" hidden="1" x14ac:dyDescent="0.25">
      <c r="D850" s="19" t="e">
        <f>VLOOKUP($C850,ТабКлиенты[#Data],MATCH(D$1,ТабКлиенты[#Headers],0),0)</f>
        <v>#N/A</v>
      </c>
      <c r="E850" t="e">
        <f>VLOOKUP($C850,ТабКлиенты[#Data],MATCH(E$1,ТабКлиенты[#Headers],0),0)</f>
        <v>#N/A</v>
      </c>
      <c r="F850" s="80"/>
      <c r="G850" s="14" t="e">
        <f>VLOOKUP($C850,ТабКлиенты[#Data],MATCH(G$1,ТабКлиенты[#Headers],0),0)</f>
        <v>#N/A</v>
      </c>
      <c r="H850" s="14"/>
      <c r="K850" t="e">
        <f t="shared" si="46"/>
        <v>#N/A</v>
      </c>
    </row>
    <row r="851" spans="4:11" hidden="1" x14ac:dyDescent="0.25">
      <c r="D851" s="19" t="e">
        <f>VLOOKUP($C851,ТабКлиенты[#Data],MATCH(D$1,ТабКлиенты[#Headers],0),0)</f>
        <v>#N/A</v>
      </c>
      <c r="E851" t="e">
        <f>VLOOKUP($C851,ТабКлиенты[#Data],MATCH(E$1,ТабКлиенты[#Headers],0),0)</f>
        <v>#N/A</v>
      </c>
      <c r="F851" s="80"/>
      <c r="G851" s="14" t="e">
        <f>VLOOKUP($C851,ТабКлиенты[#Data],MATCH(G$1,ТабКлиенты[#Headers],0),0)</f>
        <v>#N/A</v>
      </c>
      <c r="H851" s="14"/>
      <c r="K851" t="e">
        <f t="shared" si="46"/>
        <v>#N/A</v>
      </c>
    </row>
    <row r="852" spans="4:11" hidden="1" x14ac:dyDescent="0.25">
      <c r="D852" s="19" t="e">
        <f>VLOOKUP($C852,ТабКлиенты[#Data],MATCH(D$1,ТабКлиенты[#Headers],0),0)</f>
        <v>#N/A</v>
      </c>
      <c r="E852" t="e">
        <f>VLOOKUP($C852,ТабКлиенты[#Data],MATCH(E$1,ТабКлиенты[#Headers],0),0)</f>
        <v>#N/A</v>
      </c>
      <c r="F852" s="80"/>
      <c r="G852" s="14" t="e">
        <f>VLOOKUP($C852,ТабКлиенты[#Data],MATCH(G$1,ТабКлиенты[#Headers],0),0)</f>
        <v>#N/A</v>
      </c>
      <c r="H852" s="14"/>
      <c r="K852" t="e">
        <f t="shared" si="46"/>
        <v>#N/A</v>
      </c>
    </row>
    <row r="853" spans="4:11" hidden="1" x14ac:dyDescent="0.25">
      <c r="D853" s="19" t="e">
        <f>VLOOKUP($C853,ТабКлиенты[#Data],MATCH(D$1,ТабКлиенты[#Headers],0),0)</f>
        <v>#N/A</v>
      </c>
      <c r="E853" t="e">
        <f>VLOOKUP($C853,ТабКлиенты[#Data],MATCH(E$1,ТабКлиенты[#Headers],0),0)</f>
        <v>#N/A</v>
      </c>
      <c r="F853" s="80"/>
      <c r="G853" s="14" t="e">
        <f>VLOOKUP($C853,ТабКлиенты[#Data],MATCH(G$1,ТабКлиенты[#Headers],0),0)</f>
        <v>#N/A</v>
      </c>
      <c r="H853" s="14"/>
      <c r="K853" t="e">
        <f t="shared" si="46"/>
        <v>#N/A</v>
      </c>
    </row>
    <row r="854" spans="4:11" hidden="1" x14ac:dyDescent="0.25">
      <c r="D854" s="19" t="e">
        <f>VLOOKUP($C854,ТабКлиенты[#Data],MATCH(D$1,ТабКлиенты[#Headers],0),0)</f>
        <v>#N/A</v>
      </c>
      <c r="E854" t="e">
        <f>VLOOKUP($C854,ТабКлиенты[#Data],MATCH(E$1,ТабКлиенты[#Headers],0),0)</f>
        <v>#N/A</v>
      </c>
      <c r="F854" s="80"/>
      <c r="G854" s="14" t="e">
        <f>VLOOKUP($C854,ТабКлиенты[#Data],MATCH(G$1,ТабКлиенты[#Headers],0),0)</f>
        <v>#N/A</v>
      </c>
      <c r="H854" s="14"/>
      <c r="K854" t="e">
        <f t="shared" si="46"/>
        <v>#N/A</v>
      </c>
    </row>
    <row r="855" spans="4:11" hidden="1" x14ac:dyDescent="0.25">
      <c r="D855" s="19" t="e">
        <f>VLOOKUP($C855,ТабКлиенты[#Data],MATCH(D$1,ТабКлиенты[#Headers],0),0)</f>
        <v>#N/A</v>
      </c>
      <c r="E855" t="e">
        <f>VLOOKUP($C855,ТабКлиенты[#Data],MATCH(E$1,ТабКлиенты[#Headers],0),0)</f>
        <v>#N/A</v>
      </c>
      <c r="F855" s="80"/>
      <c r="G855" s="14" t="e">
        <f>VLOOKUP($C855,ТабКлиенты[#Data],MATCH(G$1,ТабКлиенты[#Headers],0),0)</f>
        <v>#N/A</v>
      </c>
      <c r="H855" s="14"/>
      <c r="K855" t="e">
        <f t="shared" si="46"/>
        <v>#N/A</v>
      </c>
    </row>
    <row r="856" spans="4:11" hidden="1" x14ac:dyDescent="0.25">
      <c r="D856" s="19" t="e">
        <f>VLOOKUP($C856,ТабКлиенты[#Data],MATCH(D$1,ТабКлиенты[#Headers],0),0)</f>
        <v>#N/A</v>
      </c>
      <c r="E856" t="e">
        <f>VLOOKUP($C856,ТабКлиенты[#Data],MATCH(E$1,ТабКлиенты[#Headers],0),0)</f>
        <v>#N/A</v>
      </c>
      <c r="F856" s="80"/>
      <c r="G856" s="14" t="e">
        <f>VLOOKUP($C856,ТабКлиенты[#Data],MATCH(G$1,ТабКлиенты[#Headers],0),0)</f>
        <v>#N/A</v>
      </c>
      <c r="H856" s="14"/>
      <c r="K856" t="e">
        <f t="shared" si="46"/>
        <v>#N/A</v>
      </c>
    </row>
    <row r="857" spans="4:11" hidden="1" x14ac:dyDescent="0.25">
      <c r="D857" s="19" t="e">
        <f>VLOOKUP($C857,ТабКлиенты[#Data],MATCH(D$1,ТабКлиенты[#Headers],0),0)</f>
        <v>#N/A</v>
      </c>
      <c r="E857" t="e">
        <f>VLOOKUP($C857,ТабКлиенты[#Data],MATCH(E$1,ТабКлиенты[#Headers],0),0)</f>
        <v>#N/A</v>
      </c>
      <c r="F857" s="80"/>
      <c r="G857" s="14" t="e">
        <f>VLOOKUP($C857,ТабКлиенты[#Data],MATCH(G$1,ТабКлиенты[#Headers],0),0)</f>
        <v>#N/A</v>
      </c>
      <c r="H857" s="14"/>
      <c r="K857" t="e">
        <f t="shared" si="46"/>
        <v>#N/A</v>
      </c>
    </row>
    <row r="858" spans="4:11" hidden="1" x14ac:dyDescent="0.25">
      <c r="D858" s="19" t="e">
        <f>VLOOKUP($C858,ТабКлиенты[#Data],MATCH(D$1,ТабКлиенты[#Headers],0),0)</f>
        <v>#N/A</v>
      </c>
      <c r="E858" t="e">
        <f>VLOOKUP($C858,ТабКлиенты[#Data],MATCH(E$1,ТабКлиенты[#Headers],0),0)</f>
        <v>#N/A</v>
      </c>
      <c r="F858" s="80"/>
      <c r="G858" s="14" t="e">
        <f>VLOOKUP($C858,ТабКлиенты[#Data],MATCH(G$1,ТабКлиенты[#Headers],0),0)</f>
        <v>#N/A</v>
      </c>
      <c r="H858" s="14"/>
      <c r="K858" t="e">
        <f t="shared" si="46"/>
        <v>#N/A</v>
      </c>
    </row>
    <row r="859" spans="4:11" hidden="1" x14ac:dyDescent="0.25">
      <c r="D859" s="19" t="e">
        <f>VLOOKUP($C859,ТабКлиенты[#Data],MATCH(D$1,ТабКлиенты[#Headers],0),0)</f>
        <v>#N/A</v>
      </c>
      <c r="E859" t="e">
        <f>VLOOKUP($C859,ТабКлиенты[#Data],MATCH(E$1,ТабКлиенты[#Headers],0),0)</f>
        <v>#N/A</v>
      </c>
      <c r="F859" s="80"/>
      <c r="G859" s="14" t="e">
        <f>VLOOKUP($C859,ТабКлиенты[#Data],MATCH(G$1,ТабКлиенты[#Headers],0),0)</f>
        <v>#N/A</v>
      </c>
      <c r="H859" s="14"/>
      <c r="K859" t="e">
        <f t="shared" si="38"/>
        <v>#N/A</v>
      </c>
    </row>
    <row r="860" spans="4:11" hidden="1" x14ac:dyDescent="0.25">
      <c r="D860" s="19" t="e">
        <f>VLOOKUP($C860,ТабКлиенты[#Data],MATCH(D$1,ТабКлиенты[#Headers],0),0)</f>
        <v>#N/A</v>
      </c>
      <c r="E860" t="e">
        <f>VLOOKUP($C860,ТабКлиенты[#Data],MATCH(E$1,ТабКлиенты[#Headers],0),0)</f>
        <v>#N/A</v>
      </c>
      <c r="F860" s="80"/>
      <c r="G860" s="14" t="e">
        <f>VLOOKUP($C860,ТабКлиенты[#Data],MATCH(G$1,ТабКлиенты[#Headers],0),0)</f>
        <v>#N/A</v>
      </c>
      <c r="H860" s="14"/>
      <c r="K860" t="e">
        <f t="shared" si="38"/>
        <v>#N/A</v>
      </c>
    </row>
    <row r="861" spans="4:11" hidden="1" x14ac:dyDescent="0.25">
      <c r="D861" s="19" t="e">
        <f>VLOOKUP($C861,ТабКлиенты[#Data],MATCH(D$1,ТабКлиенты[#Headers],0),0)</f>
        <v>#N/A</v>
      </c>
      <c r="E861" t="e">
        <f>VLOOKUP($C861,ТабКлиенты[#Data],MATCH(E$1,ТабКлиенты[#Headers],0),0)</f>
        <v>#N/A</v>
      </c>
      <c r="F861" s="80"/>
      <c r="G861" s="14" t="e">
        <f>VLOOKUP($C861,ТабКлиенты[#Data],MATCH(G$1,ТабКлиенты[#Headers],0),0)</f>
        <v>#N/A</v>
      </c>
      <c r="H861" s="14"/>
      <c r="K861" t="e">
        <f t="shared" si="38"/>
        <v>#N/A</v>
      </c>
    </row>
    <row r="862" spans="4:11" hidden="1" x14ac:dyDescent="0.25">
      <c r="D862" s="19" t="e">
        <f>VLOOKUP($C862,ТабКлиенты[#Data],MATCH(D$1,ТабКлиенты[#Headers],0),0)</f>
        <v>#N/A</v>
      </c>
      <c r="E862" t="e">
        <f>VLOOKUP($C862,ТабКлиенты[#Data],MATCH(E$1,ТабКлиенты[#Headers],0),0)</f>
        <v>#N/A</v>
      </c>
      <c r="F862" s="80"/>
      <c r="G862" s="14" t="e">
        <f>VLOOKUP($C862,ТабКлиенты[#Data],MATCH(G$1,ТабКлиенты[#Headers],0),0)</f>
        <v>#N/A</v>
      </c>
      <c r="H862" s="14"/>
      <c r="K862" t="e">
        <f t="shared" si="38"/>
        <v>#N/A</v>
      </c>
    </row>
    <row r="863" spans="4:11" hidden="1" x14ac:dyDescent="0.25">
      <c r="D863" s="19" t="e">
        <f>VLOOKUP($C863,ТабКлиенты[#Data],MATCH(D$1,ТабКлиенты[#Headers],0),0)</f>
        <v>#N/A</v>
      </c>
      <c r="E863" t="e">
        <f>VLOOKUP($C863,ТабКлиенты[#Data],MATCH(E$1,ТабКлиенты[#Headers],0),0)</f>
        <v>#N/A</v>
      </c>
      <c r="F863" s="80"/>
      <c r="G863" s="14" t="e">
        <f>VLOOKUP($C863,ТабКлиенты[#Data],MATCH(G$1,ТабКлиенты[#Headers],0),0)</f>
        <v>#N/A</v>
      </c>
      <c r="H863" s="14"/>
      <c r="K863" t="e">
        <f t="shared" si="38"/>
        <v>#N/A</v>
      </c>
    </row>
    <row r="864" spans="4:11" hidden="1" x14ac:dyDescent="0.25">
      <c r="D864" s="19" t="e">
        <f>VLOOKUP($C864,ТабКлиенты[#Data],MATCH(D$1,ТабКлиенты[#Headers],0),0)</f>
        <v>#N/A</v>
      </c>
      <c r="E864" t="e">
        <f>VLOOKUP($C864,ТабКлиенты[#Data],MATCH(E$1,ТабКлиенты[#Headers],0),0)</f>
        <v>#N/A</v>
      </c>
      <c r="F864" s="80"/>
      <c r="G864" s="14" t="e">
        <f>VLOOKUP($C864,ТабКлиенты[#Data],MATCH(G$1,ТабКлиенты[#Headers],0),0)</f>
        <v>#N/A</v>
      </c>
      <c r="H864" s="14"/>
      <c r="K864" t="e">
        <f t="shared" si="38"/>
        <v>#N/A</v>
      </c>
    </row>
    <row r="865" spans="4:11" hidden="1" x14ac:dyDescent="0.25">
      <c r="D865" s="19" t="e">
        <f>VLOOKUP($C865,ТабКлиенты[#Data],MATCH(D$1,ТабКлиенты[#Headers],0),0)</f>
        <v>#N/A</v>
      </c>
      <c r="E865" t="e">
        <f>VLOOKUP($C865,ТабКлиенты[#Data],MATCH(E$1,ТабКлиенты[#Headers],0),0)</f>
        <v>#N/A</v>
      </c>
      <c r="F865" s="80"/>
      <c r="G865" s="14" t="e">
        <f>VLOOKUP($C865,ТабКлиенты[#Data],MATCH(G$1,ТабКлиенты[#Headers],0),0)</f>
        <v>#N/A</v>
      </c>
      <c r="H865" s="14"/>
      <c r="K865" t="e">
        <f t="shared" si="38"/>
        <v>#N/A</v>
      </c>
    </row>
    <row r="866" spans="4:11" hidden="1" x14ac:dyDescent="0.25">
      <c r="D866" s="19" t="e">
        <f>VLOOKUP($C866,ТабКлиенты[#Data],MATCH(D$1,ТабКлиенты[#Headers],0),0)</f>
        <v>#N/A</v>
      </c>
      <c r="E866" t="e">
        <f>VLOOKUP($C866,ТабКлиенты[#Data],MATCH(E$1,ТабКлиенты[#Headers],0),0)</f>
        <v>#N/A</v>
      </c>
      <c r="F866" s="80"/>
      <c r="G866" s="14" t="e">
        <f>VLOOKUP($C866,ТабКлиенты[#Data],MATCH(G$1,ТабКлиенты[#Headers],0),0)</f>
        <v>#N/A</v>
      </c>
      <c r="H866" s="14"/>
      <c r="K866" t="e">
        <f t="shared" si="38"/>
        <v>#N/A</v>
      </c>
    </row>
    <row r="867" spans="4:11" hidden="1" x14ac:dyDescent="0.25">
      <c r="D867" s="19" t="e">
        <f>VLOOKUP($C867,ТабКлиенты[#Data],MATCH(D$1,ТабКлиенты[#Headers],0),0)</f>
        <v>#N/A</v>
      </c>
      <c r="E867" t="e">
        <f>VLOOKUP($C867,ТабКлиенты[#Data],MATCH(E$1,ТабКлиенты[#Headers],0),0)</f>
        <v>#N/A</v>
      </c>
      <c r="F867" s="80"/>
      <c r="G867" s="14" t="e">
        <f>VLOOKUP($C867,ТабКлиенты[#Data],MATCH(G$1,ТабКлиенты[#Headers],0),0)</f>
        <v>#N/A</v>
      </c>
      <c r="H867" s="14"/>
      <c r="K867" t="e">
        <f t="shared" ref="K867:K874" si="47">A867&amp;". "&amp;TEXT(F867,"ЧЧ:ММ")&amp;" "&amp;C867&amp;CHAR(10)&amp;"Тел.: "&amp;D867&amp;CHAR(10)&amp;"Адрес: "&amp;E867&amp;CHAR(10)&amp;"№ заказа: "&amp;I867&amp;CHAR(10)&amp;"Кол-во мест: "&amp;J867&amp;CHAR(10)&amp;"https://yandex.ru/maps/?text="&amp;REPLACE(G867,SEARCH(",",G867),2,"%2C")&amp;CHAR(10)&amp;"https://maps.google.com/?daddr="&amp;REPLACE(G867,SEARCH(",",G867),2,"%2C")&amp;CHAR(10)&amp;"К оплате: "&amp;"**"&amp;H867&amp;CHAR(10)&amp;"**"&amp;"--------------------------------"</f>
        <v>#N/A</v>
      </c>
    </row>
    <row r="868" spans="4:11" hidden="1" x14ac:dyDescent="0.25">
      <c r="D868" s="19" t="e">
        <f>VLOOKUP($C868,ТабКлиенты[#Data],MATCH(D$1,ТабКлиенты[#Headers],0),0)</f>
        <v>#N/A</v>
      </c>
      <c r="E868" t="e">
        <f>VLOOKUP($C868,ТабКлиенты[#Data],MATCH(E$1,ТабКлиенты[#Headers],0),0)</f>
        <v>#N/A</v>
      </c>
      <c r="F868" s="80"/>
      <c r="G868" s="14" t="e">
        <f>VLOOKUP($C868,ТабКлиенты[#Data],MATCH(G$1,ТабКлиенты[#Headers],0),0)</f>
        <v>#N/A</v>
      </c>
      <c r="H868" s="14"/>
      <c r="K868" t="e">
        <f t="shared" si="47"/>
        <v>#N/A</v>
      </c>
    </row>
    <row r="869" spans="4:11" hidden="1" x14ac:dyDescent="0.25">
      <c r="D869" s="19" t="e">
        <f>VLOOKUP($C869,ТабКлиенты[#Data],MATCH(D$1,ТабКлиенты[#Headers],0),0)</f>
        <v>#N/A</v>
      </c>
      <c r="E869" t="e">
        <f>VLOOKUP($C869,ТабКлиенты[#Data],MATCH(E$1,ТабКлиенты[#Headers],0),0)</f>
        <v>#N/A</v>
      </c>
      <c r="F869" s="80"/>
      <c r="G869" s="14" t="e">
        <f>VLOOKUP($C869,ТабКлиенты[#Data],MATCH(G$1,ТабКлиенты[#Headers],0),0)</f>
        <v>#N/A</v>
      </c>
      <c r="H869" s="14"/>
      <c r="K869" t="e">
        <f t="shared" si="47"/>
        <v>#N/A</v>
      </c>
    </row>
    <row r="870" spans="4:11" hidden="1" x14ac:dyDescent="0.25">
      <c r="D870" s="19" t="e">
        <f>VLOOKUP($C870,ТабКлиенты[#Data],MATCH(D$1,ТабКлиенты[#Headers],0),0)</f>
        <v>#N/A</v>
      </c>
      <c r="E870" t="e">
        <f>VLOOKUP($C870,ТабКлиенты[#Data],MATCH(E$1,ТабКлиенты[#Headers],0),0)</f>
        <v>#N/A</v>
      </c>
      <c r="F870" s="80"/>
      <c r="G870" s="14" t="e">
        <f>VLOOKUP($C870,ТабКлиенты[#Data],MATCH(G$1,ТабКлиенты[#Headers],0),0)</f>
        <v>#N/A</v>
      </c>
      <c r="H870" s="14"/>
      <c r="K870" t="e">
        <f t="shared" si="47"/>
        <v>#N/A</v>
      </c>
    </row>
    <row r="871" spans="4:11" hidden="1" x14ac:dyDescent="0.25">
      <c r="D871" s="19" t="e">
        <f>VLOOKUP($C871,ТабКлиенты[#Data],MATCH(D$1,ТабКлиенты[#Headers],0),0)</f>
        <v>#N/A</v>
      </c>
      <c r="E871" t="e">
        <f>VLOOKUP($C871,ТабКлиенты[#Data],MATCH(E$1,ТабКлиенты[#Headers],0),0)</f>
        <v>#N/A</v>
      </c>
      <c r="F871" s="80"/>
      <c r="G871" s="14" t="e">
        <f>VLOOKUP($C871,ТабКлиенты[#Data],MATCH(G$1,ТабКлиенты[#Headers],0),0)</f>
        <v>#N/A</v>
      </c>
      <c r="H871" s="14"/>
      <c r="K871" t="e">
        <f t="shared" si="47"/>
        <v>#N/A</v>
      </c>
    </row>
    <row r="872" spans="4:11" hidden="1" x14ac:dyDescent="0.25">
      <c r="D872" s="19" t="e">
        <f>VLOOKUP($C872,ТабКлиенты[#Data],MATCH(D$1,ТабКлиенты[#Headers],0),0)</f>
        <v>#N/A</v>
      </c>
      <c r="E872" t="e">
        <f>VLOOKUP($C872,ТабКлиенты[#Data],MATCH(E$1,ТабКлиенты[#Headers],0),0)</f>
        <v>#N/A</v>
      </c>
      <c r="F872" s="80"/>
      <c r="G872" s="14" t="e">
        <f>VLOOKUP($C872,ТабКлиенты[#Data],MATCH(G$1,ТабКлиенты[#Headers],0),0)</f>
        <v>#N/A</v>
      </c>
      <c r="H872" s="14"/>
      <c r="K872" t="e">
        <f t="shared" si="47"/>
        <v>#N/A</v>
      </c>
    </row>
    <row r="873" spans="4:11" hidden="1" x14ac:dyDescent="0.25">
      <c r="D873" s="19" t="e">
        <f>VLOOKUP($C873,ТабКлиенты[#Data],MATCH(D$1,ТабКлиенты[#Headers],0),0)</f>
        <v>#N/A</v>
      </c>
      <c r="E873" t="e">
        <f>VLOOKUP($C873,ТабКлиенты[#Data],MATCH(E$1,ТабКлиенты[#Headers],0),0)</f>
        <v>#N/A</v>
      </c>
      <c r="F873" s="80"/>
      <c r="G873" s="14" t="e">
        <f>VLOOKUP($C873,ТабКлиенты[#Data],MATCH(G$1,ТабКлиенты[#Headers],0),0)</f>
        <v>#N/A</v>
      </c>
      <c r="H873" s="14"/>
      <c r="K873" t="e">
        <f t="shared" si="47"/>
        <v>#N/A</v>
      </c>
    </row>
    <row r="874" spans="4:11" hidden="1" x14ac:dyDescent="0.25">
      <c r="D874" s="19" t="e">
        <f>VLOOKUP($C874,ТабКлиенты[#Data],MATCH(D$1,ТабКлиенты[#Headers],0),0)</f>
        <v>#N/A</v>
      </c>
      <c r="E874" t="e">
        <f>VLOOKUP($C874,ТабКлиенты[#Data],MATCH(E$1,ТабКлиенты[#Headers],0),0)</f>
        <v>#N/A</v>
      </c>
      <c r="F874" s="80"/>
      <c r="G874" s="14" t="e">
        <f>VLOOKUP($C874,ТабКлиенты[#Data],MATCH(G$1,ТабКлиенты[#Headers],0),0)</f>
        <v>#N/A</v>
      </c>
      <c r="H874" s="14"/>
      <c r="K874" t="e">
        <f t="shared" si="47"/>
        <v>#N/A</v>
      </c>
    </row>
    <row r="875" spans="4:11" hidden="1" x14ac:dyDescent="0.25">
      <c r="D875" s="19" t="e">
        <f>VLOOKUP($C875,ТабКлиенты[#Data],MATCH(D$1,ТабКлиенты[#Headers],0),0)</f>
        <v>#N/A</v>
      </c>
      <c r="E875" t="e">
        <f>VLOOKUP($C875,ТабКлиенты[#Data],MATCH(E$1,ТабКлиенты[#Headers],0),0)</f>
        <v>#N/A</v>
      </c>
      <c r="F875" s="80"/>
      <c r="G875" s="14" t="e">
        <f>VLOOKUP($C875,ТабКлиенты[#Data],MATCH(G$1,ТабКлиенты[#Headers],0),0)</f>
        <v>#N/A</v>
      </c>
      <c r="H875" s="14"/>
      <c r="K875" t="e">
        <f t="shared" ref="K875:K882" si="48">A875&amp;". "&amp;TEXT(F875,"ЧЧ:ММ")&amp;" "&amp;C875&amp;CHAR(10)&amp;"Тел.: "&amp;D875&amp;CHAR(10)&amp;"Адрес: "&amp;E875&amp;CHAR(10)&amp;"№ заказа: "&amp;I875&amp;CHAR(10)&amp;"Кол-во мест: "&amp;J875&amp;CHAR(10)&amp;"https://yandex.ru/maps/?text="&amp;REPLACE(G875,SEARCH(",",G875),2,"%2C")&amp;CHAR(10)&amp;"https://maps.google.com/?daddr="&amp;REPLACE(G875,SEARCH(",",G875),2,"%2C")&amp;CHAR(10)&amp;"К оплате: "&amp;"**"&amp;H875&amp;CHAR(10)&amp;"**"&amp;"--------------------------------"</f>
        <v>#N/A</v>
      </c>
    </row>
    <row r="876" spans="4:11" hidden="1" x14ac:dyDescent="0.25">
      <c r="D876" s="19" t="e">
        <f>VLOOKUP($C876,ТабКлиенты[#Data],MATCH(D$1,ТабКлиенты[#Headers],0),0)</f>
        <v>#N/A</v>
      </c>
      <c r="E876" t="e">
        <f>VLOOKUP($C876,ТабКлиенты[#Data],MATCH(E$1,ТабКлиенты[#Headers],0),0)</f>
        <v>#N/A</v>
      </c>
      <c r="F876" s="80"/>
      <c r="G876" s="14" t="e">
        <f>VLOOKUP($C876,ТабКлиенты[#Data],MATCH(G$1,ТабКлиенты[#Headers],0),0)</f>
        <v>#N/A</v>
      </c>
      <c r="H876" s="14"/>
      <c r="K876" t="e">
        <f t="shared" si="48"/>
        <v>#N/A</v>
      </c>
    </row>
    <row r="877" spans="4:11" hidden="1" x14ac:dyDescent="0.25">
      <c r="D877" s="19" t="e">
        <f>VLOOKUP($C877,ТабКлиенты[#Data],MATCH(D$1,ТабКлиенты[#Headers],0),0)</f>
        <v>#N/A</v>
      </c>
      <c r="E877" t="e">
        <f>VLOOKUP($C877,ТабКлиенты[#Data],MATCH(E$1,ТабКлиенты[#Headers],0),0)</f>
        <v>#N/A</v>
      </c>
      <c r="F877" s="80"/>
      <c r="G877" s="14" t="e">
        <f>VLOOKUP($C877,ТабКлиенты[#Data],MATCH(G$1,ТабКлиенты[#Headers],0),0)</f>
        <v>#N/A</v>
      </c>
      <c r="H877" s="14"/>
      <c r="K877" t="e">
        <f t="shared" si="48"/>
        <v>#N/A</v>
      </c>
    </row>
    <row r="878" spans="4:11" hidden="1" x14ac:dyDescent="0.25">
      <c r="D878" s="19" t="e">
        <f>VLOOKUP($C878,ТабКлиенты[#Data],MATCH(D$1,ТабКлиенты[#Headers],0),0)</f>
        <v>#N/A</v>
      </c>
      <c r="E878" t="e">
        <f>VLOOKUP($C878,ТабКлиенты[#Data],MATCH(E$1,ТабКлиенты[#Headers],0),0)</f>
        <v>#N/A</v>
      </c>
      <c r="F878" s="80"/>
      <c r="G878" s="14" t="e">
        <f>VLOOKUP($C878,ТабКлиенты[#Data],MATCH(G$1,ТабКлиенты[#Headers],0),0)</f>
        <v>#N/A</v>
      </c>
      <c r="H878" s="14"/>
      <c r="K878" t="e">
        <f t="shared" si="48"/>
        <v>#N/A</v>
      </c>
    </row>
    <row r="879" spans="4:11" hidden="1" x14ac:dyDescent="0.25">
      <c r="D879" s="19" t="e">
        <f>VLOOKUP($C879,ТабКлиенты[#Data],MATCH(D$1,ТабКлиенты[#Headers],0),0)</f>
        <v>#N/A</v>
      </c>
      <c r="E879" t="e">
        <f>VLOOKUP($C879,ТабКлиенты[#Data],MATCH(E$1,ТабКлиенты[#Headers],0),0)</f>
        <v>#N/A</v>
      </c>
      <c r="F879" s="80"/>
      <c r="G879" s="14" t="e">
        <f>VLOOKUP($C879,ТабКлиенты[#Data],MATCH(G$1,ТабКлиенты[#Headers],0),0)</f>
        <v>#N/A</v>
      </c>
      <c r="H879" s="14"/>
      <c r="K879" t="e">
        <f t="shared" si="48"/>
        <v>#N/A</v>
      </c>
    </row>
    <row r="880" spans="4:11" hidden="1" x14ac:dyDescent="0.25">
      <c r="D880" s="19" t="e">
        <f>VLOOKUP($C880,ТабКлиенты[#Data],MATCH(D$1,ТабКлиенты[#Headers],0),0)</f>
        <v>#N/A</v>
      </c>
      <c r="E880" t="e">
        <f>VLOOKUP($C880,ТабКлиенты[#Data],MATCH(E$1,ТабКлиенты[#Headers],0),0)</f>
        <v>#N/A</v>
      </c>
      <c r="F880" s="80"/>
      <c r="G880" s="14" t="e">
        <f>VLOOKUP($C880,ТабКлиенты[#Data],MATCH(G$1,ТабКлиенты[#Headers],0),0)</f>
        <v>#N/A</v>
      </c>
      <c r="H880" s="14"/>
      <c r="K880" t="e">
        <f t="shared" si="48"/>
        <v>#N/A</v>
      </c>
    </row>
    <row r="881" spans="4:11" hidden="1" x14ac:dyDescent="0.25">
      <c r="D881" s="19" t="e">
        <f>VLOOKUP($C881,ТабКлиенты[#Data],MATCH(D$1,ТабКлиенты[#Headers],0),0)</f>
        <v>#N/A</v>
      </c>
      <c r="E881" t="e">
        <f>VLOOKUP($C881,ТабКлиенты[#Data],MATCH(E$1,ТабКлиенты[#Headers],0),0)</f>
        <v>#N/A</v>
      </c>
      <c r="F881" s="80"/>
      <c r="G881" s="14" t="e">
        <f>VLOOKUP($C881,ТабКлиенты[#Data],MATCH(G$1,ТабКлиенты[#Headers],0),0)</f>
        <v>#N/A</v>
      </c>
      <c r="H881" s="14"/>
      <c r="K881" t="e">
        <f t="shared" si="48"/>
        <v>#N/A</v>
      </c>
    </row>
    <row r="882" spans="4:11" hidden="1" x14ac:dyDescent="0.25">
      <c r="D882" s="19" t="e">
        <f>VLOOKUP($C882,ТабКлиенты[#Data],MATCH(D$1,ТабКлиенты[#Headers],0),0)</f>
        <v>#N/A</v>
      </c>
      <c r="E882" t="e">
        <f>VLOOKUP($C882,ТабКлиенты[#Data],MATCH(E$1,ТабКлиенты[#Headers],0),0)</f>
        <v>#N/A</v>
      </c>
      <c r="F882" s="80"/>
      <c r="G882" s="14" t="e">
        <f>VLOOKUP($C882,ТабКлиенты[#Data],MATCH(G$1,ТабКлиенты[#Headers],0),0)</f>
        <v>#N/A</v>
      </c>
      <c r="H882" s="14"/>
      <c r="K882" t="e">
        <f t="shared" si="48"/>
        <v>#N/A</v>
      </c>
    </row>
    <row r="883" spans="4:11" hidden="1" x14ac:dyDescent="0.25">
      <c r="D883" s="19" t="e">
        <f>VLOOKUP($C883,ТабКлиенты[#Data],MATCH(D$1,ТабКлиенты[#Headers],0),0)</f>
        <v>#N/A</v>
      </c>
      <c r="E883" t="e">
        <f>VLOOKUP($C883,ТабКлиенты[#Data],MATCH(E$1,ТабКлиенты[#Headers],0),0)</f>
        <v>#N/A</v>
      </c>
      <c r="F883" s="80"/>
      <c r="G883" s="14" t="e">
        <f>VLOOKUP($C883,ТабКлиенты[#Data],MATCH(G$1,ТабКлиенты[#Headers],0),0)</f>
        <v>#N/A</v>
      </c>
      <c r="H883" s="14"/>
      <c r="K883" t="e">
        <f t="shared" si="38"/>
        <v>#N/A</v>
      </c>
    </row>
    <row r="884" spans="4:11" hidden="1" x14ac:dyDescent="0.25">
      <c r="D884" s="19" t="e">
        <f>VLOOKUP($C884,ТабКлиенты[#Data],MATCH(D$1,ТабКлиенты[#Headers],0),0)</f>
        <v>#N/A</v>
      </c>
      <c r="E884" t="e">
        <f>VLOOKUP($C884,ТабКлиенты[#Data],MATCH(E$1,ТабКлиенты[#Headers],0),0)</f>
        <v>#N/A</v>
      </c>
      <c r="F884" s="80"/>
      <c r="G884" s="14" t="e">
        <f>VLOOKUP($C884,ТабКлиенты[#Data],MATCH(G$1,ТабКлиенты[#Headers],0),0)</f>
        <v>#N/A</v>
      </c>
      <c r="H884" s="14"/>
      <c r="K884" t="e">
        <f t="shared" si="38"/>
        <v>#N/A</v>
      </c>
    </row>
    <row r="885" spans="4:11" hidden="1" x14ac:dyDescent="0.25">
      <c r="D885" s="19" t="e">
        <f>VLOOKUP($C885,ТабКлиенты[#Data],MATCH(D$1,ТабКлиенты[#Headers],0),0)</f>
        <v>#N/A</v>
      </c>
      <c r="E885" t="e">
        <f>VLOOKUP($C885,ТабКлиенты[#Data],MATCH(E$1,ТабКлиенты[#Headers],0),0)</f>
        <v>#N/A</v>
      </c>
      <c r="F885" s="80"/>
      <c r="G885" s="14" t="e">
        <f>VLOOKUP($C885,ТабКлиенты[#Data],MATCH(G$1,ТабКлиенты[#Headers],0),0)</f>
        <v>#N/A</v>
      </c>
      <c r="H885" s="14"/>
      <c r="K885" t="e">
        <f t="shared" ref="K885:K886" si="49">A885&amp;". "&amp;TEXT(F885,"ЧЧ:ММ")&amp;" "&amp;C885&amp;CHAR(10)&amp;"Тел.: "&amp;D885&amp;CHAR(10)&amp;"Адрес: "&amp;E885&amp;CHAR(10)&amp;"№ заказа: "&amp;I885&amp;CHAR(10)&amp;"Кол-во мест: "&amp;J885&amp;CHAR(10)&amp;"https://yandex.ru/maps/?text="&amp;REPLACE(G885,SEARCH(",",G885),2,"%2C")&amp;CHAR(10)&amp;"https://maps.google.com/?daddr="&amp;REPLACE(G885,SEARCH(",",G885),2,"%2C")&amp;CHAR(10)&amp;"К оплате: "&amp;"**"&amp;H885&amp;CHAR(10)&amp;"**"&amp;"--------------------------------"</f>
        <v>#N/A</v>
      </c>
    </row>
    <row r="886" spans="4:11" hidden="1" x14ac:dyDescent="0.25">
      <c r="D886" s="19" t="e">
        <f>VLOOKUP($C886,ТабКлиенты[#Data],MATCH(D$1,ТабКлиенты[#Headers],0),0)</f>
        <v>#N/A</v>
      </c>
      <c r="E886" t="e">
        <f>VLOOKUP($C886,ТабКлиенты[#Data],MATCH(E$1,ТабКлиенты[#Headers],0),0)</f>
        <v>#N/A</v>
      </c>
      <c r="F886" s="80"/>
      <c r="G886" s="14" t="e">
        <f>VLOOKUP($C886,ТабКлиенты[#Data],MATCH(G$1,ТабКлиенты[#Headers],0),0)</f>
        <v>#N/A</v>
      </c>
      <c r="H886" s="14"/>
      <c r="K886" t="e">
        <f t="shared" si="49"/>
        <v>#N/A</v>
      </c>
    </row>
    <row r="887" spans="4:11" hidden="1" x14ac:dyDescent="0.25">
      <c r="D887" s="19" t="e">
        <f>VLOOKUP($C887,ТабКлиенты[#Data],MATCH(D$1,ТабКлиенты[#Headers],0),0)</f>
        <v>#N/A</v>
      </c>
      <c r="E887" t="e">
        <f>VLOOKUP($C887,ТабКлиенты[#Data],MATCH(E$1,ТабКлиенты[#Headers],0),0)</f>
        <v>#N/A</v>
      </c>
      <c r="F887" s="80"/>
      <c r="G887" s="14" t="e">
        <f>VLOOKUP($C887,ТабКлиенты[#Data],MATCH(G$1,ТабКлиенты[#Headers],0),0)</f>
        <v>#N/A</v>
      </c>
      <c r="H887" s="14"/>
      <c r="K887" t="e">
        <f t="shared" ref="K887:K888" si="50">A887&amp;". "&amp;TEXT(F887,"ЧЧ:ММ")&amp;" "&amp;C887&amp;CHAR(10)&amp;"Тел.: "&amp;D887&amp;CHAR(10)&amp;"Адрес: "&amp;E887&amp;CHAR(10)&amp;"№ заказа: "&amp;I887&amp;CHAR(10)&amp;"Кол-во мест: "&amp;J887&amp;CHAR(10)&amp;"https://yandex.ru/maps/?text="&amp;REPLACE(G887,SEARCH(",",G887),2,"%2C")&amp;CHAR(10)&amp;"https://maps.google.com/?daddr="&amp;REPLACE(G887,SEARCH(",",G887),2,"%2C")&amp;CHAR(10)&amp;"К оплате: "&amp;"**"&amp;H887&amp;CHAR(10)&amp;"**"&amp;"--------------------------------"</f>
        <v>#N/A</v>
      </c>
    </row>
    <row r="888" spans="4:11" hidden="1" x14ac:dyDescent="0.25">
      <c r="D888" s="19" t="e">
        <f>VLOOKUP($C888,ТабКлиенты[#Data],MATCH(D$1,ТабКлиенты[#Headers],0),0)</f>
        <v>#N/A</v>
      </c>
      <c r="E888" t="e">
        <f>VLOOKUP($C888,ТабКлиенты[#Data],MATCH(E$1,ТабКлиенты[#Headers],0),0)</f>
        <v>#N/A</v>
      </c>
      <c r="F888" s="80"/>
      <c r="G888" s="14" t="e">
        <f>VLOOKUP($C888,ТабКлиенты[#Data],MATCH(G$1,ТабКлиенты[#Headers],0),0)</f>
        <v>#N/A</v>
      </c>
      <c r="H888" s="14"/>
      <c r="K888" t="e">
        <f t="shared" si="50"/>
        <v>#N/A</v>
      </c>
    </row>
    <row r="889" spans="4:11" hidden="1" x14ac:dyDescent="0.25">
      <c r="D889" s="19" t="e">
        <f>VLOOKUP($C889,ТабКлиенты[#Data],MATCH(D$1,ТабКлиенты[#Headers],0),0)</f>
        <v>#N/A</v>
      </c>
      <c r="E889" t="e">
        <f>VLOOKUP($C889,ТабКлиенты[#Data],MATCH(E$1,ТабКлиенты[#Headers],0),0)</f>
        <v>#N/A</v>
      </c>
      <c r="F889" s="80"/>
      <c r="G889" s="14" t="e">
        <f>VLOOKUP($C889,ТабКлиенты[#Data],MATCH(G$1,ТабКлиенты[#Headers],0),0)</f>
        <v>#N/A</v>
      </c>
      <c r="H889" s="14"/>
      <c r="K889" t="e">
        <f t="shared" si="38"/>
        <v>#N/A</v>
      </c>
    </row>
    <row r="890" spans="4:11" hidden="1" x14ac:dyDescent="0.25">
      <c r="D890" s="19" t="e">
        <f>VLOOKUP($C890,ТабКлиенты[#Data],MATCH(D$1,ТабКлиенты[#Headers],0),0)</f>
        <v>#N/A</v>
      </c>
      <c r="E890" t="e">
        <f>VLOOKUP($C890,ТабКлиенты[#Data],MATCH(E$1,ТабКлиенты[#Headers],0),0)</f>
        <v>#N/A</v>
      </c>
      <c r="F890" s="80"/>
      <c r="G890" s="14" t="e">
        <f>VLOOKUP($C890,ТабКлиенты[#Data],MATCH(G$1,ТабКлиенты[#Headers],0),0)</f>
        <v>#N/A</v>
      </c>
      <c r="H890" s="14"/>
      <c r="K890" t="e">
        <f t="shared" ref="K890" si="51">A890&amp;". "&amp;TEXT(F890,"ЧЧ:ММ")&amp;" "&amp;C890&amp;CHAR(10)&amp;"Тел.: "&amp;D890&amp;CHAR(10)&amp;"Адрес: "&amp;E890&amp;CHAR(10)&amp;"№ заказа: "&amp;I890&amp;CHAR(10)&amp;"Кол-во мест: "&amp;J890&amp;CHAR(10)&amp;"https://yandex.ru/maps/?text="&amp;REPLACE(G890,SEARCH(",",G890),2,"%2C")&amp;CHAR(10)&amp;"https://maps.google.com/?daddr="&amp;REPLACE(G890,SEARCH(",",G890),2,"%2C")&amp;CHAR(10)&amp;"К оплате: "&amp;"**"&amp;H890&amp;CHAR(10)&amp;"**"&amp;"--------------------------------"</f>
        <v>#N/A</v>
      </c>
    </row>
    <row r="891" spans="4:11" x14ac:dyDescent="0.25">
      <c r="H891" s="94"/>
    </row>
    <row r="892" spans="4:11" x14ac:dyDescent="0.25">
      <c r="F892" s="98"/>
      <c r="H892" s="94"/>
      <c r="J892" s="100"/>
    </row>
    <row r="893" spans="4:11" x14ac:dyDescent="0.25">
      <c r="H893" s="94"/>
    </row>
    <row r="894" spans="4:11" x14ac:dyDescent="0.25">
      <c r="H894" s="94"/>
    </row>
    <row r="895" spans="4:11" x14ac:dyDescent="0.25">
      <c r="H895" s="94"/>
    </row>
    <row r="896" spans="4:11" x14ac:dyDescent="0.25">
      <c r="H896" s="94"/>
    </row>
    <row r="897" spans="8:8" x14ac:dyDescent="0.25">
      <c r="H897" s="94"/>
    </row>
    <row r="898" spans="8:8" x14ac:dyDescent="0.25">
      <c r="H898" s="94"/>
    </row>
    <row r="899" spans="8:8" x14ac:dyDescent="0.25">
      <c r="H899" s="94"/>
    </row>
    <row r="900" spans="8:8" x14ac:dyDescent="0.25">
      <c r="H900" s="94"/>
    </row>
    <row r="901" spans="8:8" x14ac:dyDescent="0.25">
      <c r="H901" s="94"/>
    </row>
    <row r="902" spans="8:8" x14ac:dyDescent="0.25">
      <c r="H902" s="94"/>
    </row>
  </sheetData>
  <autoFilter ref="A1:K890" xr:uid="{3D0B4335-AB25-4784-959E-517502C9BFD4}">
    <filterColumn colId="1">
      <filters>
        <filter val="19.04.2025"/>
      </filters>
    </filterColumn>
    <sortState xmlns:xlrd2="http://schemas.microsoft.com/office/spreadsheetml/2017/richdata2" ref="A672:K680">
      <sortCondition ref="A1:A890"/>
    </sortState>
  </autoFilter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73BF-B0A1-4C53-AEF9-12A3E99FD814}">
  <sheetPr codeName="Лист3"/>
  <dimension ref="B1:D21"/>
  <sheetViews>
    <sheetView workbookViewId="0">
      <selection activeCell="D15" sqref="D15"/>
    </sheetView>
  </sheetViews>
  <sheetFormatPr defaultRowHeight="15" x14ac:dyDescent="0.25"/>
  <cols>
    <col min="2" max="2" width="15.28515625" bestFit="1" customWidth="1"/>
    <col min="3" max="3" width="18.140625" bestFit="1" customWidth="1"/>
  </cols>
  <sheetData>
    <row r="1" spans="2:4" x14ac:dyDescent="0.25">
      <c r="B1" t="s">
        <v>2338</v>
      </c>
      <c r="C1" t="str">
        <f t="shared" ref="C1:C21" si="0">IFERROR(REPLACE(B1,SEARCH(",",B1),2,"%2C"),"")</f>
        <v>47.1053%2C37.5487</v>
      </c>
    </row>
    <row r="2" spans="2:4" x14ac:dyDescent="0.25">
      <c r="B2" t="s">
        <v>1682</v>
      </c>
      <c r="C2" t="str">
        <f t="shared" si="0"/>
        <v>47.1199%2C37.5643</v>
      </c>
    </row>
    <row r="3" spans="2:4" x14ac:dyDescent="0.25">
      <c r="B3" t="s">
        <v>1839</v>
      </c>
      <c r="C3" t="str">
        <f t="shared" si="0"/>
        <v>47.1244%2C37.5643</v>
      </c>
    </row>
    <row r="4" spans="2:4" x14ac:dyDescent="0.25">
      <c r="B4" t="s">
        <v>126</v>
      </c>
      <c r="C4" t="str">
        <f t="shared" si="0"/>
        <v>47.1248%2C37.5657</v>
      </c>
    </row>
    <row r="5" spans="2:4" x14ac:dyDescent="0.25">
      <c r="B5" t="s">
        <v>298</v>
      </c>
      <c r="C5" t="str">
        <f t="shared" si="0"/>
        <v>47.1085%2C37.5599</v>
      </c>
    </row>
    <row r="6" spans="2:4" x14ac:dyDescent="0.25">
      <c r="B6" t="s">
        <v>1485</v>
      </c>
      <c r="C6" t="str">
        <f t="shared" si="0"/>
        <v>47.1094%2C37.5104</v>
      </c>
    </row>
    <row r="7" spans="2:4" x14ac:dyDescent="0.25">
      <c r="B7" t="s">
        <v>2782</v>
      </c>
      <c r="C7" t="str">
        <f t="shared" si="0"/>
        <v>47.1185%2C37.5198</v>
      </c>
    </row>
    <row r="8" spans="2:4" x14ac:dyDescent="0.25">
      <c r="B8" t="s">
        <v>2516</v>
      </c>
      <c r="C8" t="str">
        <f t="shared" si="0"/>
        <v>47.1396%2C37.5937</v>
      </c>
    </row>
    <row r="9" spans="2:4" x14ac:dyDescent="0.25">
      <c r="B9" t="s">
        <v>3096</v>
      </c>
      <c r="C9" t="str">
        <f t="shared" si="0"/>
        <v>47.0884%2C37.5258</v>
      </c>
    </row>
    <row r="10" spans="2:4" x14ac:dyDescent="0.25">
      <c r="C10" t="str">
        <f t="shared" si="0"/>
        <v/>
      </c>
    </row>
    <row r="11" spans="2:4" x14ac:dyDescent="0.25">
      <c r="C11" t="str">
        <f t="shared" si="0"/>
        <v/>
      </c>
    </row>
    <row r="12" spans="2:4" x14ac:dyDescent="0.25">
      <c r="C12" t="str">
        <f t="shared" si="0"/>
        <v/>
      </c>
    </row>
    <row r="13" spans="2:4" x14ac:dyDescent="0.25">
      <c r="C13" t="str">
        <f t="shared" si="0"/>
        <v/>
      </c>
    </row>
    <row r="14" spans="2:4" x14ac:dyDescent="0.25">
      <c r="C14" t="str">
        <f t="shared" si="0"/>
        <v/>
      </c>
    </row>
    <row r="15" spans="2:4" x14ac:dyDescent="0.25">
      <c r="C15" t="str">
        <f t="shared" si="0"/>
        <v/>
      </c>
      <c r="D15" s="6" t="str">
        <f>"https://yandex.ru/maps/?mode=routes&amp;rtext="&amp;C1&amp;"~"&amp;C2&amp;"~"&amp;C3&amp;"~"&amp;C4&amp;"~"&amp;C5&amp;"~"&amp;C6&amp;"~"&amp;C7&amp;"~"&amp;C8&amp;"~"&amp;C9&amp;"~"&amp;C10&amp;"~"&amp;C11&amp;"~"&amp;C12&amp;"~"&amp;C13&amp;"~"&amp;C14&amp;"~"&amp;C15&amp;"~"&amp;C16&amp;"~"&amp;C17&amp;"~"&amp;C18&amp;"~"&amp;C19&amp;"~"&amp;C20&amp;"~"&amp;C21</f>
        <v>https://yandex.ru/maps/?mode=routes&amp;rtext=47.1053%2C37.5487~47.1199%2C37.5643~47.1244%2C37.5643~47.1248%2C37.5657~47.1085%2C37.5599~47.1094%2C37.5104~47.1185%2C37.5198~47.1396%2C37.5937~47.0884%2C37.5258~~~~~~~~~~~~</v>
      </c>
    </row>
    <row r="16" spans="2:4" x14ac:dyDescent="0.25">
      <c r="C16" t="str">
        <f t="shared" si="0"/>
        <v/>
      </c>
    </row>
    <row r="17" spans="3:4" x14ac:dyDescent="0.25">
      <c r="C17" t="str">
        <f t="shared" si="0"/>
        <v/>
      </c>
    </row>
    <row r="18" spans="3:4" x14ac:dyDescent="0.25">
      <c r="C18" t="str">
        <f t="shared" si="0"/>
        <v/>
      </c>
    </row>
    <row r="19" spans="3:4" x14ac:dyDescent="0.25">
      <c r="C19" t="str">
        <f t="shared" si="0"/>
        <v/>
      </c>
    </row>
    <row r="20" spans="3:4" x14ac:dyDescent="0.25">
      <c r="C20" t="str">
        <f t="shared" si="0"/>
        <v/>
      </c>
    </row>
    <row r="21" spans="3:4" x14ac:dyDescent="0.25">
      <c r="C21" t="str">
        <f t="shared" si="0"/>
        <v/>
      </c>
      <c r="D21" s="6"/>
    </row>
  </sheetData>
  <hyperlinks>
    <hyperlink ref="D15" r:id="rId1" display="https://maps.google.com/?daddr=" xr:uid="{97619184-8B27-4F4D-9CD2-B6895F7121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4C45-248A-4AFF-9BAF-50EAD49D2C8A}">
  <sheetPr codeName="Лист4"/>
  <dimension ref="A1:B6"/>
  <sheetViews>
    <sheetView workbookViewId="0">
      <selection activeCell="B1" sqref="B1:B6"/>
    </sheetView>
  </sheetViews>
  <sheetFormatPr defaultColWidth="9.140625" defaultRowHeight="15" x14ac:dyDescent="0.25"/>
  <cols>
    <col min="1" max="1" width="23.5703125" bestFit="1" customWidth="1"/>
    <col min="2" max="2" width="4" bestFit="1" customWidth="1"/>
  </cols>
  <sheetData>
    <row r="1" spans="1:2" x14ac:dyDescent="0.25">
      <c r="A1" t="s">
        <v>1797</v>
      </c>
      <c r="B1">
        <v>563</v>
      </c>
    </row>
    <row r="2" spans="1:2" x14ac:dyDescent="0.25">
      <c r="A2" t="s">
        <v>1482</v>
      </c>
      <c r="B2">
        <v>565</v>
      </c>
    </row>
    <row r="3" spans="1:2" x14ac:dyDescent="0.25">
      <c r="A3" t="s">
        <v>148</v>
      </c>
      <c r="B3">
        <v>571</v>
      </c>
    </row>
    <row r="4" spans="1:2" x14ac:dyDescent="0.25">
      <c r="A4" t="s">
        <v>445</v>
      </c>
      <c r="B4">
        <v>504</v>
      </c>
    </row>
    <row r="5" spans="1:2" x14ac:dyDescent="0.25">
      <c r="A5" t="s">
        <v>357</v>
      </c>
      <c r="B5">
        <v>562</v>
      </c>
    </row>
    <row r="6" spans="1:2" x14ac:dyDescent="0.25">
      <c r="A6" t="s">
        <v>2741</v>
      </c>
      <c r="B6">
        <v>570</v>
      </c>
    </row>
  </sheetData>
  <sortState xmlns:xlrd2="http://schemas.microsoft.com/office/spreadsheetml/2017/richdata2" ref="A1:B13">
    <sortCondition ref="A1:A13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BCBE-ECB3-4CF9-99B8-A448EF051F19}">
  <sheetPr codeName="Лист7"/>
  <dimension ref="A2:B45"/>
  <sheetViews>
    <sheetView topLeftCell="A10" workbookViewId="0">
      <selection activeCell="A5" sqref="A5:A44"/>
    </sheetView>
  </sheetViews>
  <sheetFormatPr defaultRowHeight="15" x14ac:dyDescent="0.25"/>
  <cols>
    <col min="1" max="1" width="41.140625" bestFit="1" customWidth="1"/>
    <col min="2" max="2" width="7.5703125" bestFit="1" customWidth="1"/>
  </cols>
  <sheetData>
    <row r="2" spans="1:2" x14ac:dyDescent="0.25">
      <c r="A2" s="74" t="s">
        <v>3059</v>
      </c>
      <c r="B2" t="s">
        <v>3062</v>
      </c>
    </row>
    <row r="4" spans="1:2" x14ac:dyDescent="0.25">
      <c r="A4" s="74" t="s">
        <v>1893</v>
      </c>
    </row>
    <row r="5" spans="1:2" x14ac:dyDescent="0.25">
      <c r="A5" s="13" t="s">
        <v>1797</v>
      </c>
    </row>
    <row r="6" spans="1:2" x14ac:dyDescent="0.25">
      <c r="A6" s="75" t="s">
        <v>3062</v>
      </c>
    </row>
    <row r="7" spans="1:2" x14ac:dyDescent="0.25">
      <c r="A7" s="76" t="s">
        <v>2650</v>
      </c>
    </row>
    <row r="8" spans="1:2" x14ac:dyDescent="0.25">
      <c r="A8" s="75" t="s">
        <v>3061</v>
      </c>
    </row>
    <row r="9" spans="1:2" x14ac:dyDescent="0.25">
      <c r="A9" s="76" t="s">
        <v>2795</v>
      </c>
    </row>
    <row r="10" spans="1:2" x14ac:dyDescent="0.25">
      <c r="A10" s="13" t="s">
        <v>91</v>
      </c>
    </row>
    <row r="11" spans="1:2" x14ac:dyDescent="0.25">
      <c r="A11" s="75" t="s">
        <v>3062</v>
      </c>
    </row>
    <row r="12" spans="1:2" x14ac:dyDescent="0.25">
      <c r="A12" s="76" t="s">
        <v>2424</v>
      </c>
    </row>
    <row r="13" spans="1:2" x14ac:dyDescent="0.25">
      <c r="A13" s="13" t="s">
        <v>1482</v>
      </c>
    </row>
    <row r="14" spans="1:2" x14ac:dyDescent="0.25">
      <c r="A14" s="75" t="s">
        <v>3062</v>
      </c>
    </row>
    <row r="15" spans="1:2" x14ac:dyDescent="0.25">
      <c r="A15" s="76" t="s">
        <v>1683</v>
      </c>
    </row>
    <row r="16" spans="1:2" x14ac:dyDescent="0.25">
      <c r="A16" s="76" t="s">
        <v>2166</v>
      </c>
    </row>
    <row r="17" spans="1:1" x14ac:dyDescent="0.25">
      <c r="A17" s="76" t="s">
        <v>3067</v>
      </c>
    </row>
    <row r="18" spans="1:1" x14ac:dyDescent="0.25">
      <c r="A18" s="76" t="s">
        <v>3068</v>
      </c>
    </row>
    <row r="19" spans="1:1" x14ac:dyDescent="0.25">
      <c r="A19" s="76" t="s">
        <v>3092</v>
      </c>
    </row>
    <row r="20" spans="1:1" x14ac:dyDescent="0.25">
      <c r="A20" s="76" t="s">
        <v>3093</v>
      </c>
    </row>
    <row r="21" spans="1:1" x14ac:dyDescent="0.25">
      <c r="A21" s="75" t="s">
        <v>3061</v>
      </c>
    </row>
    <row r="22" spans="1:1" x14ac:dyDescent="0.25">
      <c r="A22" s="76" t="s">
        <v>3064</v>
      </c>
    </row>
    <row r="23" spans="1:1" x14ac:dyDescent="0.25">
      <c r="A23" s="76" t="s">
        <v>3065</v>
      </c>
    </row>
    <row r="24" spans="1:1" x14ac:dyDescent="0.25">
      <c r="A24" s="76" t="s">
        <v>3066</v>
      </c>
    </row>
    <row r="25" spans="1:1" x14ac:dyDescent="0.25">
      <c r="A25" s="76" t="s">
        <v>3073</v>
      </c>
    </row>
    <row r="26" spans="1:1" x14ac:dyDescent="0.25">
      <c r="A26" s="76" t="s">
        <v>3074</v>
      </c>
    </row>
    <row r="27" spans="1:1" x14ac:dyDescent="0.25">
      <c r="A27" s="13" t="s">
        <v>445</v>
      </c>
    </row>
    <row r="28" spans="1:1" x14ac:dyDescent="0.25">
      <c r="A28" s="75" t="s">
        <v>3061</v>
      </c>
    </row>
    <row r="29" spans="1:1" x14ac:dyDescent="0.25">
      <c r="A29" s="76" t="s">
        <v>2599</v>
      </c>
    </row>
    <row r="30" spans="1:1" x14ac:dyDescent="0.25">
      <c r="A30" s="13" t="s">
        <v>357</v>
      </c>
    </row>
    <row r="31" spans="1:1" x14ac:dyDescent="0.25">
      <c r="A31" s="75" t="s">
        <v>3061</v>
      </c>
    </row>
    <row r="32" spans="1:1" x14ac:dyDescent="0.25">
      <c r="A32" s="76" t="s">
        <v>2790</v>
      </c>
    </row>
    <row r="33" spans="1:1" x14ac:dyDescent="0.25">
      <c r="A33" s="13" t="s">
        <v>148</v>
      </c>
    </row>
    <row r="34" spans="1:1" x14ac:dyDescent="0.25">
      <c r="A34" s="75" t="s">
        <v>3061</v>
      </c>
    </row>
    <row r="35" spans="1:1" x14ac:dyDescent="0.25">
      <c r="A35" s="76" t="s">
        <v>815</v>
      </c>
    </row>
    <row r="36" spans="1:1" x14ac:dyDescent="0.25">
      <c r="A36" s="13" t="s">
        <v>2578</v>
      </c>
    </row>
    <row r="37" spans="1:1" x14ac:dyDescent="0.25">
      <c r="A37" s="75" t="s">
        <v>3062</v>
      </c>
    </row>
    <row r="38" spans="1:1" x14ac:dyDescent="0.25">
      <c r="A38" s="76" t="s">
        <v>2642</v>
      </c>
    </row>
    <row r="39" spans="1:1" x14ac:dyDescent="0.25">
      <c r="A39" s="13" t="s">
        <v>2741</v>
      </c>
    </row>
    <row r="40" spans="1:1" x14ac:dyDescent="0.25">
      <c r="A40" s="75" t="s">
        <v>3061</v>
      </c>
    </row>
    <row r="41" spans="1:1" x14ac:dyDescent="0.25">
      <c r="A41" s="76" t="s">
        <v>1884</v>
      </c>
    </row>
    <row r="42" spans="1:1" x14ac:dyDescent="0.25">
      <c r="A42" s="76" t="s">
        <v>3076</v>
      </c>
    </row>
    <row r="43" spans="1:1" x14ac:dyDescent="0.25">
      <c r="A43" s="76" t="s">
        <v>3077</v>
      </c>
    </row>
    <row r="44" spans="1:1" x14ac:dyDescent="0.25">
      <c r="A44" s="76" t="s">
        <v>3078</v>
      </c>
    </row>
    <row r="45" spans="1:1" x14ac:dyDescent="0.25">
      <c r="A45" s="13" t="s">
        <v>1894</v>
      </c>
    </row>
  </sheetData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5CE9-2483-4A8B-B631-69A700710663}">
  <sheetPr codeName="Лист9"/>
  <dimension ref="A3:E492"/>
  <sheetViews>
    <sheetView workbookViewId="0">
      <selection activeCell="B20" sqref="B20"/>
    </sheetView>
  </sheetViews>
  <sheetFormatPr defaultRowHeight="15" x14ac:dyDescent="0.25"/>
  <cols>
    <col min="1" max="1" width="21.85546875" customWidth="1"/>
    <col min="2" max="2" width="26.85546875" bestFit="1" customWidth="1"/>
    <col min="3" max="3" width="12" customWidth="1"/>
    <col min="4" max="4" width="15.42578125" bestFit="1" customWidth="1"/>
    <col min="5" max="5" width="7.28515625" bestFit="1" customWidth="1"/>
    <col min="6" max="6" width="26.85546875" bestFit="1" customWidth="1"/>
  </cols>
  <sheetData>
    <row r="3" spans="1:5" x14ac:dyDescent="0.25">
      <c r="A3" s="74" t="s">
        <v>539</v>
      </c>
      <c r="B3" s="74" t="s">
        <v>514</v>
      </c>
      <c r="C3" s="74" t="s">
        <v>531</v>
      </c>
      <c r="D3" s="74" t="s">
        <v>530</v>
      </c>
      <c r="E3" t="s">
        <v>2695</v>
      </c>
    </row>
    <row r="4" spans="1:5" x14ac:dyDescent="0.25">
      <c r="A4" t="s">
        <v>1113</v>
      </c>
      <c r="B4" t="s">
        <v>33</v>
      </c>
      <c r="C4" s="1">
        <v>45618</v>
      </c>
      <c r="D4" t="s">
        <v>2779</v>
      </c>
      <c r="E4" s="95">
        <v>1</v>
      </c>
    </row>
    <row r="5" spans="1:5" x14ac:dyDescent="0.25">
      <c r="C5" s="1">
        <v>45743</v>
      </c>
      <c r="D5" t="s">
        <v>2682</v>
      </c>
      <c r="E5" s="95">
        <v>1</v>
      </c>
    </row>
    <row r="6" spans="1:5" x14ac:dyDescent="0.25">
      <c r="C6" t="s">
        <v>2779</v>
      </c>
      <c r="D6" t="s">
        <v>1556</v>
      </c>
      <c r="E6" s="95"/>
    </row>
    <row r="7" spans="1:5" x14ac:dyDescent="0.25">
      <c r="B7" t="s">
        <v>2201</v>
      </c>
      <c r="C7" s="1">
        <v>45688</v>
      </c>
      <c r="D7" t="s">
        <v>2779</v>
      </c>
      <c r="E7" s="95">
        <v>3</v>
      </c>
    </row>
    <row r="8" spans="1:5" x14ac:dyDescent="0.25">
      <c r="B8" t="s">
        <v>112</v>
      </c>
      <c r="C8" s="1">
        <v>45485</v>
      </c>
      <c r="D8" t="s">
        <v>1112</v>
      </c>
      <c r="E8" s="95">
        <v>1</v>
      </c>
    </row>
    <row r="9" spans="1:5" x14ac:dyDescent="0.25">
      <c r="C9" s="1">
        <v>45742</v>
      </c>
      <c r="D9" t="s">
        <v>2683</v>
      </c>
      <c r="E9" s="95">
        <v>1</v>
      </c>
    </row>
    <row r="10" spans="1:5" x14ac:dyDescent="0.25">
      <c r="C10" t="s">
        <v>2779</v>
      </c>
      <c r="D10" t="s">
        <v>2779</v>
      </c>
      <c r="E10" s="95"/>
    </row>
    <row r="11" spans="1:5" x14ac:dyDescent="0.25">
      <c r="B11" t="s">
        <v>2578</v>
      </c>
      <c r="C11" s="1">
        <v>45781</v>
      </c>
      <c r="D11" t="s">
        <v>2779</v>
      </c>
      <c r="E11" s="95">
        <v>1</v>
      </c>
    </row>
    <row r="12" spans="1:5" x14ac:dyDescent="0.25">
      <c r="A12" t="s">
        <v>671</v>
      </c>
      <c r="B12" t="s">
        <v>33</v>
      </c>
      <c r="C12" s="1">
        <v>45435</v>
      </c>
      <c r="D12" t="s">
        <v>853</v>
      </c>
      <c r="E12" s="95">
        <v>5</v>
      </c>
    </row>
    <row r="13" spans="1:5" x14ac:dyDescent="0.25">
      <c r="B13" t="s">
        <v>317</v>
      </c>
      <c r="C13" t="s">
        <v>2779</v>
      </c>
      <c r="D13" t="s">
        <v>902</v>
      </c>
      <c r="E13" s="95"/>
    </row>
    <row r="14" spans="1:5" x14ac:dyDescent="0.25">
      <c r="B14" t="s">
        <v>104</v>
      </c>
      <c r="C14" s="1">
        <v>45387</v>
      </c>
      <c r="D14" t="s">
        <v>2779</v>
      </c>
      <c r="E14" s="95">
        <v>3</v>
      </c>
    </row>
    <row r="15" spans="1:5" x14ac:dyDescent="0.25">
      <c r="C15" s="1">
        <v>45420</v>
      </c>
      <c r="D15" t="s">
        <v>816</v>
      </c>
      <c r="E15" s="95">
        <v>1</v>
      </c>
    </row>
    <row r="16" spans="1:5" x14ac:dyDescent="0.25">
      <c r="C16" s="1">
        <v>45427</v>
      </c>
      <c r="D16" t="s">
        <v>817</v>
      </c>
      <c r="E16" s="95">
        <v>1</v>
      </c>
    </row>
    <row r="17" spans="1:5" x14ac:dyDescent="0.25">
      <c r="C17" s="1">
        <v>45435</v>
      </c>
      <c r="D17" t="s">
        <v>919</v>
      </c>
      <c r="E17" s="95">
        <v>1</v>
      </c>
    </row>
    <row r="18" spans="1:5" x14ac:dyDescent="0.25">
      <c r="C18" s="1">
        <v>45438</v>
      </c>
      <c r="D18" t="s">
        <v>918</v>
      </c>
      <c r="E18" s="95">
        <v>1</v>
      </c>
    </row>
    <row r="19" spans="1:5" x14ac:dyDescent="0.25">
      <c r="C19" s="1">
        <v>45443</v>
      </c>
      <c r="D19" t="s">
        <v>2779</v>
      </c>
      <c r="E19" s="95">
        <v>1</v>
      </c>
    </row>
    <row r="20" spans="1:5" x14ac:dyDescent="0.25">
      <c r="C20" s="1">
        <v>45457</v>
      </c>
      <c r="D20" t="s">
        <v>1012</v>
      </c>
      <c r="E20" s="95">
        <v>1</v>
      </c>
    </row>
    <row r="21" spans="1:5" x14ac:dyDescent="0.25">
      <c r="D21" t="s">
        <v>1013</v>
      </c>
      <c r="E21" s="95">
        <v>1</v>
      </c>
    </row>
    <row r="22" spans="1:5" x14ac:dyDescent="0.25">
      <c r="C22" s="1">
        <v>45461</v>
      </c>
      <c r="D22" t="s">
        <v>1030</v>
      </c>
      <c r="E22" s="95">
        <v>1</v>
      </c>
    </row>
    <row r="23" spans="1:5" x14ac:dyDescent="0.25">
      <c r="C23" s="1">
        <v>45462</v>
      </c>
      <c r="D23" t="s">
        <v>1029</v>
      </c>
      <c r="E23" s="95">
        <v>1</v>
      </c>
    </row>
    <row r="24" spans="1:5" x14ac:dyDescent="0.25">
      <c r="A24" t="s">
        <v>1062</v>
      </c>
      <c r="B24" t="s">
        <v>283</v>
      </c>
      <c r="C24" s="1">
        <v>45604</v>
      </c>
      <c r="D24" t="s">
        <v>1796</v>
      </c>
      <c r="E24" s="95">
        <v>1</v>
      </c>
    </row>
    <row r="25" spans="1:5" x14ac:dyDescent="0.25">
      <c r="B25" t="s">
        <v>108</v>
      </c>
      <c r="C25" s="1">
        <v>45485</v>
      </c>
      <c r="D25" t="s">
        <v>2779</v>
      </c>
      <c r="E25" s="95">
        <v>1</v>
      </c>
    </row>
    <row r="26" spans="1:5" x14ac:dyDescent="0.25">
      <c r="B26" t="s">
        <v>33</v>
      </c>
      <c r="C26" s="1">
        <v>45542</v>
      </c>
      <c r="D26" t="s">
        <v>2779</v>
      </c>
      <c r="E26" s="95">
        <v>1</v>
      </c>
    </row>
    <row r="27" spans="1:5" x14ac:dyDescent="0.25">
      <c r="C27" s="1">
        <v>45577</v>
      </c>
      <c r="D27" t="s">
        <v>2779</v>
      </c>
      <c r="E27" s="95">
        <v>1</v>
      </c>
    </row>
    <row r="28" spans="1:5" x14ac:dyDescent="0.25">
      <c r="C28" s="1">
        <v>45586</v>
      </c>
      <c r="D28" t="s">
        <v>2779</v>
      </c>
      <c r="E28" s="95">
        <v>1</v>
      </c>
    </row>
    <row r="29" spans="1:5" x14ac:dyDescent="0.25">
      <c r="B29" t="s">
        <v>104</v>
      </c>
      <c r="C29" s="1">
        <v>45502</v>
      </c>
      <c r="D29" t="s">
        <v>1168</v>
      </c>
      <c r="E29" s="95">
        <v>1</v>
      </c>
    </row>
    <row r="30" spans="1:5" x14ac:dyDescent="0.25">
      <c r="C30" s="1">
        <v>45506</v>
      </c>
      <c r="D30" t="s">
        <v>1169</v>
      </c>
      <c r="E30" s="95">
        <v>1</v>
      </c>
    </row>
    <row r="31" spans="1:5" x14ac:dyDescent="0.25">
      <c r="C31" s="1">
        <v>45513</v>
      </c>
      <c r="D31" t="s">
        <v>1167</v>
      </c>
      <c r="E31" s="95">
        <v>1</v>
      </c>
    </row>
    <row r="32" spans="1:5" x14ac:dyDescent="0.25">
      <c r="C32" s="1">
        <v>45517</v>
      </c>
      <c r="D32" t="s">
        <v>1198</v>
      </c>
      <c r="E32" s="95">
        <v>1</v>
      </c>
    </row>
    <row r="33" spans="1:5" x14ac:dyDescent="0.25">
      <c r="C33" s="1">
        <v>45518</v>
      </c>
      <c r="D33" t="s">
        <v>1195</v>
      </c>
      <c r="E33" s="95">
        <v>1</v>
      </c>
    </row>
    <row r="34" spans="1:5" x14ac:dyDescent="0.25">
      <c r="C34" s="1">
        <v>45719</v>
      </c>
      <c r="D34" t="s">
        <v>2504</v>
      </c>
      <c r="E34" s="95">
        <v>1</v>
      </c>
    </row>
    <row r="35" spans="1:5" x14ac:dyDescent="0.25">
      <c r="A35" t="s">
        <v>1554</v>
      </c>
      <c r="B35" t="s">
        <v>33</v>
      </c>
      <c r="C35" t="s">
        <v>2779</v>
      </c>
      <c r="D35" t="s">
        <v>2779</v>
      </c>
      <c r="E35" s="95"/>
    </row>
    <row r="36" spans="1:5" x14ac:dyDescent="0.25">
      <c r="A36" t="s">
        <v>1558</v>
      </c>
      <c r="B36" t="s">
        <v>33</v>
      </c>
      <c r="C36" t="s">
        <v>2779</v>
      </c>
      <c r="D36" t="s">
        <v>2779</v>
      </c>
      <c r="E36" s="95"/>
    </row>
    <row r="37" spans="1:5" x14ac:dyDescent="0.25">
      <c r="A37" t="s">
        <v>544</v>
      </c>
      <c r="B37" t="s">
        <v>228</v>
      </c>
      <c r="C37" s="1">
        <v>45380</v>
      </c>
      <c r="D37" t="s">
        <v>2779</v>
      </c>
      <c r="E37" s="95">
        <v>1</v>
      </c>
    </row>
    <row r="38" spans="1:5" x14ac:dyDescent="0.25">
      <c r="B38" t="s">
        <v>97</v>
      </c>
      <c r="C38" s="1">
        <v>45387</v>
      </c>
      <c r="D38" t="s">
        <v>2779</v>
      </c>
      <c r="E38" s="95">
        <v>1</v>
      </c>
    </row>
    <row r="39" spans="1:5" x14ac:dyDescent="0.25">
      <c r="B39" t="s">
        <v>452</v>
      </c>
      <c r="C39" s="1">
        <v>45513</v>
      </c>
      <c r="D39" t="s">
        <v>2779</v>
      </c>
      <c r="E39" s="95">
        <v>1</v>
      </c>
    </row>
    <row r="40" spans="1:5" x14ac:dyDescent="0.25">
      <c r="B40" t="s">
        <v>485</v>
      </c>
      <c r="C40" s="1">
        <v>45527</v>
      </c>
      <c r="D40" t="s">
        <v>2779</v>
      </c>
      <c r="E40" s="95">
        <v>1</v>
      </c>
    </row>
    <row r="41" spans="1:5" x14ac:dyDescent="0.25">
      <c r="B41" t="s">
        <v>108</v>
      </c>
      <c r="C41" s="1">
        <v>45380</v>
      </c>
      <c r="D41" t="s">
        <v>2779</v>
      </c>
      <c r="E41" s="95">
        <v>1</v>
      </c>
    </row>
    <row r="42" spans="1:5" x14ac:dyDescent="0.25">
      <c r="B42" t="s">
        <v>224</v>
      </c>
      <c r="C42" s="1">
        <v>45380</v>
      </c>
      <c r="D42" t="s">
        <v>2779</v>
      </c>
      <c r="E42" s="95">
        <v>1</v>
      </c>
    </row>
    <row r="43" spans="1:5" x14ac:dyDescent="0.25">
      <c r="B43" t="s">
        <v>24</v>
      </c>
      <c r="C43" s="1">
        <v>45374</v>
      </c>
      <c r="D43" t="s">
        <v>2779</v>
      </c>
      <c r="E43" s="95">
        <v>1</v>
      </c>
    </row>
    <row r="44" spans="1:5" x14ac:dyDescent="0.25">
      <c r="B44" t="s">
        <v>456</v>
      </c>
      <c r="C44" s="1">
        <v>45513</v>
      </c>
      <c r="D44" t="s">
        <v>2779</v>
      </c>
      <c r="E44" s="95">
        <v>1</v>
      </c>
    </row>
    <row r="45" spans="1:5" x14ac:dyDescent="0.25">
      <c r="C45" s="1">
        <v>45517</v>
      </c>
      <c r="D45" t="s">
        <v>2779</v>
      </c>
      <c r="E45" s="95">
        <v>1</v>
      </c>
    </row>
    <row r="46" spans="1:5" x14ac:dyDescent="0.25">
      <c r="B46" t="s">
        <v>13</v>
      </c>
      <c r="C46" s="1">
        <v>45363</v>
      </c>
      <c r="D46" t="s">
        <v>2779</v>
      </c>
      <c r="E46" s="95">
        <v>4</v>
      </c>
    </row>
    <row r="47" spans="1:5" x14ac:dyDescent="0.25">
      <c r="C47" s="1">
        <v>45367</v>
      </c>
      <c r="D47" t="s">
        <v>2779</v>
      </c>
      <c r="E47" s="95">
        <v>1</v>
      </c>
    </row>
    <row r="48" spans="1:5" x14ac:dyDescent="0.25">
      <c r="C48" s="1">
        <v>45369</v>
      </c>
      <c r="D48" t="s">
        <v>2779</v>
      </c>
      <c r="E48" s="95">
        <v>1</v>
      </c>
    </row>
    <row r="49" spans="1:5" x14ac:dyDescent="0.25">
      <c r="C49" s="1">
        <v>45370</v>
      </c>
      <c r="D49" t="s">
        <v>2779</v>
      </c>
      <c r="E49" s="95">
        <v>1</v>
      </c>
    </row>
    <row r="50" spans="1:5" x14ac:dyDescent="0.25">
      <c r="C50" s="1">
        <v>45381</v>
      </c>
      <c r="D50" t="s">
        <v>2779</v>
      </c>
      <c r="E50" s="95">
        <v>1</v>
      </c>
    </row>
    <row r="51" spans="1:5" x14ac:dyDescent="0.25">
      <c r="B51" t="s">
        <v>58</v>
      </c>
      <c r="C51" s="1">
        <v>45366</v>
      </c>
      <c r="D51" t="s">
        <v>2779</v>
      </c>
      <c r="E51" s="95">
        <v>1</v>
      </c>
    </row>
    <row r="52" spans="1:5" x14ac:dyDescent="0.25">
      <c r="B52" t="s">
        <v>11</v>
      </c>
      <c r="C52" s="1">
        <v>45390</v>
      </c>
      <c r="D52" t="s">
        <v>543</v>
      </c>
      <c r="E52" s="95">
        <v>1</v>
      </c>
    </row>
    <row r="53" spans="1:5" x14ac:dyDescent="0.25">
      <c r="A53" t="s">
        <v>975</v>
      </c>
      <c r="B53" t="s">
        <v>346</v>
      </c>
      <c r="C53" s="1">
        <v>45457</v>
      </c>
      <c r="D53" t="s">
        <v>2779</v>
      </c>
      <c r="E53" s="95">
        <v>1</v>
      </c>
    </row>
    <row r="54" spans="1:5" x14ac:dyDescent="0.25">
      <c r="A54" t="s">
        <v>608</v>
      </c>
      <c r="B54" t="s">
        <v>108</v>
      </c>
      <c r="C54" s="1">
        <v>45376</v>
      </c>
      <c r="D54" t="s">
        <v>2779</v>
      </c>
      <c r="E54" s="95">
        <v>2</v>
      </c>
    </row>
    <row r="55" spans="1:5" x14ac:dyDescent="0.25">
      <c r="C55" s="1">
        <v>45387</v>
      </c>
      <c r="D55" t="s">
        <v>2779</v>
      </c>
      <c r="E55" s="95">
        <v>1</v>
      </c>
    </row>
    <row r="56" spans="1:5" x14ac:dyDescent="0.25">
      <c r="A56" t="s">
        <v>575</v>
      </c>
      <c r="B56" t="s">
        <v>127</v>
      </c>
      <c r="C56" s="1">
        <v>45444</v>
      </c>
      <c r="D56" t="s">
        <v>2779</v>
      </c>
      <c r="E56" s="95">
        <v>1</v>
      </c>
    </row>
    <row r="57" spans="1:5" x14ac:dyDescent="0.25">
      <c r="C57" s="1">
        <v>45448</v>
      </c>
      <c r="D57" t="s">
        <v>2779</v>
      </c>
      <c r="E57" s="95">
        <v>1</v>
      </c>
    </row>
    <row r="58" spans="1:5" x14ac:dyDescent="0.25">
      <c r="B58" t="s">
        <v>123</v>
      </c>
      <c r="C58" s="1">
        <v>45374</v>
      </c>
      <c r="D58" t="s">
        <v>2779</v>
      </c>
      <c r="E58" s="95">
        <v>1</v>
      </c>
    </row>
    <row r="59" spans="1:5" x14ac:dyDescent="0.25">
      <c r="C59" s="1">
        <v>45379</v>
      </c>
      <c r="D59" t="s">
        <v>2779</v>
      </c>
      <c r="E59" s="95">
        <v>1</v>
      </c>
    </row>
    <row r="60" spans="1:5" x14ac:dyDescent="0.25">
      <c r="C60" s="1">
        <v>45390</v>
      </c>
      <c r="D60" t="s">
        <v>2779</v>
      </c>
      <c r="E60" s="95">
        <v>2</v>
      </c>
    </row>
    <row r="61" spans="1:5" x14ac:dyDescent="0.25">
      <c r="C61" s="1">
        <v>45391</v>
      </c>
      <c r="D61" t="s">
        <v>2779</v>
      </c>
      <c r="E61" s="95">
        <v>1</v>
      </c>
    </row>
    <row r="62" spans="1:5" x14ac:dyDescent="0.25">
      <c r="C62" s="1">
        <v>45396</v>
      </c>
      <c r="D62" t="s">
        <v>2779</v>
      </c>
      <c r="E62" s="95">
        <v>1</v>
      </c>
    </row>
    <row r="63" spans="1:5" x14ac:dyDescent="0.25">
      <c r="C63" s="1">
        <v>45430</v>
      </c>
      <c r="D63" t="s">
        <v>2779</v>
      </c>
      <c r="E63" s="95">
        <v>1</v>
      </c>
    </row>
    <row r="64" spans="1:5" x14ac:dyDescent="0.25">
      <c r="C64" s="1">
        <v>45431</v>
      </c>
      <c r="D64" t="s">
        <v>2779</v>
      </c>
      <c r="E64" s="95">
        <v>1</v>
      </c>
    </row>
    <row r="65" spans="2:5" x14ac:dyDescent="0.25">
      <c r="B65" t="s">
        <v>283</v>
      </c>
      <c r="C65" s="1">
        <v>45410</v>
      </c>
      <c r="D65" t="s">
        <v>2779</v>
      </c>
      <c r="E65" s="95">
        <v>1</v>
      </c>
    </row>
    <row r="66" spans="2:5" x14ac:dyDescent="0.25">
      <c r="C66" s="1">
        <v>45432</v>
      </c>
      <c r="D66" t="s">
        <v>2779</v>
      </c>
      <c r="E66" s="95">
        <v>1</v>
      </c>
    </row>
    <row r="67" spans="2:5" x14ac:dyDescent="0.25">
      <c r="C67" s="1">
        <v>45442</v>
      </c>
      <c r="D67" t="s">
        <v>2779</v>
      </c>
      <c r="E67" s="95">
        <v>1</v>
      </c>
    </row>
    <row r="68" spans="2:5" x14ac:dyDescent="0.25">
      <c r="C68" s="1">
        <v>45443</v>
      </c>
      <c r="D68" t="s">
        <v>2779</v>
      </c>
      <c r="E68" s="95">
        <v>1</v>
      </c>
    </row>
    <row r="69" spans="2:5" x14ac:dyDescent="0.25">
      <c r="C69" s="1">
        <v>45446</v>
      </c>
      <c r="D69" t="s">
        <v>2779</v>
      </c>
      <c r="E69" s="95">
        <v>1</v>
      </c>
    </row>
    <row r="70" spans="2:5" x14ac:dyDescent="0.25">
      <c r="B70" t="s">
        <v>334</v>
      </c>
      <c r="C70" s="1">
        <v>45437</v>
      </c>
      <c r="D70" t="s">
        <v>2779</v>
      </c>
      <c r="E70" s="95">
        <v>1</v>
      </c>
    </row>
    <row r="71" spans="2:5" x14ac:dyDescent="0.25">
      <c r="C71" s="1">
        <v>45438</v>
      </c>
      <c r="D71" t="s">
        <v>2779</v>
      </c>
      <c r="E71" s="95">
        <v>1</v>
      </c>
    </row>
    <row r="72" spans="2:5" x14ac:dyDescent="0.25">
      <c r="C72" s="1">
        <v>45440</v>
      </c>
      <c r="D72" t="s">
        <v>2779</v>
      </c>
      <c r="E72" s="95">
        <v>1</v>
      </c>
    </row>
    <row r="73" spans="2:5" x14ac:dyDescent="0.25">
      <c r="C73" s="1">
        <v>45443</v>
      </c>
      <c r="D73" t="s">
        <v>2779</v>
      </c>
      <c r="E73" s="95">
        <v>3</v>
      </c>
    </row>
    <row r="74" spans="2:5" x14ac:dyDescent="0.25">
      <c r="B74" t="s">
        <v>97</v>
      </c>
      <c r="C74" s="1">
        <v>45457</v>
      </c>
      <c r="D74" t="s">
        <v>2779</v>
      </c>
      <c r="E74" s="95">
        <v>1</v>
      </c>
    </row>
    <row r="75" spans="2:5" x14ac:dyDescent="0.25">
      <c r="B75" t="s">
        <v>291</v>
      </c>
      <c r="C75" s="1">
        <v>45416</v>
      </c>
      <c r="D75" t="s">
        <v>2779</v>
      </c>
      <c r="E75" s="95">
        <v>1</v>
      </c>
    </row>
    <row r="76" spans="2:5" x14ac:dyDescent="0.25">
      <c r="B76" t="s">
        <v>253</v>
      </c>
      <c r="C76" s="1">
        <v>45391</v>
      </c>
      <c r="D76" t="s">
        <v>2779</v>
      </c>
      <c r="E76" s="95">
        <v>1</v>
      </c>
    </row>
    <row r="77" spans="2:5" x14ac:dyDescent="0.25">
      <c r="B77" t="s">
        <v>108</v>
      </c>
      <c r="C77" s="1">
        <v>45379</v>
      </c>
      <c r="D77" t="s">
        <v>2779</v>
      </c>
      <c r="E77" s="95">
        <v>1</v>
      </c>
    </row>
    <row r="78" spans="2:5" x14ac:dyDescent="0.25">
      <c r="C78" s="1">
        <v>45384</v>
      </c>
      <c r="D78" t="s">
        <v>2779</v>
      </c>
      <c r="E78" s="95">
        <v>1</v>
      </c>
    </row>
    <row r="79" spans="2:5" x14ac:dyDescent="0.25">
      <c r="B79" t="s">
        <v>36</v>
      </c>
      <c r="C79" s="1">
        <v>45377</v>
      </c>
      <c r="D79" t="s">
        <v>2779</v>
      </c>
      <c r="E79" s="95">
        <v>1</v>
      </c>
    </row>
    <row r="80" spans="2:5" x14ac:dyDescent="0.25">
      <c r="B80" t="s">
        <v>33</v>
      </c>
      <c r="C80" s="1">
        <v>45384</v>
      </c>
      <c r="D80" t="s">
        <v>2779</v>
      </c>
      <c r="E80" s="95">
        <v>5</v>
      </c>
    </row>
    <row r="81" spans="2:5" x14ac:dyDescent="0.25">
      <c r="C81" s="1">
        <v>45386</v>
      </c>
      <c r="D81" t="s">
        <v>2779</v>
      </c>
      <c r="E81" s="95">
        <v>1</v>
      </c>
    </row>
    <row r="82" spans="2:5" x14ac:dyDescent="0.25">
      <c r="C82" s="1">
        <v>45387</v>
      </c>
      <c r="D82" t="s">
        <v>2779</v>
      </c>
      <c r="E82" s="95">
        <v>1</v>
      </c>
    </row>
    <row r="83" spans="2:5" x14ac:dyDescent="0.25">
      <c r="C83" s="1">
        <v>45388</v>
      </c>
      <c r="D83" t="s">
        <v>2779</v>
      </c>
      <c r="E83" s="95">
        <v>1</v>
      </c>
    </row>
    <row r="84" spans="2:5" x14ac:dyDescent="0.25">
      <c r="C84" s="1">
        <v>45390</v>
      </c>
      <c r="D84" t="s">
        <v>2779</v>
      </c>
      <c r="E84" s="95">
        <v>1</v>
      </c>
    </row>
    <row r="85" spans="2:5" x14ac:dyDescent="0.25">
      <c r="C85" s="1">
        <v>45396</v>
      </c>
      <c r="D85" t="s">
        <v>2779</v>
      </c>
      <c r="E85" s="95">
        <v>1</v>
      </c>
    </row>
    <row r="86" spans="2:5" x14ac:dyDescent="0.25">
      <c r="C86" s="1">
        <v>45398</v>
      </c>
      <c r="D86" t="s">
        <v>2779</v>
      </c>
      <c r="E86" s="95">
        <v>1</v>
      </c>
    </row>
    <row r="87" spans="2:5" x14ac:dyDescent="0.25">
      <c r="C87" s="1">
        <v>45400</v>
      </c>
      <c r="D87" t="s">
        <v>2779</v>
      </c>
      <c r="E87" s="95">
        <v>2</v>
      </c>
    </row>
    <row r="88" spans="2:5" x14ac:dyDescent="0.25">
      <c r="C88" s="1">
        <v>45401</v>
      </c>
      <c r="D88" t="s">
        <v>2779</v>
      </c>
      <c r="E88" s="95">
        <v>1</v>
      </c>
    </row>
    <row r="89" spans="2:5" x14ac:dyDescent="0.25">
      <c r="C89" s="1">
        <v>45405</v>
      </c>
      <c r="D89" t="s">
        <v>2779</v>
      </c>
      <c r="E89" s="95">
        <v>2</v>
      </c>
    </row>
    <row r="90" spans="2:5" x14ac:dyDescent="0.25">
      <c r="C90" s="1">
        <v>45429</v>
      </c>
      <c r="D90" t="s">
        <v>2779</v>
      </c>
      <c r="E90" s="95">
        <v>4</v>
      </c>
    </row>
    <row r="91" spans="2:5" x14ac:dyDescent="0.25">
      <c r="C91" s="1">
        <v>45430</v>
      </c>
      <c r="D91" t="s">
        <v>2779</v>
      </c>
      <c r="E91" s="95">
        <v>6</v>
      </c>
    </row>
    <row r="92" spans="2:5" x14ac:dyDescent="0.25">
      <c r="C92" s="1">
        <v>45447</v>
      </c>
      <c r="D92" t="s">
        <v>2779</v>
      </c>
      <c r="E92" s="95">
        <v>5</v>
      </c>
    </row>
    <row r="93" spans="2:5" x14ac:dyDescent="0.25">
      <c r="C93" s="1">
        <v>45448</v>
      </c>
      <c r="D93" t="s">
        <v>2779</v>
      </c>
      <c r="E93" s="95">
        <v>1</v>
      </c>
    </row>
    <row r="94" spans="2:5" x14ac:dyDescent="0.25">
      <c r="C94" s="1">
        <v>45451</v>
      </c>
      <c r="D94" t="s">
        <v>2779</v>
      </c>
      <c r="E94" s="95">
        <v>1</v>
      </c>
    </row>
    <row r="95" spans="2:5" x14ac:dyDescent="0.25">
      <c r="C95" s="1">
        <v>45456</v>
      </c>
      <c r="D95" t="s">
        <v>2779</v>
      </c>
      <c r="E95" s="95">
        <v>1</v>
      </c>
    </row>
    <row r="96" spans="2:5" x14ac:dyDescent="0.25">
      <c r="B96" t="s">
        <v>224</v>
      </c>
      <c r="C96" s="1">
        <v>45387</v>
      </c>
      <c r="D96" t="s">
        <v>2779</v>
      </c>
      <c r="E96" s="95">
        <v>1</v>
      </c>
    </row>
    <row r="97" spans="2:5" x14ac:dyDescent="0.25">
      <c r="C97" s="1">
        <v>45408</v>
      </c>
      <c r="D97" t="s">
        <v>2779</v>
      </c>
      <c r="E97" s="95">
        <v>1</v>
      </c>
    </row>
    <row r="98" spans="2:5" x14ac:dyDescent="0.25">
      <c r="C98" s="1">
        <v>45416</v>
      </c>
      <c r="D98" t="s">
        <v>2779</v>
      </c>
      <c r="E98" s="95">
        <v>1</v>
      </c>
    </row>
    <row r="99" spans="2:5" x14ac:dyDescent="0.25">
      <c r="C99" s="1">
        <v>45422</v>
      </c>
      <c r="D99" t="s">
        <v>2779</v>
      </c>
      <c r="E99" s="95">
        <v>1</v>
      </c>
    </row>
    <row r="100" spans="2:5" x14ac:dyDescent="0.25">
      <c r="C100" s="1">
        <v>45457</v>
      </c>
      <c r="D100" t="s">
        <v>2779</v>
      </c>
      <c r="E100" s="95">
        <v>1</v>
      </c>
    </row>
    <row r="101" spans="2:5" x14ac:dyDescent="0.25">
      <c r="C101" s="1">
        <v>45464</v>
      </c>
      <c r="D101" t="s">
        <v>2779</v>
      </c>
      <c r="E101" s="95">
        <v>1</v>
      </c>
    </row>
    <row r="102" spans="2:5" x14ac:dyDescent="0.25">
      <c r="B102" t="s">
        <v>52</v>
      </c>
      <c r="C102" s="1">
        <v>45376</v>
      </c>
      <c r="D102" t="s">
        <v>2779</v>
      </c>
      <c r="E102" s="95">
        <v>1</v>
      </c>
    </row>
    <row r="103" spans="2:5" x14ac:dyDescent="0.25">
      <c r="C103" s="1">
        <v>45377</v>
      </c>
      <c r="D103" t="s">
        <v>2779</v>
      </c>
      <c r="E103" s="95">
        <v>3</v>
      </c>
    </row>
    <row r="104" spans="2:5" x14ac:dyDescent="0.25">
      <c r="C104" s="1">
        <v>45378</v>
      </c>
      <c r="D104" t="s">
        <v>2779</v>
      </c>
      <c r="E104" s="95">
        <v>1</v>
      </c>
    </row>
    <row r="105" spans="2:5" x14ac:dyDescent="0.25">
      <c r="C105" s="1">
        <v>45380</v>
      </c>
      <c r="D105" t="s">
        <v>2779</v>
      </c>
      <c r="E105" s="95">
        <v>1</v>
      </c>
    </row>
    <row r="106" spans="2:5" x14ac:dyDescent="0.25">
      <c r="C106" s="1">
        <v>45382</v>
      </c>
      <c r="D106" t="s">
        <v>2779</v>
      </c>
      <c r="E106" s="95">
        <v>1</v>
      </c>
    </row>
    <row r="107" spans="2:5" x14ac:dyDescent="0.25">
      <c r="C107" s="1">
        <v>45412</v>
      </c>
      <c r="D107" t="s">
        <v>2779</v>
      </c>
      <c r="E107" s="95">
        <v>1</v>
      </c>
    </row>
    <row r="108" spans="2:5" x14ac:dyDescent="0.25">
      <c r="C108" s="1">
        <v>45415</v>
      </c>
      <c r="D108" t="s">
        <v>2779</v>
      </c>
      <c r="E108" s="95">
        <v>1</v>
      </c>
    </row>
    <row r="109" spans="2:5" x14ac:dyDescent="0.25">
      <c r="C109" s="1">
        <v>45416</v>
      </c>
      <c r="D109" t="s">
        <v>2779</v>
      </c>
      <c r="E109" s="95">
        <v>1</v>
      </c>
    </row>
    <row r="110" spans="2:5" x14ac:dyDescent="0.25">
      <c r="C110" s="1">
        <v>45418</v>
      </c>
      <c r="D110" t="s">
        <v>2779</v>
      </c>
      <c r="E110" s="95">
        <v>1</v>
      </c>
    </row>
    <row r="111" spans="2:5" x14ac:dyDescent="0.25">
      <c r="C111" s="1">
        <v>45419</v>
      </c>
      <c r="D111" t="s">
        <v>2779</v>
      </c>
      <c r="E111" s="95">
        <v>1</v>
      </c>
    </row>
    <row r="112" spans="2:5" x14ac:dyDescent="0.25">
      <c r="C112" s="1">
        <v>45421</v>
      </c>
      <c r="D112" t="s">
        <v>2779</v>
      </c>
      <c r="E112" s="95">
        <v>1</v>
      </c>
    </row>
    <row r="113" spans="2:5" x14ac:dyDescent="0.25">
      <c r="C113" s="1">
        <v>45425</v>
      </c>
      <c r="D113" t="s">
        <v>2779</v>
      </c>
      <c r="E113" s="95">
        <v>1</v>
      </c>
    </row>
    <row r="114" spans="2:5" x14ac:dyDescent="0.25">
      <c r="C114" s="1">
        <v>45432</v>
      </c>
      <c r="D114" t="s">
        <v>2779</v>
      </c>
      <c r="E114" s="95">
        <v>1</v>
      </c>
    </row>
    <row r="115" spans="2:5" x14ac:dyDescent="0.25">
      <c r="C115" s="1">
        <v>45449</v>
      </c>
      <c r="D115" t="s">
        <v>2779</v>
      </c>
      <c r="E115" s="95">
        <v>1</v>
      </c>
    </row>
    <row r="116" spans="2:5" x14ac:dyDescent="0.25">
      <c r="B116" t="s">
        <v>287</v>
      </c>
      <c r="C116" s="1">
        <v>45410</v>
      </c>
      <c r="D116" t="s">
        <v>2779</v>
      </c>
      <c r="E116" s="95">
        <v>2</v>
      </c>
    </row>
    <row r="117" spans="2:5" x14ac:dyDescent="0.25">
      <c r="C117" s="1">
        <v>45411</v>
      </c>
      <c r="D117" t="s">
        <v>2779</v>
      </c>
      <c r="E117" s="95">
        <v>2</v>
      </c>
    </row>
    <row r="118" spans="2:5" x14ac:dyDescent="0.25">
      <c r="C118" s="1">
        <v>45415</v>
      </c>
      <c r="D118" t="s">
        <v>2779</v>
      </c>
      <c r="E118" s="95">
        <v>2</v>
      </c>
    </row>
    <row r="119" spans="2:5" x14ac:dyDescent="0.25">
      <c r="C119" s="1">
        <v>45416</v>
      </c>
      <c r="D119" t="s">
        <v>2779</v>
      </c>
      <c r="E119" s="95">
        <v>1</v>
      </c>
    </row>
    <row r="120" spans="2:5" x14ac:dyDescent="0.25">
      <c r="C120" s="1">
        <v>45418</v>
      </c>
      <c r="D120" t="s">
        <v>2779</v>
      </c>
      <c r="E120" s="95">
        <v>1</v>
      </c>
    </row>
    <row r="121" spans="2:5" x14ac:dyDescent="0.25">
      <c r="C121" s="1">
        <v>45424</v>
      </c>
      <c r="D121" t="s">
        <v>2779</v>
      </c>
      <c r="E121" s="95">
        <v>2</v>
      </c>
    </row>
    <row r="122" spans="2:5" x14ac:dyDescent="0.25">
      <c r="C122" s="1">
        <v>45425</v>
      </c>
      <c r="D122" t="s">
        <v>2779</v>
      </c>
      <c r="E122" s="95">
        <v>2</v>
      </c>
    </row>
    <row r="123" spans="2:5" x14ac:dyDescent="0.25">
      <c r="C123" s="1">
        <v>45426</v>
      </c>
      <c r="D123" t="s">
        <v>2779</v>
      </c>
      <c r="E123" s="95">
        <v>1</v>
      </c>
    </row>
    <row r="124" spans="2:5" x14ac:dyDescent="0.25">
      <c r="C124" s="1">
        <v>45427</v>
      </c>
      <c r="D124" t="s">
        <v>2779</v>
      </c>
      <c r="E124" s="95">
        <v>1</v>
      </c>
    </row>
    <row r="125" spans="2:5" x14ac:dyDescent="0.25">
      <c r="B125" t="s">
        <v>256</v>
      </c>
      <c r="C125" s="1">
        <v>45394</v>
      </c>
      <c r="D125" t="s">
        <v>2779</v>
      </c>
      <c r="E125" s="95">
        <v>1</v>
      </c>
    </row>
    <row r="126" spans="2:5" x14ac:dyDescent="0.25">
      <c r="C126" s="1">
        <v>45408</v>
      </c>
      <c r="D126" t="s">
        <v>2779</v>
      </c>
      <c r="E126" s="95">
        <v>1</v>
      </c>
    </row>
    <row r="127" spans="2:5" x14ac:dyDescent="0.25">
      <c r="B127" t="s">
        <v>231</v>
      </c>
      <c r="C127" s="1">
        <v>414</v>
      </c>
      <c r="D127" t="s">
        <v>2779</v>
      </c>
      <c r="E127" s="95">
        <v>1</v>
      </c>
    </row>
    <row r="128" spans="2:5" x14ac:dyDescent="0.25">
      <c r="C128" s="1">
        <v>45393</v>
      </c>
      <c r="D128" t="s">
        <v>2779</v>
      </c>
      <c r="E128" s="95">
        <v>5</v>
      </c>
    </row>
    <row r="129" spans="3:5" x14ac:dyDescent="0.25">
      <c r="C129" s="1">
        <v>45394</v>
      </c>
      <c r="D129" t="s">
        <v>2779</v>
      </c>
      <c r="E129" s="95">
        <v>3</v>
      </c>
    </row>
    <row r="130" spans="3:5" x14ac:dyDescent="0.25">
      <c r="C130" s="1">
        <v>45395</v>
      </c>
      <c r="D130" t="s">
        <v>2779</v>
      </c>
      <c r="E130" s="95">
        <v>1</v>
      </c>
    </row>
    <row r="131" spans="3:5" x14ac:dyDescent="0.25">
      <c r="C131" s="1">
        <v>45396</v>
      </c>
      <c r="D131" t="s">
        <v>2779</v>
      </c>
      <c r="E131" s="95">
        <v>1</v>
      </c>
    </row>
    <row r="132" spans="3:5" x14ac:dyDescent="0.25">
      <c r="C132" s="1">
        <v>45397</v>
      </c>
      <c r="D132" t="s">
        <v>2779</v>
      </c>
      <c r="E132" s="95">
        <v>4</v>
      </c>
    </row>
    <row r="133" spans="3:5" x14ac:dyDescent="0.25">
      <c r="C133" s="1">
        <v>45398</v>
      </c>
      <c r="D133" t="s">
        <v>2779</v>
      </c>
      <c r="E133" s="95">
        <v>1</v>
      </c>
    </row>
    <row r="134" spans="3:5" x14ac:dyDescent="0.25">
      <c r="C134" s="1">
        <v>45399</v>
      </c>
      <c r="D134" t="s">
        <v>2779</v>
      </c>
      <c r="E134" s="95">
        <v>4</v>
      </c>
    </row>
    <row r="135" spans="3:5" x14ac:dyDescent="0.25">
      <c r="C135" s="1">
        <v>45400</v>
      </c>
      <c r="D135" t="s">
        <v>2779</v>
      </c>
      <c r="E135" s="95">
        <v>1</v>
      </c>
    </row>
    <row r="136" spans="3:5" x14ac:dyDescent="0.25">
      <c r="C136" s="1">
        <v>45403</v>
      </c>
      <c r="D136" t="s">
        <v>2779</v>
      </c>
      <c r="E136" s="95">
        <v>6</v>
      </c>
    </row>
    <row r="137" spans="3:5" x14ac:dyDescent="0.25">
      <c r="C137" s="1">
        <v>45405</v>
      </c>
      <c r="D137" t="s">
        <v>2779</v>
      </c>
      <c r="E137" s="95">
        <v>1</v>
      </c>
    </row>
    <row r="138" spans="3:5" x14ac:dyDescent="0.25">
      <c r="C138" s="1">
        <v>45406</v>
      </c>
      <c r="D138" t="s">
        <v>2779</v>
      </c>
      <c r="E138" s="95">
        <v>1</v>
      </c>
    </row>
    <row r="139" spans="3:5" x14ac:dyDescent="0.25">
      <c r="C139" s="1">
        <v>45407</v>
      </c>
      <c r="D139" t="s">
        <v>2779</v>
      </c>
      <c r="E139" s="95">
        <v>1</v>
      </c>
    </row>
    <row r="140" spans="3:5" x14ac:dyDescent="0.25">
      <c r="C140" s="1">
        <v>45411</v>
      </c>
      <c r="D140" t="s">
        <v>2779</v>
      </c>
      <c r="E140" s="95">
        <v>1</v>
      </c>
    </row>
    <row r="141" spans="3:5" x14ac:dyDescent="0.25">
      <c r="C141" s="1">
        <v>45422</v>
      </c>
      <c r="D141" t="s">
        <v>2779</v>
      </c>
      <c r="E141" s="95">
        <v>1</v>
      </c>
    </row>
    <row r="142" spans="3:5" x14ac:dyDescent="0.25">
      <c r="C142" s="1">
        <v>45426</v>
      </c>
      <c r="D142" t="s">
        <v>2779</v>
      </c>
      <c r="E142" s="95">
        <v>1</v>
      </c>
    </row>
    <row r="143" spans="3:5" x14ac:dyDescent="0.25">
      <c r="C143" s="1">
        <v>45430</v>
      </c>
      <c r="D143" t="s">
        <v>2779</v>
      </c>
      <c r="E143" s="95">
        <v>1</v>
      </c>
    </row>
    <row r="144" spans="3:5" x14ac:dyDescent="0.25">
      <c r="C144" s="1">
        <v>45432</v>
      </c>
      <c r="D144" t="s">
        <v>2779</v>
      </c>
      <c r="E144" s="95">
        <v>1</v>
      </c>
    </row>
    <row r="145" spans="2:5" x14ac:dyDescent="0.25">
      <c r="C145" s="1">
        <v>45438</v>
      </c>
      <c r="D145" t="s">
        <v>2779</v>
      </c>
      <c r="E145" s="95">
        <v>1</v>
      </c>
    </row>
    <row r="146" spans="2:5" x14ac:dyDescent="0.25">
      <c r="C146" s="1">
        <v>45439</v>
      </c>
      <c r="D146" t="s">
        <v>2779</v>
      </c>
      <c r="E146" s="95">
        <v>1</v>
      </c>
    </row>
    <row r="147" spans="2:5" x14ac:dyDescent="0.25">
      <c r="C147" s="1">
        <v>45445</v>
      </c>
      <c r="D147" t="s">
        <v>2779</v>
      </c>
      <c r="E147" s="95">
        <v>1</v>
      </c>
    </row>
    <row r="148" spans="2:5" x14ac:dyDescent="0.25">
      <c r="C148" s="1">
        <v>45446</v>
      </c>
      <c r="D148" t="s">
        <v>2779</v>
      </c>
      <c r="E148" s="95">
        <v>3</v>
      </c>
    </row>
    <row r="149" spans="2:5" x14ac:dyDescent="0.25">
      <c r="C149" s="1">
        <v>45450</v>
      </c>
      <c r="D149" t="s">
        <v>2779</v>
      </c>
      <c r="E149" s="95">
        <v>1</v>
      </c>
    </row>
    <row r="150" spans="2:5" x14ac:dyDescent="0.25">
      <c r="C150" t="s">
        <v>2779</v>
      </c>
      <c r="D150" t="s">
        <v>2779</v>
      </c>
      <c r="E150" s="95"/>
    </row>
    <row r="151" spans="2:5" x14ac:dyDescent="0.25">
      <c r="B151" t="s">
        <v>219</v>
      </c>
      <c r="C151" s="1">
        <v>45434</v>
      </c>
      <c r="D151" t="s">
        <v>2779</v>
      </c>
      <c r="E151" s="95">
        <v>1</v>
      </c>
    </row>
    <row r="152" spans="2:5" x14ac:dyDescent="0.25">
      <c r="B152" t="s">
        <v>210</v>
      </c>
      <c r="C152" s="1">
        <v>45371</v>
      </c>
      <c r="D152" t="s">
        <v>2779</v>
      </c>
      <c r="E152" s="95">
        <v>1</v>
      </c>
    </row>
    <row r="153" spans="2:5" x14ac:dyDescent="0.25">
      <c r="C153" s="1">
        <v>45406</v>
      </c>
      <c r="D153" t="s">
        <v>2779</v>
      </c>
      <c r="E153" s="95">
        <v>2</v>
      </c>
    </row>
    <row r="154" spans="2:5" x14ac:dyDescent="0.25">
      <c r="C154" s="1">
        <v>45413</v>
      </c>
      <c r="D154" t="s">
        <v>2779</v>
      </c>
      <c r="E154" s="95">
        <v>1</v>
      </c>
    </row>
    <row r="155" spans="2:5" x14ac:dyDescent="0.25">
      <c r="B155" t="s">
        <v>13</v>
      </c>
      <c r="C155" s="1">
        <v>45373</v>
      </c>
      <c r="D155" t="s">
        <v>2779</v>
      </c>
      <c r="E155" s="95">
        <v>1</v>
      </c>
    </row>
    <row r="156" spans="2:5" x14ac:dyDescent="0.25">
      <c r="C156" s="1">
        <v>45375</v>
      </c>
      <c r="D156" t="s">
        <v>2779</v>
      </c>
      <c r="E156" s="95">
        <v>1</v>
      </c>
    </row>
    <row r="157" spans="2:5" x14ac:dyDescent="0.25">
      <c r="C157" s="1">
        <v>45427</v>
      </c>
      <c r="D157" t="s">
        <v>2779</v>
      </c>
      <c r="E157" s="95">
        <v>1</v>
      </c>
    </row>
    <row r="158" spans="2:5" x14ac:dyDescent="0.25">
      <c r="B158" t="s">
        <v>112</v>
      </c>
      <c r="C158" s="1">
        <v>45394</v>
      </c>
      <c r="D158" t="s">
        <v>2779</v>
      </c>
      <c r="E158" s="95">
        <v>2</v>
      </c>
    </row>
    <row r="159" spans="2:5" x14ac:dyDescent="0.25">
      <c r="C159" s="1">
        <v>45402</v>
      </c>
      <c r="D159" t="s">
        <v>2779</v>
      </c>
      <c r="E159" s="95">
        <v>1</v>
      </c>
    </row>
    <row r="160" spans="2:5" x14ac:dyDescent="0.25">
      <c r="C160" s="1">
        <v>45405</v>
      </c>
      <c r="D160" t="s">
        <v>2779</v>
      </c>
      <c r="E160" s="95">
        <v>1</v>
      </c>
    </row>
    <row r="161" spans="2:5" x14ac:dyDescent="0.25">
      <c r="C161" s="1">
        <v>45406</v>
      </c>
      <c r="D161" t="s">
        <v>2779</v>
      </c>
      <c r="E161" s="95">
        <v>2</v>
      </c>
    </row>
    <row r="162" spans="2:5" x14ac:dyDescent="0.25">
      <c r="C162" s="1">
        <v>45415</v>
      </c>
      <c r="D162" t="s">
        <v>2779</v>
      </c>
      <c r="E162" s="95">
        <v>2</v>
      </c>
    </row>
    <row r="163" spans="2:5" x14ac:dyDescent="0.25">
      <c r="C163" s="1">
        <v>45420</v>
      </c>
      <c r="D163" t="s">
        <v>2779</v>
      </c>
      <c r="E163" s="95">
        <v>1</v>
      </c>
    </row>
    <row r="164" spans="2:5" x14ac:dyDescent="0.25">
      <c r="C164" s="1">
        <v>45423</v>
      </c>
      <c r="D164" t="s">
        <v>2779</v>
      </c>
      <c r="E164" s="95">
        <v>1</v>
      </c>
    </row>
    <row r="165" spans="2:5" x14ac:dyDescent="0.25">
      <c r="C165" s="1">
        <v>45424</v>
      </c>
      <c r="D165" t="s">
        <v>2779</v>
      </c>
      <c r="E165" s="95">
        <v>3</v>
      </c>
    </row>
    <row r="166" spans="2:5" x14ac:dyDescent="0.25">
      <c r="C166" s="1">
        <v>45425</v>
      </c>
      <c r="D166" t="s">
        <v>2779</v>
      </c>
      <c r="E166" s="95">
        <v>2</v>
      </c>
    </row>
    <row r="167" spans="2:5" x14ac:dyDescent="0.25">
      <c r="C167" s="1">
        <v>45427</v>
      </c>
      <c r="D167" t="s">
        <v>2779</v>
      </c>
      <c r="E167" s="95">
        <v>1</v>
      </c>
    </row>
    <row r="168" spans="2:5" x14ac:dyDescent="0.25">
      <c r="C168" s="1">
        <v>45428</v>
      </c>
      <c r="D168" t="s">
        <v>2779</v>
      </c>
      <c r="E168" s="95">
        <v>1</v>
      </c>
    </row>
    <row r="169" spans="2:5" x14ac:dyDescent="0.25">
      <c r="C169" s="1">
        <v>45429</v>
      </c>
      <c r="D169" t="s">
        <v>2779</v>
      </c>
      <c r="E169" s="95">
        <v>1</v>
      </c>
    </row>
    <row r="170" spans="2:5" x14ac:dyDescent="0.25">
      <c r="C170" s="1">
        <v>45437</v>
      </c>
      <c r="D170" t="s">
        <v>2779</v>
      </c>
      <c r="E170" s="95">
        <v>1</v>
      </c>
    </row>
    <row r="171" spans="2:5" x14ac:dyDescent="0.25">
      <c r="C171" s="1">
        <v>45438</v>
      </c>
      <c r="D171" t="s">
        <v>2779</v>
      </c>
      <c r="E171" s="95">
        <v>1</v>
      </c>
    </row>
    <row r="172" spans="2:5" x14ac:dyDescent="0.25">
      <c r="C172" s="1">
        <v>45439</v>
      </c>
      <c r="D172" t="s">
        <v>2779</v>
      </c>
      <c r="E172" s="95">
        <v>1</v>
      </c>
    </row>
    <row r="173" spans="2:5" x14ac:dyDescent="0.25">
      <c r="C173" s="1">
        <v>45442</v>
      </c>
      <c r="D173" t="s">
        <v>2779</v>
      </c>
      <c r="E173" s="95">
        <v>1</v>
      </c>
    </row>
    <row r="174" spans="2:5" x14ac:dyDescent="0.25">
      <c r="B174" t="s">
        <v>211</v>
      </c>
      <c r="C174" s="1">
        <v>45372</v>
      </c>
      <c r="D174" t="s">
        <v>2779</v>
      </c>
      <c r="E174" s="95">
        <v>3</v>
      </c>
    </row>
    <row r="175" spans="2:5" x14ac:dyDescent="0.25">
      <c r="C175" s="1">
        <v>45373</v>
      </c>
      <c r="D175" t="s">
        <v>2779</v>
      </c>
      <c r="E175" s="95">
        <v>1</v>
      </c>
    </row>
    <row r="176" spans="2:5" x14ac:dyDescent="0.25">
      <c r="C176" s="1">
        <v>45374</v>
      </c>
      <c r="D176" t="s">
        <v>2779</v>
      </c>
      <c r="E176" s="95">
        <v>1</v>
      </c>
    </row>
    <row r="177" spans="2:5" x14ac:dyDescent="0.25">
      <c r="C177" s="1">
        <v>45375</v>
      </c>
      <c r="D177" t="s">
        <v>2779</v>
      </c>
      <c r="E177" s="95">
        <v>1</v>
      </c>
    </row>
    <row r="178" spans="2:5" x14ac:dyDescent="0.25">
      <c r="C178" s="1">
        <v>45380</v>
      </c>
      <c r="D178" t="s">
        <v>2779</v>
      </c>
      <c r="E178" s="95">
        <v>1</v>
      </c>
    </row>
    <row r="179" spans="2:5" x14ac:dyDescent="0.25">
      <c r="C179" s="1">
        <v>45408</v>
      </c>
      <c r="D179" t="s">
        <v>2779</v>
      </c>
      <c r="E179" s="95">
        <v>1</v>
      </c>
    </row>
    <row r="180" spans="2:5" x14ac:dyDescent="0.25">
      <c r="C180" s="1">
        <v>45410</v>
      </c>
      <c r="D180" t="s">
        <v>2779</v>
      </c>
      <c r="E180" s="95">
        <v>1</v>
      </c>
    </row>
    <row r="181" spans="2:5" x14ac:dyDescent="0.25">
      <c r="B181" t="s">
        <v>312</v>
      </c>
      <c r="C181" s="1">
        <v>45429</v>
      </c>
      <c r="D181" t="s">
        <v>2779</v>
      </c>
      <c r="E181" s="95">
        <v>1</v>
      </c>
    </row>
    <row r="182" spans="2:5" x14ac:dyDescent="0.25">
      <c r="B182" t="s">
        <v>215</v>
      </c>
      <c r="C182" s="1">
        <v>45381</v>
      </c>
      <c r="D182" t="s">
        <v>2779</v>
      </c>
      <c r="E182" s="95">
        <v>1</v>
      </c>
    </row>
    <row r="183" spans="2:5" x14ac:dyDescent="0.25">
      <c r="B183" t="s">
        <v>11</v>
      </c>
      <c r="C183" s="1">
        <v>45368</v>
      </c>
      <c r="D183" t="s">
        <v>2779</v>
      </c>
      <c r="E183" s="95">
        <v>1</v>
      </c>
    </row>
    <row r="184" spans="2:5" x14ac:dyDescent="0.25">
      <c r="C184" s="1">
        <v>45369</v>
      </c>
      <c r="D184" t="s">
        <v>2779</v>
      </c>
      <c r="E184" s="95">
        <v>1</v>
      </c>
    </row>
    <row r="185" spans="2:5" x14ac:dyDescent="0.25">
      <c r="C185" s="1">
        <v>45380</v>
      </c>
      <c r="D185" t="s">
        <v>2779</v>
      </c>
      <c r="E185" s="95">
        <v>1</v>
      </c>
    </row>
    <row r="186" spans="2:5" x14ac:dyDescent="0.25">
      <c r="C186" s="1">
        <v>45381</v>
      </c>
      <c r="D186" t="s">
        <v>2779</v>
      </c>
      <c r="E186" s="95">
        <v>1</v>
      </c>
    </row>
    <row r="187" spans="2:5" x14ac:dyDescent="0.25">
      <c r="C187" s="1">
        <v>45383</v>
      </c>
      <c r="D187" t="s">
        <v>2779</v>
      </c>
      <c r="E187" s="95">
        <v>1</v>
      </c>
    </row>
    <row r="188" spans="2:5" x14ac:dyDescent="0.25">
      <c r="C188" s="1">
        <v>45426</v>
      </c>
      <c r="D188" t="s">
        <v>2779</v>
      </c>
      <c r="E188" s="95">
        <v>1</v>
      </c>
    </row>
    <row r="189" spans="2:5" x14ac:dyDescent="0.25">
      <c r="C189" s="1">
        <v>45427</v>
      </c>
      <c r="D189" t="s">
        <v>2779</v>
      </c>
      <c r="E189" s="95">
        <v>2</v>
      </c>
    </row>
    <row r="190" spans="2:5" x14ac:dyDescent="0.25">
      <c r="C190" s="1">
        <v>45431</v>
      </c>
      <c r="D190" t="s">
        <v>2779</v>
      </c>
      <c r="E190" s="95">
        <v>1</v>
      </c>
    </row>
    <row r="191" spans="2:5" x14ac:dyDescent="0.25">
      <c r="C191" s="1">
        <v>45432</v>
      </c>
      <c r="D191" t="s">
        <v>2779</v>
      </c>
      <c r="E191" s="95">
        <v>1</v>
      </c>
    </row>
    <row r="192" spans="2:5" x14ac:dyDescent="0.25">
      <c r="C192" s="1">
        <v>45433</v>
      </c>
      <c r="D192" t="s">
        <v>2779</v>
      </c>
      <c r="E192" s="95">
        <v>1</v>
      </c>
    </row>
    <row r="193" spans="1:5" x14ac:dyDescent="0.25">
      <c r="C193" s="1">
        <v>45434</v>
      </c>
      <c r="D193" t="s">
        <v>2779</v>
      </c>
      <c r="E193" s="95">
        <v>1</v>
      </c>
    </row>
    <row r="194" spans="1:5" x14ac:dyDescent="0.25">
      <c r="C194" s="1">
        <v>45437</v>
      </c>
      <c r="D194" t="s">
        <v>2779</v>
      </c>
      <c r="E194" s="95">
        <v>1</v>
      </c>
    </row>
    <row r="195" spans="1:5" x14ac:dyDescent="0.25">
      <c r="C195" s="1">
        <v>45444</v>
      </c>
      <c r="D195" t="s">
        <v>2779</v>
      </c>
      <c r="E195" s="95">
        <v>1</v>
      </c>
    </row>
    <row r="196" spans="1:5" x14ac:dyDescent="0.25">
      <c r="B196" t="s">
        <v>204</v>
      </c>
      <c r="C196" s="1">
        <v>45378</v>
      </c>
      <c r="D196" t="s">
        <v>2779</v>
      </c>
      <c r="E196" s="95">
        <v>1</v>
      </c>
    </row>
    <row r="197" spans="1:5" x14ac:dyDescent="0.25">
      <c r="A197" t="s">
        <v>955</v>
      </c>
      <c r="E197" s="95">
        <v>494</v>
      </c>
    </row>
    <row r="198" spans="1:5" x14ac:dyDescent="0.25">
      <c r="A198" t="s">
        <v>541</v>
      </c>
      <c r="B198" t="s">
        <v>67</v>
      </c>
      <c r="C198" s="1">
        <v>45387</v>
      </c>
      <c r="D198" t="s">
        <v>2779</v>
      </c>
      <c r="E198" s="95">
        <v>1</v>
      </c>
    </row>
    <row r="199" spans="1:5" x14ac:dyDescent="0.25">
      <c r="B199" t="s">
        <v>11</v>
      </c>
      <c r="C199" s="1">
        <v>45363</v>
      </c>
      <c r="D199" t="s">
        <v>2779</v>
      </c>
      <c r="E199" s="95">
        <v>3</v>
      </c>
    </row>
    <row r="200" spans="1:5" x14ac:dyDescent="0.25">
      <c r="B200" t="s">
        <v>204</v>
      </c>
      <c r="C200" s="1">
        <v>45364</v>
      </c>
      <c r="D200" t="s">
        <v>2779</v>
      </c>
      <c r="E200" s="95">
        <v>2</v>
      </c>
    </row>
    <row r="201" spans="1:5" x14ac:dyDescent="0.25">
      <c r="C201" s="1">
        <v>45374</v>
      </c>
      <c r="D201" t="s">
        <v>2779</v>
      </c>
      <c r="E201" s="95">
        <v>3</v>
      </c>
    </row>
    <row r="202" spans="1:5" x14ac:dyDescent="0.25">
      <c r="B202" t="s">
        <v>2447</v>
      </c>
      <c r="C202" s="1">
        <v>45702</v>
      </c>
      <c r="D202" t="s">
        <v>2779</v>
      </c>
      <c r="E202" s="95">
        <v>1</v>
      </c>
    </row>
    <row r="203" spans="1:5" x14ac:dyDescent="0.25">
      <c r="A203" t="s">
        <v>701</v>
      </c>
      <c r="B203" t="s">
        <v>231</v>
      </c>
      <c r="C203" s="1">
        <v>45394</v>
      </c>
      <c r="D203" t="s">
        <v>2779</v>
      </c>
      <c r="E203" s="95">
        <v>1</v>
      </c>
    </row>
    <row r="204" spans="1:5" x14ac:dyDescent="0.25">
      <c r="A204" t="s">
        <v>558</v>
      </c>
      <c r="B204" t="s">
        <v>85</v>
      </c>
      <c r="C204" s="1">
        <v>45417</v>
      </c>
      <c r="D204" t="s">
        <v>2779</v>
      </c>
      <c r="E204" s="95">
        <v>2</v>
      </c>
    </row>
    <row r="205" spans="1:5" x14ac:dyDescent="0.25">
      <c r="C205" s="1">
        <v>45419</v>
      </c>
      <c r="D205" t="s">
        <v>2779</v>
      </c>
      <c r="E205" s="95">
        <v>1</v>
      </c>
    </row>
    <row r="206" spans="1:5" x14ac:dyDescent="0.25">
      <c r="C206" s="1">
        <v>45422</v>
      </c>
      <c r="D206" t="s">
        <v>2779</v>
      </c>
      <c r="E206" s="95">
        <v>1</v>
      </c>
    </row>
    <row r="207" spans="1:5" x14ac:dyDescent="0.25">
      <c r="C207" s="1">
        <v>45427</v>
      </c>
      <c r="D207" t="s">
        <v>2779</v>
      </c>
      <c r="E207" s="95">
        <v>1</v>
      </c>
    </row>
    <row r="208" spans="1:5" x14ac:dyDescent="0.25">
      <c r="C208" s="1">
        <v>45428</v>
      </c>
      <c r="D208" t="s">
        <v>2779</v>
      </c>
      <c r="E208" s="95">
        <v>7</v>
      </c>
    </row>
    <row r="209" spans="2:5" x14ac:dyDescent="0.25">
      <c r="B209" t="s">
        <v>123</v>
      </c>
      <c r="C209" s="1">
        <v>45383</v>
      </c>
      <c r="D209" t="s">
        <v>2779</v>
      </c>
      <c r="E209" s="95">
        <v>1</v>
      </c>
    </row>
    <row r="210" spans="2:5" x14ac:dyDescent="0.25">
      <c r="B210" t="s">
        <v>346</v>
      </c>
      <c r="C210" s="1">
        <v>45446</v>
      </c>
      <c r="D210" t="s">
        <v>2779</v>
      </c>
      <c r="E210" s="95">
        <v>1</v>
      </c>
    </row>
    <row r="211" spans="2:5" x14ac:dyDescent="0.25">
      <c r="C211" s="1">
        <v>45448</v>
      </c>
      <c r="D211" t="s">
        <v>2779</v>
      </c>
      <c r="E211" s="95">
        <v>1</v>
      </c>
    </row>
    <row r="212" spans="2:5" x14ac:dyDescent="0.25">
      <c r="B212" t="s">
        <v>116</v>
      </c>
      <c r="C212" s="1">
        <v>45381</v>
      </c>
      <c r="D212" t="s">
        <v>2779</v>
      </c>
      <c r="E212" s="95">
        <v>2</v>
      </c>
    </row>
    <row r="213" spans="2:5" x14ac:dyDescent="0.25">
      <c r="B213" t="s">
        <v>97</v>
      </c>
      <c r="C213" s="1">
        <v>45422</v>
      </c>
      <c r="D213" t="s">
        <v>2779</v>
      </c>
      <c r="E213" s="95">
        <v>1</v>
      </c>
    </row>
    <row r="214" spans="2:5" x14ac:dyDescent="0.25">
      <c r="B214" t="s">
        <v>208</v>
      </c>
      <c r="C214" s="1">
        <v>45369</v>
      </c>
      <c r="D214" t="s">
        <v>2779</v>
      </c>
      <c r="E214" s="95">
        <v>2</v>
      </c>
    </row>
    <row r="215" spans="2:5" x14ac:dyDescent="0.25">
      <c r="B215" t="s">
        <v>33</v>
      </c>
      <c r="C215" s="1">
        <v>45383</v>
      </c>
      <c r="D215" t="s">
        <v>2779</v>
      </c>
      <c r="E215" s="95">
        <v>3</v>
      </c>
    </row>
    <row r="216" spans="2:5" x14ac:dyDescent="0.25">
      <c r="C216" s="1">
        <v>45384</v>
      </c>
      <c r="D216" t="s">
        <v>2779</v>
      </c>
      <c r="E216" s="95">
        <v>1</v>
      </c>
    </row>
    <row r="217" spans="2:5" x14ac:dyDescent="0.25">
      <c r="C217" s="1">
        <v>45385</v>
      </c>
      <c r="D217" t="s">
        <v>2779</v>
      </c>
      <c r="E217" s="95">
        <v>2</v>
      </c>
    </row>
    <row r="218" spans="2:5" x14ac:dyDescent="0.25">
      <c r="C218" s="1">
        <v>45402</v>
      </c>
      <c r="D218" t="s">
        <v>2779</v>
      </c>
      <c r="E218" s="95">
        <v>1</v>
      </c>
    </row>
    <row r="219" spans="2:5" x14ac:dyDescent="0.25">
      <c r="C219" s="1">
        <v>45427</v>
      </c>
      <c r="D219" t="s">
        <v>2779</v>
      </c>
      <c r="E219" s="95">
        <v>2</v>
      </c>
    </row>
    <row r="220" spans="2:5" x14ac:dyDescent="0.25">
      <c r="C220" s="1">
        <v>45428</v>
      </c>
      <c r="D220" t="s">
        <v>2779</v>
      </c>
      <c r="E220" s="95">
        <v>3</v>
      </c>
    </row>
    <row r="221" spans="2:5" x14ac:dyDescent="0.25">
      <c r="C221" s="1">
        <v>45429</v>
      </c>
      <c r="D221" t="s">
        <v>2779</v>
      </c>
      <c r="E221" s="95">
        <v>2</v>
      </c>
    </row>
    <row r="222" spans="2:5" x14ac:dyDescent="0.25">
      <c r="C222" s="1">
        <v>45430</v>
      </c>
      <c r="D222" t="s">
        <v>2779</v>
      </c>
      <c r="E222" s="95">
        <v>2</v>
      </c>
    </row>
    <row r="223" spans="2:5" x14ac:dyDescent="0.25">
      <c r="C223" s="1">
        <v>45439</v>
      </c>
      <c r="D223" t="s">
        <v>2779</v>
      </c>
      <c r="E223" s="95">
        <v>1</v>
      </c>
    </row>
    <row r="224" spans="2:5" x14ac:dyDescent="0.25">
      <c r="C224" s="1">
        <v>45440</v>
      </c>
      <c r="D224" t="s">
        <v>2779</v>
      </c>
      <c r="E224" s="95">
        <v>1</v>
      </c>
    </row>
    <row r="225" spans="2:5" x14ac:dyDescent="0.25">
      <c r="C225" s="1">
        <v>45445</v>
      </c>
      <c r="D225" t="s">
        <v>2779</v>
      </c>
      <c r="E225" s="95">
        <v>1</v>
      </c>
    </row>
    <row r="226" spans="2:5" x14ac:dyDescent="0.25">
      <c r="B226" t="s">
        <v>267</v>
      </c>
      <c r="C226" s="1">
        <v>45400</v>
      </c>
      <c r="D226" t="s">
        <v>2779</v>
      </c>
      <c r="E226" s="95">
        <v>2</v>
      </c>
    </row>
    <row r="227" spans="2:5" x14ac:dyDescent="0.25">
      <c r="C227" s="1">
        <v>45401</v>
      </c>
      <c r="D227" t="s">
        <v>2779</v>
      </c>
      <c r="E227" s="95">
        <v>3</v>
      </c>
    </row>
    <row r="228" spans="2:5" x14ac:dyDescent="0.25">
      <c r="C228" s="1">
        <v>45405</v>
      </c>
      <c r="D228" t="s">
        <v>2779</v>
      </c>
      <c r="E228" s="95">
        <v>10</v>
      </c>
    </row>
    <row r="229" spans="2:5" x14ac:dyDescent="0.25">
      <c r="C229" s="1">
        <v>45407</v>
      </c>
      <c r="D229" t="s">
        <v>2779</v>
      </c>
      <c r="E229" s="95">
        <v>1</v>
      </c>
    </row>
    <row r="230" spans="2:5" x14ac:dyDescent="0.25">
      <c r="B230" t="s">
        <v>52</v>
      </c>
      <c r="C230" s="1">
        <v>45378</v>
      </c>
      <c r="D230" t="s">
        <v>2779</v>
      </c>
      <c r="E230" s="95">
        <v>1</v>
      </c>
    </row>
    <row r="231" spans="2:5" x14ac:dyDescent="0.25">
      <c r="B231" t="s">
        <v>271</v>
      </c>
      <c r="C231" s="1">
        <v>45403</v>
      </c>
      <c r="D231" t="s">
        <v>2779</v>
      </c>
      <c r="E231" s="95">
        <v>1</v>
      </c>
    </row>
    <row r="232" spans="2:5" x14ac:dyDescent="0.25">
      <c r="B232" t="s">
        <v>231</v>
      </c>
      <c r="C232" s="1">
        <v>45383</v>
      </c>
      <c r="D232" t="s">
        <v>2779</v>
      </c>
      <c r="E232" s="95">
        <v>1</v>
      </c>
    </row>
    <row r="233" spans="2:5" x14ac:dyDescent="0.25">
      <c r="C233" s="1">
        <v>45384</v>
      </c>
      <c r="D233" t="s">
        <v>2779</v>
      </c>
      <c r="E233" s="95">
        <v>6</v>
      </c>
    </row>
    <row r="234" spans="2:5" x14ac:dyDescent="0.25">
      <c r="C234" s="1">
        <v>45385</v>
      </c>
      <c r="D234" t="s">
        <v>2779</v>
      </c>
      <c r="E234" s="95">
        <v>1</v>
      </c>
    </row>
    <row r="235" spans="2:5" x14ac:dyDescent="0.25">
      <c r="C235" s="1">
        <v>45390</v>
      </c>
      <c r="D235" t="s">
        <v>2779</v>
      </c>
      <c r="E235" s="95">
        <v>6</v>
      </c>
    </row>
    <row r="236" spans="2:5" x14ac:dyDescent="0.25">
      <c r="C236" s="1">
        <v>45391</v>
      </c>
      <c r="D236" t="s">
        <v>2779</v>
      </c>
      <c r="E236" s="95">
        <v>3</v>
      </c>
    </row>
    <row r="237" spans="2:5" x14ac:dyDescent="0.25">
      <c r="C237" s="1">
        <v>45392</v>
      </c>
      <c r="D237" t="s">
        <v>2779</v>
      </c>
      <c r="E237" s="95">
        <v>1</v>
      </c>
    </row>
    <row r="238" spans="2:5" x14ac:dyDescent="0.25">
      <c r="C238" s="1">
        <v>45396</v>
      </c>
      <c r="D238" t="s">
        <v>2779</v>
      </c>
      <c r="E238" s="95">
        <v>7</v>
      </c>
    </row>
    <row r="239" spans="2:5" x14ac:dyDescent="0.25">
      <c r="C239" s="1">
        <v>45404</v>
      </c>
      <c r="D239" t="s">
        <v>2779</v>
      </c>
      <c r="E239" s="95">
        <v>3</v>
      </c>
    </row>
    <row r="240" spans="2:5" x14ac:dyDescent="0.25">
      <c r="C240" s="1">
        <v>45410</v>
      </c>
      <c r="D240" t="s">
        <v>2779</v>
      </c>
      <c r="E240" s="95">
        <v>2</v>
      </c>
    </row>
    <row r="241" spans="2:5" x14ac:dyDescent="0.25">
      <c r="C241" s="1">
        <v>45411</v>
      </c>
      <c r="D241" t="s">
        <v>2779</v>
      </c>
      <c r="E241" s="95">
        <v>1</v>
      </c>
    </row>
    <row r="242" spans="2:5" x14ac:dyDescent="0.25">
      <c r="C242" s="1">
        <v>45417</v>
      </c>
      <c r="D242" t="s">
        <v>2779</v>
      </c>
      <c r="E242" s="95">
        <v>4</v>
      </c>
    </row>
    <row r="243" spans="2:5" x14ac:dyDescent="0.25">
      <c r="C243" s="1">
        <v>45418</v>
      </c>
      <c r="D243" t="s">
        <v>2779</v>
      </c>
      <c r="E243" s="95">
        <v>1</v>
      </c>
    </row>
    <row r="244" spans="2:5" x14ac:dyDescent="0.25">
      <c r="C244" s="1">
        <v>45420</v>
      </c>
      <c r="D244" t="s">
        <v>2779</v>
      </c>
      <c r="E244" s="95">
        <v>2</v>
      </c>
    </row>
    <row r="245" spans="2:5" x14ac:dyDescent="0.25">
      <c r="C245" s="1">
        <v>45421</v>
      </c>
      <c r="D245" t="s">
        <v>2779</v>
      </c>
      <c r="E245" s="95">
        <v>1</v>
      </c>
    </row>
    <row r="246" spans="2:5" x14ac:dyDescent="0.25">
      <c r="C246" s="1">
        <v>45425</v>
      </c>
      <c r="D246" t="s">
        <v>2779</v>
      </c>
      <c r="E246" s="95">
        <v>2</v>
      </c>
    </row>
    <row r="247" spans="2:5" x14ac:dyDescent="0.25">
      <c r="C247" s="1">
        <v>45432</v>
      </c>
      <c r="D247" t="s">
        <v>2779</v>
      </c>
      <c r="E247" s="95">
        <v>2</v>
      </c>
    </row>
    <row r="248" spans="2:5" x14ac:dyDescent="0.25">
      <c r="C248" s="1">
        <v>45433</v>
      </c>
      <c r="D248" t="s">
        <v>2779</v>
      </c>
      <c r="E248" s="95">
        <v>3</v>
      </c>
    </row>
    <row r="249" spans="2:5" x14ac:dyDescent="0.25">
      <c r="C249" s="1">
        <v>45439</v>
      </c>
      <c r="D249" t="s">
        <v>2779</v>
      </c>
      <c r="E249" s="95">
        <v>1</v>
      </c>
    </row>
    <row r="250" spans="2:5" x14ac:dyDescent="0.25">
      <c r="C250" s="1">
        <v>45440</v>
      </c>
      <c r="D250" t="s">
        <v>2779</v>
      </c>
      <c r="E250" s="95">
        <v>1</v>
      </c>
    </row>
    <row r="251" spans="2:5" x14ac:dyDescent="0.25">
      <c r="C251" s="1">
        <v>45445</v>
      </c>
      <c r="D251" t="s">
        <v>2779</v>
      </c>
      <c r="E251" s="95">
        <v>1</v>
      </c>
    </row>
    <row r="252" spans="2:5" x14ac:dyDescent="0.25">
      <c r="C252" s="1">
        <v>45446</v>
      </c>
      <c r="D252" t="s">
        <v>2779</v>
      </c>
      <c r="E252" s="95">
        <v>3</v>
      </c>
    </row>
    <row r="253" spans="2:5" x14ac:dyDescent="0.25">
      <c r="C253" s="1">
        <v>45463</v>
      </c>
      <c r="D253" t="s">
        <v>2779</v>
      </c>
      <c r="E253" s="95">
        <v>1</v>
      </c>
    </row>
    <row r="254" spans="2:5" x14ac:dyDescent="0.25">
      <c r="B254" t="s">
        <v>292</v>
      </c>
      <c r="C254" s="1">
        <v>45420</v>
      </c>
      <c r="D254" t="s">
        <v>2779</v>
      </c>
      <c r="E254" s="95">
        <v>1</v>
      </c>
    </row>
    <row r="255" spans="2:5" x14ac:dyDescent="0.25">
      <c r="C255" s="1">
        <v>45422</v>
      </c>
      <c r="D255" t="s">
        <v>2779</v>
      </c>
      <c r="E255" s="95">
        <v>1</v>
      </c>
    </row>
    <row r="256" spans="2:5" x14ac:dyDescent="0.25">
      <c r="B256" t="s">
        <v>275</v>
      </c>
      <c r="C256" s="1">
        <v>45403</v>
      </c>
      <c r="D256" t="s">
        <v>2779</v>
      </c>
      <c r="E256" s="95">
        <v>1</v>
      </c>
    </row>
    <row r="257" spans="2:5" x14ac:dyDescent="0.25">
      <c r="C257" s="1">
        <v>45404</v>
      </c>
      <c r="D257" t="s">
        <v>2779</v>
      </c>
      <c r="E257" s="95">
        <v>1</v>
      </c>
    </row>
    <row r="258" spans="2:5" x14ac:dyDescent="0.25">
      <c r="B258" t="s">
        <v>13</v>
      </c>
      <c r="C258" s="1">
        <v>45366</v>
      </c>
      <c r="D258" t="s">
        <v>2779</v>
      </c>
      <c r="E258" s="95">
        <v>1</v>
      </c>
    </row>
    <row r="259" spans="2:5" x14ac:dyDescent="0.25">
      <c r="C259" s="1">
        <v>45427</v>
      </c>
      <c r="D259" t="s">
        <v>2779</v>
      </c>
      <c r="E259" s="95">
        <v>1</v>
      </c>
    </row>
    <row r="260" spans="2:5" x14ac:dyDescent="0.25">
      <c r="B260" t="s">
        <v>7</v>
      </c>
      <c r="C260" s="1">
        <v>45367</v>
      </c>
      <c r="D260" t="s">
        <v>2779</v>
      </c>
      <c r="E260" s="95">
        <v>1</v>
      </c>
    </row>
    <row r="261" spans="2:5" x14ac:dyDescent="0.25">
      <c r="C261" s="1">
        <v>45384</v>
      </c>
      <c r="D261" t="s">
        <v>2779</v>
      </c>
      <c r="E261" s="95">
        <v>1</v>
      </c>
    </row>
    <row r="262" spans="2:5" x14ac:dyDescent="0.25">
      <c r="B262" t="s">
        <v>11</v>
      </c>
      <c r="C262" s="1">
        <v>45369</v>
      </c>
      <c r="D262" t="s">
        <v>2779</v>
      </c>
      <c r="E262" s="95">
        <v>5</v>
      </c>
    </row>
    <row r="263" spans="2:5" x14ac:dyDescent="0.25">
      <c r="C263" s="1">
        <v>45370</v>
      </c>
      <c r="D263" t="s">
        <v>2779</v>
      </c>
      <c r="E263" s="95">
        <v>1</v>
      </c>
    </row>
    <row r="264" spans="2:5" x14ac:dyDescent="0.25">
      <c r="C264" s="1">
        <v>45378</v>
      </c>
      <c r="D264" t="s">
        <v>2779</v>
      </c>
      <c r="E264" s="95">
        <v>4</v>
      </c>
    </row>
    <row r="265" spans="2:5" x14ac:dyDescent="0.25">
      <c r="C265" s="1">
        <v>45379</v>
      </c>
      <c r="D265" t="s">
        <v>2779</v>
      </c>
      <c r="E265" s="95">
        <v>2</v>
      </c>
    </row>
    <row r="266" spans="2:5" x14ac:dyDescent="0.25">
      <c r="C266" s="1">
        <v>45380</v>
      </c>
      <c r="D266" t="s">
        <v>2779</v>
      </c>
      <c r="E266" s="95">
        <v>1</v>
      </c>
    </row>
    <row r="267" spans="2:5" x14ac:dyDescent="0.25">
      <c r="C267" s="1">
        <v>45385</v>
      </c>
      <c r="D267" t="s">
        <v>2779</v>
      </c>
      <c r="E267" s="95">
        <v>1</v>
      </c>
    </row>
    <row r="268" spans="2:5" x14ac:dyDescent="0.25">
      <c r="C268" s="1">
        <v>45403</v>
      </c>
      <c r="D268" t="s">
        <v>2779</v>
      </c>
      <c r="E268" s="95">
        <v>2</v>
      </c>
    </row>
    <row r="269" spans="2:5" x14ac:dyDescent="0.25">
      <c r="C269" s="1">
        <v>45404</v>
      </c>
      <c r="D269" t="s">
        <v>2779</v>
      </c>
      <c r="E269" s="95">
        <v>4</v>
      </c>
    </row>
    <row r="270" spans="2:5" x14ac:dyDescent="0.25">
      <c r="C270" s="1">
        <v>45425</v>
      </c>
      <c r="D270" t="s">
        <v>2779</v>
      </c>
      <c r="E270" s="95">
        <v>1</v>
      </c>
    </row>
    <row r="271" spans="2:5" x14ac:dyDescent="0.25">
      <c r="C271" s="1">
        <v>45426</v>
      </c>
      <c r="D271" t="s">
        <v>2779</v>
      </c>
      <c r="E271" s="95">
        <v>4</v>
      </c>
    </row>
    <row r="272" spans="2:5" x14ac:dyDescent="0.25">
      <c r="C272" s="1">
        <v>45427</v>
      </c>
      <c r="D272" t="s">
        <v>2779</v>
      </c>
      <c r="E272" s="95">
        <v>2</v>
      </c>
    </row>
    <row r="273" spans="1:5" x14ac:dyDescent="0.25">
      <c r="C273" s="1">
        <v>45432</v>
      </c>
      <c r="D273" t="s">
        <v>2779</v>
      </c>
      <c r="E273" s="95">
        <v>3</v>
      </c>
    </row>
    <row r="274" spans="1:5" x14ac:dyDescent="0.25">
      <c r="C274" s="1">
        <v>45455</v>
      </c>
      <c r="D274" t="s">
        <v>2779</v>
      </c>
      <c r="E274" s="95">
        <v>1</v>
      </c>
    </row>
    <row r="275" spans="1:5" x14ac:dyDescent="0.25">
      <c r="B275" t="s">
        <v>204</v>
      </c>
      <c r="C275" s="1">
        <v>45373</v>
      </c>
      <c r="D275" t="s">
        <v>2779</v>
      </c>
      <c r="E275" s="95">
        <v>4</v>
      </c>
    </row>
    <row r="276" spans="1:5" x14ac:dyDescent="0.25">
      <c r="C276" s="1">
        <v>45376</v>
      </c>
      <c r="D276" t="s">
        <v>2779</v>
      </c>
      <c r="E276" s="95">
        <v>1</v>
      </c>
    </row>
    <row r="277" spans="1:5" x14ac:dyDescent="0.25">
      <c r="C277" s="1">
        <v>45379</v>
      </c>
      <c r="D277" t="s">
        <v>2779</v>
      </c>
      <c r="E277" s="95">
        <v>1</v>
      </c>
    </row>
    <row r="278" spans="1:5" x14ac:dyDescent="0.25">
      <c r="C278" s="1">
        <v>45383</v>
      </c>
      <c r="D278" t="s">
        <v>2779</v>
      </c>
      <c r="E278" s="95">
        <v>5</v>
      </c>
    </row>
    <row r="279" spans="1:5" x14ac:dyDescent="0.25">
      <c r="C279" s="1">
        <v>45392</v>
      </c>
      <c r="D279" t="s">
        <v>2779</v>
      </c>
      <c r="E279" s="95">
        <v>2</v>
      </c>
    </row>
    <row r="280" spans="1:5" x14ac:dyDescent="0.25">
      <c r="C280" s="1">
        <v>45417</v>
      </c>
      <c r="D280" t="s">
        <v>2779</v>
      </c>
      <c r="E280" s="95">
        <v>3</v>
      </c>
    </row>
    <row r="281" spans="1:5" x14ac:dyDescent="0.25">
      <c r="C281" s="1">
        <v>45418</v>
      </c>
      <c r="D281" t="s">
        <v>2779</v>
      </c>
      <c r="E281" s="95">
        <v>3</v>
      </c>
    </row>
    <row r="282" spans="1:5" x14ac:dyDescent="0.25">
      <c r="B282" t="s">
        <v>325</v>
      </c>
      <c r="C282" s="1">
        <v>45435</v>
      </c>
      <c r="D282" t="s">
        <v>2779</v>
      </c>
      <c r="E282" s="95">
        <v>2</v>
      </c>
    </row>
    <row r="283" spans="1:5" x14ac:dyDescent="0.25">
      <c r="B283" t="s">
        <v>46</v>
      </c>
      <c r="C283" s="1">
        <v>45379</v>
      </c>
      <c r="D283" t="s">
        <v>2779</v>
      </c>
      <c r="E283" s="95">
        <v>1</v>
      </c>
    </row>
    <row r="284" spans="1:5" x14ac:dyDescent="0.25">
      <c r="A284" t="s">
        <v>965</v>
      </c>
      <c r="E284" s="95">
        <v>967</v>
      </c>
    </row>
    <row r="285" spans="1:5" x14ac:dyDescent="0.25">
      <c r="A285" t="s">
        <v>612</v>
      </c>
      <c r="B285" t="s">
        <v>116</v>
      </c>
      <c r="C285" s="1">
        <v>45376</v>
      </c>
      <c r="D285" t="s">
        <v>2779</v>
      </c>
      <c r="E285" s="95">
        <v>1</v>
      </c>
    </row>
    <row r="286" spans="1:5" x14ac:dyDescent="0.25">
      <c r="B286" t="s">
        <v>33</v>
      </c>
      <c r="C286" s="1">
        <v>45452</v>
      </c>
      <c r="D286" t="s">
        <v>951</v>
      </c>
      <c r="E286" s="95">
        <v>1</v>
      </c>
    </row>
    <row r="287" spans="1:5" x14ac:dyDescent="0.25">
      <c r="D287" t="s">
        <v>2779</v>
      </c>
      <c r="E287" s="95">
        <v>1</v>
      </c>
    </row>
    <row r="288" spans="1:5" x14ac:dyDescent="0.25">
      <c r="B288" t="s">
        <v>112</v>
      </c>
      <c r="C288" s="1">
        <v>45577</v>
      </c>
      <c r="D288" t="s">
        <v>2779</v>
      </c>
      <c r="E288" s="95">
        <v>1</v>
      </c>
    </row>
    <row r="289" spans="1:5" x14ac:dyDescent="0.25">
      <c r="A289" t="s">
        <v>1862</v>
      </c>
      <c r="B289" t="s">
        <v>33</v>
      </c>
      <c r="C289" s="1">
        <v>45611</v>
      </c>
      <c r="D289" t="s">
        <v>2779</v>
      </c>
      <c r="E289" s="95">
        <v>1</v>
      </c>
    </row>
    <row r="290" spans="1:5" x14ac:dyDescent="0.25">
      <c r="A290" t="s">
        <v>2218</v>
      </c>
      <c r="B290" t="s">
        <v>2201</v>
      </c>
      <c r="C290" s="1">
        <v>45681</v>
      </c>
      <c r="D290" t="s">
        <v>2779</v>
      </c>
      <c r="E290" s="95">
        <v>3</v>
      </c>
    </row>
    <row r="291" spans="1:5" x14ac:dyDescent="0.25">
      <c r="A291" t="s">
        <v>1190</v>
      </c>
      <c r="B291" t="s">
        <v>33</v>
      </c>
      <c r="C291" s="1">
        <v>45521</v>
      </c>
      <c r="D291" t="s">
        <v>1189</v>
      </c>
      <c r="E291" s="95">
        <v>1</v>
      </c>
    </row>
    <row r="292" spans="1:5" x14ac:dyDescent="0.25">
      <c r="A292" t="s">
        <v>579</v>
      </c>
      <c r="B292" t="s">
        <v>139</v>
      </c>
      <c r="C292" s="1">
        <v>45374</v>
      </c>
      <c r="D292" t="s">
        <v>2779</v>
      </c>
      <c r="E292" s="95">
        <v>1</v>
      </c>
    </row>
    <row r="293" spans="1:5" x14ac:dyDescent="0.25">
      <c r="C293" s="1">
        <v>45466</v>
      </c>
      <c r="D293" t="s">
        <v>1028</v>
      </c>
      <c r="E293" s="95">
        <v>1</v>
      </c>
    </row>
    <row r="294" spans="1:5" x14ac:dyDescent="0.25">
      <c r="B294" t="s">
        <v>33</v>
      </c>
      <c r="C294" s="1">
        <v>45435</v>
      </c>
      <c r="D294" t="s">
        <v>849</v>
      </c>
      <c r="E294" s="95">
        <v>1</v>
      </c>
    </row>
    <row r="295" spans="1:5" x14ac:dyDescent="0.25">
      <c r="C295" s="1">
        <v>45439</v>
      </c>
      <c r="D295" t="s">
        <v>851</v>
      </c>
      <c r="E295" s="95">
        <v>1</v>
      </c>
    </row>
    <row r="296" spans="1:5" x14ac:dyDescent="0.25">
      <c r="C296" t="s">
        <v>2779</v>
      </c>
      <c r="D296" t="s">
        <v>2779</v>
      </c>
      <c r="E296" s="95"/>
    </row>
    <row r="297" spans="1:5" x14ac:dyDescent="0.25">
      <c r="B297" t="s">
        <v>317</v>
      </c>
      <c r="C297" t="s">
        <v>2779</v>
      </c>
      <c r="D297" t="s">
        <v>904</v>
      </c>
      <c r="E297" s="95"/>
    </row>
    <row r="298" spans="1:5" x14ac:dyDescent="0.25">
      <c r="B298" t="s">
        <v>13</v>
      </c>
      <c r="C298" s="1">
        <v>45387</v>
      </c>
      <c r="D298" t="s">
        <v>669</v>
      </c>
      <c r="E298" s="95">
        <v>1</v>
      </c>
    </row>
    <row r="299" spans="1:5" x14ac:dyDescent="0.25">
      <c r="B299" t="s">
        <v>112</v>
      </c>
      <c r="C299" s="1">
        <v>45672</v>
      </c>
      <c r="D299" t="s">
        <v>2248</v>
      </c>
      <c r="E299" s="95">
        <v>1</v>
      </c>
    </row>
    <row r="300" spans="1:5" x14ac:dyDescent="0.25">
      <c r="D300" t="s">
        <v>2249</v>
      </c>
      <c r="E300" s="95">
        <v>1</v>
      </c>
    </row>
    <row r="301" spans="1:5" x14ac:dyDescent="0.25">
      <c r="B301" t="s">
        <v>11</v>
      </c>
      <c r="C301" s="1">
        <v>45387</v>
      </c>
      <c r="D301" t="s">
        <v>670</v>
      </c>
      <c r="E301" s="95">
        <v>1</v>
      </c>
    </row>
    <row r="302" spans="1:5" x14ac:dyDescent="0.25">
      <c r="A302" t="s">
        <v>561</v>
      </c>
      <c r="B302" t="s">
        <v>223</v>
      </c>
      <c r="C302" s="1">
        <v>45376</v>
      </c>
      <c r="D302" t="s">
        <v>2779</v>
      </c>
      <c r="E302" s="95">
        <v>1</v>
      </c>
    </row>
    <row r="303" spans="1:5" x14ac:dyDescent="0.25">
      <c r="B303" t="s">
        <v>112</v>
      </c>
      <c r="C303" s="1">
        <v>45387</v>
      </c>
      <c r="D303" t="s">
        <v>563</v>
      </c>
      <c r="E303" s="95">
        <v>1</v>
      </c>
    </row>
    <row r="304" spans="1:5" x14ac:dyDescent="0.25">
      <c r="D304" t="s">
        <v>560</v>
      </c>
      <c r="E304" s="95">
        <v>1</v>
      </c>
    </row>
    <row r="305" spans="1:5" x14ac:dyDescent="0.25">
      <c r="A305" t="s">
        <v>1011</v>
      </c>
      <c r="B305" t="s">
        <v>283</v>
      </c>
      <c r="C305" s="1">
        <v>45675</v>
      </c>
      <c r="D305" t="s">
        <v>2779</v>
      </c>
      <c r="E305" s="95">
        <v>1</v>
      </c>
    </row>
    <row r="306" spans="1:5" x14ac:dyDescent="0.25">
      <c r="B306" t="s">
        <v>295</v>
      </c>
      <c r="C306" s="1">
        <v>45556</v>
      </c>
      <c r="D306" t="s">
        <v>1475</v>
      </c>
      <c r="E306" s="95">
        <v>1</v>
      </c>
    </row>
    <row r="307" spans="1:5" x14ac:dyDescent="0.25">
      <c r="B307" t="s">
        <v>97</v>
      </c>
      <c r="C307" s="1">
        <v>45674</v>
      </c>
      <c r="D307" t="s">
        <v>2297</v>
      </c>
      <c r="E307" s="95">
        <v>1</v>
      </c>
    </row>
    <row r="308" spans="1:5" x14ac:dyDescent="0.25">
      <c r="B308" t="s">
        <v>1633</v>
      </c>
      <c r="C308" s="1">
        <v>45729</v>
      </c>
      <c r="D308" t="s">
        <v>2633</v>
      </c>
      <c r="E308" s="95">
        <v>1</v>
      </c>
    </row>
    <row r="309" spans="1:5" x14ac:dyDescent="0.25">
      <c r="D309" t="s">
        <v>2632</v>
      </c>
      <c r="E309" s="95">
        <v>1</v>
      </c>
    </row>
    <row r="310" spans="1:5" x14ac:dyDescent="0.25">
      <c r="D310" t="s">
        <v>2631</v>
      </c>
      <c r="E310" s="95">
        <v>1</v>
      </c>
    </row>
    <row r="311" spans="1:5" x14ac:dyDescent="0.25">
      <c r="C311" s="1">
        <v>45751</v>
      </c>
      <c r="D311" t="s">
        <v>2777</v>
      </c>
      <c r="E311" s="95">
        <v>1</v>
      </c>
    </row>
    <row r="312" spans="1:5" x14ac:dyDescent="0.25">
      <c r="D312" t="s">
        <v>2778</v>
      </c>
      <c r="E312" s="95">
        <v>1</v>
      </c>
    </row>
    <row r="313" spans="1:5" x14ac:dyDescent="0.25">
      <c r="B313" t="s">
        <v>108</v>
      </c>
      <c r="C313" s="1">
        <v>45560</v>
      </c>
      <c r="D313" t="s">
        <v>1476</v>
      </c>
      <c r="E313" s="95">
        <v>1</v>
      </c>
    </row>
    <row r="314" spans="1:5" x14ac:dyDescent="0.25">
      <c r="B314" t="s">
        <v>33</v>
      </c>
      <c r="C314" s="1">
        <v>45542</v>
      </c>
      <c r="D314" t="s">
        <v>2779</v>
      </c>
      <c r="E314" s="95">
        <v>1</v>
      </c>
    </row>
    <row r="315" spans="1:5" x14ac:dyDescent="0.25">
      <c r="C315" s="1">
        <v>45734</v>
      </c>
      <c r="D315" t="s">
        <v>2690</v>
      </c>
      <c r="E315" s="95">
        <v>1</v>
      </c>
    </row>
    <row r="316" spans="1:5" x14ac:dyDescent="0.25">
      <c r="C316" s="1">
        <v>45742</v>
      </c>
      <c r="D316" t="s">
        <v>2692</v>
      </c>
      <c r="E316" s="95">
        <v>2</v>
      </c>
    </row>
    <row r="317" spans="1:5" x14ac:dyDescent="0.25">
      <c r="C317" s="1">
        <v>45743</v>
      </c>
      <c r="D317" t="s">
        <v>2696</v>
      </c>
      <c r="E317" s="95">
        <v>1</v>
      </c>
    </row>
    <row r="318" spans="1:5" x14ac:dyDescent="0.25">
      <c r="C318" t="s">
        <v>2779</v>
      </c>
      <c r="D318" t="s">
        <v>2779</v>
      </c>
      <c r="E318" s="95"/>
    </row>
    <row r="319" spans="1:5" x14ac:dyDescent="0.25">
      <c r="B319" t="s">
        <v>1424</v>
      </c>
      <c r="C319" s="1">
        <v>45565</v>
      </c>
      <c r="D319" t="s">
        <v>2779</v>
      </c>
      <c r="E319" s="95">
        <v>1</v>
      </c>
    </row>
    <row r="320" spans="1:5" x14ac:dyDescent="0.25">
      <c r="C320" s="1">
        <v>45566</v>
      </c>
      <c r="D320" t="s">
        <v>2779</v>
      </c>
      <c r="E320" s="95">
        <v>2</v>
      </c>
    </row>
    <row r="321" spans="1:5" x14ac:dyDescent="0.25">
      <c r="B321" t="s">
        <v>422</v>
      </c>
      <c r="C321" s="1">
        <v>45618</v>
      </c>
      <c r="D321" t="s">
        <v>2779</v>
      </c>
      <c r="E321" s="95">
        <v>1</v>
      </c>
    </row>
    <row r="322" spans="1:5" x14ac:dyDescent="0.25">
      <c r="B322" t="s">
        <v>231</v>
      </c>
      <c r="C322" s="1">
        <v>45503</v>
      </c>
      <c r="D322" t="s">
        <v>1084</v>
      </c>
      <c r="E322" s="95">
        <v>1</v>
      </c>
    </row>
    <row r="323" spans="1:5" x14ac:dyDescent="0.25">
      <c r="B323" t="s">
        <v>104</v>
      </c>
      <c r="C323" s="1">
        <v>45459</v>
      </c>
      <c r="D323" t="s">
        <v>1010</v>
      </c>
      <c r="E323" s="95">
        <v>1</v>
      </c>
    </row>
    <row r="324" spans="1:5" x14ac:dyDescent="0.25">
      <c r="C324" s="1">
        <v>45548</v>
      </c>
      <c r="D324" t="s">
        <v>1401</v>
      </c>
      <c r="E324" s="95">
        <v>1</v>
      </c>
    </row>
    <row r="325" spans="1:5" x14ac:dyDescent="0.25">
      <c r="C325" s="1">
        <v>45550</v>
      </c>
      <c r="D325" t="s">
        <v>1423</v>
      </c>
      <c r="E325" s="95">
        <v>1</v>
      </c>
    </row>
    <row r="326" spans="1:5" x14ac:dyDescent="0.25">
      <c r="B326" t="s">
        <v>1927</v>
      </c>
      <c r="C326" s="1">
        <v>45625</v>
      </c>
      <c r="D326" t="s">
        <v>2779</v>
      </c>
      <c r="E326" s="95">
        <v>1</v>
      </c>
    </row>
    <row r="327" spans="1:5" x14ac:dyDescent="0.25">
      <c r="A327" t="s">
        <v>1132</v>
      </c>
      <c r="B327" t="s">
        <v>283</v>
      </c>
      <c r="C327" s="1">
        <v>45498</v>
      </c>
      <c r="D327" t="s">
        <v>2779</v>
      </c>
      <c r="E327" s="95">
        <v>1</v>
      </c>
    </row>
    <row r="328" spans="1:5" x14ac:dyDescent="0.25">
      <c r="A328" t="s">
        <v>627</v>
      </c>
      <c r="B328" t="s">
        <v>219</v>
      </c>
      <c r="C328" s="1">
        <v>45376</v>
      </c>
      <c r="D328" t="s">
        <v>2779</v>
      </c>
      <c r="E328" s="95">
        <v>1</v>
      </c>
    </row>
    <row r="329" spans="1:5" x14ac:dyDescent="0.25">
      <c r="C329" s="1">
        <v>45381</v>
      </c>
      <c r="D329" t="s">
        <v>2779</v>
      </c>
      <c r="E329" s="95">
        <v>1</v>
      </c>
    </row>
    <row r="330" spans="1:5" x14ac:dyDescent="0.25">
      <c r="B330" t="s">
        <v>104</v>
      </c>
      <c r="C330" s="1">
        <v>45387</v>
      </c>
      <c r="D330" t="s">
        <v>2779</v>
      </c>
      <c r="E330" s="95">
        <v>1</v>
      </c>
    </row>
    <row r="331" spans="1:5" x14ac:dyDescent="0.25">
      <c r="A331" t="s">
        <v>610</v>
      </c>
      <c r="B331" t="s">
        <v>295</v>
      </c>
      <c r="C331" t="s">
        <v>2779</v>
      </c>
      <c r="D331" t="s">
        <v>822</v>
      </c>
      <c r="E331" s="95"/>
    </row>
    <row r="332" spans="1:5" x14ac:dyDescent="0.25">
      <c r="B332" t="s">
        <v>108</v>
      </c>
      <c r="C332" s="1">
        <v>45376</v>
      </c>
      <c r="D332" t="s">
        <v>2779</v>
      </c>
      <c r="E332" s="95">
        <v>1</v>
      </c>
    </row>
    <row r="333" spans="1:5" x14ac:dyDescent="0.25">
      <c r="C333" s="1">
        <v>45429</v>
      </c>
      <c r="D333" t="s">
        <v>885</v>
      </c>
      <c r="E333" s="95">
        <v>1</v>
      </c>
    </row>
    <row r="334" spans="1:5" x14ac:dyDescent="0.25">
      <c r="C334" s="1">
        <v>45432</v>
      </c>
      <c r="D334" t="s">
        <v>886</v>
      </c>
      <c r="E334" s="95">
        <v>1</v>
      </c>
    </row>
    <row r="335" spans="1:5" x14ac:dyDescent="0.25">
      <c r="C335" s="1">
        <v>45457</v>
      </c>
      <c r="D335" t="s">
        <v>1014</v>
      </c>
      <c r="E335" s="95">
        <v>1</v>
      </c>
    </row>
    <row r="336" spans="1:5" x14ac:dyDescent="0.25">
      <c r="B336" t="s">
        <v>33</v>
      </c>
      <c r="C336" s="1">
        <v>45391</v>
      </c>
      <c r="D336" t="s">
        <v>2779</v>
      </c>
      <c r="E336" s="95">
        <v>1</v>
      </c>
    </row>
    <row r="337" spans="1:5" x14ac:dyDescent="0.25">
      <c r="C337" s="1">
        <v>45396</v>
      </c>
      <c r="D337" t="s">
        <v>2779</v>
      </c>
      <c r="E337" s="95">
        <v>1</v>
      </c>
    </row>
    <row r="338" spans="1:5" x14ac:dyDescent="0.25">
      <c r="B338" t="s">
        <v>390</v>
      </c>
      <c r="C338" s="1">
        <v>45482</v>
      </c>
      <c r="D338" t="s">
        <v>2779</v>
      </c>
      <c r="E338" s="95">
        <v>1</v>
      </c>
    </row>
    <row r="339" spans="1:5" x14ac:dyDescent="0.25">
      <c r="B339" t="s">
        <v>104</v>
      </c>
      <c r="C339" s="1">
        <v>45422</v>
      </c>
      <c r="D339" t="s">
        <v>821</v>
      </c>
      <c r="E339" s="95">
        <v>1</v>
      </c>
    </row>
    <row r="340" spans="1:5" x14ac:dyDescent="0.25">
      <c r="C340" s="1">
        <v>45425</v>
      </c>
      <c r="D340" t="s">
        <v>819</v>
      </c>
      <c r="E340" s="95">
        <v>1</v>
      </c>
    </row>
    <row r="341" spans="1:5" x14ac:dyDescent="0.25">
      <c r="C341" s="1">
        <v>45428</v>
      </c>
      <c r="D341" t="s">
        <v>818</v>
      </c>
      <c r="E341" s="95">
        <v>1</v>
      </c>
    </row>
    <row r="342" spans="1:5" x14ac:dyDescent="0.25">
      <c r="C342" s="1">
        <v>45433</v>
      </c>
      <c r="D342" t="s">
        <v>920</v>
      </c>
      <c r="E342" s="95">
        <v>1</v>
      </c>
    </row>
    <row r="343" spans="1:5" x14ac:dyDescent="0.25">
      <c r="B343" t="s">
        <v>112</v>
      </c>
      <c r="C343" s="1">
        <v>45394</v>
      </c>
      <c r="D343" t="s">
        <v>2779</v>
      </c>
      <c r="E343" s="95">
        <v>1</v>
      </c>
    </row>
    <row r="344" spans="1:5" x14ac:dyDescent="0.25">
      <c r="A344" t="s">
        <v>1016</v>
      </c>
      <c r="B344" t="s">
        <v>283</v>
      </c>
      <c r="C344" s="1">
        <v>45530</v>
      </c>
      <c r="D344" t="s">
        <v>1221</v>
      </c>
      <c r="E344" s="95">
        <v>1</v>
      </c>
    </row>
    <row r="345" spans="1:5" x14ac:dyDescent="0.25">
      <c r="C345" s="1">
        <v>45599</v>
      </c>
      <c r="D345" t="s">
        <v>1781</v>
      </c>
      <c r="E345" s="95">
        <v>1</v>
      </c>
    </row>
    <row r="346" spans="1:5" x14ac:dyDescent="0.25">
      <c r="B346" t="s">
        <v>295</v>
      </c>
      <c r="C346" s="1">
        <v>45604</v>
      </c>
      <c r="D346" t="s">
        <v>1817</v>
      </c>
      <c r="E346" s="95">
        <v>1</v>
      </c>
    </row>
    <row r="347" spans="1:5" x14ac:dyDescent="0.25">
      <c r="C347" s="1">
        <v>45626</v>
      </c>
      <c r="D347" t="s">
        <v>1888</v>
      </c>
      <c r="E347" s="95">
        <v>1</v>
      </c>
    </row>
    <row r="348" spans="1:5" x14ac:dyDescent="0.25">
      <c r="C348" s="1">
        <v>45651</v>
      </c>
      <c r="D348" t="s">
        <v>2110</v>
      </c>
      <c r="E348" s="95">
        <v>1</v>
      </c>
    </row>
    <row r="349" spans="1:5" x14ac:dyDescent="0.25">
      <c r="C349" s="1">
        <v>45702</v>
      </c>
      <c r="D349" t="s">
        <v>2443</v>
      </c>
      <c r="E349" s="95">
        <v>1</v>
      </c>
    </row>
    <row r="350" spans="1:5" x14ac:dyDescent="0.25">
      <c r="C350" s="1">
        <v>45729</v>
      </c>
      <c r="D350" t="s">
        <v>2627</v>
      </c>
      <c r="E350" s="95">
        <v>1</v>
      </c>
    </row>
    <row r="351" spans="1:5" x14ac:dyDescent="0.25">
      <c r="C351" s="1">
        <v>45758</v>
      </c>
      <c r="D351" t="s">
        <v>2781</v>
      </c>
      <c r="E351" s="95">
        <v>1</v>
      </c>
    </row>
    <row r="352" spans="1:5" x14ac:dyDescent="0.25">
      <c r="B352" t="s">
        <v>1890</v>
      </c>
      <c r="C352" s="1">
        <v>45617</v>
      </c>
      <c r="D352" t="s">
        <v>1885</v>
      </c>
      <c r="E352" s="95">
        <v>1</v>
      </c>
    </row>
    <row r="353" spans="2:5" x14ac:dyDescent="0.25">
      <c r="C353" s="1">
        <v>45667</v>
      </c>
      <c r="D353" t="s">
        <v>2247</v>
      </c>
      <c r="E353" s="95">
        <v>1</v>
      </c>
    </row>
    <row r="354" spans="2:5" x14ac:dyDescent="0.25">
      <c r="C354" s="1">
        <v>45685</v>
      </c>
      <c r="D354" t="s">
        <v>2353</v>
      </c>
      <c r="E354" s="95">
        <v>1</v>
      </c>
    </row>
    <row r="355" spans="2:5" x14ac:dyDescent="0.25">
      <c r="B355" t="s">
        <v>139</v>
      </c>
      <c r="C355" s="1">
        <v>45457</v>
      </c>
      <c r="D355" t="s">
        <v>1015</v>
      </c>
      <c r="E355" s="95">
        <v>1</v>
      </c>
    </row>
    <row r="356" spans="2:5" x14ac:dyDescent="0.25">
      <c r="C356" s="1">
        <v>45467</v>
      </c>
      <c r="D356" t="s">
        <v>1027</v>
      </c>
      <c r="E356" s="95">
        <v>1</v>
      </c>
    </row>
    <row r="357" spans="2:5" x14ac:dyDescent="0.25">
      <c r="B357" t="s">
        <v>430</v>
      </c>
      <c r="C357" s="1">
        <v>45493</v>
      </c>
      <c r="D357" t="s">
        <v>2779</v>
      </c>
      <c r="E357" s="95">
        <v>1</v>
      </c>
    </row>
    <row r="358" spans="2:5" x14ac:dyDescent="0.25">
      <c r="C358" s="1">
        <v>45513</v>
      </c>
      <c r="D358" t="s">
        <v>1191</v>
      </c>
      <c r="E358" s="95">
        <v>1</v>
      </c>
    </row>
    <row r="359" spans="2:5" x14ac:dyDescent="0.25">
      <c r="C359" s="1">
        <v>45525</v>
      </c>
      <c r="D359" t="s">
        <v>1237</v>
      </c>
      <c r="E359" s="95">
        <v>1</v>
      </c>
    </row>
    <row r="360" spans="2:5" x14ac:dyDescent="0.25">
      <c r="C360" s="1">
        <v>45534</v>
      </c>
      <c r="D360" t="s">
        <v>1241</v>
      </c>
      <c r="E360" s="95">
        <v>1</v>
      </c>
    </row>
    <row r="361" spans="2:5" x14ac:dyDescent="0.25">
      <c r="C361" s="1">
        <v>45535</v>
      </c>
      <c r="D361" t="s">
        <v>1252</v>
      </c>
      <c r="E361" s="95">
        <v>1</v>
      </c>
    </row>
    <row r="362" spans="2:5" x14ac:dyDescent="0.25">
      <c r="C362" s="1">
        <v>45569</v>
      </c>
      <c r="D362" t="s">
        <v>1515</v>
      </c>
      <c r="E362" s="95">
        <v>1</v>
      </c>
    </row>
    <row r="363" spans="2:5" x14ac:dyDescent="0.25">
      <c r="B363" t="s">
        <v>389</v>
      </c>
      <c r="C363" s="1">
        <v>45483</v>
      </c>
      <c r="D363" t="s">
        <v>1076</v>
      </c>
      <c r="E363" s="95">
        <v>1</v>
      </c>
    </row>
    <row r="364" spans="2:5" x14ac:dyDescent="0.25">
      <c r="B364" t="s">
        <v>108</v>
      </c>
      <c r="C364" s="1">
        <v>45520</v>
      </c>
      <c r="D364" t="s">
        <v>2779</v>
      </c>
      <c r="E364" s="95">
        <v>1</v>
      </c>
    </row>
    <row r="365" spans="2:5" x14ac:dyDescent="0.25">
      <c r="C365" s="1">
        <v>45597</v>
      </c>
      <c r="D365" t="s">
        <v>1743</v>
      </c>
      <c r="E365" s="95">
        <v>1</v>
      </c>
    </row>
    <row r="366" spans="2:5" x14ac:dyDescent="0.25">
      <c r="C366" s="1">
        <v>45639</v>
      </c>
      <c r="D366" t="s">
        <v>2049</v>
      </c>
      <c r="E366" s="95">
        <v>1</v>
      </c>
    </row>
    <row r="367" spans="2:5" x14ac:dyDescent="0.25">
      <c r="B367" t="s">
        <v>1934</v>
      </c>
      <c r="C367" s="1">
        <v>45647</v>
      </c>
      <c r="D367" t="s">
        <v>2194</v>
      </c>
      <c r="E367" s="95">
        <v>1</v>
      </c>
    </row>
    <row r="368" spans="2:5" x14ac:dyDescent="0.25">
      <c r="C368" s="1">
        <v>45648</v>
      </c>
      <c r="D368" t="s">
        <v>2193</v>
      </c>
      <c r="E368" s="95">
        <v>1</v>
      </c>
    </row>
    <row r="369" spans="2:5" x14ac:dyDescent="0.25">
      <c r="B369" t="s">
        <v>1818</v>
      </c>
      <c r="C369" s="1">
        <v>45604</v>
      </c>
      <c r="D369" t="s">
        <v>1782</v>
      </c>
      <c r="E369" s="95">
        <v>1</v>
      </c>
    </row>
    <row r="370" spans="2:5" x14ac:dyDescent="0.25">
      <c r="B370" t="s">
        <v>219</v>
      </c>
      <c r="C370" s="1">
        <v>45618</v>
      </c>
      <c r="D370" t="s">
        <v>1931</v>
      </c>
      <c r="E370" s="95">
        <v>1</v>
      </c>
    </row>
    <row r="371" spans="2:5" x14ac:dyDescent="0.25">
      <c r="B371" t="s">
        <v>104</v>
      </c>
      <c r="C371" s="1">
        <v>45517</v>
      </c>
      <c r="D371" t="s">
        <v>1196</v>
      </c>
      <c r="E371" s="95">
        <v>1</v>
      </c>
    </row>
    <row r="372" spans="2:5" x14ac:dyDescent="0.25">
      <c r="C372" s="1">
        <v>45519</v>
      </c>
      <c r="D372" t="s">
        <v>1193</v>
      </c>
      <c r="E372" s="95">
        <v>1</v>
      </c>
    </row>
    <row r="373" spans="2:5" x14ac:dyDescent="0.25">
      <c r="D373" t="s">
        <v>1194</v>
      </c>
      <c r="E373" s="95">
        <v>1</v>
      </c>
    </row>
    <row r="374" spans="2:5" x14ac:dyDescent="0.25">
      <c r="C374" s="1">
        <v>45520</v>
      </c>
      <c r="D374" t="s">
        <v>1192</v>
      </c>
      <c r="E374" s="95">
        <v>1</v>
      </c>
    </row>
    <row r="375" spans="2:5" x14ac:dyDescent="0.25">
      <c r="C375" s="1">
        <v>45521</v>
      </c>
      <c r="D375" t="s">
        <v>1197</v>
      </c>
      <c r="E375" s="95">
        <v>1</v>
      </c>
    </row>
    <row r="376" spans="2:5" x14ac:dyDescent="0.25">
      <c r="D376" t="s">
        <v>1203</v>
      </c>
      <c r="E376" s="95">
        <v>1</v>
      </c>
    </row>
    <row r="377" spans="2:5" x14ac:dyDescent="0.25">
      <c r="C377" s="1">
        <v>45526</v>
      </c>
      <c r="D377" t="s">
        <v>1223</v>
      </c>
      <c r="E377" s="95">
        <v>1</v>
      </c>
    </row>
    <row r="378" spans="2:5" x14ac:dyDescent="0.25">
      <c r="D378" t="s">
        <v>1224</v>
      </c>
      <c r="E378" s="95">
        <v>1</v>
      </c>
    </row>
    <row r="379" spans="2:5" x14ac:dyDescent="0.25">
      <c r="C379" s="1">
        <v>45530</v>
      </c>
      <c r="D379" t="s">
        <v>1235</v>
      </c>
      <c r="E379" s="95">
        <v>1</v>
      </c>
    </row>
    <row r="380" spans="2:5" x14ac:dyDescent="0.25">
      <c r="C380" s="1">
        <v>45532</v>
      </c>
      <c r="D380" t="s">
        <v>1253</v>
      </c>
      <c r="E380" s="95">
        <v>1</v>
      </c>
    </row>
    <row r="381" spans="2:5" x14ac:dyDescent="0.25">
      <c r="C381" s="1">
        <v>45536</v>
      </c>
      <c r="D381" t="s">
        <v>1240</v>
      </c>
      <c r="E381" s="95">
        <v>1</v>
      </c>
    </row>
    <row r="382" spans="2:5" x14ac:dyDescent="0.25">
      <c r="C382" s="1">
        <v>45540</v>
      </c>
      <c r="D382" t="s">
        <v>1359</v>
      </c>
      <c r="E382" s="95">
        <v>1</v>
      </c>
    </row>
    <row r="383" spans="2:5" x14ac:dyDescent="0.25">
      <c r="C383" s="1">
        <v>45541</v>
      </c>
      <c r="D383" t="s">
        <v>1222</v>
      </c>
      <c r="E383" s="95">
        <v>1</v>
      </c>
    </row>
    <row r="384" spans="2:5" x14ac:dyDescent="0.25">
      <c r="C384" s="1">
        <v>45543</v>
      </c>
      <c r="D384" t="s">
        <v>1373</v>
      </c>
      <c r="E384" s="95">
        <v>1</v>
      </c>
    </row>
    <row r="385" spans="3:5" x14ac:dyDescent="0.25">
      <c r="C385" s="1">
        <v>45545</v>
      </c>
      <c r="D385" t="s">
        <v>1360</v>
      </c>
      <c r="E385" s="95">
        <v>1</v>
      </c>
    </row>
    <row r="386" spans="3:5" x14ac:dyDescent="0.25">
      <c r="C386" s="1">
        <v>45547</v>
      </c>
      <c r="D386" t="s">
        <v>1234</v>
      </c>
      <c r="E386" s="95">
        <v>1</v>
      </c>
    </row>
    <row r="387" spans="3:5" x14ac:dyDescent="0.25">
      <c r="D387" t="s">
        <v>1236</v>
      </c>
      <c r="E387" s="95">
        <v>1</v>
      </c>
    </row>
    <row r="388" spans="3:5" x14ac:dyDescent="0.25">
      <c r="C388" s="1">
        <v>45550</v>
      </c>
      <c r="D388" t="s">
        <v>1421</v>
      </c>
      <c r="E388" s="95">
        <v>1</v>
      </c>
    </row>
    <row r="389" spans="3:5" x14ac:dyDescent="0.25">
      <c r="C389" s="1">
        <v>45551</v>
      </c>
      <c r="D389" t="s">
        <v>1419</v>
      </c>
      <c r="E389" s="95">
        <v>1</v>
      </c>
    </row>
    <row r="390" spans="3:5" x14ac:dyDescent="0.25">
      <c r="D390" t="s">
        <v>1422</v>
      </c>
      <c r="E390" s="95">
        <v>1</v>
      </c>
    </row>
    <row r="391" spans="3:5" x14ac:dyDescent="0.25">
      <c r="C391" s="1">
        <v>45552</v>
      </c>
      <c r="D391" t="s">
        <v>1418</v>
      </c>
      <c r="E391" s="95">
        <v>1</v>
      </c>
    </row>
    <row r="392" spans="3:5" x14ac:dyDescent="0.25">
      <c r="C392" s="1">
        <v>45553</v>
      </c>
      <c r="D392" t="s">
        <v>1420</v>
      </c>
      <c r="E392" s="95">
        <v>1</v>
      </c>
    </row>
    <row r="393" spans="3:5" x14ac:dyDescent="0.25">
      <c r="C393" s="1">
        <v>45554</v>
      </c>
      <c r="D393" t="s">
        <v>1468</v>
      </c>
      <c r="E393" s="95">
        <v>1</v>
      </c>
    </row>
    <row r="394" spans="3:5" x14ac:dyDescent="0.25">
      <c r="C394" s="1">
        <v>45556</v>
      </c>
      <c r="D394" t="s">
        <v>1471</v>
      </c>
      <c r="E394" s="95">
        <v>1</v>
      </c>
    </row>
    <row r="395" spans="3:5" x14ac:dyDescent="0.25">
      <c r="D395" t="s">
        <v>1474</v>
      </c>
      <c r="E395" s="95">
        <v>1</v>
      </c>
    </row>
    <row r="396" spans="3:5" x14ac:dyDescent="0.25">
      <c r="C396" s="1">
        <v>45558</v>
      </c>
      <c r="D396" t="s">
        <v>1358</v>
      </c>
      <c r="E396" s="95">
        <v>1</v>
      </c>
    </row>
    <row r="397" spans="3:5" x14ac:dyDescent="0.25">
      <c r="D397" t="s">
        <v>1465</v>
      </c>
      <c r="E397" s="95">
        <v>1</v>
      </c>
    </row>
    <row r="398" spans="3:5" x14ac:dyDescent="0.25">
      <c r="D398" t="s">
        <v>1467</v>
      </c>
      <c r="E398" s="95">
        <v>1</v>
      </c>
    </row>
    <row r="399" spans="3:5" x14ac:dyDescent="0.25">
      <c r="C399" s="1">
        <v>45559</v>
      </c>
      <c r="D399" t="s">
        <v>1469</v>
      </c>
      <c r="E399" s="95">
        <v>1</v>
      </c>
    </row>
    <row r="400" spans="3:5" x14ac:dyDescent="0.25">
      <c r="D400" t="s">
        <v>1470</v>
      </c>
      <c r="E400" s="95">
        <v>1</v>
      </c>
    </row>
    <row r="401" spans="3:5" x14ac:dyDescent="0.25">
      <c r="D401" t="s">
        <v>1472</v>
      </c>
      <c r="E401" s="95">
        <v>1</v>
      </c>
    </row>
    <row r="402" spans="3:5" x14ac:dyDescent="0.25">
      <c r="C402" s="1">
        <v>45560</v>
      </c>
      <c r="D402" t="s">
        <v>1466</v>
      </c>
      <c r="E402" s="95">
        <v>1</v>
      </c>
    </row>
    <row r="403" spans="3:5" x14ac:dyDescent="0.25">
      <c r="D403" t="s">
        <v>1473</v>
      </c>
      <c r="E403" s="95">
        <v>1</v>
      </c>
    </row>
    <row r="404" spans="3:5" x14ac:dyDescent="0.25">
      <c r="C404" s="1">
        <v>45562</v>
      </c>
      <c r="D404" t="s">
        <v>1486</v>
      </c>
      <c r="E404" s="95">
        <v>1</v>
      </c>
    </row>
    <row r="405" spans="3:5" x14ac:dyDescent="0.25">
      <c r="D405" t="s">
        <v>1514</v>
      </c>
      <c r="E405" s="95">
        <v>1</v>
      </c>
    </row>
    <row r="406" spans="3:5" x14ac:dyDescent="0.25">
      <c r="C406" s="1">
        <v>45572</v>
      </c>
      <c r="D406" t="s">
        <v>1617</v>
      </c>
      <c r="E406" s="95">
        <v>1</v>
      </c>
    </row>
    <row r="407" spans="3:5" x14ac:dyDescent="0.25">
      <c r="C407" s="1">
        <v>45574</v>
      </c>
      <c r="D407" t="s">
        <v>1618</v>
      </c>
      <c r="E407" s="95">
        <v>1</v>
      </c>
    </row>
    <row r="408" spans="3:5" x14ac:dyDescent="0.25">
      <c r="D408" t="s">
        <v>1620</v>
      </c>
      <c r="E408" s="95">
        <v>1</v>
      </c>
    </row>
    <row r="409" spans="3:5" x14ac:dyDescent="0.25">
      <c r="C409" s="1">
        <v>45575</v>
      </c>
      <c r="D409" t="s">
        <v>1621</v>
      </c>
      <c r="E409" s="95">
        <v>1</v>
      </c>
    </row>
    <row r="410" spans="3:5" x14ac:dyDescent="0.25">
      <c r="C410" s="1">
        <v>45579</v>
      </c>
      <c r="D410" t="s">
        <v>1622</v>
      </c>
      <c r="E410" s="95">
        <v>1</v>
      </c>
    </row>
    <row r="411" spans="3:5" x14ac:dyDescent="0.25">
      <c r="C411" s="1">
        <v>45580</v>
      </c>
      <c r="D411" t="s">
        <v>1624</v>
      </c>
      <c r="E411" s="95">
        <v>1</v>
      </c>
    </row>
    <row r="412" spans="3:5" x14ac:dyDescent="0.25">
      <c r="C412" s="1">
        <v>45581</v>
      </c>
      <c r="D412" t="s">
        <v>1623</v>
      </c>
      <c r="E412" s="95">
        <v>1</v>
      </c>
    </row>
    <row r="413" spans="3:5" x14ac:dyDescent="0.25">
      <c r="C413" s="1">
        <v>45586</v>
      </c>
      <c r="D413" t="s">
        <v>1666</v>
      </c>
      <c r="E413" s="95">
        <v>1</v>
      </c>
    </row>
    <row r="414" spans="3:5" x14ac:dyDescent="0.25">
      <c r="C414" s="1">
        <v>45589</v>
      </c>
      <c r="D414" t="s">
        <v>1619</v>
      </c>
      <c r="E414" s="95">
        <v>1</v>
      </c>
    </row>
    <row r="415" spans="3:5" x14ac:dyDescent="0.25">
      <c r="C415" s="1">
        <v>45597</v>
      </c>
      <c r="D415" t="s">
        <v>1779</v>
      </c>
      <c r="E415" s="95">
        <v>1</v>
      </c>
    </row>
    <row r="416" spans="3:5" x14ac:dyDescent="0.25">
      <c r="D416" t="s">
        <v>1780</v>
      </c>
      <c r="E416" s="95">
        <v>1</v>
      </c>
    </row>
    <row r="417" spans="2:5" x14ac:dyDescent="0.25">
      <c r="C417" s="1">
        <v>45604</v>
      </c>
      <c r="D417" t="s">
        <v>1822</v>
      </c>
      <c r="E417" s="95">
        <v>1</v>
      </c>
    </row>
    <row r="418" spans="2:5" x14ac:dyDescent="0.25">
      <c r="D418" t="s">
        <v>1823</v>
      </c>
      <c r="E418" s="95">
        <v>1</v>
      </c>
    </row>
    <row r="419" spans="2:5" x14ac:dyDescent="0.25">
      <c r="C419" s="1">
        <v>45609</v>
      </c>
      <c r="D419" t="s">
        <v>1821</v>
      </c>
      <c r="E419" s="95">
        <v>1</v>
      </c>
    </row>
    <row r="420" spans="2:5" x14ac:dyDescent="0.25">
      <c r="C420" s="1">
        <v>45610</v>
      </c>
      <c r="D420" t="s">
        <v>1886</v>
      </c>
      <c r="E420" s="95">
        <v>1</v>
      </c>
    </row>
    <row r="421" spans="2:5" x14ac:dyDescent="0.25">
      <c r="C421" s="1">
        <v>45614</v>
      </c>
      <c r="D421" t="s">
        <v>1887</v>
      </c>
      <c r="E421" s="95">
        <v>1</v>
      </c>
    </row>
    <row r="422" spans="2:5" x14ac:dyDescent="0.25">
      <c r="C422" s="1">
        <v>45617</v>
      </c>
      <c r="D422" t="s">
        <v>1930</v>
      </c>
      <c r="E422" s="95">
        <v>1</v>
      </c>
    </row>
    <row r="423" spans="2:5" x14ac:dyDescent="0.25">
      <c r="C423" s="1">
        <v>45638</v>
      </c>
      <c r="D423" t="s">
        <v>2112</v>
      </c>
      <c r="E423" s="95">
        <v>1</v>
      </c>
    </row>
    <row r="424" spans="2:5" x14ac:dyDescent="0.25">
      <c r="D424" t="s">
        <v>2111</v>
      </c>
      <c r="E424" s="95">
        <v>1</v>
      </c>
    </row>
    <row r="425" spans="2:5" x14ac:dyDescent="0.25">
      <c r="C425" s="1">
        <v>45685</v>
      </c>
      <c r="D425" t="s">
        <v>2336</v>
      </c>
      <c r="E425" s="95">
        <v>1</v>
      </c>
    </row>
    <row r="426" spans="2:5" x14ac:dyDescent="0.25">
      <c r="C426" s="1">
        <v>45724</v>
      </c>
      <c r="D426" t="s">
        <v>2602</v>
      </c>
      <c r="E426" s="95">
        <v>1</v>
      </c>
    </row>
    <row r="427" spans="2:5" x14ac:dyDescent="0.25">
      <c r="C427" s="1">
        <v>45726</v>
      </c>
      <c r="D427" t="s">
        <v>2601</v>
      </c>
      <c r="E427" s="95">
        <v>1</v>
      </c>
    </row>
    <row r="428" spans="2:5" x14ac:dyDescent="0.25">
      <c r="C428" s="1">
        <v>45729</v>
      </c>
      <c r="D428" t="s">
        <v>2628</v>
      </c>
      <c r="E428" s="95">
        <v>1</v>
      </c>
    </row>
    <row r="429" spans="2:5" x14ac:dyDescent="0.25">
      <c r="B429" t="s">
        <v>1482</v>
      </c>
      <c r="C429" s="1">
        <v>45605</v>
      </c>
      <c r="D429" t="s">
        <v>1892</v>
      </c>
      <c r="E429" s="95">
        <v>1</v>
      </c>
    </row>
    <row r="430" spans="2:5" x14ac:dyDescent="0.25">
      <c r="C430" s="1">
        <v>45653</v>
      </c>
      <c r="D430" t="s">
        <v>2779</v>
      </c>
      <c r="E430" s="95">
        <v>1</v>
      </c>
    </row>
    <row r="431" spans="2:5" x14ac:dyDescent="0.25">
      <c r="B431" t="s">
        <v>11</v>
      </c>
      <c r="C431" s="1">
        <v>45494</v>
      </c>
      <c r="D431" t="s">
        <v>2779</v>
      </c>
      <c r="E431" s="95">
        <v>1</v>
      </c>
    </row>
    <row r="432" spans="2:5" x14ac:dyDescent="0.25">
      <c r="B432" t="s">
        <v>1626</v>
      </c>
      <c r="C432" s="1">
        <v>45583</v>
      </c>
      <c r="D432" t="s">
        <v>1625</v>
      </c>
      <c r="E432" s="95">
        <v>1</v>
      </c>
    </row>
    <row r="433" spans="1:5" x14ac:dyDescent="0.25">
      <c r="B433" t="s">
        <v>137</v>
      </c>
      <c r="C433" s="1">
        <v>45676</v>
      </c>
      <c r="D433" t="s">
        <v>2294</v>
      </c>
      <c r="E433" s="95">
        <v>1</v>
      </c>
    </row>
    <row r="434" spans="1:5" x14ac:dyDescent="0.25">
      <c r="C434" s="1">
        <v>45680</v>
      </c>
      <c r="D434" t="s">
        <v>2293</v>
      </c>
      <c r="E434" s="95">
        <v>1</v>
      </c>
    </row>
    <row r="435" spans="1:5" x14ac:dyDescent="0.25">
      <c r="D435" t="s">
        <v>2332</v>
      </c>
      <c r="E435" s="95">
        <v>1</v>
      </c>
    </row>
    <row r="436" spans="1:5" x14ac:dyDescent="0.25">
      <c r="C436" s="1">
        <v>45687</v>
      </c>
      <c r="D436" t="s">
        <v>2368</v>
      </c>
      <c r="E436" s="95">
        <v>1</v>
      </c>
    </row>
    <row r="437" spans="1:5" x14ac:dyDescent="0.25">
      <c r="C437" s="1">
        <v>45689</v>
      </c>
      <c r="D437" t="s">
        <v>2369</v>
      </c>
      <c r="E437" s="95">
        <v>1</v>
      </c>
    </row>
    <row r="438" spans="1:5" x14ac:dyDescent="0.25">
      <c r="C438" s="1">
        <v>45695</v>
      </c>
      <c r="D438" t="s">
        <v>2426</v>
      </c>
      <c r="E438" s="95">
        <v>1</v>
      </c>
    </row>
    <row r="439" spans="1:5" x14ac:dyDescent="0.25">
      <c r="D439" t="s">
        <v>2427</v>
      </c>
      <c r="E439" s="95">
        <v>1</v>
      </c>
    </row>
    <row r="440" spans="1:5" x14ac:dyDescent="0.25">
      <c r="C440" s="1">
        <v>45698</v>
      </c>
      <c r="D440" t="s">
        <v>2442</v>
      </c>
      <c r="E440" s="95">
        <v>1</v>
      </c>
    </row>
    <row r="441" spans="1:5" x14ac:dyDescent="0.25">
      <c r="B441" t="s">
        <v>2328</v>
      </c>
      <c r="C441" s="1">
        <v>45684</v>
      </c>
      <c r="D441" t="s">
        <v>2331</v>
      </c>
      <c r="E441" s="95">
        <v>1</v>
      </c>
    </row>
    <row r="442" spans="1:5" x14ac:dyDescent="0.25">
      <c r="B442" t="s">
        <v>148</v>
      </c>
      <c r="C442" t="s">
        <v>2779</v>
      </c>
      <c r="D442" t="s">
        <v>2769</v>
      </c>
      <c r="E442" s="95"/>
    </row>
    <row r="443" spans="1:5" x14ac:dyDescent="0.25">
      <c r="C443" s="1">
        <v>45754</v>
      </c>
      <c r="D443" t="s">
        <v>2799</v>
      </c>
      <c r="E443" s="95">
        <v>1</v>
      </c>
    </row>
    <row r="444" spans="1:5" x14ac:dyDescent="0.25">
      <c r="C444" s="1">
        <v>45765</v>
      </c>
      <c r="D444" t="s">
        <v>3079</v>
      </c>
      <c r="E444" s="95">
        <v>1</v>
      </c>
    </row>
    <row r="445" spans="1:5" x14ac:dyDescent="0.25">
      <c r="B445" t="s">
        <v>2745</v>
      </c>
      <c r="C445" s="1">
        <v>45753</v>
      </c>
      <c r="D445" t="s">
        <v>2780</v>
      </c>
      <c r="E445" s="95">
        <v>1</v>
      </c>
    </row>
    <row r="446" spans="1:5" x14ac:dyDescent="0.25">
      <c r="A446" t="s">
        <v>2154</v>
      </c>
      <c r="B446" t="s">
        <v>33</v>
      </c>
      <c r="C446" s="1">
        <v>45652</v>
      </c>
      <c r="D446" t="s">
        <v>3075</v>
      </c>
      <c r="E446" s="95">
        <v>1</v>
      </c>
    </row>
    <row r="447" spans="1:5" x14ac:dyDescent="0.25">
      <c r="A447" t="s">
        <v>898</v>
      </c>
      <c r="B447" t="s">
        <v>20</v>
      </c>
      <c r="C447" s="1">
        <v>45432</v>
      </c>
      <c r="D447" t="s">
        <v>2779</v>
      </c>
      <c r="E447" s="95">
        <v>2</v>
      </c>
    </row>
    <row r="448" spans="1:5" x14ac:dyDescent="0.25">
      <c r="C448" s="1">
        <v>45445</v>
      </c>
      <c r="D448" t="s">
        <v>2779</v>
      </c>
      <c r="E448" s="95">
        <v>1</v>
      </c>
    </row>
    <row r="449" spans="1:5" x14ac:dyDescent="0.25">
      <c r="A449" t="s">
        <v>625</v>
      </c>
      <c r="B449" t="s">
        <v>186</v>
      </c>
      <c r="C449" s="1">
        <v>45374</v>
      </c>
      <c r="D449" t="s">
        <v>2779</v>
      </c>
      <c r="E449" s="95">
        <v>1</v>
      </c>
    </row>
    <row r="450" spans="1:5" x14ac:dyDescent="0.25">
      <c r="A450" t="s">
        <v>689</v>
      </c>
      <c r="B450" t="s">
        <v>33</v>
      </c>
      <c r="C450" t="s">
        <v>2779</v>
      </c>
      <c r="D450" t="s">
        <v>2779</v>
      </c>
      <c r="E450" s="95"/>
    </row>
    <row r="451" spans="1:5" x14ac:dyDescent="0.25">
      <c r="B451" t="s">
        <v>259</v>
      </c>
      <c r="C451" s="1">
        <v>45403</v>
      </c>
      <c r="D451" t="s">
        <v>2779</v>
      </c>
      <c r="E451" s="95">
        <v>1</v>
      </c>
    </row>
    <row r="452" spans="1:5" x14ac:dyDescent="0.25">
      <c r="B452" t="s">
        <v>231</v>
      </c>
      <c r="C452" s="107">
        <v>11.04</v>
      </c>
      <c r="D452" t="s">
        <v>2779</v>
      </c>
      <c r="E452" s="95">
        <v>1</v>
      </c>
    </row>
    <row r="453" spans="1:5" x14ac:dyDescent="0.25">
      <c r="C453" s="1">
        <v>45422</v>
      </c>
      <c r="D453" t="s">
        <v>2779</v>
      </c>
      <c r="E453" s="95">
        <v>1</v>
      </c>
    </row>
    <row r="454" spans="1:5" x14ac:dyDescent="0.25">
      <c r="A454" t="s">
        <v>1000</v>
      </c>
      <c r="B454" t="s">
        <v>123</v>
      </c>
      <c r="C454" s="1">
        <v>45719</v>
      </c>
      <c r="D454" t="s">
        <v>2779</v>
      </c>
      <c r="E454" s="95">
        <v>1</v>
      </c>
    </row>
    <row r="455" spans="1:5" x14ac:dyDescent="0.25">
      <c r="C455" s="1">
        <v>45737</v>
      </c>
      <c r="D455" t="s">
        <v>2691</v>
      </c>
      <c r="E455" s="95">
        <v>1</v>
      </c>
    </row>
    <row r="456" spans="1:5" x14ac:dyDescent="0.25">
      <c r="B456" t="s">
        <v>33</v>
      </c>
      <c r="C456" s="1">
        <v>45566</v>
      </c>
      <c r="D456" t="s">
        <v>2779</v>
      </c>
      <c r="E456" s="95">
        <v>1</v>
      </c>
    </row>
    <row r="457" spans="1:5" x14ac:dyDescent="0.25">
      <c r="C457" s="1">
        <v>45656</v>
      </c>
      <c r="D457" t="s">
        <v>2192</v>
      </c>
      <c r="E457" s="95">
        <v>1</v>
      </c>
    </row>
    <row r="458" spans="1:5" x14ac:dyDescent="0.25">
      <c r="C458" s="1">
        <v>45740</v>
      </c>
      <c r="D458" t="s">
        <v>2694</v>
      </c>
      <c r="E458" s="95">
        <v>7</v>
      </c>
    </row>
    <row r="459" spans="1:5" x14ac:dyDescent="0.25">
      <c r="C459" t="s">
        <v>2779</v>
      </c>
      <c r="D459" t="s">
        <v>2779</v>
      </c>
      <c r="E459" s="95"/>
    </row>
    <row r="460" spans="1:5" x14ac:dyDescent="0.25">
      <c r="B460" t="s">
        <v>1424</v>
      </c>
      <c r="C460" s="1">
        <v>45549</v>
      </c>
      <c r="D460" t="s">
        <v>2779</v>
      </c>
      <c r="E460" s="95">
        <v>1</v>
      </c>
    </row>
    <row r="461" spans="1:5" x14ac:dyDescent="0.25">
      <c r="C461" s="1">
        <v>45696</v>
      </c>
      <c r="D461" t="s">
        <v>2779</v>
      </c>
      <c r="E461" s="95">
        <v>1</v>
      </c>
    </row>
    <row r="462" spans="1:5" x14ac:dyDescent="0.25">
      <c r="B462" t="s">
        <v>366</v>
      </c>
      <c r="C462" s="1">
        <v>45459</v>
      </c>
      <c r="D462" t="s">
        <v>2779</v>
      </c>
      <c r="E462" s="95">
        <v>1</v>
      </c>
    </row>
    <row r="463" spans="1:5" x14ac:dyDescent="0.25">
      <c r="C463" s="1">
        <v>45469</v>
      </c>
      <c r="D463" t="s">
        <v>2779</v>
      </c>
      <c r="E463" s="95">
        <v>1</v>
      </c>
    </row>
    <row r="464" spans="1:5" x14ac:dyDescent="0.25">
      <c r="C464" s="1">
        <v>45472</v>
      </c>
      <c r="D464" t="s">
        <v>2779</v>
      </c>
      <c r="E464" s="95">
        <v>1</v>
      </c>
    </row>
    <row r="465" spans="2:5" x14ac:dyDescent="0.25">
      <c r="C465" s="1">
        <v>45475</v>
      </c>
      <c r="D465" t="s">
        <v>2779</v>
      </c>
      <c r="E465" s="95">
        <v>1</v>
      </c>
    </row>
    <row r="466" spans="2:5" x14ac:dyDescent="0.25">
      <c r="C466" s="1">
        <v>45534</v>
      </c>
      <c r="D466" t="s">
        <v>1205</v>
      </c>
      <c r="E466" s="95">
        <v>1</v>
      </c>
    </row>
    <row r="467" spans="2:5" x14ac:dyDescent="0.25">
      <c r="B467" t="s">
        <v>231</v>
      </c>
      <c r="C467" s="1">
        <v>45502</v>
      </c>
      <c r="D467" t="s">
        <v>2779</v>
      </c>
      <c r="E467" s="95">
        <v>1</v>
      </c>
    </row>
    <row r="468" spans="2:5" x14ac:dyDescent="0.25">
      <c r="B468" t="s">
        <v>104</v>
      </c>
      <c r="C468" s="1">
        <v>45708</v>
      </c>
      <c r="D468" t="s">
        <v>2503</v>
      </c>
      <c r="E468" s="95">
        <v>1</v>
      </c>
    </row>
    <row r="469" spans="2:5" x14ac:dyDescent="0.25">
      <c r="D469" t="s">
        <v>2498</v>
      </c>
      <c r="E469" s="95">
        <v>1</v>
      </c>
    </row>
    <row r="470" spans="2:5" x14ac:dyDescent="0.25">
      <c r="D470" t="s">
        <v>2499</v>
      </c>
      <c r="E470" s="95">
        <v>1</v>
      </c>
    </row>
    <row r="471" spans="2:5" x14ac:dyDescent="0.25">
      <c r="C471" s="1">
        <v>45710</v>
      </c>
      <c r="D471" t="s">
        <v>2500</v>
      </c>
      <c r="E471" s="95">
        <v>1</v>
      </c>
    </row>
    <row r="472" spans="2:5" x14ac:dyDescent="0.25">
      <c r="C472" s="1">
        <v>45711</v>
      </c>
      <c r="D472" t="s">
        <v>2501</v>
      </c>
      <c r="E472" s="95">
        <v>1</v>
      </c>
    </row>
    <row r="473" spans="2:5" x14ac:dyDescent="0.25">
      <c r="D473" t="s">
        <v>2502</v>
      </c>
      <c r="E473" s="95">
        <v>1</v>
      </c>
    </row>
    <row r="474" spans="2:5" x14ac:dyDescent="0.25">
      <c r="C474" s="1">
        <v>45716</v>
      </c>
      <c r="D474" t="s">
        <v>2561</v>
      </c>
      <c r="E474" s="95">
        <v>1</v>
      </c>
    </row>
    <row r="475" spans="2:5" x14ac:dyDescent="0.25">
      <c r="C475" s="1">
        <v>45729</v>
      </c>
      <c r="D475" t="s">
        <v>2629</v>
      </c>
      <c r="E475" s="95">
        <v>1</v>
      </c>
    </row>
    <row r="476" spans="2:5" x14ac:dyDescent="0.25">
      <c r="D476" t="s">
        <v>2630</v>
      </c>
      <c r="E476" s="95">
        <v>1</v>
      </c>
    </row>
    <row r="477" spans="2:5" x14ac:dyDescent="0.25">
      <c r="C477" s="1">
        <v>45737</v>
      </c>
      <c r="D477" t="s">
        <v>2634</v>
      </c>
      <c r="E477" s="95">
        <v>1</v>
      </c>
    </row>
    <row r="478" spans="2:5" x14ac:dyDescent="0.25">
      <c r="D478" t="s">
        <v>2693</v>
      </c>
      <c r="E478" s="95">
        <v>1</v>
      </c>
    </row>
    <row r="479" spans="2:5" x14ac:dyDescent="0.25">
      <c r="D479" t="s">
        <v>2779</v>
      </c>
      <c r="E479" s="95">
        <v>1</v>
      </c>
    </row>
    <row r="480" spans="2:5" x14ac:dyDescent="0.25">
      <c r="C480" s="1">
        <v>45751</v>
      </c>
      <c r="D480" t="s">
        <v>2770</v>
      </c>
      <c r="E480" s="95">
        <v>1</v>
      </c>
    </row>
    <row r="481" spans="1:5" x14ac:dyDescent="0.25">
      <c r="D481" t="s">
        <v>2771</v>
      </c>
      <c r="E481" s="95">
        <v>1</v>
      </c>
    </row>
    <row r="482" spans="1:5" x14ac:dyDescent="0.25">
      <c r="C482" s="1">
        <v>45752</v>
      </c>
      <c r="D482" t="s">
        <v>2772</v>
      </c>
      <c r="E482" s="95">
        <v>1</v>
      </c>
    </row>
    <row r="483" spans="1:5" x14ac:dyDescent="0.25">
      <c r="B483" t="s">
        <v>112</v>
      </c>
      <c r="C483" s="1">
        <v>45562</v>
      </c>
      <c r="D483" t="s">
        <v>2779</v>
      </c>
      <c r="E483" s="95">
        <v>1</v>
      </c>
    </row>
    <row r="484" spans="1:5" x14ac:dyDescent="0.25">
      <c r="C484" s="1">
        <v>45709</v>
      </c>
      <c r="D484" t="s">
        <v>2496</v>
      </c>
      <c r="E484" s="95">
        <v>1</v>
      </c>
    </row>
    <row r="485" spans="1:5" x14ac:dyDescent="0.25">
      <c r="C485" s="1">
        <v>45713</v>
      </c>
      <c r="D485" t="s">
        <v>2497</v>
      </c>
      <c r="E485" s="95">
        <v>1</v>
      </c>
    </row>
    <row r="486" spans="1:5" x14ac:dyDescent="0.25">
      <c r="C486" s="1">
        <v>45744</v>
      </c>
      <c r="D486" t="s">
        <v>2731</v>
      </c>
      <c r="E486" s="95">
        <v>1</v>
      </c>
    </row>
    <row r="487" spans="1:5" x14ac:dyDescent="0.25">
      <c r="B487" t="s">
        <v>2688</v>
      </c>
      <c r="C487" s="1">
        <v>45737</v>
      </c>
      <c r="D487" t="s">
        <v>2686</v>
      </c>
      <c r="E487" s="95">
        <v>1</v>
      </c>
    </row>
    <row r="488" spans="1:5" x14ac:dyDescent="0.25">
      <c r="A488" t="s">
        <v>2259</v>
      </c>
      <c r="B488" t="s">
        <v>211</v>
      </c>
      <c r="C488" s="1">
        <v>45667</v>
      </c>
      <c r="D488" t="s">
        <v>2779</v>
      </c>
      <c r="E488" s="95">
        <v>1</v>
      </c>
    </row>
    <row r="489" spans="1:5" x14ac:dyDescent="0.25">
      <c r="A489" t="s">
        <v>2260</v>
      </c>
      <c r="B489" t="s">
        <v>2258</v>
      </c>
      <c r="C489" s="1">
        <v>45667</v>
      </c>
      <c r="D489" t="s">
        <v>2779</v>
      </c>
      <c r="E489" s="95">
        <v>1</v>
      </c>
    </row>
    <row r="490" spans="1:5" x14ac:dyDescent="0.25">
      <c r="A490" t="s">
        <v>2289</v>
      </c>
      <c r="B490" t="s">
        <v>283</v>
      </c>
      <c r="C490" t="s">
        <v>2779</v>
      </c>
      <c r="D490" t="s">
        <v>2779</v>
      </c>
      <c r="E490" s="95"/>
    </row>
    <row r="491" spans="1:5" x14ac:dyDescent="0.25">
      <c r="A491" t="s">
        <v>2337</v>
      </c>
      <c r="B491" t="s">
        <v>148</v>
      </c>
      <c r="C491" s="1">
        <v>45681</v>
      </c>
      <c r="D491" t="s">
        <v>2779</v>
      </c>
      <c r="E491" s="95">
        <v>1</v>
      </c>
    </row>
    <row r="492" spans="1:5" x14ac:dyDescent="0.25">
      <c r="A492" t="s">
        <v>2408</v>
      </c>
      <c r="B492" t="s">
        <v>2402</v>
      </c>
      <c r="C492" s="1">
        <v>45695</v>
      </c>
      <c r="D492" t="s">
        <v>2407</v>
      </c>
      <c r="E492" s="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1</vt:i4>
      </vt:variant>
    </vt:vector>
  </HeadingPairs>
  <TitlesOfParts>
    <vt:vector size="10" baseType="lpstr">
      <vt:lpstr>Clients</vt:lpstr>
      <vt:lpstr>Orders</vt:lpstr>
      <vt:lpstr>OrderItems</vt:lpstr>
      <vt:lpstr>Итоги</vt:lpstr>
      <vt:lpstr>Доставка</vt:lpstr>
      <vt:lpstr>Маршрут</vt:lpstr>
      <vt:lpstr>Лист1</vt:lpstr>
      <vt:lpstr>ПришлоНепришло</vt:lpstr>
      <vt:lpstr>ПВЗ</vt:lpstr>
      <vt:lpstr>Клиенты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Алексей Шурыгин</dc:creator>
  <cp:keywords/>
  <dc:description/>
  <cp:lastModifiedBy>Алексей Шурыгин</cp:lastModifiedBy>
  <cp:revision/>
  <dcterms:created xsi:type="dcterms:W3CDTF">2024-03-10T14:45:40Z</dcterms:created>
  <dcterms:modified xsi:type="dcterms:W3CDTF">2025-04-23T11:36:33Z</dcterms:modified>
  <cp:category/>
  <cp:contentStatus/>
</cp:coreProperties>
</file>