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Estimation" sheetId="1" r:id="rId4"/>
    <sheet state="visible" name="Log" sheetId="2" r:id="rId5"/>
    <sheet state="visible" name="Stats" sheetId="3" r:id="rId6"/>
  </sheets>
  <definedNames/>
  <calcPr/>
</workbook>
</file>

<file path=xl/sharedStrings.xml><?xml version="1.0" encoding="utf-8"?>
<sst xmlns="http://schemas.openxmlformats.org/spreadsheetml/2006/main" count="276" uniqueCount="177">
  <si>
    <t>Project Estimering</t>
  </si>
  <si>
    <t>Project Periode</t>
  </si>
  <si>
    <t>Min</t>
  </si>
  <si>
    <t>O</t>
  </si>
  <si>
    <t>M</t>
  </si>
  <si>
    <t>P</t>
  </si>
  <si>
    <t>Notes</t>
  </si>
  <si>
    <t>Søn</t>
  </si>
  <si>
    <t>1. Project Setup</t>
  </si>
  <si>
    <t>- Install Node.js and set up the development environment
- Create a new React Native project without Expo
- Configure TypeScript</t>
  </si>
  <si>
    <t>Man</t>
  </si>
  <si>
    <t>2. Design and theme</t>
  </si>
  <si>
    <t>- standard guidelines provided by Apple and Google.</t>
  </si>
  <si>
    <t>Tir</t>
  </si>
  <si>
    <t>3. Splash Screen</t>
  </si>
  <si>
    <t>- Design and implement the splash screen
- Ensure it fades in and transitions to the appropriate screen</t>
  </si>
  <si>
    <t>Ons</t>
  </si>
  <si>
    <t>4. Login Screen</t>
  </si>
  <si>
    <t>- Implement social login methods (Facebook, Google)
- Handle login errors and display dialogs
- Navigate to the Chat Rooms screen upon successful login</t>
  </si>
  <si>
    <t>Tho</t>
  </si>
  <si>
    <t>5. Chat Rooms</t>
  </si>
  <si>
    <t>- Fetch and display a list of available rooms
- Sort the list by the newest message
- Implement pull-to-refresh functionality
- Navigate to the Send and Receive screen upon selecting a room</t>
  </si>
  <si>
    <t>Fre</t>
  </si>
  <si>
    <t>6. Send and Receive Messages</t>
  </si>
  <si>
    <t>- Load the last 50 messages when opening a chat room
- Implement infinite scrolling for more messages
- Implement the input field for sending messages
- Display messages with sender details and date</t>
  </si>
  <si>
    <t>Lør</t>
  </si>
  <si>
    <t>7. Push Functionality</t>
  </si>
  <si>
    <t>- Prompt user for notification preferences
- Implement Firebase Cloud Messaging (FCM) for push notifications
- Implement deep linking for direct navigation to rooms/messages</t>
  </si>
  <si>
    <t>8. Upload Images to Chat Room</t>
  </si>
  <si>
    <t>- Implement image upload from camera and gallery
- Display uploaded images in the chat room</t>
  </si>
  <si>
    <t>9. Testing and Debugging</t>
  </si>
  <si>
    <t>- Test each feature and fix any issues
- Ensure the app functions correctly on both Android and "iOS"</t>
  </si>
  <si>
    <t>10. Documentation and Clean-Up</t>
  </si>
  <si>
    <t>- Document the code, especially complex or critical sections
- Clean up any unnecessary code or files</t>
  </si>
  <si>
    <t>11. Buffer Time</t>
  </si>
  <si>
    <t>- Account for unforeseen challenges, debugging, and additional testing</t>
  </si>
  <si>
    <t>Total Estimated Hours:</t>
  </si>
  <si>
    <t>100% af projeketet færdigt</t>
  </si>
  <si>
    <t>Best</t>
  </si>
  <si>
    <t>Most likely</t>
  </si>
  <si>
    <t>Worst</t>
  </si>
  <si>
    <t>(PERT): E = (o + 4m + p ) / 6</t>
  </si>
  <si>
    <t>Mean</t>
  </si>
  <si>
    <t xml:space="preserve">The Standard Deviation </t>
  </si>
  <si>
    <t>(p - o)/6</t>
  </si>
  <si>
    <t>68% lower</t>
  </si>
  <si>
    <t>68% upper</t>
  </si>
  <si>
    <t>hours</t>
  </si>
  <si>
    <t>%</t>
  </si>
  <si>
    <t>Inversion by</t>
  </si>
  <si>
    <t>Norm inversion</t>
  </si>
  <si>
    <t>60% af projeketet færdigt</t>
  </si>
  <si>
    <t>Min tidsperiode</t>
  </si>
  <si>
    <t>Hours sum</t>
  </si>
  <si>
    <t>Date</t>
  </si>
  <si>
    <t>Start clock</t>
  </si>
  <si>
    <t>End clock</t>
  </si>
  <si>
    <t>Hours</t>
  </si>
  <si>
    <t>Log</t>
  </si>
  <si>
    <t>Regex filter clock</t>
  </si>
  <si>
    <t>Convert to hours</t>
  </si>
  <si>
    <t>10:00</t>
  </si>
  <si>
    <t>16:00</t>
  </si>
  <si>
    <t>Estimate the project timeline and objectives</t>
  </si>
  <si>
    <t>06:30</t>
  </si>
  <si>
    <t>11:37</t>
  </si>
  <si>
    <t>Trying to get React-Native to work on Linux</t>
  </si>
  <si>
    <t>10:38</t>
  </si>
  <si>
    <t>12:30</t>
  </si>
  <si>
    <t>Merge pull request #1 from Flakvard/init_react-native</t>
  </si>
  <si>
    <t>13:40</t>
  </si>
  <si>
    <t>14:09</t>
  </si>
  <si>
    <t>Getting the app structure and layout done</t>
  </si>
  <si>
    <t>15:15</t>
  </si>
  <si>
    <t>16:15</t>
  </si>
  <si>
    <t>Merge pull request #2 from Flakvard/app-structure</t>
  </si>
  <si>
    <t>20:18</t>
  </si>
  <si>
    <t>24:00</t>
  </si>
  <si>
    <t>Theme and standard UI componants</t>
  </si>
  <si>
    <t>12:20</t>
  </si>
  <si>
    <t>16:10</t>
  </si>
  <si>
    <t>00:00</t>
  </si>
  <si>
    <t>22:00</t>
  </si>
  <si>
    <t>23:20</t>
  </si>
  <si>
    <t>Colors to Theme</t>
  </si>
  <si>
    <t>12:00</t>
  </si>
  <si>
    <t>Gimp (image editor) icon and logo</t>
  </si>
  <si>
    <t>12:10</t>
  </si>
  <si>
    <t>15:14</t>
  </si>
  <si>
    <t>Icon og splash screen</t>
  </si>
  <si>
    <t>22:45</t>
  </si>
  <si>
    <t>Merge pull request #3 from Flakvard/UI-Components-lib</t>
  </si>
  <si>
    <t>02:08</t>
  </si>
  <si>
    <t>Navigation root and auth feature</t>
  </si>
  <si>
    <t>12:33</t>
  </si>
  <si>
    <t>Merge pull request #4 from Flakvard/navigation</t>
  </si>
  <si>
    <t>12:50</t>
  </si>
  <si>
    <t>14:45</t>
  </si>
  <si>
    <t>State Management with Redux</t>
  </si>
  <si>
    <t>22:26</t>
  </si>
  <si>
    <t>24:30</t>
  </si>
  <si>
    <t>23:30</t>
  </si>
  <si>
    <t>24:54</t>
  </si>
  <si>
    <t xml:space="preserve">Working State Management with redux </t>
  </si>
  <si>
    <t>00:55</t>
  </si>
  <si>
    <t>02:14</t>
  </si>
  <si>
    <t>Message chat UI &amp; structure + status</t>
  </si>
  <si>
    <t>21:16</t>
  </si>
  <si>
    <t>23:10</t>
  </si>
  <si>
    <t xml:space="preserve">Message chat UI and structure, create img + msg functions </t>
  </si>
  <si>
    <t>00:50</t>
  </si>
  <si>
    <t>02:57</t>
  </si>
  <si>
    <t>Message chat UI, toolbar +  create img + msg functions and img fullscreen</t>
  </si>
  <si>
    <t>Message camera upload Grid</t>
  </si>
  <si>
    <t>23:18</t>
  </si>
  <si>
    <t>23:50</t>
  </si>
  <si>
    <t>01:19</t>
  </si>
  <si>
    <t>01:20</t>
  </si>
  <si>
    <t>01:33</t>
  </si>
  <si>
    <t>Google sheet clean up and reorganisation</t>
  </si>
  <si>
    <t>22:57</t>
  </si>
  <si>
    <t>13:00</t>
  </si>
  <si>
    <t>Access Camera images Android: rn-fetch-blob package</t>
  </si>
  <si>
    <t>15:00</t>
  </si>
  <si>
    <t>Access Camera images Android: image-picker &amp; rn-fetch-blob package</t>
  </si>
  <si>
    <t>18:10</t>
  </si>
  <si>
    <t>20:55</t>
  </si>
  <si>
    <t>Access Camera images Android camera-rool package (https://github.com/react-native-cameraroll/react-native-cameraroll)</t>
  </si>
  <si>
    <t>08:30</t>
  </si>
  <si>
    <t>10:47</t>
  </si>
  <si>
    <t>Access Camera images Android camera-rool package working</t>
  </si>
  <si>
    <t>10:48</t>
  </si>
  <si>
    <t>11:54</t>
  </si>
  <si>
    <t>Camera images pagenation</t>
  </si>
  <si>
    <t>Camera images sending images</t>
  </si>
  <si>
    <t>Messaging Container, layout and Keyboard state</t>
  </si>
  <si>
    <t>08:45</t>
  </si>
  <si>
    <t>15:30</t>
  </si>
  <si>
    <t>Messaging Container animation</t>
  </si>
  <si>
    <t>21:30</t>
  </si>
  <si>
    <t>22:53</t>
  </si>
  <si>
    <t>Messaging Container animation removed/discarded</t>
  </si>
  <si>
    <t>23:00</t>
  </si>
  <si>
    <t>23:45</t>
  </si>
  <si>
    <t>Fix message sending via keyboard</t>
  </si>
  <si>
    <t>Fix sending receiving message styling</t>
  </si>
  <si>
    <t>01:15</t>
  </si>
  <si>
    <t>02:07</t>
  </si>
  <si>
    <t>Seed 50 messages and scroll to load more messages</t>
  </si>
  <si>
    <t>02:58</t>
  </si>
  <si>
    <t>Merge pull request #5 from Flakvard/Message-UI</t>
  </si>
  <si>
    <t>03:59</t>
  </si>
  <si>
    <t>RoomList and RoomListItem with dummy contacts via API</t>
  </si>
  <si>
    <t>14:00</t>
  </si>
  <si>
    <t>22:42</t>
  </si>
  <si>
    <t>23:36</t>
  </si>
  <si>
    <t>Merge pull request #6 from Flakvard/ChatRoom-UI</t>
  </si>
  <si>
    <t>Profile-UI, ContactThumbnail, DetailListItem + fixed navigation</t>
  </si>
  <si>
    <t>01:36</t>
  </si>
  <si>
    <t>Merge pull request #7 from Flakvard/Profile-UI</t>
  </si>
  <si>
    <t>03:00</t>
  </si>
  <si>
    <t>User UI  and Options</t>
  </si>
  <si>
    <t>07:00</t>
  </si>
  <si>
    <t>Rewrite navigation and stack, Theme applied everywhere</t>
  </si>
  <si>
    <t>10:03</t>
  </si>
  <si>
    <t>12:26</t>
  </si>
  <si>
    <t>Merge pull request #8 from Flakvard/User-UI</t>
  </si>
  <si>
    <t>12:03</t>
  </si>
  <si>
    <t>13:13</t>
  </si>
  <si>
    <t>Clean up and docs</t>
  </si>
  <si>
    <t>Merge pull request #9 from Flakvard/Clean-up</t>
  </si>
  <si>
    <t>Burndown</t>
  </si>
  <si>
    <t>Burndown estimate</t>
  </si>
  <si>
    <t>Total hours each day</t>
  </si>
  <si>
    <t>Comitted</t>
  </si>
  <si>
    <t>Commit hours</t>
  </si>
  <si>
    <t>Completed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</si>
</sst>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"/>
    <numFmt numFmtId="166" formatCode="HH.mm.ss"/>
  </numFmts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center" vertical="center"/>
    </xf>
    <xf borderId="0" fillId="2" fontId="2" numFmtId="3" xfId="0" applyFont="1" applyNumberFormat="1"/>
    <xf borderId="0" fillId="0" fontId="2" numFmtId="4" xfId="0" applyFont="1" applyNumberFormat="1"/>
    <xf borderId="0" fillId="0" fontId="2" numFmtId="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2" fontId="2" numFmtId="4" xfId="0" applyFont="1" applyNumberFormat="1"/>
    <xf borderId="0" fillId="2" fontId="2" numFmtId="10" xfId="0" applyFont="1" applyNumberFormat="1"/>
    <xf borderId="0" fillId="2" fontId="3" numFmtId="0" xfId="0" applyAlignment="1" applyFon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65" xfId="0" applyFont="1" applyNumberFormat="1"/>
    <xf borderId="0" fillId="0" fontId="2" numFmtId="166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'Project Estimation'!$D$54:$D$89</c:f>
            </c:strRef>
          </c:cat>
          <c:val>
            <c:numRef>
              <c:f>'Project Estimation'!$E$54:$E$89</c:f>
              <c:numCache/>
            </c:numRef>
          </c:val>
          <c:smooth val="0"/>
        </c:ser>
        <c:axId val="497873133"/>
        <c:axId val="12107950"/>
      </c:lineChart>
      <c:catAx>
        <c:axId val="49787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7950"/>
      </c:catAx>
      <c:valAx>
        <c:axId val="1210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87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'Project Estimation'!$B$54:$B$89</c:f>
            </c:strRef>
          </c:cat>
          <c:val>
            <c:numRef>
              <c:f>'Project Estimation'!$C$54:$C$89</c:f>
              <c:numCache/>
            </c:numRef>
          </c:val>
          <c:smooth val="0"/>
        </c:ser>
        <c:axId val="1835944402"/>
        <c:axId val="1144367363"/>
      </c:lineChart>
      <c:catAx>
        <c:axId val="183594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367363"/>
      </c:catAx>
      <c:valAx>
        <c:axId val="1144367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94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Stats!$C$2:$C$3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Stats!$A$4:$A$40</c:f>
            </c:strRef>
          </c:cat>
          <c:val>
            <c:numRef>
              <c:f>Stats!$C$4:$C$40</c:f>
              <c:numCache/>
            </c:numRef>
          </c:val>
          <c:smooth val="0"/>
        </c:ser>
        <c:ser>
          <c:idx val="1"/>
          <c:order val="1"/>
          <c:tx>
            <c:strRef>
              <c:f>Stats!$B$2:$B$3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Stats!$A$4:$A$40</c:f>
            </c:strRef>
          </c:cat>
          <c:val>
            <c:numRef>
              <c:f>Stats!$B$4:$B$40</c:f>
              <c:numCache/>
            </c:numRef>
          </c:val>
          <c:smooth val="0"/>
        </c:ser>
        <c:axId val="1914025644"/>
        <c:axId val="1413147196"/>
      </c:lineChart>
      <c:catAx>
        <c:axId val="1914025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47196"/>
      </c:catAx>
      <c:valAx>
        <c:axId val="1413147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025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Stats!$G$3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Stats!$A$3:$A$40</c:f>
            </c:strRef>
          </c:cat>
          <c:val>
            <c:numRef>
              <c:f>Stats!$G$4:$G$40</c:f>
              <c:numCache/>
            </c:numRef>
          </c:val>
          <c:smooth val="0"/>
        </c:ser>
        <c:ser>
          <c:idx val="1"/>
          <c:order val="1"/>
          <c:tx>
            <c:strRef>
              <c:f>Stats!$F$3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Stats!$A$3:$A$40</c:f>
            </c:strRef>
          </c:cat>
          <c:val>
            <c:numRef>
              <c:f>Stats!$F$4:$F$40</c:f>
              <c:numCache/>
            </c:numRef>
          </c:val>
          <c:smooth val="0"/>
        </c:ser>
        <c:axId val="1186127647"/>
        <c:axId val="1558241539"/>
      </c:lineChart>
      <c:catAx>
        <c:axId val="118612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241539"/>
      </c:catAx>
      <c:valAx>
        <c:axId val="155824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127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33</xdr:row>
      <xdr:rowOff>85725</xdr:rowOff>
    </xdr:from>
    <xdr:ext cx="4000500" cy="247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18</xdr:row>
      <xdr:rowOff>114300</xdr:rowOff>
    </xdr:from>
    <xdr:ext cx="4000500" cy="247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0</xdr:rowOff>
    </xdr:from>
    <xdr:ext cx="708660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266700</xdr:colOff>
      <xdr:row>13</xdr:row>
      <xdr:rowOff>133350</xdr:rowOff>
    </xdr:from>
    <xdr:ext cx="70866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6" max="6" width="55.63"/>
  </cols>
  <sheetData>
    <row r="1">
      <c r="B1" s="1" t="s">
        <v>0</v>
      </c>
      <c r="H1" s="1" t="s">
        <v>1</v>
      </c>
      <c r="I1" s="2"/>
    </row>
    <row r="2">
      <c r="C2" s="3">
        <f t="shared" ref="C2:E2" si="1">SUM(C4:C14)</f>
        <v>67</v>
      </c>
      <c r="D2" s="3">
        <f t="shared" si="1"/>
        <v>81</v>
      </c>
      <c r="E2" s="3">
        <f t="shared" si="1"/>
        <v>143</v>
      </c>
      <c r="J2" s="2" t="s">
        <v>2</v>
      </c>
    </row>
    <row r="3">
      <c r="C3" s="4" t="s">
        <v>3</v>
      </c>
      <c r="D3" s="4" t="s">
        <v>4</v>
      </c>
      <c r="E3" s="4" t="s">
        <v>5</v>
      </c>
      <c r="F3" s="2" t="s">
        <v>6</v>
      </c>
      <c r="G3" s="5"/>
      <c r="H3" s="5">
        <v>45263.0</v>
      </c>
      <c r="I3" s="2" t="s">
        <v>7</v>
      </c>
      <c r="J3" s="2">
        <v>4.0</v>
      </c>
      <c r="K3" s="2">
        <v>1.0</v>
      </c>
    </row>
    <row r="4">
      <c r="B4" s="6" t="s">
        <v>8</v>
      </c>
      <c r="C4" s="7">
        <v>1.0</v>
      </c>
      <c r="D4" s="7">
        <v>2.0</v>
      </c>
      <c r="E4" s="7">
        <f>D4*4</f>
        <v>8</v>
      </c>
      <c r="F4" s="8" t="s">
        <v>9</v>
      </c>
      <c r="G4" s="5"/>
      <c r="H4" s="5">
        <f t="shared" ref="H4:H19" si="2">H3+1</f>
        <v>45264</v>
      </c>
      <c r="I4" s="2" t="s">
        <v>10</v>
      </c>
      <c r="J4" s="2">
        <v>5.0</v>
      </c>
      <c r="K4" s="2">
        <v>2.0</v>
      </c>
    </row>
    <row r="5">
      <c r="B5" s="6" t="s">
        <v>11</v>
      </c>
      <c r="C5" s="7">
        <v>3.0</v>
      </c>
      <c r="D5" s="7">
        <v>4.0</v>
      </c>
      <c r="E5" s="7">
        <v>12.0</v>
      </c>
      <c r="F5" s="2" t="s">
        <v>12</v>
      </c>
      <c r="G5" s="5"/>
      <c r="H5" s="5">
        <f t="shared" si="2"/>
        <v>45265</v>
      </c>
      <c r="I5" s="2" t="s">
        <v>13</v>
      </c>
      <c r="J5" s="2">
        <v>5.0</v>
      </c>
      <c r="K5" s="2">
        <v>3.0</v>
      </c>
    </row>
    <row r="6">
      <c r="B6" s="6" t="s">
        <v>14</v>
      </c>
      <c r="C6" s="7">
        <v>3.0</v>
      </c>
      <c r="D6" s="7">
        <v>4.0</v>
      </c>
      <c r="E6" s="7">
        <v>7.0</v>
      </c>
      <c r="F6" s="2" t="s">
        <v>15</v>
      </c>
      <c r="G6" s="5"/>
      <c r="H6" s="5">
        <f t="shared" si="2"/>
        <v>45266</v>
      </c>
      <c r="I6" s="2" t="s">
        <v>16</v>
      </c>
      <c r="J6" s="2">
        <v>5.0</v>
      </c>
      <c r="K6" s="2">
        <v>4.0</v>
      </c>
    </row>
    <row r="7">
      <c r="B7" s="6" t="s">
        <v>17</v>
      </c>
      <c r="C7" s="7">
        <v>7.0</v>
      </c>
      <c r="D7" s="7">
        <v>8.0</v>
      </c>
      <c r="E7" s="7">
        <v>14.0</v>
      </c>
      <c r="F7" s="2" t="s">
        <v>18</v>
      </c>
      <c r="G7" s="5"/>
      <c r="H7" s="5">
        <f t="shared" si="2"/>
        <v>45267</v>
      </c>
      <c r="I7" s="2" t="s">
        <v>19</v>
      </c>
      <c r="J7" s="2">
        <v>5.0</v>
      </c>
      <c r="K7" s="2">
        <v>5.0</v>
      </c>
    </row>
    <row r="8">
      <c r="B8" s="6" t="s">
        <v>20</v>
      </c>
      <c r="C8" s="7">
        <v>9.0</v>
      </c>
      <c r="D8" s="7">
        <v>10.0</v>
      </c>
      <c r="E8" s="7">
        <v>14.0</v>
      </c>
      <c r="F8" s="2" t="s">
        <v>21</v>
      </c>
      <c r="G8" s="5"/>
      <c r="H8" s="5">
        <f t="shared" si="2"/>
        <v>45268</v>
      </c>
      <c r="I8" s="2" t="s">
        <v>22</v>
      </c>
      <c r="J8" s="2">
        <v>5.0</v>
      </c>
      <c r="K8" s="2">
        <v>6.0</v>
      </c>
    </row>
    <row r="9">
      <c r="B9" s="6" t="s">
        <v>23</v>
      </c>
      <c r="C9" s="7">
        <v>9.0</v>
      </c>
      <c r="D9" s="7">
        <v>10.0</v>
      </c>
      <c r="E9" s="7">
        <v>14.0</v>
      </c>
      <c r="F9" s="2" t="s">
        <v>24</v>
      </c>
      <c r="G9" s="5"/>
      <c r="H9" s="5">
        <f t="shared" si="2"/>
        <v>45269</v>
      </c>
      <c r="I9" s="2" t="s">
        <v>25</v>
      </c>
      <c r="J9" s="2">
        <v>0.0</v>
      </c>
    </row>
    <row r="10">
      <c r="B10" s="6" t="s">
        <v>26</v>
      </c>
      <c r="C10" s="7">
        <v>7.0</v>
      </c>
      <c r="D10" s="7">
        <v>8.0</v>
      </c>
      <c r="E10" s="7">
        <v>16.0</v>
      </c>
      <c r="F10" s="2" t="s">
        <v>27</v>
      </c>
      <c r="G10" s="5"/>
      <c r="H10" s="5">
        <f t="shared" si="2"/>
        <v>45270</v>
      </c>
      <c r="I10" s="2" t="s">
        <v>7</v>
      </c>
      <c r="J10" s="2">
        <v>0.0</v>
      </c>
      <c r="K10" s="2"/>
    </row>
    <row r="11">
      <c r="B11" s="6" t="s">
        <v>28</v>
      </c>
      <c r="C11" s="7">
        <v>5.0</v>
      </c>
      <c r="D11" s="7">
        <v>6.0</v>
      </c>
      <c r="E11" s="7">
        <v>12.0</v>
      </c>
      <c r="F11" s="2" t="s">
        <v>29</v>
      </c>
      <c r="G11" s="5"/>
      <c r="H11" s="5">
        <f t="shared" si="2"/>
        <v>45271</v>
      </c>
      <c r="I11" s="2" t="s">
        <v>10</v>
      </c>
      <c r="J11" s="2">
        <v>5.0</v>
      </c>
      <c r="K11" s="2">
        <v>7.0</v>
      </c>
    </row>
    <row r="12">
      <c r="B12" s="6" t="s">
        <v>30</v>
      </c>
      <c r="C12" s="7">
        <v>8.0</v>
      </c>
      <c r="D12" s="7">
        <v>9.0</v>
      </c>
      <c r="E12" s="7">
        <v>14.0</v>
      </c>
      <c r="F12" s="2" t="s">
        <v>31</v>
      </c>
      <c r="G12" s="5"/>
      <c r="H12" s="5">
        <f t="shared" si="2"/>
        <v>45272</v>
      </c>
      <c r="I12" s="2" t="s">
        <v>13</v>
      </c>
      <c r="J12" s="2">
        <v>5.0</v>
      </c>
      <c r="K12" s="2">
        <v>8.0</v>
      </c>
    </row>
    <row r="13">
      <c r="B13" s="6" t="s">
        <v>32</v>
      </c>
      <c r="C13" s="7">
        <v>5.0</v>
      </c>
      <c r="D13" s="7">
        <v>6.0</v>
      </c>
      <c r="E13" s="7">
        <v>12.0</v>
      </c>
      <c r="F13" s="2" t="s">
        <v>33</v>
      </c>
      <c r="G13" s="5"/>
      <c r="H13" s="5">
        <f t="shared" si="2"/>
        <v>45273</v>
      </c>
      <c r="I13" s="2" t="s">
        <v>16</v>
      </c>
      <c r="J13" s="2">
        <v>5.0</v>
      </c>
      <c r="K13" s="2">
        <v>9.0</v>
      </c>
    </row>
    <row r="14">
      <c r="B14" s="6" t="s">
        <v>34</v>
      </c>
      <c r="C14" s="7">
        <v>10.0</v>
      </c>
      <c r="D14" s="7">
        <v>14.0</v>
      </c>
      <c r="E14" s="7">
        <v>20.0</v>
      </c>
      <c r="F14" s="2" t="s">
        <v>35</v>
      </c>
      <c r="G14" s="5"/>
      <c r="H14" s="5">
        <f t="shared" si="2"/>
        <v>45274</v>
      </c>
      <c r="I14" s="2" t="s">
        <v>19</v>
      </c>
      <c r="J14" s="2">
        <v>5.0</v>
      </c>
      <c r="K14" s="2">
        <v>10.0</v>
      </c>
    </row>
    <row r="15">
      <c r="B15" s="6" t="s">
        <v>36</v>
      </c>
      <c r="C15" s="9">
        <f t="shared" ref="C15:E15" si="3">SUM(C4:C14)</f>
        <v>67</v>
      </c>
      <c r="D15" s="9">
        <f t="shared" si="3"/>
        <v>81</v>
      </c>
      <c r="E15" s="9">
        <f t="shared" si="3"/>
        <v>143</v>
      </c>
      <c r="G15" s="5"/>
      <c r="H15" s="5">
        <f t="shared" si="2"/>
        <v>45275</v>
      </c>
      <c r="I15" s="2" t="s">
        <v>22</v>
      </c>
      <c r="J15" s="2">
        <v>5.0</v>
      </c>
      <c r="K15" s="2">
        <v>11.0</v>
      </c>
    </row>
    <row r="16">
      <c r="G16" s="5"/>
      <c r="H16" s="5">
        <f t="shared" si="2"/>
        <v>45276</v>
      </c>
      <c r="I16" s="2" t="s">
        <v>25</v>
      </c>
      <c r="J16" s="2">
        <v>0.0</v>
      </c>
    </row>
    <row r="17">
      <c r="B17" s="1" t="s">
        <v>37</v>
      </c>
      <c r="G17" s="5"/>
      <c r="H17" s="5">
        <f t="shared" si="2"/>
        <v>45277</v>
      </c>
      <c r="I17" s="2" t="s">
        <v>7</v>
      </c>
      <c r="J17" s="2">
        <v>0.0</v>
      </c>
    </row>
    <row r="18">
      <c r="G18" s="5"/>
      <c r="H18" s="5">
        <f t="shared" si="2"/>
        <v>45278</v>
      </c>
      <c r="I18" s="2" t="s">
        <v>10</v>
      </c>
      <c r="J18" s="2">
        <v>5.0</v>
      </c>
      <c r="K18" s="2">
        <v>12.0</v>
      </c>
    </row>
    <row r="19">
      <c r="B19" s="2" t="s">
        <v>38</v>
      </c>
      <c r="C19" s="2">
        <f>C2</f>
        <v>67</v>
      </c>
      <c r="D19" s="2" t="s">
        <v>3</v>
      </c>
      <c r="G19" s="5"/>
      <c r="H19" s="5">
        <f t="shared" si="2"/>
        <v>45279</v>
      </c>
      <c r="I19" s="2" t="s">
        <v>13</v>
      </c>
      <c r="J19" s="2">
        <v>5.0</v>
      </c>
      <c r="K19" s="2">
        <v>13.0</v>
      </c>
    </row>
    <row r="20">
      <c r="B20" s="2" t="s">
        <v>39</v>
      </c>
      <c r="C20" s="2">
        <f>D2</f>
        <v>81</v>
      </c>
      <c r="D20" s="2" t="s">
        <v>4</v>
      </c>
      <c r="J20" s="10">
        <f>SUM(J3:J19)</f>
        <v>64</v>
      </c>
    </row>
    <row r="21">
      <c r="B21" s="2" t="s">
        <v>40</v>
      </c>
      <c r="C21" s="2">
        <f>E2</f>
        <v>143</v>
      </c>
      <c r="D21" s="2" t="s">
        <v>5</v>
      </c>
    </row>
    <row r="22">
      <c r="B22" s="2" t="s">
        <v>41</v>
      </c>
    </row>
    <row r="24">
      <c r="B24" s="2" t="s">
        <v>42</v>
      </c>
      <c r="C24" s="11">
        <f>(C21+(4*C20)+C19)/6</f>
        <v>89</v>
      </c>
    </row>
    <row r="25">
      <c r="B25" s="2" t="s">
        <v>43</v>
      </c>
      <c r="C25" s="11">
        <f>(C21-C19)/6</f>
        <v>12.66666667</v>
      </c>
      <c r="D25" s="2" t="s">
        <v>44</v>
      </c>
    </row>
    <row r="26">
      <c r="B26" s="2" t="s">
        <v>45</v>
      </c>
      <c r="C26" s="11">
        <f>C24-C25</f>
        <v>76.33333333</v>
      </c>
    </row>
    <row r="27">
      <c r="B27" s="2" t="s">
        <v>46</v>
      </c>
      <c r="C27" s="11">
        <f>C24+C25</f>
        <v>101.6666667</v>
      </c>
    </row>
    <row r="28">
      <c r="C28" s="2" t="s">
        <v>47</v>
      </c>
      <c r="D28" s="2" t="s">
        <v>48</v>
      </c>
    </row>
    <row r="29">
      <c r="B29" s="2" t="s">
        <v>49</v>
      </c>
      <c r="C29" s="12">
        <v>0.9</v>
      </c>
      <c r="D29" s="13">
        <f>J20</f>
        <v>64</v>
      </c>
    </row>
    <row r="30">
      <c r="B30" s="2" t="s">
        <v>50</v>
      </c>
      <c r="C30" s="14">
        <f>NORMINV(C29,C24,C25)</f>
        <v>105.2329865</v>
      </c>
      <c r="D30" s="15">
        <f>_xlfn.NORM.DIST(D29,C24,C25,True)</f>
        <v>0.02420883082</v>
      </c>
    </row>
    <row r="32">
      <c r="B32" s="1" t="s">
        <v>51</v>
      </c>
      <c r="C32" s="12"/>
      <c r="D32" s="12"/>
      <c r="E32" s="12"/>
    </row>
    <row r="33">
      <c r="B33" s="12">
        <v>0.6</v>
      </c>
      <c r="C33" s="16">
        <f t="shared" ref="C33:E33" si="4">$B$33*C15</f>
        <v>40.2</v>
      </c>
      <c r="D33" s="16">
        <f t="shared" si="4"/>
        <v>48.6</v>
      </c>
      <c r="E33" s="16">
        <f t="shared" si="4"/>
        <v>85.8</v>
      </c>
    </row>
    <row r="35">
      <c r="B35" s="2" t="s">
        <v>38</v>
      </c>
      <c r="C35" s="2">
        <f>C33</f>
        <v>40.2</v>
      </c>
      <c r="D35" s="2" t="s">
        <v>3</v>
      </c>
    </row>
    <row r="36">
      <c r="B36" s="2" t="s">
        <v>39</v>
      </c>
      <c r="C36" s="2">
        <f>D33</f>
        <v>48.6</v>
      </c>
      <c r="D36" s="2" t="s">
        <v>4</v>
      </c>
    </row>
    <row r="37">
      <c r="B37" s="2" t="s">
        <v>40</v>
      </c>
      <c r="C37" s="2">
        <f>E33</f>
        <v>85.8</v>
      </c>
      <c r="D37" s="2" t="s">
        <v>5</v>
      </c>
    </row>
    <row r="38">
      <c r="B38" s="2" t="s">
        <v>41</v>
      </c>
    </row>
    <row r="40">
      <c r="B40" s="2" t="s">
        <v>42</v>
      </c>
      <c r="C40" s="11">
        <f>(C37+(4*C36)+C35)/6</f>
        <v>53.4</v>
      </c>
    </row>
    <row r="41">
      <c r="B41" s="2" t="s">
        <v>43</v>
      </c>
      <c r="C41" s="11">
        <f>(C37-C35)/6</f>
        <v>7.6</v>
      </c>
      <c r="D41" s="2" t="s">
        <v>44</v>
      </c>
    </row>
    <row r="42">
      <c r="B42" s="2" t="s">
        <v>45</v>
      </c>
      <c r="C42" s="11">
        <f>C40-C41</f>
        <v>45.8</v>
      </c>
    </row>
    <row r="43">
      <c r="B43" s="2" t="s">
        <v>46</v>
      </c>
      <c r="C43" s="11">
        <f>C40+C41</f>
        <v>61</v>
      </c>
    </row>
    <row r="44">
      <c r="C44" s="2" t="s">
        <v>47</v>
      </c>
      <c r="D44" s="2" t="s">
        <v>48</v>
      </c>
    </row>
    <row r="45">
      <c r="B45" s="2" t="s">
        <v>49</v>
      </c>
      <c r="C45" s="12">
        <v>0.9</v>
      </c>
      <c r="D45" s="13">
        <f>J20</f>
        <v>64</v>
      </c>
    </row>
    <row r="46">
      <c r="B46" s="2" t="s">
        <v>50</v>
      </c>
      <c r="C46" s="14">
        <f>NORMINV(C45,C40,C41)</f>
        <v>63.13979189</v>
      </c>
      <c r="D46" s="15">
        <f>_xlfn.NORM.DIST(D45,C40,C41,True)</f>
        <v>0.9184523947</v>
      </c>
    </row>
    <row r="51">
      <c r="G51" s="2" t="s">
        <v>52</v>
      </c>
    </row>
    <row r="52">
      <c r="G52" s="12">
        <v>1.0</v>
      </c>
      <c r="H52" s="12">
        <v>0.6</v>
      </c>
    </row>
    <row r="53">
      <c r="B53" s="12">
        <v>1.0</v>
      </c>
      <c r="D53" s="12">
        <v>0.6</v>
      </c>
    </row>
    <row r="54">
      <c r="A54" s="12">
        <v>1.0E-4</v>
      </c>
      <c r="B54" s="11">
        <f t="shared" ref="B54:B89" si="5">NORMINV(A54,$C$24,$C$25)</f>
        <v>41.89245789</v>
      </c>
      <c r="C54" s="17">
        <f t="shared" ref="C54:C89" si="6">NORMDIST(B54,$C$24,$C$25,False)</f>
        <v>0.00003125115566</v>
      </c>
      <c r="D54" s="11">
        <f t="shared" ref="D54:D89" si="7">NORMINV(A54,$C$40,$C$41)</f>
        <v>25.13547474</v>
      </c>
      <c r="E54" s="17">
        <f t="shared" ref="E54:E89" si="8">NORMDIST(D54,$C$40,$C$41,False)</f>
        <v>0.00005208525943</v>
      </c>
      <c r="G54" s="18">
        <f t="shared" ref="G54:G89" si="9">$D$45</f>
        <v>64</v>
      </c>
      <c r="H54" s="17">
        <f t="shared" ref="H54:H89" si="10">NORMDIST(G54,$C$40,$C$41,False)</f>
        <v>0.01984640871</v>
      </c>
    </row>
    <row r="55">
      <c r="A55" s="12">
        <v>5.0E-4</v>
      </c>
      <c r="B55" s="11">
        <f t="shared" si="5"/>
        <v>47.31999478</v>
      </c>
      <c r="C55" s="17">
        <f t="shared" si="6"/>
        <v>0.0001403045026</v>
      </c>
      <c r="D55" s="11">
        <f t="shared" si="7"/>
        <v>28.39199687</v>
      </c>
      <c r="E55" s="17">
        <f t="shared" si="8"/>
        <v>0.0002338408376</v>
      </c>
      <c r="G55" s="18">
        <f t="shared" si="9"/>
        <v>64</v>
      </c>
      <c r="H55" s="17">
        <f t="shared" si="10"/>
        <v>0.01984640871</v>
      </c>
    </row>
    <row r="56">
      <c r="A56" s="12">
        <v>0.001</v>
      </c>
      <c r="B56" s="11">
        <f t="shared" si="5"/>
        <v>49.85705747</v>
      </c>
      <c r="C56" s="17">
        <f t="shared" si="6"/>
        <v>0.000265822902</v>
      </c>
      <c r="D56" s="11">
        <f t="shared" si="7"/>
        <v>29.91423448</v>
      </c>
      <c r="E56" s="17">
        <f t="shared" si="8"/>
        <v>0.00044303817</v>
      </c>
      <c r="G56" s="18">
        <f t="shared" si="9"/>
        <v>64</v>
      </c>
      <c r="H56" s="17">
        <f t="shared" si="10"/>
        <v>0.01984640871</v>
      </c>
    </row>
    <row r="57">
      <c r="A57" s="12">
        <v>0.002</v>
      </c>
      <c r="B57" s="11">
        <f t="shared" si="5"/>
        <v>52.54328463</v>
      </c>
      <c r="C57" s="17">
        <f t="shared" si="6"/>
        <v>0.0005005415702</v>
      </c>
      <c r="D57" s="11">
        <f t="shared" si="7"/>
        <v>31.52597078</v>
      </c>
      <c r="E57" s="17">
        <f t="shared" si="8"/>
        <v>0.0008342359503</v>
      </c>
      <c r="G57" s="18">
        <f t="shared" si="9"/>
        <v>64</v>
      </c>
      <c r="H57" s="17">
        <f t="shared" si="10"/>
        <v>0.01984640871</v>
      </c>
    </row>
    <row r="58">
      <c r="A58" s="12">
        <v>0.004</v>
      </c>
      <c r="B58" s="11">
        <f t="shared" si="5"/>
        <v>55.40711573</v>
      </c>
      <c r="C58" s="17">
        <f t="shared" si="6"/>
        <v>0.0009352940887</v>
      </c>
      <c r="D58" s="11">
        <f t="shared" si="7"/>
        <v>33.24426944</v>
      </c>
      <c r="E58" s="17">
        <f t="shared" si="8"/>
        <v>0.001558823481</v>
      </c>
      <c r="G58" s="18">
        <f t="shared" si="9"/>
        <v>64</v>
      </c>
      <c r="H58" s="17">
        <f t="shared" si="10"/>
        <v>0.01984640871</v>
      </c>
    </row>
    <row r="59">
      <c r="A59" s="12">
        <v>0.008</v>
      </c>
      <c r="B59" s="11">
        <f t="shared" si="5"/>
        <v>58.48706973</v>
      </c>
      <c r="C59" s="17">
        <f t="shared" si="6"/>
        <v>0.001730492097</v>
      </c>
      <c r="D59" s="11">
        <f t="shared" si="7"/>
        <v>35.09224184</v>
      </c>
      <c r="E59" s="17">
        <f t="shared" si="8"/>
        <v>0.002884153495</v>
      </c>
      <c r="G59" s="18">
        <f t="shared" si="9"/>
        <v>64</v>
      </c>
      <c r="H59" s="17">
        <f t="shared" si="10"/>
        <v>0.01984640871</v>
      </c>
    </row>
    <row r="60">
      <c r="A60" s="12">
        <v>0.01</v>
      </c>
      <c r="B60" s="11">
        <f t="shared" si="5"/>
        <v>59.53292692</v>
      </c>
      <c r="C60" s="17">
        <f t="shared" si="6"/>
        <v>0.002104116488</v>
      </c>
      <c r="D60" s="11">
        <f t="shared" si="7"/>
        <v>35.71975615</v>
      </c>
      <c r="E60" s="17">
        <f t="shared" si="8"/>
        <v>0.003506860813</v>
      </c>
      <c r="G60" s="18">
        <f t="shared" si="9"/>
        <v>64</v>
      </c>
      <c r="H60" s="17">
        <f t="shared" si="10"/>
        <v>0.01984640871</v>
      </c>
    </row>
    <row r="61">
      <c r="A61" s="12">
        <v>0.02</v>
      </c>
      <c r="B61" s="11">
        <f t="shared" si="5"/>
        <v>62.98584715</v>
      </c>
      <c r="C61" s="17">
        <f t="shared" si="6"/>
        <v>0.003822484424</v>
      </c>
      <c r="D61" s="11">
        <f t="shared" si="7"/>
        <v>37.79150829</v>
      </c>
      <c r="E61" s="17">
        <f t="shared" si="8"/>
        <v>0.006370807374</v>
      </c>
      <c r="G61" s="18">
        <f t="shared" si="9"/>
        <v>64</v>
      </c>
      <c r="H61" s="17">
        <f t="shared" si="10"/>
        <v>0.01984640871</v>
      </c>
    </row>
    <row r="62">
      <c r="A62" s="12">
        <v>0.03</v>
      </c>
      <c r="B62" s="11">
        <f t="shared" si="5"/>
        <v>65.17661432</v>
      </c>
      <c r="C62" s="17">
        <f t="shared" si="6"/>
        <v>0.005371733028</v>
      </c>
      <c r="D62" s="11">
        <f t="shared" si="7"/>
        <v>39.10596859</v>
      </c>
      <c r="E62" s="17">
        <f t="shared" si="8"/>
        <v>0.00895288838</v>
      </c>
      <c r="G62" s="18">
        <f t="shared" si="9"/>
        <v>64</v>
      </c>
      <c r="H62" s="17">
        <f t="shared" si="10"/>
        <v>0.01984640871</v>
      </c>
    </row>
    <row r="63">
      <c r="A63" s="12">
        <v>0.04</v>
      </c>
      <c r="B63" s="11">
        <f t="shared" si="5"/>
        <v>66.82464308</v>
      </c>
      <c r="C63" s="17">
        <f t="shared" si="6"/>
        <v>0.006803192667</v>
      </c>
      <c r="D63" s="11">
        <f t="shared" si="7"/>
        <v>40.09478585</v>
      </c>
      <c r="E63" s="17">
        <f t="shared" si="8"/>
        <v>0.01133865445</v>
      </c>
      <c r="G63" s="18">
        <f t="shared" si="9"/>
        <v>64</v>
      </c>
      <c r="H63" s="17">
        <f t="shared" si="10"/>
        <v>0.01984640871</v>
      </c>
    </row>
    <row r="64">
      <c r="A64" s="12">
        <v>0.05</v>
      </c>
      <c r="B64" s="11">
        <f t="shared" si="5"/>
        <v>68.16518741</v>
      </c>
      <c r="C64" s="17">
        <f t="shared" si="6"/>
        <v>0.008142287422</v>
      </c>
      <c r="D64" s="11">
        <f t="shared" si="7"/>
        <v>40.89911245</v>
      </c>
      <c r="E64" s="17">
        <f t="shared" si="8"/>
        <v>0.01357047904</v>
      </c>
      <c r="G64" s="18">
        <f t="shared" si="9"/>
        <v>64</v>
      </c>
      <c r="H64" s="17">
        <f t="shared" si="10"/>
        <v>0.01984640871</v>
      </c>
    </row>
    <row r="65">
      <c r="A65" s="12">
        <v>0.1</v>
      </c>
      <c r="B65" s="11">
        <f t="shared" si="5"/>
        <v>72.76701352</v>
      </c>
      <c r="C65" s="17">
        <f t="shared" si="6"/>
        <v>0.01385513149</v>
      </c>
      <c r="D65" s="11">
        <f t="shared" si="7"/>
        <v>43.66020811</v>
      </c>
      <c r="E65" s="17">
        <f t="shared" si="8"/>
        <v>0.02309188582</v>
      </c>
      <c r="G65" s="18">
        <f t="shared" si="9"/>
        <v>64</v>
      </c>
      <c r="H65" s="17">
        <f t="shared" si="10"/>
        <v>0.01984640871</v>
      </c>
    </row>
    <row r="66">
      <c r="A66" s="12">
        <v>0.15</v>
      </c>
      <c r="B66" s="11">
        <f t="shared" si="5"/>
        <v>75.87184372</v>
      </c>
      <c r="C66" s="17">
        <f t="shared" si="6"/>
        <v>0.01840727171</v>
      </c>
      <c r="D66" s="11">
        <f t="shared" si="7"/>
        <v>45.52310623</v>
      </c>
      <c r="E66" s="17">
        <f t="shared" si="8"/>
        <v>0.03067878618</v>
      </c>
      <c r="G66" s="18">
        <f t="shared" si="9"/>
        <v>64</v>
      </c>
      <c r="H66" s="17">
        <f t="shared" si="10"/>
        <v>0.01984640871</v>
      </c>
    </row>
    <row r="67">
      <c r="A67" s="12">
        <v>0.2</v>
      </c>
      <c r="B67" s="11">
        <f t="shared" si="5"/>
        <v>78.33946439</v>
      </c>
      <c r="C67" s="17">
        <f t="shared" si="6"/>
        <v>0.02210225689</v>
      </c>
      <c r="D67" s="11">
        <f t="shared" si="7"/>
        <v>47.00367863</v>
      </c>
      <c r="E67" s="17">
        <f t="shared" si="8"/>
        <v>0.03683709482</v>
      </c>
      <c r="G67" s="18">
        <f t="shared" si="9"/>
        <v>64</v>
      </c>
      <c r="H67" s="17">
        <f t="shared" si="10"/>
        <v>0.01984640871</v>
      </c>
    </row>
    <row r="68">
      <c r="A68" s="12">
        <v>0.25</v>
      </c>
      <c r="B68" s="11">
        <f t="shared" si="5"/>
        <v>80.45646316</v>
      </c>
      <c r="C68" s="17">
        <f t="shared" si="6"/>
        <v>0.02508762416</v>
      </c>
      <c r="D68" s="11">
        <f t="shared" si="7"/>
        <v>48.2738779</v>
      </c>
      <c r="E68" s="17">
        <f t="shared" si="8"/>
        <v>0.04181270693</v>
      </c>
      <c r="G68" s="18">
        <f t="shared" si="9"/>
        <v>64</v>
      </c>
      <c r="H68" s="17">
        <f t="shared" si="10"/>
        <v>0.01984640871</v>
      </c>
    </row>
    <row r="69">
      <c r="A69" s="12">
        <v>0.3</v>
      </c>
      <c r="B69" s="11">
        <f t="shared" si="5"/>
        <v>82.3575935</v>
      </c>
      <c r="C69" s="17">
        <f t="shared" si="6"/>
        <v>0.0274494169</v>
      </c>
      <c r="D69" s="11">
        <f t="shared" si="7"/>
        <v>49.4145561</v>
      </c>
      <c r="E69" s="17">
        <f t="shared" si="8"/>
        <v>0.04574902817</v>
      </c>
      <c r="G69" s="18">
        <f t="shared" si="9"/>
        <v>64</v>
      </c>
      <c r="H69" s="17">
        <f t="shared" si="10"/>
        <v>0.01984640871</v>
      </c>
    </row>
    <row r="70">
      <c r="A70" s="12">
        <v>0.35</v>
      </c>
      <c r="B70" s="11">
        <f t="shared" si="5"/>
        <v>84.11927409</v>
      </c>
      <c r="C70" s="17">
        <f t="shared" si="6"/>
        <v>0.02924202666</v>
      </c>
      <c r="D70" s="11">
        <f t="shared" si="7"/>
        <v>50.47156446</v>
      </c>
      <c r="E70" s="17">
        <f t="shared" si="8"/>
        <v>0.04873671111</v>
      </c>
      <c r="G70" s="18">
        <f t="shared" si="9"/>
        <v>64</v>
      </c>
      <c r="H70" s="17">
        <f t="shared" si="10"/>
        <v>0.01984640871</v>
      </c>
    </row>
    <row r="71">
      <c r="A71" s="12">
        <v>0.4</v>
      </c>
      <c r="B71" s="11">
        <f t="shared" si="5"/>
        <v>85.7909367</v>
      </c>
      <c r="C71" s="17">
        <f t="shared" si="6"/>
        <v>0.03050072633</v>
      </c>
      <c r="D71" s="11">
        <f t="shared" si="7"/>
        <v>51.47456202</v>
      </c>
      <c r="E71" s="17">
        <f t="shared" si="8"/>
        <v>0.05083454388</v>
      </c>
      <c r="G71" s="18">
        <f t="shared" si="9"/>
        <v>64</v>
      </c>
      <c r="H71" s="17">
        <f t="shared" si="10"/>
        <v>0.01984640871</v>
      </c>
    </row>
    <row r="72">
      <c r="A72" s="12">
        <v>0.45</v>
      </c>
      <c r="B72" s="11">
        <f t="shared" si="5"/>
        <v>87.40828961</v>
      </c>
      <c r="C72" s="17">
        <f t="shared" si="6"/>
        <v>0.03124775356</v>
      </c>
      <c r="D72" s="11">
        <f t="shared" si="7"/>
        <v>52.44497376</v>
      </c>
      <c r="E72" s="17">
        <f t="shared" si="8"/>
        <v>0.05207958927</v>
      </c>
      <c r="G72" s="18">
        <f t="shared" si="9"/>
        <v>64</v>
      </c>
      <c r="H72" s="17">
        <f t="shared" si="10"/>
        <v>0.01984640871</v>
      </c>
    </row>
    <row r="73">
      <c r="A73" s="12">
        <v>0.5</v>
      </c>
      <c r="B73" s="11">
        <f t="shared" si="5"/>
        <v>89</v>
      </c>
      <c r="C73" s="17">
        <f t="shared" si="6"/>
        <v>0.03149544319</v>
      </c>
      <c r="D73" s="11">
        <f t="shared" si="7"/>
        <v>53.4</v>
      </c>
      <c r="E73" s="17">
        <f t="shared" si="8"/>
        <v>0.05249240532</v>
      </c>
      <c r="G73" s="18">
        <f t="shared" si="9"/>
        <v>64</v>
      </c>
      <c r="H73" s="17">
        <f t="shared" si="10"/>
        <v>0.01984640871</v>
      </c>
    </row>
    <row r="74">
      <c r="A74" s="12">
        <v>0.55</v>
      </c>
      <c r="B74" s="11">
        <f t="shared" si="5"/>
        <v>90.59171039</v>
      </c>
      <c r="C74" s="17">
        <f t="shared" si="6"/>
        <v>0.03124775356</v>
      </c>
      <c r="D74" s="11">
        <f t="shared" si="7"/>
        <v>54.35502624</v>
      </c>
      <c r="E74" s="17">
        <f t="shared" si="8"/>
        <v>0.05207958927</v>
      </c>
      <c r="G74" s="18">
        <f t="shared" si="9"/>
        <v>64</v>
      </c>
      <c r="H74" s="17">
        <f t="shared" si="10"/>
        <v>0.01984640871</v>
      </c>
    </row>
    <row r="75">
      <c r="A75" s="12">
        <v>0.6</v>
      </c>
      <c r="B75" s="11">
        <f t="shared" si="5"/>
        <v>92.2090633</v>
      </c>
      <c r="C75" s="17">
        <f t="shared" si="6"/>
        <v>0.03050072633</v>
      </c>
      <c r="D75" s="11">
        <f t="shared" si="7"/>
        <v>55.32543798</v>
      </c>
      <c r="E75" s="17">
        <f t="shared" si="8"/>
        <v>0.05083454388</v>
      </c>
      <c r="G75" s="18">
        <f t="shared" si="9"/>
        <v>64</v>
      </c>
      <c r="H75" s="17">
        <f t="shared" si="10"/>
        <v>0.01984640871</v>
      </c>
    </row>
    <row r="76">
      <c r="A76" s="12">
        <v>0.65</v>
      </c>
      <c r="B76" s="11">
        <f t="shared" si="5"/>
        <v>93.88072591</v>
      </c>
      <c r="C76" s="17">
        <f t="shared" si="6"/>
        <v>0.02924202666</v>
      </c>
      <c r="D76" s="11">
        <f t="shared" si="7"/>
        <v>56.32843554</v>
      </c>
      <c r="E76" s="17">
        <f t="shared" si="8"/>
        <v>0.04873671111</v>
      </c>
      <c r="G76" s="18">
        <f t="shared" si="9"/>
        <v>64</v>
      </c>
      <c r="H76" s="17">
        <f t="shared" si="10"/>
        <v>0.01984640871</v>
      </c>
    </row>
    <row r="77">
      <c r="A77" s="12">
        <v>0.7</v>
      </c>
      <c r="B77" s="11">
        <f t="shared" si="5"/>
        <v>95.6424065</v>
      </c>
      <c r="C77" s="17">
        <f t="shared" si="6"/>
        <v>0.0274494169</v>
      </c>
      <c r="D77" s="11">
        <f t="shared" si="7"/>
        <v>57.3854439</v>
      </c>
      <c r="E77" s="17">
        <f t="shared" si="8"/>
        <v>0.04574902817</v>
      </c>
      <c r="G77" s="18">
        <f t="shared" si="9"/>
        <v>64</v>
      </c>
      <c r="H77" s="17">
        <f t="shared" si="10"/>
        <v>0.01984640871</v>
      </c>
    </row>
    <row r="78">
      <c r="A78" s="12">
        <v>0.75</v>
      </c>
      <c r="B78" s="11">
        <f t="shared" si="5"/>
        <v>97.54353684</v>
      </c>
      <c r="C78" s="17">
        <f t="shared" si="6"/>
        <v>0.02508762416</v>
      </c>
      <c r="D78" s="11">
        <f t="shared" si="7"/>
        <v>58.5261221</v>
      </c>
      <c r="E78" s="17">
        <f t="shared" si="8"/>
        <v>0.04181270693</v>
      </c>
      <c r="G78" s="18">
        <f t="shared" si="9"/>
        <v>64</v>
      </c>
      <c r="H78" s="17">
        <f t="shared" si="10"/>
        <v>0.01984640871</v>
      </c>
    </row>
    <row r="79">
      <c r="A79" s="12">
        <v>0.8</v>
      </c>
      <c r="B79" s="11">
        <f t="shared" si="5"/>
        <v>99.66053561</v>
      </c>
      <c r="C79" s="17">
        <f t="shared" si="6"/>
        <v>0.02210225689</v>
      </c>
      <c r="D79" s="11">
        <f t="shared" si="7"/>
        <v>59.79632137</v>
      </c>
      <c r="E79" s="17">
        <f t="shared" si="8"/>
        <v>0.03683709482</v>
      </c>
      <c r="G79" s="18">
        <f t="shared" si="9"/>
        <v>64</v>
      </c>
      <c r="H79" s="17">
        <f t="shared" si="10"/>
        <v>0.01984640871</v>
      </c>
    </row>
    <row r="80">
      <c r="A80" s="12">
        <v>0.85</v>
      </c>
      <c r="B80" s="11">
        <f t="shared" si="5"/>
        <v>102.1281563</v>
      </c>
      <c r="C80" s="17">
        <f t="shared" si="6"/>
        <v>0.01840727171</v>
      </c>
      <c r="D80" s="11">
        <f t="shared" si="7"/>
        <v>61.27689377</v>
      </c>
      <c r="E80" s="17">
        <f t="shared" si="8"/>
        <v>0.03067878618</v>
      </c>
      <c r="G80" s="18">
        <f t="shared" si="9"/>
        <v>64</v>
      </c>
      <c r="H80" s="17">
        <f t="shared" si="10"/>
        <v>0.01984640871</v>
      </c>
    </row>
    <row r="81">
      <c r="A81" s="12">
        <v>0.9</v>
      </c>
      <c r="B81" s="11">
        <f t="shared" si="5"/>
        <v>105.2329865</v>
      </c>
      <c r="C81" s="17">
        <f t="shared" si="6"/>
        <v>0.01385513149</v>
      </c>
      <c r="D81" s="11">
        <f t="shared" si="7"/>
        <v>63.13979189</v>
      </c>
      <c r="E81" s="17">
        <f t="shared" si="8"/>
        <v>0.02309188582</v>
      </c>
      <c r="G81" s="18">
        <f t="shared" si="9"/>
        <v>64</v>
      </c>
      <c r="H81" s="17">
        <f t="shared" si="10"/>
        <v>0.01984640871</v>
      </c>
    </row>
    <row r="82">
      <c r="A82" s="12">
        <v>0.95</v>
      </c>
      <c r="B82" s="11">
        <f t="shared" si="5"/>
        <v>109.8348126</v>
      </c>
      <c r="C82" s="17">
        <f t="shared" si="6"/>
        <v>0.008142287422</v>
      </c>
      <c r="D82" s="11">
        <f t="shared" si="7"/>
        <v>65.90088755</v>
      </c>
      <c r="E82" s="17">
        <f t="shared" si="8"/>
        <v>0.01357047904</v>
      </c>
      <c r="G82" s="18">
        <f t="shared" si="9"/>
        <v>64</v>
      </c>
      <c r="H82" s="17">
        <f t="shared" si="10"/>
        <v>0.01984640871</v>
      </c>
    </row>
    <row r="83">
      <c r="A83" s="12">
        <f t="shared" ref="A83:A89" si="11">100%-I83</f>
        <v>0.99</v>
      </c>
      <c r="B83" s="11">
        <f t="shared" si="5"/>
        <v>118.4670731</v>
      </c>
      <c r="C83" s="17">
        <f t="shared" si="6"/>
        <v>0.002104116488</v>
      </c>
      <c r="D83" s="11">
        <f t="shared" si="7"/>
        <v>71.08024385</v>
      </c>
      <c r="E83" s="17">
        <f t="shared" si="8"/>
        <v>0.003506860813</v>
      </c>
      <c r="G83" s="18">
        <f t="shared" si="9"/>
        <v>64</v>
      </c>
      <c r="H83" s="17">
        <f t="shared" si="10"/>
        <v>0.01984640871</v>
      </c>
      <c r="I83" s="12">
        <v>0.01</v>
      </c>
    </row>
    <row r="84">
      <c r="A84" s="12">
        <f t="shared" si="11"/>
        <v>0.992</v>
      </c>
      <c r="B84" s="11">
        <f t="shared" si="5"/>
        <v>119.5129303</v>
      </c>
      <c r="C84" s="17">
        <f t="shared" si="6"/>
        <v>0.001730492097</v>
      </c>
      <c r="D84" s="11">
        <f t="shared" si="7"/>
        <v>71.70775816</v>
      </c>
      <c r="E84" s="17">
        <f t="shared" si="8"/>
        <v>0.002884153495</v>
      </c>
      <c r="G84" s="18">
        <f t="shared" si="9"/>
        <v>64</v>
      </c>
      <c r="H84" s="17">
        <f t="shared" si="10"/>
        <v>0.01984640871</v>
      </c>
      <c r="I84" s="12">
        <v>0.008</v>
      </c>
    </row>
    <row r="85">
      <c r="A85" s="12">
        <f t="shared" si="11"/>
        <v>0.996</v>
      </c>
      <c r="B85" s="11">
        <f t="shared" si="5"/>
        <v>122.5928843</v>
      </c>
      <c r="C85" s="17">
        <f t="shared" si="6"/>
        <v>0.0009352940887</v>
      </c>
      <c r="D85" s="11">
        <f t="shared" si="7"/>
        <v>73.55573056</v>
      </c>
      <c r="E85" s="17">
        <f t="shared" si="8"/>
        <v>0.001558823481</v>
      </c>
      <c r="G85" s="18">
        <f t="shared" si="9"/>
        <v>64</v>
      </c>
      <c r="H85" s="17">
        <f t="shared" si="10"/>
        <v>0.01984640871</v>
      </c>
      <c r="I85" s="12">
        <v>0.004</v>
      </c>
    </row>
    <row r="86">
      <c r="A86" s="12">
        <f t="shared" si="11"/>
        <v>0.998</v>
      </c>
      <c r="B86" s="11">
        <f t="shared" si="5"/>
        <v>125.4567154</v>
      </c>
      <c r="C86" s="17">
        <f t="shared" si="6"/>
        <v>0.0005005415702</v>
      </c>
      <c r="D86" s="11">
        <f t="shared" si="7"/>
        <v>75.27402922</v>
      </c>
      <c r="E86" s="17">
        <f t="shared" si="8"/>
        <v>0.0008342359503</v>
      </c>
      <c r="G86" s="18">
        <f t="shared" si="9"/>
        <v>64</v>
      </c>
      <c r="H86" s="17">
        <f t="shared" si="10"/>
        <v>0.01984640871</v>
      </c>
      <c r="I86" s="12">
        <v>0.002</v>
      </c>
    </row>
    <row r="87">
      <c r="A87" s="12">
        <f t="shared" si="11"/>
        <v>0.999</v>
      </c>
      <c r="B87" s="11">
        <f t="shared" si="5"/>
        <v>128.1429425</v>
      </c>
      <c r="C87" s="17">
        <f t="shared" si="6"/>
        <v>0.000265822902</v>
      </c>
      <c r="D87" s="11">
        <f t="shared" si="7"/>
        <v>76.88576552</v>
      </c>
      <c r="E87" s="17">
        <f t="shared" si="8"/>
        <v>0.00044303817</v>
      </c>
      <c r="G87" s="18">
        <f t="shared" si="9"/>
        <v>64</v>
      </c>
      <c r="H87" s="17">
        <f t="shared" si="10"/>
        <v>0.01984640871</v>
      </c>
      <c r="I87" s="12">
        <v>0.001</v>
      </c>
    </row>
    <row r="88">
      <c r="A88" s="12">
        <f t="shared" si="11"/>
        <v>0.9995</v>
      </c>
      <c r="B88" s="11">
        <f t="shared" si="5"/>
        <v>130.6800052</v>
      </c>
      <c r="C88" s="17">
        <f t="shared" si="6"/>
        <v>0.0001403045026</v>
      </c>
      <c r="D88" s="11">
        <f t="shared" si="7"/>
        <v>78.40800313</v>
      </c>
      <c r="E88" s="17">
        <f t="shared" si="8"/>
        <v>0.0002338408376</v>
      </c>
      <c r="G88" s="18">
        <f t="shared" si="9"/>
        <v>64</v>
      </c>
      <c r="H88" s="17">
        <f t="shared" si="10"/>
        <v>0.01984640871</v>
      </c>
      <c r="I88" s="12">
        <v>5.0E-4</v>
      </c>
    </row>
    <row r="89">
      <c r="A89" s="12">
        <f t="shared" si="11"/>
        <v>0.9999</v>
      </c>
      <c r="B89" s="11">
        <f t="shared" si="5"/>
        <v>136.1075421</v>
      </c>
      <c r="C89" s="17">
        <f t="shared" si="6"/>
        <v>0.00003125115566</v>
      </c>
      <c r="D89" s="11">
        <f t="shared" si="7"/>
        <v>81.66452526</v>
      </c>
      <c r="E89" s="17">
        <f t="shared" si="8"/>
        <v>0.00005208525943</v>
      </c>
      <c r="G89" s="18">
        <f t="shared" si="9"/>
        <v>64</v>
      </c>
      <c r="H89" s="17">
        <f t="shared" si="10"/>
        <v>0.01984640871</v>
      </c>
      <c r="I89" s="12">
        <v>1.0E-4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5.13"/>
  </cols>
  <sheetData>
    <row r="3">
      <c r="A3" s="19" t="s">
        <v>53</v>
      </c>
      <c r="B3" s="19" t="s">
        <v>54</v>
      </c>
      <c r="C3" s="19" t="s">
        <v>55</v>
      </c>
      <c r="D3" s="19" t="s">
        <v>56</v>
      </c>
      <c r="E3" s="19" t="s">
        <v>57</v>
      </c>
      <c r="F3" s="19" t="s">
        <v>58</v>
      </c>
      <c r="G3" s="4" t="s">
        <v>59</v>
      </c>
      <c r="K3" s="4" t="s">
        <v>60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21">
        <f>E4</f>
        <v>6</v>
      </c>
      <c r="B4" s="5">
        <v>45263.0</v>
      </c>
      <c r="C4" s="2" t="s">
        <v>61</v>
      </c>
      <c r="D4" s="22" t="s">
        <v>62</v>
      </c>
      <c r="E4" s="21">
        <f t="shared" ref="E4:E68" si="1">M4</f>
        <v>6</v>
      </c>
      <c r="F4" s="2" t="s">
        <v>63</v>
      </c>
      <c r="G4" s="17" t="str">
        <f>IFERROR(__xludf.DUMMYFUNCTION("REGEXEXTRACT(C4,""\d*"")"),"10")</f>
        <v>10</v>
      </c>
      <c r="H4" s="17" t="str">
        <f>IFERROR(__xludf.DUMMYFUNCTION("REGEXEXTRACT(C4,""..$"")"),"00")</f>
        <v>00</v>
      </c>
      <c r="I4" s="17" t="str">
        <f>IFERROR(__xludf.DUMMYFUNCTION("REGEXEXTRACT(D4,""\d*"")"),"16")</f>
        <v>16</v>
      </c>
      <c r="J4" s="17" t="str">
        <f>IFERROR(__xludf.DUMMYFUNCTION("REGEXEXTRACT(D4,""..$"")"),"00")</f>
        <v>00</v>
      </c>
      <c r="K4" s="17">
        <f t="shared" ref="K4:K68" si="2">IF(AND(H4&gt;J4,I4-G4=1),0,I4-G4)</f>
        <v>6</v>
      </c>
      <c r="L4" s="17">
        <f t="shared" ref="L4:L68" si="3">if(H4&gt;J4,60-H4,if(J4-H4&lt;0,J4+H4,J4-H4))</f>
        <v>0</v>
      </c>
      <c r="M4" s="17">
        <f t="shared" ref="M4:M68" si="4">(L4/60)+K4</f>
        <v>6</v>
      </c>
    </row>
    <row r="5">
      <c r="A5" s="21">
        <f t="shared" ref="A5:A68" si="5">E5+A4</f>
        <v>11.11666667</v>
      </c>
      <c r="B5" s="5">
        <v>45264.0</v>
      </c>
      <c r="C5" s="2" t="s">
        <v>64</v>
      </c>
      <c r="D5" s="2" t="s">
        <v>65</v>
      </c>
      <c r="E5" s="21">
        <f t="shared" si="1"/>
        <v>5.116666667</v>
      </c>
      <c r="F5" s="2" t="s">
        <v>66</v>
      </c>
      <c r="G5" s="17" t="str">
        <f>IFERROR(__xludf.DUMMYFUNCTION("REGEXEXTRACT(C5,""\d*"")"),"06")</f>
        <v>06</v>
      </c>
      <c r="H5" s="17" t="str">
        <f>IFERROR(__xludf.DUMMYFUNCTION("REGEXEXTRACT(C5,""..$"")"),"30")</f>
        <v>30</v>
      </c>
      <c r="I5" s="17" t="str">
        <f>IFERROR(__xludf.DUMMYFUNCTION("REGEXEXTRACT(D5,""\d*"")"),"11")</f>
        <v>11</v>
      </c>
      <c r="J5" s="17" t="str">
        <f>IFERROR(__xludf.DUMMYFUNCTION("REGEXEXTRACT(D5,""..$"")"),"37")</f>
        <v>37</v>
      </c>
      <c r="K5" s="17">
        <f t="shared" si="2"/>
        <v>5</v>
      </c>
      <c r="L5" s="17">
        <f t="shared" si="3"/>
        <v>7</v>
      </c>
      <c r="M5" s="17">
        <f t="shared" si="4"/>
        <v>5.116666667</v>
      </c>
    </row>
    <row r="6">
      <c r="A6" s="21">
        <f t="shared" si="5"/>
        <v>13.48333333</v>
      </c>
      <c r="B6" s="5">
        <v>45264.0</v>
      </c>
      <c r="C6" s="2" t="s">
        <v>67</v>
      </c>
      <c r="D6" s="2" t="s">
        <v>68</v>
      </c>
      <c r="E6" s="21">
        <f t="shared" si="1"/>
        <v>2.366666667</v>
      </c>
      <c r="F6" s="23" t="s">
        <v>69</v>
      </c>
      <c r="G6" s="17" t="str">
        <f>IFERROR(__xludf.DUMMYFUNCTION("REGEXEXTRACT(C6,""\d*"")"),"10")</f>
        <v>10</v>
      </c>
      <c r="H6" s="17" t="str">
        <f>IFERROR(__xludf.DUMMYFUNCTION("REGEXEXTRACT(C6,""..$"")"),"38")</f>
        <v>38</v>
      </c>
      <c r="I6" s="17" t="str">
        <f>IFERROR(__xludf.DUMMYFUNCTION("REGEXEXTRACT(D6,""\d*"")"),"12")</f>
        <v>12</v>
      </c>
      <c r="J6" s="17" t="str">
        <f>IFERROR(__xludf.DUMMYFUNCTION("REGEXEXTRACT(D6,""..$"")"),"30")</f>
        <v>30</v>
      </c>
      <c r="K6" s="17">
        <f t="shared" si="2"/>
        <v>2</v>
      </c>
      <c r="L6" s="17">
        <f t="shared" si="3"/>
        <v>22</v>
      </c>
      <c r="M6" s="17">
        <f t="shared" si="4"/>
        <v>2.366666667</v>
      </c>
    </row>
    <row r="7">
      <c r="A7" s="21">
        <f t="shared" si="5"/>
        <v>13.81666667</v>
      </c>
      <c r="B7" s="5">
        <v>45264.0</v>
      </c>
      <c r="C7" s="2" t="s">
        <v>70</v>
      </c>
      <c r="D7" s="2" t="s">
        <v>71</v>
      </c>
      <c r="E7" s="21">
        <f t="shared" si="1"/>
        <v>0.3333333333</v>
      </c>
      <c r="F7" s="2" t="s">
        <v>72</v>
      </c>
      <c r="G7" s="17" t="str">
        <f>IFERROR(__xludf.DUMMYFUNCTION("REGEXEXTRACT(C7,""\d*"")"),"13")</f>
        <v>13</v>
      </c>
      <c r="H7" s="17" t="str">
        <f>IFERROR(__xludf.DUMMYFUNCTION("REGEXEXTRACT(C7,""..$"")"),"40")</f>
        <v>40</v>
      </c>
      <c r="I7" s="17" t="str">
        <f>IFERROR(__xludf.DUMMYFUNCTION("REGEXEXTRACT(D7,""\d*"")"),"14")</f>
        <v>14</v>
      </c>
      <c r="J7" s="17" t="str">
        <f>IFERROR(__xludf.DUMMYFUNCTION("REGEXEXTRACT(D7,""..$"")"),"09")</f>
        <v>09</v>
      </c>
      <c r="K7" s="17">
        <f t="shared" si="2"/>
        <v>0</v>
      </c>
      <c r="L7" s="17">
        <f t="shared" si="3"/>
        <v>20</v>
      </c>
      <c r="M7" s="17">
        <f t="shared" si="4"/>
        <v>0.3333333333</v>
      </c>
    </row>
    <row r="8">
      <c r="A8" s="21">
        <f t="shared" si="5"/>
        <v>14.81666667</v>
      </c>
      <c r="B8" s="5">
        <v>45264.0</v>
      </c>
      <c r="C8" s="2" t="s">
        <v>73</v>
      </c>
      <c r="D8" s="2" t="s">
        <v>74</v>
      </c>
      <c r="E8" s="21">
        <f t="shared" si="1"/>
        <v>1</v>
      </c>
      <c r="F8" s="23" t="s">
        <v>75</v>
      </c>
      <c r="G8" s="17" t="str">
        <f>IFERROR(__xludf.DUMMYFUNCTION("REGEXEXTRACT(C8,""\d*"")"),"15")</f>
        <v>15</v>
      </c>
      <c r="H8" s="17" t="str">
        <f>IFERROR(__xludf.DUMMYFUNCTION("REGEXEXTRACT(C8,""..$"")"),"15")</f>
        <v>15</v>
      </c>
      <c r="I8" s="17" t="str">
        <f>IFERROR(__xludf.DUMMYFUNCTION("REGEXEXTRACT(D8,""\d*"")"),"16")</f>
        <v>16</v>
      </c>
      <c r="J8" s="17" t="str">
        <f>IFERROR(__xludf.DUMMYFUNCTION("REGEXEXTRACT(D8,""..$"")"),"15")</f>
        <v>15</v>
      </c>
      <c r="K8" s="17">
        <f t="shared" si="2"/>
        <v>1</v>
      </c>
      <c r="L8" s="17">
        <f t="shared" si="3"/>
        <v>0</v>
      </c>
      <c r="M8" s="17">
        <f t="shared" si="4"/>
        <v>1</v>
      </c>
    </row>
    <row r="9">
      <c r="A9" s="21">
        <f t="shared" si="5"/>
        <v>19.51666667</v>
      </c>
      <c r="B9" s="5">
        <v>45264.0</v>
      </c>
      <c r="C9" s="2" t="s">
        <v>76</v>
      </c>
      <c r="D9" s="2" t="s">
        <v>77</v>
      </c>
      <c r="E9" s="21">
        <f t="shared" si="1"/>
        <v>4.7</v>
      </c>
      <c r="F9" s="2" t="s">
        <v>78</v>
      </c>
      <c r="G9" s="17" t="str">
        <f>IFERROR(__xludf.DUMMYFUNCTION("REGEXEXTRACT(C9,""\d*"")"),"20")</f>
        <v>20</v>
      </c>
      <c r="H9" s="17" t="str">
        <f>IFERROR(__xludf.DUMMYFUNCTION("REGEXEXTRACT(C9,""..$"")"),"18")</f>
        <v>18</v>
      </c>
      <c r="I9" s="17" t="str">
        <f>IFERROR(__xludf.DUMMYFUNCTION("REGEXEXTRACT(D9,""\d*"")"),"24")</f>
        <v>24</v>
      </c>
      <c r="J9" s="17" t="str">
        <f>IFERROR(__xludf.DUMMYFUNCTION("REGEXEXTRACT(D9,""..$"")"),"00")</f>
        <v>00</v>
      </c>
      <c r="K9" s="17">
        <f t="shared" si="2"/>
        <v>4</v>
      </c>
      <c r="L9" s="17">
        <f t="shared" si="3"/>
        <v>42</v>
      </c>
      <c r="M9" s="17">
        <f t="shared" si="4"/>
        <v>4.7</v>
      </c>
    </row>
    <row r="10">
      <c r="A10" s="21">
        <f t="shared" si="5"/>
        <v>24.18333333</v>
      </c>
      <c r="B10" s="5">
        <v>45265.0</v>
      </c>
      <c r="C10" s="2" t="s">
        <v>79</v>
      </c>
      <c r="D10" s="2" t="s">
        <v>80</v>
      </c>
      <c r="E10" s="21">
        <f t="shared" si="1"/>
        <v>4.666666667</v>
      </c>
      <c r="F10" s="2" t="s">
        <v>78</v>
      </c>
      <c r="G10" s="17" t="str">
        <f>IFERROR(__xludf.DUMMYFUNCTION("REGEXEXTRACT(C10,""\d*"")"),"12")</f>
        <v>12</v>
      </c>
      <c r="H10" s="17" t="str">
        <f>IFERROR(__xludf.DUMMYFUNCTION("REGEXEXTRACT(C10,""..$"")"),"20")</f>
        <v>20</v>
      </c>
      <c r="I10" s="17" t="str">
        <f>IFERROR(__xludf.DUMMYFUNCTION("REGEXEXTRACT(D10,""\d*"")"),"16")</f>
        <v>16</v>
      </c>
      <c r="J10" s="17" t="str">
        <f>IFERROR(__xludf.DUMMYFUNCTION("REGEXEXTRACT(D10,""..$"")"),"10")</f>
        <v>10</v>
      </c>
      <c r="K10" s="17">
        <f t="shared" si="2"/>
        <v>4</v>
      </c>
      <c r="L10" s="17">
        <f t="shared" si="3"/>
        <v>40</v>
      </c>
      <c r="M10" s="17">
        <f t="shared" si="4"/>
        <v>4.666666667</v>
      </c>
    </row>
    <row r="11">
      <c r="A11" s="21">
        <f t="shared" si="5"/>
        <v>24.18333333</v>
      </c>
      <c r="B11" s="5">
        <v>45266.0</v>
      </c>
      <c r="C11" s="2" t="s">
        <v>81</v>
      </c>
      <c r="D11" s="2" t="s">
        <v>81</v>
      </c>
      <c r="E11" s="21">
        <f t="shared" si="1"/>
        <v>0</v>
      </c>
      <c r="G11" s="17" t="str">
        <f>IFERROR(__xludf.DUMMYFUNCTION("REGEXEXTRACT(C11,""\d*"")"),"00")</f>
        <v>00</v>
      </c>
      <c r="H11" s="17" t="str">
        <f>IFERROR(__xludf.DUMMYFUNCTION("REGEXEXTRACT(C11,""..$"")"),"00")</f>
        <v>00</v>
      </c>
      <c r="I11" s="17" t="str">
        <f>IFERROR(__xludf.DUMMYFUNCTION("REGEXEXTRACT(D11,""\d*"")"),"00")</f>
        <v>00</v>
      </c>
      <c r="J11" s="17" t="str">
        <f>IFERROR(__xludf.DUMMYFUNCTION("REGEXEXTRACT(D11,""..$"")"),"00")</f>
        <v>00</v>
      </c>
      <c r="K11" s="17">
        <f t="shared" si="2"/>
        <v>0</v>
      </c>
      <c r="L11" s="17">
        <f t="shared" si="3"/>
        <v>0</v>
      </c>
      <c r="M11" s="17">
        <f t="shared" si="4"/>
        <v>0</v>
      </c>
    </row>
    <row r="12">
      <c r="A12" s="21">
        <f t="shared" si="5"/>
        <v>24.18333333</v>
      </c>
      <c r="B12" s="5">
        <v>45267.0</v>
      </c>
      <c r="C12" s="2" t="s">
        <v>81</v>
      </c>
      <c r="D12" s="2" t="s">
        <v>81</v>
      </c>
      <c r="E12" s="21">
        <f t="shared" si="1"/>
        <v>0</v>
      </c>
      <c r="G12" s="17" t="str">
        <f>IFERROR(__xludf.DUMMYFUNCTION("REGEXEXTRACT(C12,""\d*"")"),"00")</f>
        <v>00</v>
      </c>
      <c r="H12" s="17" t="str">
        <f>IFERROR(__xludf.DUMMYFUNCTION("REGEXEXTRACT(C12,""..$"")"),"00")</f>
        <v>00</v>
      </c>
      <c r="I12" s="17" t="str">
        <f>IFERROR(__xludf.DUMMYFUNCTION("REGEXEXTRACT(D12,""\d*"")"),"00")</f>
        <v>00</v>
      </c>
      <c r="J12" s="17" t="str">
        <f>IFERROR(__xludf.DUMMYFUNCTION("REGEXEXTRACT(D12,""..$"")"),"00")</f>
        <v>00</v>
      </c>
      <c r="K12" s="17">
        <f t="shared" si="2"/>
        <v>0</v>
      </c>
      <c r="L12" s="17">
        <f t="shared" si="3"/>
        <v>0</v>
      </c>
      <c r="M12" s="17">
        <f t="shared" si="4"/>
        <v>0</v>
      </c>
    </row>
    <row r="13">
      <c r="A13" s="21">
        <f t="shared" si="5"/>
        <v>24.18333333</v>
      </c>
      <c r="B13" s="5">
        <v>45268.0</v>
      </c>
      <c r="C13" s="2" t="s">
        <v>81</v>
      </c>
      <c r="D13" s="2" t="s">
        <v>81</v>
      </c>
      <c r="E13" s="21">
        <f t="shared" si="1"/>
        <v>0</v>
      </c>
      <c r="G13" s="17" t="str">
        <f>IFERROR(__xludf.DUMMYFUNCTION("REGEXEXTRACT(C13,""\d*"")"),"00")</f>
        <v>00</v>
      </c>
      <c r="H13" s="17" t="str">
        <f>IFERROR(__xludf.DUMMYFUNCTION("REGEXEXTRACT(C13,""..$"")"),"00")</f>
        <v>00</v>
      </c>
      <c r="I13" s="17" t="str">
        <f>IFERROR(__xludf.DUMMYFUNCTION("REGEXEXTRACT(D13,""\d*"")"),"00")</f>
        <v>00</v>
      </c>
      <c r="J13" s="17" t="str">
        <f>IFERROR(__xludf.DUMMYFUNCTION("REGEXEXTRACT(D13,""..$"")"),"00")</f>
        <v>00</v>
      </c>
      <c r="K13" s="17">
        <f t="shared" si="2"/>
        <v>0</v>
      </c>
      <c r="L13" s="17">
        <f t="shared" si="3"/>
        <v>0</v>
      </c>
      <c r="M13" s="17">
        <f t="shared" si="4"/>
        <v>0</v>
      </c>
    </row>
    <row r="14">
      <c r="A14" s="21">
        <f t="shared" si="5"/>
        <v>25.51666667</v>
      </c>
      <c r="B14" s="5">
        <v>45269.0</v>
      </c>
      <c r="C14" s="2" t="s">
        <v>82</v>
      </c>
      <c r="D14" s="2" t="s">
        <v>83</v>
      </c>
      <c r="E14" s="21">
        <f t="shared" si="1"/>
        <v>1.333333333</v>
      </c>
      <c r="F14" s="2" t="s">
        <v>84</v>
      </c>
      <c r="G14" s="17" t="str">
        <f>IFERROR(__xludf.DUMMYFUNCTION("REGEXEXTRACT(C14,""\d*"")"),"22")</f>
        <v>22</v>
      </c>
      <c r="H14" s="17" t="str">
        <f>IFERROR(__xludf.DUMMYFUNCTION("REGEXEXTRACT(C14,""..$"")"),"00")</f>
        <v>00</v>
      </c>
      <c r="I14" s="17" t="str">
        <f>IFERROR(__xludf.DUMMYFUNCTION("REGEXEXTRACT(D14,""\d*"")"),"23")</f>
        <v>23</v>
      </c>
      <c r="J14" s="17" t="str">
        <f>IFERROR(__xludf.DUMMYFUNCTION("REGEXEXTRACT(D14,""..$"")"),"20")</f>
        <v>20</v>
      </c>
      <c r="K14" s="17">
        <f t="shared" si="2"/>
        <v>1</v>
      </c>
      <c r="L14" s="17">
        <f t="shared" si="3"/>
        <v>20</v>
      </c>
      <c r="M14" s="17">
        <f t="shared" si="4"/>
        <v>1.333333333</v>
      </c>
    </row>
    <row r="15">
      <c r="A15" s="21">
        <f t="shared" si="5"/>
        <v>27.51666667</v>
      </c>
      <c r="B15" s="5">
        <v>45270.0</v>
      </c>
      <c r="C15" s="2" t="s">
        <v>61</v>
      </c>
      <c r="D15" s="2" t="s">
        <v>85</v>
      </c>
      <c r="E15" s="21">
        <f t="shared" si="1"/>
        <v>2</v>
      </c>
      <c r="F15" s="2" t="s">
        <v>86</v>
      </c>
      <c r="G15" s="17" t="str">
        <f>IFERROR(__xludf.DUMMYFUNCTION("REGEXEXTRACT(C15,""\d*"")"),"10")</f>
        <v>10</v>
      </c>
      <c r="H15" s="17" t="str">
        <f>IFERROR(__xludf.DUMMYFUNCTION("REGEXEXTRACT(C15,""..$"")"),"00")</f>
        <v>00</v>
      </c>
      <c r="I15" s="17" t="str">
        <f>IFERROR(__xludf.DUMMYFUNCTION("REGEXEXTRACT(D15,""\d*"")"),"12")</f>
        <v>12</v>
      </c>
      <c r="J15" s="17" t="str">
        <f>IFERROR(__xludf.DUMMYFUNCTION("REGEXEXTRACT(D15,""..$"")"),"00")</f>
        <v>00</v>
      </c>
      <c r="K15" s="17">
        <f t="shared" si="2"/>
        <v>2</v>
      </c>
      <c r="L15" s="17">
        <f t="shared" si="3"/>
        <v>0</v>
      </c>
      <c r="M15" s="17">
        <f t="shared" si="4"/>
        <v>2</v>
      </c>
    </row>
    <row r="16">
      <c r="A16" s="21">
        <f t="shared" si="5"/>
        <v>30.58333333</v>
      </c>
      <c r="B16" s="5">
        <v>45271.0</v>
      </c>
      <c r="C16" s="2" t="s">
        <v>87</v>
      </c>
      <c r="D16" s="2" t="s">
        <v>88</v>
      </c>
      <c r="E16" s="21">
        <f t="shared" si="1"/>
        <v>3.066666667</v>
      </c>
      <c r="F16" s="2" t="s">
        <v>89</v>
      </c>
      <c r="G16" s="17" t="str">
        <f>IFERROR(__xludf.DUMMYFUNCTION("REGEXEXTRACT(C16,""\d*"")"),"12")</f>
        <v>12</v>
      </c>
      <c r="H16" s="17" t="str">
        <f>IFERROR(__xludf.DUMMYFUNCTION("REGEXEXTRACT(C16,""..$"")"),"10")</f>
        <v>10</v>
      </c>
      <c r="I16" s="17" t="str">
        <f>IFERROR(__xludf.DUMMYFUNCTION("REGEXEXTRACT(D16,""\d*"")"),"15")</f>
        <v>15</v>
      </c>
      <c r="J16" s="17" t="str">
        <f>IFERROR(__xludf.DUMMYFUNCTION("REGEXEXTRACT(D16,""..$"")"),"14")</f>
        <v>14</v>
      </c>
      <c r="K16" s="17">
        <f t="shared" si="2"/>
        <v>3</v>
      </c>
      <c r="L16" s="17">
        <f t="shared" si="3"/>
        <v>4</v>
      </c>
      <c r="M16" s="17">
        <f t="shared" si="4"/>
        <v>3.066666667</v>
      </c>
    </row>
    <row r="17">
      <c r="A17" s="21">
        <f t="shared" si="5"/>
        <v>31.33333333</v>
      </c>
      <c r="B17" s="5">
        <v>45271.0</v>
      </c>
      <c r="C17" s="2" t="s">
        <v>82</v>
      </c>
      <c r="D17" s="2" t="s">
        <v>90</v>
      </c>
      <c r="E17" s="21">
        <f t="shared" si="1"/>
        <v>0.75</v>
      </c>
      <c r="F17" s="23" t="s">
        <v>91</v>
      </c>
      <c r="G17" s="17" t="str">
        <f>IFERROR(__xludf.DUMMYFUNCTION("REGEXEXTRACT(C17,""\d*"")"),"22")</f>
        <v>22</v>
      </c>
      <c r="H17" s="17" t="str">
        <f>IFERROR(__xludf.DUMMYFUNCTION("REGEXEXTRACT(C17,""..$"")"),"00")</f>
        <v>00</v>
      </c>
      <c r="I17" s="17" t="str">
        <f>IFERROR(__xludf.DUMMYFUNCTION("REGEXEXTRACT(D17,""\d*"")"),"22")</f>
        <v>22</v>
      </c>
      <c r="J17" s="17" t="str">
        <f>IFERROR(__xludf.DUMMYFUNCTION("REGEXEXTRACT(D17,""..$"")"),"45")</f>
        <v>45</v>
      </c>
      <c r="K17" s="17">
        <f t="shared" si="2"/>
        <v>0</v>
      </c>
      <c r="L17" s="17">
        <f t="shared" si="3"/>
        <v>45</v>
      </c>
      <c r="M17" s="17">
        <f t="shared" si="4"/>
        <v>0.75</v>
      </c>
    </row>
    <row r="18">
      <c r="A18" s="21">
        <f t="shared" si="5"/>
        <v>33.46666667</v>
      </c>
      <c r="B18" s="5">
        <v>45272.0</v>
      </c>
      <c r="C18" s="2" t="s">
        <v>81</v>
      </c>
      <c r="D18" s="2" t="s">
        <v>92</v>
      </c>
      <c r="E18" s="21">
        <f t="shared" si="1"/>
        <v>2.133333333</v>
      </c>
      <c r="F18" s="2" t="s">
        <v>93</v>
      </c>
      <c r="G18" s="17" t="str">
        <f>IFERROR(__xludf.DUMMYFUNCTION("REGEXEXTRACT(C18,""\d*"")"),"00")</f>
        <v>00</v>
      </c>
      <c r="H18" s="17" t="str">
        <f>IFERROR(__xludf.DUMMYFUNCTION("REGEXEXTRACT(C18,""..$"")"),"00")</f>
        <v>00</v>
      </c>
      <c r="I18" s="17" t="str">
        <f>IFERROR(__xludf.DUMMYFUNCTION("REGEXEXTRACT(D18,""\d*"")"),"02")</f>
        <v>02</v>
      </c>
      <c r="J18" s="17" t="str">
        <f>IFERROR(__xludf.DUMMYFUNCTION("REGEXEXTRACT(D18,""..$"")"),"08")</f>
        <v>08</v>
      </c>
      <c r="K18" s="17">
        <f t="shared" si="2"/>
        <v>2</v>
      </c>
      <c r="L18" s="17">
        <f t="shared" si="3"/>
        <v>8</v>
      </c>
      <c r="M18" s="17">
        <f t="shared" si="4"/>
        <v>2.133333333</v>
      </c>
    </row>
    <row r="19">
      <c r="A19" s="21">
        <f t="shared" si="5"/>
        <v>34.01666667</v>
      </c>
      <c r="B19" s="5">
        <v>45272.0</v>
      </c>
      <c r="C19" s="2" t="s">
        <v>85</v>
      </c>
      <c r="D19" s="2" t="s">
        <v>94</v>
      </c>
      <c r="E19" s="21">
        <f t="shared" si="1"/>
        <v>0.55</v>
      </c>
      <c r="F19" s="23" t="s">
        <v>95</v>
      </c>
      <c r="G19" s="17" t="str">
        <f>IFERROR(__xludf.DUMMYFUNCTION("REGEXEXTRACT(C19,""\d*"")"),"12")</f>
        <v>12</v>
      </c>
      <c r="H19" s="17" t="str">
        <f>IFERROR(__xludf.DUMMYFUNCTION("REGEXEXTRACT(C19,""..$"")"),"00")</f>
        <v>00</v>
      </c>
      <c r="I19" s="17" t="str">
        <f>IFERROR(__xludf.DUMMYFUNCTION("REGEXEXTRACT(D19,""\d*"")"),"12")</f>
        <v>12</v>
      </c>
      <c r="J19" s="17" t="str">
        <f>IFERROR(__xludf.DUMMYFUNCTION("REGEXEXTRACT(D19,""..$"")"),"33")</f>
        <v>33</v>
      </c>
      <c r="K19" s="17">
        <f t="shared" si="2"/>
        <v>0</v>
      </c>
      <c r="L19" s="17">
        <f t="shared" si="3"/>
        <v>33</v>
      </c>
      <c r="M19" s="17">
        <f t="shared" si="4"/>
        <v>0.55</v>
      </c>
    </row>
    <row r="20">
      <c r="A20" s="21">
        <f t="shared" si="5"/>
        <v>36.18333333</v>
      </c>
      <c r="B20" s="5">
        <v>45272.0</v>
      </c>
      <c r="C20" s="2" t="s">
        <v>96</v>
      </c>
      <c r="D20" s="2" t="s">
        <v>97</v>
      </c>
      <c r="E20" s="21">
        <f t="shared" si="1"/>
        <v>2.166666667</v>
      </c>
      <c r="F20" s="2" t="s">
        <v>98</v>
      </c>
      <c r="G20" s="17" t="str">
        <f>IFERROR(__xludf.DUMMYFUNCTION("REGEXEXTRACT(C20,""\d*"")"),"12")</f>
        <v>12</v>
      </c>
      <c r="H20" s="17" t="str">
        <f>IFERROR(__xludf.DUMMYFUNCTION("REGEXEXTRACT(C20,""..$"")"),"50")</f>
        <v>50</v>
      </c>
      <c r="I20" s="17" t="str">
        <f>IFERROR(__xludf.DUMMYFUNCTION("REGEXEXTRACT(D20,""\d*"")"),"14")</f>
        <v>14</v>
      </c>
      <c r="J20" s="17" t="str">
        <f>IFERROR(__xludf.DUMMYFUNCTION("REGEXEXTRACT(D20,""..$"")"),"45")</f>
        <v>45</v>
      </c>
      <c r="K20" s="17">
        <f t="shared" si="2"/>
        <v>2</v>
      </c>
      <c r="L20" s="17">
        <f t="shared" si="3"/>
        <v>10</v>
      </c>
      <c r="M20" s="17">
        <f t="shared" si="4"/>
        <v>2.166666667</v>
      </c>
    </row>
    <row r="21">
      <c r="A21" s="21">
        <f t="shared" si="5"/>
        <v>36.18333333</v>
      </c>
      <c r="B21" s="5">
        <v>45273.0</v>
      </c>
      <c r="C21" s="2" t="s">
        <v>81</v>
      </c>
      <c r="D21" s="2" t="s">
        <v>81</v>
      </c>
      <c r="E21" s="21">
        <f t="shared" si="1"/>
        <v>0</v>
      </c>
      <c r="G21" s="17" t="str">
        <f>IFERROR(__xludf.DUMMYFUNCTION("REGEXEXTRACT(C21,""\d*"")"),"00")</f>
        <v>00</v>
      </c>
      <c r="H21" s="17" t="str">
        <f>IFERROR(__xludf.DUMMYFUNCTION("REGEXEXTRACT(C21,""..$"")"),"00")</f>
        <v>00</v>
      </c>
      <c r="I21" s="17" t="str">
        <f>IFERROR(__xludf.DUMMYFUNCTION("REGEXEXTRACT(D21,""\d*"")"),"00")</f>
        <v>00</v>
      </c>
      <c r="J21" s="17" t="str">
        <f>IFERROR(__xludf.DUMMYFUNCTION("REGEXEXTRACT(D21,""..$"")"),"00")</f>
        <v>00</v>
      </c>
      <c r="K21" s="17">
        <f t="shared" si="2"/>
        <v>0</v>
      </c>
      <c r="L21" s="17">
        <f t="shared" si="3"/>
        <v>0</v>
      </c>
      <c r="M21" s="17">
        <f t="shared" si="4"/>
        <v>0</v>
      </c>
    </row>
    <row r="22">
      <c r="A22" s="21">
        <f t="shared" si="5"/>
        <v>36.18333333</v>
      </c>
      <c r="B22" s="5">
        <v>45274.0</v>
      </c>
      <c r="C22" s="2" t="s">
        <v>81</v>
      </c>
      <c r="D22" s="2" t="s">
        <v>81</v>
      </c>
      <c r="E22" s="21">
        <f t="shared" si="1"/>
        <v>0</v>
      </c>
      <c r="G22" s="17" t="str">
        <f>IFERROR(__xludf.DUMMYFUNCTION("REGEXEXTRACT(C22,""\d*"")"),"00")</f>
        <v>00</v>
      </c>
      <c r="H22" s="17" t="str">
        <f>IFERROR(__xludf.DUMMYFUNCTION("REGEXEXTRACT(C22,""..$"")"),"00")</f>
        <v>00</v>
      </c>
      <c r="I22" s="17" t="str">
        <f>IFERROR(__xludf.DUMMYFUNCTION("REGEXEXTRACT(D22,""\d*"")"),"00")</f>
        <v>00</v>
      </c>
      <c r="J22" s="17" t="str">
        <f>IFERROR(__xludf.DUMMYFUNCTION("REGEXEXTRACT(D22,""..$"")"),"00")</f>
        <v>00</v>
      </c>
      <c r="K22" s="17">
        <f t="shared" si="2"/>
        <v>0</v>
      </c>
      <c r="L22" s="17">
        <f t="shared" si="3"/>
        <v>0</v>
      </c>
      <c r="M22" s="17">
        <f t="shared" si="4"/>
        <v>0</v>
      </c>
    </row>
    <row r="23">
      <c r="A23" s="21">
        <f t="shared" si="5"/>
        <v>36.18333333</v>
      </c>
      <c r="B23" s="5">
        <v>45275.0</v>
      </c>
      <c r="C23" s="2" t="s">
        <v>81</v>
      </c>
      <c r="D23" s="2" t="s">
        <v>81</v>
      </c>
      <c r="E23" s="21">
        <f t="shared" si="1"/>
        <v>0</v>
      </c>
      <c r="G23" s="17" t="str">
        <f>IFERROR(__xludf.DUMMYFUNCTION("REGEXEXTRACT(C23,""\d*"")"),"00")</f>
        <v>00</v>
      </c>
      <c r="H23" s="17" t="str">
        <f>IFERROR(__xludf.DUMMYFUNCTION("REGEXEXTRACT(C23,""..$"")"),"00")</f>
        <v>00</v>
      </c>
      <c r="I23" s="17" t="str">
        <f>IFERROR(__xludf.DUMMYFUNCTION("REGEXEXTRACT(D23,""\d*"")"),"00")</f>
        <v>00</v>
      </c>
      <c r="J23" s="17" t="str">
        <f>IFERROR(__xludf.DUMMYFUNCTION("REGEXEXTRACT(D23,""..$"")"),"00")</f>
        <v>00</v>
      </c>
      <c r="K23" s="17">
        <f t="shared" si="2"/>
        <v>0</v>
      </c>
      <c r="L23" s="17">
        <f t="shared" si="3"/>
        <v>0</v>
      </c>
      <c r="M23" s="17">
        <f t="shared" si="4"/>
        <v>0</v>
      </c>
    </row>
    <row r="24">
      <c r="A24" s="21">
        <f t="shared" si="5"/>
        <v>36.18333333</v>
      </c>
      <c r="B24" s="5">
        <v>45276.0</v>
      </c>
      <c r="C24" s="2" t="s">
        <v>81</v>
      </c>
      <c r="D24" s="2" t="s">
        <v>81</v>
      </c>
      <c r="E24" s="21">
        <f t="shared" si="1"/>
        <v>0</v>
      </c>
      <c r="G24" s="17" t="str">
        <f>IFERROR(__xludf.DUMMYFUNCTION("REGEXEXTRACT(C24,""\d*"")"),"00")</f>
        <v>00</v>
      </c>
      <c r="H24" s="17" t="str">
        <f>IFERROR(__xludf.DUMMYFUNCTION("REGEXEXTRACT(C24,""..$"")"),"00")</f>
        <v>00</v>
      </c>
      <c r="I24" s="17" t="str">
        <f>IFERROR(__xludf.DUMMYFUNCTION("REGEXEXTRACT(D24,""\d*"")"),"00")</f>
        <v>00</v>
      </c>
      <c r="J24" s="17" t="str">
        <f>IFERROR(__xludf.DUMMYFUNCTION("REGEXEXTRACT(D24,""..$"")"),"00")</f>
        <v>00</v>
      </c>
      <c r="K24" s="17">
        <f t="shared" si="2"/>
        <v>0</v>
      </c>
      <c r="L24" s="17">
        <f t="shared" si="3"/>
        <v>0</v>
      </c>
      <c r="M24" s="17">
        <f t="shared" si="4"/>
        <v>0</v>
      </c>
    </row>
    <row r="25">
      <c r="A25" s="21">
        <f t="shared" si="5"/>
        <v>38.25</v>
      </c>
      <c r="B25" s="5">
        <v>45277.0</v>
      </c>
      <c r="C25" s="2" t="s">
        <v>99</v>
      </c>
      <c r="D25" s="2" t="s">
        <v>100</v>
      </c>
      <c r="E25" s="21">
        <f t="shared" si="1"/>
        <v>2.066666667</v>
      </c>
      <c r="F25" s="2" t="s">
        <v>98</v>
      </c>
      <c r="G25" s="17" t="str">
        <f>IFERROR(__xludf.DUMMYFUNCTION("REGEXEXTRACT(C25,""\d*"")"),"22")</f>
        <v>22</v>
      </c>
      <c r="H25" s="17" t="str">
        <f>IFERROR(__xludf.DUMMYFUNCTION("REGEXEXTRACT(C25,""..$"")"),"26")</f>
        <v>26</v>
      </c>
      <c r="I25" s="17" t="str">
        <f>IFERROR(__xludf.DUMMYFUNCTION("REGEXEXTRACT(D25,""\d*"")"),"24")</f>
        <v>24</v>
      </c>
      <c r="J25" s="17" t="str">
        <f>IFERROR(__xludf.DUMMYFUNCTION("REGEXEXTRACT(D25,""..$"")"),"30")</f>
        <v>30</v>
      </c>
      <c r="K25" s="17">
        <f t="shared" si="2"/>
        <v>2</v>
      </c>
      <c r="L25" s="17">
        <f t="shared" si="3"/>
        <v>4</v>
      </c>
      <c r="M25" s="17">
        <f t="shared" si="4"/>
        <v>2.066666667</v>
      </c>
    </row>
    <row r="26">
      <c r="A26" s="21">
        <f t="shared" si="5"/>
        <v>39.65</v>
      </c>
      <c r="B26" s="5">
        <v>45278.0</v>
      </c>
      <c r="C26" s="2" t="s">
        <v>101</v>
      </c>
      <c r="D26" s="2" t="s">
        <v>102</v>
      </c>
      <c r="E26" s="21">
        <f t="shared" si="1"/>
        <v>1.4</v>
      </c>
      <c r="F26" s="2" t="s">
        <v>103</v>
      </c>
      <c r="G26" s="17" t="str">
        <f>IFERROR(__xludf.DUMMYFUNCTION("REGEXEXTRACT(C26,""\d*"")"),"23")</f>
        <v>23</v>
      </c>
      <c r="H26" s="17" t="str">
        <f>IFERROR(__xludf.DUMMYFUNCTION("REGEXEXTRACT(C26,""..$"")"),"30")</f>
        <v>30</v>
      </c>
      <c r="I26" s="17" t="str">
        <f>IFERROR(__xludf.DUMMYFUNCTION("REGEXEXTRACT(D26,""\d*"")"),"24")</f>
        <v>24</v>
      </c>
      <c r="J26" s="17" t="str">
        <f>IFERROR(__xludf.DUMMYFUNCTION("REGEXEXTRACT(D26,""..$"")"),"54")</f>
        <v>54</v>
      </c>
      <c r="K26" s="17">
        <f t="shared" si="2"/>
        <v>1</v>
      </c>
      <c r="L26" s="17">
        <f t="shared" si="3"/>
        <v>24</v>
      </c>
      <c r="M26" s="17">
        <f t="shared" si="4"/>
        <v>1.4</v>
      </c>
    </row>
    <row r="27">
      <c r="A27" s="21">
        <f t="shared" si="5"/>
        <v>41.73333333</v>
      </c>
      <c r="B27" s="5">
        <v>45279.0</v>
      </c>
      <c r="C27" s="2" t="s">
        <v>104</v>
      </c>
      <c r="D27" s="2" t="s">
        <v>105</v>
      </c>
      <c r="E27" s="21">
        <f t="shared" si="1"/>
        <v>2.083333333</v>
      </c>
      <c r="F27" s="2" t="s">
        <v>106</v>
      </c>
      <c r="G27" s="17" t="str">
        <f>IFERROR(__xludf.DUMMYFUNCTION("REGEXEXTRACT(C27,""\d*"")"),"00")</f>
        <v>00</v>
      </c>
      <c r="H27" s="17" t="str">
        <f>IFERROR(__xludf.DUMMYFUNCTION("REGEXEXTRACT(C27,""..$"")"),"55")</f>
        <v>55</v>
      </c>
      <c r="I27" s="17" t="str">
        <f>IFERROR(__xludf.DUMMYFUNCTION("REGEXEXTRACT(D27,""\d*"")"),"02")</f>
        <v>02</v>
      </c>
      <c r="J27" s="17" t="str">
        <f>IFERROR(__xludf.DUMMYFUNCTION("REGEXEXTRACT(D27,""..$"")"),"14")</f>
        <v>14</v>
      </c>
      <c r="K27" s="17">
        <f t="shared" si="2"/>
        <v>2</v>
      </c>
      <c r="L27" s="17">
        <f t="shared" si="3"/>
        <v>5</v>
      </c>
      <c r="M27" s="17">
        <f t="shared" si="4"/>
        <v>2.083333333</v>
      </c>
    </row>
    <row r="28">
      <c r="A28" s="21">
        <f t="shared" si="5"/>
        <v>44.46666667</v>
      </c>
      <c r="B28" s="5">
        <v>45279.0</v>
      </c>
      <c r="C28" s="2" t="s">
        <v>107</v>
      </c>
      <c r="D28" s="2" t="s">
        <v>108</v>
      </c>
      <c r="E28" s="21">
        <f t="shared" si="1"/>
        <v>2.733333333</v>
      </c>
      <c r="F28" s="2" t="s">
        <v>109</v>
      </c>
      <c r="G28" s="17" t="str">
        <f>IFERROR(__xludf.DUMMYFUNCTION("REGEXEXTRACT(C28,""\d*"")"),"21")</f>
        <v>21</v>
      </c>
      <c r="H28" s="17" t="str">
        <f>IFERROR(__xludf.DUMMYFUNCTION("REGEXEXTRACT(C28,""..$"")"),"16")</f>
        <v>16</v>
      </c>
      <c r="I28" s="17" t="str">
        <f>IFERROR(__xludf.DUMMYFUNCTION("REGEXEXTRACT(D28,""\d*"")"),"23")</f>
        <v>23</v>
      </c>
      <c r="J28" s="17" t="str">
        <f>IFERROR(__xludf.DUMMYFUNCTION("REGEXEXTRACT(D28,""..$"")"),"10")</f>
        <v>10</v>
      </c>
      <c r="K28" s="17">
        <f t="shared" si="2"/>
        <v>2</v>
      </c>
      <c r="L28" s="17">
        <f t="shared" si="3"/>
        <v>44</v>
      </c>
      <c r="M28" s="17">
        <f t="shared" si="4"/>
        <v>2.733333333</v>
      </c>
    </row>
    <row r="29">
      <c r="A29" s="21">
        <f t="shared" si="5"/>
        <v>46.58333333</v>
      </c>
      <c r="B29" s="5">
        <v>45280.0</v>
      </c>
      <c r="C29" s="2" t="s">
        <v>110</v>
      </c>
      <c r="D29" s="2" t="s">
        <v>111</v>
      </c>
      <c r="E29" s="21">
        <f t="shared" si="1"/>
        <v>2.116666667</v>
      </c>
      <c r="F29" s="2" t="s">
        <v>112</v>
      </c>
      <c r="G29" s="17" t="str">
        <f>IFERROR(__xludf.DUMMYFUNCTION("REGEXEXTRACT(C29,""\d*"")"),"00")</f>
        <v>00</v>
      </c>
      <c r="H29" s="17" t="str">
        <f>IFERROR(__xludf.DUMMYFUNCTION("REGEXEXTRACT(C29,""..$"")"),"50")</f>
        <v>50</v>
      </c>
      <c r="I29" s="17" t="str">
        <f>IFERROR(__xludf.DUMMYFUNCTION("REGEXEXTRACT(D29,""\d*"")"),"02")</f>
        <v>02</v>
      </c>
      <c r="J29" s="17" t="str">
        <f>IFERROR(__xludf.DUMMYFUNCTION("REGEXEXTRACT(D29,""..$"")"),"57")</f>
        <v>57</v>
      </c>
      <c r="K29" s="17">
        <f t="shared" si="2"/>
        <v>2</v>
      </c>
      <c r="L29" s="17">
        <f t="shared" si="3"/>
        <v>7</v>
      </c>
      <c r="M29" s="17">
        <f t="shared" si="4"/>
        <v>2.116666667</v>
      </c>
    </row>
    <row r="30">
      <c r="A30" s="21">
        <f t="shared" si="5"/>
        <v>46.58333333</v>
      </c>
      <c r="B30" s="5">
        <v>45281.0</v>
      </c>
      <c r="C30" s="2" t="s">
        <v>81</v>
      </c>
      <c r="D30" s="2" t="s">
        <v>81</v>
      </c>
      <c r="E30" s="21">
        <f t="shared" si="1"/>
        <v>0</v>
      </c>
      <c r="F30" s="2"/>
      <c r="G30" s="17" t="str">
        <f>IFERROR(__xludf.DUMMYFUNCTION("REGEXEXTRACT(C30,""\d*"")"),"00")</f>
        <v>00</v>
      </c>
      <c r="H30" s="17" t="str">
        <f>IFERROR(__xludf.DUMMYFUNCTION("REGEXEXTRACT(C30,""..$"")"),"00")</f>
        <v>00</v>
      </c>
      <c r="I30" s="17" t="str">
        <f>IFERROR(__xludf.DUMMYFUNCTION("REGEXEXTRACT(D30,""\d*"")"),"00")</f>
        <v>00</v>
      </c>
      <c r="J30" s="17" t="str">
        <f>IFERROR(__xludf.DUMMYFUNCTION("REGEXEXTRACT(D30,""..$"")"),"00")</f>
        <v>00</v>
      </c>
      <c r="K30" s="17">
        <f t="shared" si="2"/>
        <v>0</v>
      </c>
      <c r="L30" s="17">
        <f t="shared" si="3"/>
        <v>0</v>
      </c>
      <c r="M30" s="17">
        <f t="shared" si="4"/>
        <v>0</v>
      </c>
    </row>
    <row r="31">
      <c r="A31" s="21">
        <f t="shared" si="5"/>
        <v>46.58333333</v>
      </c>
      <c r="B31" s="5">
        <v>45282.0</v>
      </c>
      <c r="C31" s="2" t="s">
        <v>81</v>
      </c>
      <c r="D31" s="2" t="s">
        <v>81</v>
      </c>
      <c r="E31" s="21">
        <f t="shared" si="1"/>
        <v>0</v>
      </c>
      <c r="G31" s="17" t="str">
        <f>IFERROR(__xludf.DUMMYFUNCTION("REGEXEXTRACT(C31,""\d*"")"),"00")</f>
        <v>00</v>
      </c>
      <c r="H31" s="17" t="str">
        <f>IFERROR(__xludf.DUMMYFUNCTION("REGEXEXTRACT(C31,""..$"")"),"00")</f>
        <v>00</v>
      </c>
      <c r="I31" s="17" t="str">
        <f>IFERROR(__xludf.DUMMYFUNCTION("REGEXEXTRACT(D31,""\d*"")"),"00")</f>
        <v>00</v>
      </c>
      <c r="J31" s="17" t="str">
        <f>IFERROR(__xludf.DUMMYFUNCTION("REGEXEXTRACT(D31,""..$"")"),"00")</f>
        <v>00</v>
      </c>
      <c r="K31" s="17">
        <f t="shared" si="2"/>
        <v>0</v>
      </c>
      <c r="L31" s="17">
        <f t="shared" si="3"/>
        <v>0</v>
      </c>
      <c r="M31" s="17">
        <f t="shared" si="4"/>
        <v>0</v>
      </c>
    </row>
    <row r="32">
      <c r="A32" s="21">
        <f t="shared" si="5"/>
        <v>46.58333333</v>
      </c>
      <c r="B32" s="5">
        <v>45283.0</v>
      </c>
      <c r="C32" s="2" t="s">
        <v>81</v>
      </c>
      <c r="D32" s="2" t="s">
        <v>81</v>
      </c>
      <c r="E32" s="21">
        <f t="shared" si="1"/>
        <v>0</v>
      </c>
      <c r="G32" s="17" t="str">
        <f>IFERROR(__xludf.DUMMYFUNCTION("REGEXEXTRACT(C32,""\d*"")"),"00")</f>
        <v>00</v>
      </c>
      <c r="H32" s="17" t="str">
        <f>IFERROR(__xludf.DUMMYFUNCTION("REGEXEXTRACT(C32,""..$"")"),"00")</f>
        <v>00</v>
      </c>
      <c r="I32" s="17" t="str">
        <f>IFERROR(__xludf.DUMMYFUNCTION("REGEXEXTRACT(D32,""\d*"")"),"00")</f>
        <v>00</v>
      </c>
      <c r="J32" s="17" t="str">
        <f>IFERROR(__xludf.DUMMYFUNCTION("REGEXEXTRACT(D32,""..$"")"),"00")</f>
        <v>00</v>
      </c>
      <c r="K32" s="17">
        <f t="shared" si="2"/>
        <v>0</v>
      </c>
      <c r="L32" s="17">
        <f t="shared" si="3"/>
        <v>0</v>
      </c>
      <c r="M32" s="17">
        <f t="shared" si="4"/>
        <v>0</v>
      </c>
    </row>
    <row r="33">
      <c r="A33" s="21">
        <f t="shared" si="5"/>
        <v>46.58333333</v>
      </c>
      <c r="B33" s="5">
        <v>45284.0</v>
      </c>
      <c r="C33" s="2" t="s">
        <v>81</v>
      </c>
      <c r="D33" s="2" t="s">
        <v>81</v>
      </c>
      <c r="E33" s="21">
        <f t="shared" si="1"/>
        <v>0</v>
      </c>
      <c r="G33" s="17" t="str">
        <f>IFERROR(__xludf.DUMMYFUNCTION("REGEXEXTRACT(C33,""\d*"")"),"00")</f>
        <v>00</v>
      </c>
      <c r="H33" s="17" t="str">
        <f>IFERROR(__xludf.DUMMYFUNCTION("REGEXEXTRACT(C33,""..$"")"),"00")</f>
        <v>00</v>
      </c>
      <c r="I33" s="17" t="str">
        <f>IFERROR(__xludf.DUMMYFUNCTION("REGEXEXTRACT(D33,""\d*"")"),"00")</f>
        <v>00</v>
      </c>
      <c r="J33" s="17" t="str">
        <f>IFERROR(__xludf.DUMMYFUNCTION("REGEXEXTRACT(D33,""..$"")"),"00")</f>
        <v>00</v>
      </c>
      <c r="K33" s="17">
        <f t="shared" si="2"/>
        <v>0</v>
      </c>
      <c r="L33" s="17">
        <f t="shared" si="3"/>
        <v>0</v>
      </c>
      <c r="M33" s="17">
        <f t="shared" si="4"/>
        <v>0</v>
      </c>
    </row>
    <row r="34">
      <c r="A34" s="21">
        <f t="shared" si="5"/>
        <v>46.58333333</v>
      </c>
      <c r="B34" s="5">
        <v>45285.0</v>
      </c>
      <c r="C34" s="2" t="s">
        <v>81</v>
      </c>
      <c r="D34" s="2" t="s">
        <v>81</v>
      </c>
      <c r="E34" s="21">
        <f t="shared" si="1"/>
        <v>0</v>
      </c>
      <c r="G34" s="17" t="str">
        <f>IFERROR(__xludf.DUMMYFUNCTION("REGEXEXTRACT(C34,""\d*"")"),"00")</f>
        <v>00</v>
      </c>
      <c r="H34" s="17" t="str">
        <f>IFERROR(__xludf.DUMMYFUNCTION("REGEXEXTRACT(C34,""..$"")"),"00")</f>
        <v>00</v>
      </c>
      <c r="I34" s="17" t="str">
        <f>IFERROR(__xludf.DUMMYFUNCTION("REGEXEXTRACT(D34,""\d*"")"),"00")</f>
        <v>00</v>
      </c>
      <c r="J34" s="17" t="str">
        <f>IFERROR(__xludf.DUMMYFUNCTION("REGEXEXTRACT(D34,""..$"")"),"00")</f>
        <v>00</v>
      </c>
      <c r="K34" s="17">
        <f t="shared" si="2"/>
        <v>0</v>
      </c>
      <c r="L34" s="17">
        <f t="shared" si="3"/>
        <v>0</v>
      </c>
      <c r="M34" s="17">
        <f t="shared" si="4"/>
        <v>0</v>
      </c>
    </row>
    <row r="35">
      <c r="A35" s="21">
        <f t="shared" si="5"/>
        <v>46.58333333</v>
      </c>
      <c r="B35" s="5">
        <v>45286.0</v>
      </c>
      <c r="C35" s="2" t="s">
        <v>81</v>
      </c>
      <c r="D35" s="2" t="s">
        <v>81</v>
      </c>
      <c r="E35" s="21">
        <f t="shared" si="1"/>
        <v>0</v>
      </c>
      <c r="G35" s="17" t="str">
        <f>IFERROR(__xludf.DUMMYFUNCTION("REGEXEXTRACT(C35,""\d*"")"),"00")</f>
        <v>00</v>
      </c>
      <c r="H35" s="17" t="str">
        <f>IFERROR(__xludf.DUMMYFUNCTION("REGEXEXTRACT(C35,""..$"")"),"00")</f>
        <v>00</v>
      </c>
      <c r="I35" s="17" t="str">
        <f>IFERROR(__xludf.DUMMYFUNCTION("REGEXEXTRACT(D35,""\d*"")"),"00")</f>
        <v>00</v>
      </c>
      <c r="J35" s="17" t="str">
        <f>IFERROR(__xludf.DUMMYFUNCTION("REGEXEXTRACT(D35,""..$"")"),"00")</f>
        <v>00</v>
      </c>
      <c r="K35" s="17">
        <f t="shared" si="2"/>
        <v>0</v>
      </c>
      <c r="L35" s="17">
        <f t="shared" si="3"/>
        <v>0</v>
      </c>
      <c r="M35" s="17">
        <f t="shared" si="4"/>
        <v>0</v>
      </c>
    </row>
    <row r="36">
      <c r="A36" s="21">
        <f t="shared" si="5"/>
        <v>48.08333333</v>
      </c>
      <c r="B36" s="5">
        <v>45287.0</v>
      </c>
      <c r="C36" s="2" t="s">
        <v>82</v>
      </c>
      <c r="D36" s="2" t="s">
        <v>101</v>
      </c>
      <c r="E36" s="21">
        <f t="shared" si="1"/>
        <v>1.5</v>
      </c>
      <c r="F36" s="2" t="s">
        <v>113</v>
      </c>
      <c r="G36" s="17" t="str">
        <f>IFERROR(__xludf.DUMMYFUNCTION("REGEXEXTRACT(C36,""\d*"")"),"22")</f>
        <v>22</v>
      </c>
      <c r="H36" s="17" t="str">
        <f>IFERROR(__xludf.DUMMYFUNCTION("REGEXEXTRACT(C36,""..$"")"),"00")</f>
        <v>00</v>
      </c>
      <c r="I36" s="17" t="str">
        <f>IFERROR(__xludf.DUMMYFUNCTION("REGEXEXTRACT(D36,""\d*"")"),"23")</f>
        <v>23</v>
      </c>
      <c r="J36" s="17" t="str">
        <f>IFERROR(__xludf.DUMMYFUNCTION("REGEXEXTRACT(D36,""..$"")"),"30")</f>
        <v>30</v>
      </c>
      <c r="K36" s="17">
        <f t="shared" si="2"/>
        <v>1</v>
      </c>
      <c r="L36" s="17">
        <f t="shared" si="3"/>
        <v>30</v>
      </c>
      <c r="M36" s="17">
        <f t="shared" si="4"/>
        <v>1.5</v>
      </c>
    </row>
    <row r="37">
      <c r="A37" s="21">
        <f t="shared" si="5"/>
        <v>48.78333333</v>
      </c>
      <c r="B37" s="5">
        <v>45288.0</v>
      </c>
      <c r="C37" s="2" t="s">
        <v>114</v>
      </c>
      <c r="D37" s="2" t="s">
        <v>77</v>
      </c>
      <c r="E37" s="21">
        <f t="shared" si="1"/>
        <v>0.7</v>
      </c>
      <c r="F37" s="2" t="s">
        <v>113</v>
      </c>
      <c r="G37" s="17" t="str">
        <f>IFERROR(__xludf.DUMMYFUNCTION("REGEXEXTRACT(C37,""\d*"")"),"23")</f>
        <v>23</v>
      </c>
      <c r="H37" s="17" t="str">
        <f>IFERROR(__xludf.DUMMYFUNCTION("REGEXEXTRACT(C37,""..$"")"),"18")</f>
        <v>18</v>
      </c>
      <c r="I37" s="17" t="str">
        <f>IFERROR(__xludf.DUMMYFUNCTION("REGEXEXTRACT(D37,""\d*"")"),"24")</f>
        <v>24</v>
      </c>
      <c r="J37" s="17" t="str">
        <f>IFERROR(__xludf.DUMMYFUNCTION("REGEXEXTRACT(D37,""..$"")"),"00")</f>
        <v>00</v>
      </c>
      <c r="K37" s="17">
        <f t="shared" si="2"/>
        <v>0</v>
      </c>
      <c r="L37" s="17">
        <f t="shared" si="3"/>
        <v>42</v>
      </c>
      <c r="M37" s="17">
        <f t="shared" si="4"/>
        <v>0.7</v>
      </c>
    </row>
    <row r="38">
      <c r="A38" s="21">
        <f t="shared" si="5"/>
        <v>48.95</v>
      </c>
      <c r="B38" s="5">
        <v>45289.0</v>
      </c>
      <c r="C38" s="2" t="s">
        <v>115</v>
      </c>
      <c r="D38" s="2" t="s">
        <v>77</v>
      </c>
      <c r="E38" s="21">
        <f t="shared" si="1"/>
        <v>0.1666666667</v>
      </c>
      <c r="F38" s="2" t="s">
        <v>113</v>
      </c>
      <c r="G38" s="17" t="str">
        <f>IFERROR(__xludf.DUMMYFUNCTION("REGEXEXTRACT(C38,""\d*"")"),"23")</f>
        <v>23</v>
      </c>
      <c r="H38" s="17" t="str">
        <f>IFERROR(__xludf.DUMMYFUNCTION("REGEXEXTRACT(C38,""..$"")"),"50")</f>
        <v>50</v>
      </c>
      <c r="I38" s="17" t="str">
        <f>IFERROR(__xludf.DUMMYFUNCTION("REGEXEXTRACT(D38,""\d*"")"),"24")</f>
        <v>24</v>
      </c>
      <c r="J38" s="17" t="str">
        <f>IFERROR(__xludf.DUMMYFUNCTION("REGEXEXTRACT(D38,""..$"")"),"00")</f>
        <v>00</v>
      </c>
      <c r="K38" s="17">
        <f t="shared" si="2"/>
        <v>0</v>
      </c>
      <c r="L38" s="17">
        <f t="shared" si="3"/>
        <v>10</v>
      </c>
      <c r="M38" s="17">
        <f t="shared" si="4"/>
        <v>0.1666666667</v>
      </c>
    </row>
    <row r="39">
      <c r="A39" s="21">
        <f t="shared" si="5"/>
        <v>50.26666667</v>
      </c>
      <c r="B39" s="5">
        <v>45290.0</v>
      </c>
      <c r="C39" s="2" t="s">
        <v>81</v>
      </c>
      <c r="D39" s="2" t="s">
        <v>116</v>
      </c>
      <c r="E39" s="21">
        <f t="shared" si="1"/>
        <v>1.316666667</v>
      </c>
      <c r="F39" s="2" t="s">
        <v>113</v>
      </c>
      <c r="G39" s="17" t="str">
        <f>IFERROR(__xludf.DUMMYFUNCTION("REGEXEXTRACT(C39,""\d*"")"),"00")</f>
        <v>00</v>
      </c>
      <c r="H39" s="17" t="str">
        <f>IFERROR(__xludf.DUMMYFUNCTION("REGEXEXTRACT(C39,""..$"")"),"00")</f>
        <v>00</v>
      </c>
      <c r="I39" s="17" t="str">
        <f>IFERROR(__xludf.DUMMYFUNCTION("REGEXEXTRACT(D39,""\d*"")"),"01")</f>
        <v>01</v>
      </c>
      <c r="J39" s="17" t="str">
        <f>IFERROR(__xludf.DUMMYFUNCTION("REGEXEXTRACT(D39,""..$"")"),"19")</f>
        <v>19</v>
      </c>
      <c r="K39" s="17">
        <f t="shared" si="2"/>
        <v>1</v>
      </c>
      <c r="L39" s="17">
        <f t="shared" si="3"/>
        <v>19</v>
      </c>
      <c r="M39" s="17">
        <f t="shared" si="4"/>
        <v>1.316666667</v>
      </c>
    </row>
    <row r="40">
      <c r="A40" s="21">
        <f t="shared" si="5"/>
        <v>50.48333333</v>
      </c>
      <c r="B40" s="5">
        <v>45290.0</v>
      </c>
      <c r="C40" s="2" t="s">
        <v>117</v>
      </c>
      <c r="D40" s="2" t="s">
        <v>118</v>
      </c>
      <c r="E40" s="21">
        <f t="shared" si="1"/>
        <v>0.2166666667</v>
      </c>
      <c r="F40" s="2" t="s">
        <v>119</v>
      </c>
      <c r="G40" s="17" t="str">
        <f>IFERROR(__xludf.DUMMYFUNCTION("REGEXEXTRACT(C40,""\d*"")"),"01")</f>
        <v>01</v>
      </c>
      <c r="H40" s="17" t="str">
        <f>IFERROR(__xludf.DUMMYFUNCTION("REGEXEXTRACT(C40,""..$"")"),"20")</f>
        <v>20</v>
      </c>
      <c r="I40" s="17" t="str">
        <f>IFERROR(__xludf.DUMMYFUNCTION("REGEXEXTRACT(D40,""\d*"")"),"01")</f>
        <v>01</v>
      </c>
      <c r="J40" s="17" t="str">
        <f>IFERROR(__xludf.DUMMYFUNCTION("REGEXEXTRACT(D40,""..$"")"),"33")</f>
        <v>33</v>
      </c>
      <c r="K40" s="17">
        <f t="shared" si="2"/>
        <v>0</v>
      </c>
      <c r="L40" s="17">
        <f t="shared" si="3"/>
        <v>13</v>
      </c>
      <c r="M40" s="17">
        <f t="shared" si="4"/>
        <v>0.2166666667</v>
      </c>
    </row>
    <row r="41">
      <c r="A41" s="21">
        <f t="shared" si="5"/>
        <v>52.53333333</v>
      </c>
      <c r="B41" s="5">
        <v>45291.0</v>
      </c>
      <c r="C41" s="2" t="s">
        <v>120</v>
      </c>
      <c r="D41" s="2" t="s">
        <v>77</v>
      </c>
      <c r="E41" s="21">
        <f t="shared" si="1"/>
        <v>2.05</v>
      </c>
      <c r="G41" s="17" t="str">
        <f>IFERROR(__xludf.DUMMYFUNCTION("REGEXEXTRACT(C41,""\d*"")"),"22")</f>
        <v>22</v>
      </c>
      <c r="H41" s="17" t="str">
        <f>IFERROR(__xludf.DUMMYFUNCTION("REGEXEXTRACT(C41,""..$"")"),"57")</f>
        <v>57</v>
      </c>
      <c r="I41" s="17" t="str">
        <f>IFERROR(__xludf.DUMMYFUNCTION("REGEXEXTRACT(D41,""\d*"")"),"24")</f>
        <v>24</v>
      </c>
      <c r="J41" s="17" t="str">
        <f>IFERROR(__xludf.DUMMYFUNCTION("REGEXEXTRACT(D41,""..$"")"),"00")</f>
        <v>00</v>
      </c>
      <c r="K41" s="17">
        <f t="shared" si="2"/>
        <v>2</v>
      </c>
      <c r="L41" s="17">
        <f t="shared" si="3"/>
        <v>3</v>
      </c>
      <c r="M41" s="17">
        <f t="shared" si="4"/>
        <v>2.05</v>
      </c>
    </row>
    <row r="42">
      <c r="A42" s="21">
        <f t="shared" si="5"/>
        <v>52.53333333</v>
      </c>
      <c r="B42" s="5">
        <v>45292.0</v>
      </c>
      <c r="C42" s="2" t="s">
        <v>81</v>
      </c>
      <c r="D42" s="2" t="s">
        <v>81</v>
      </c>
      <c r="E42" s="21">
        <f t="shared" si="1"/>
        <v>0</v>
      </c>
      <c r="G42" s="17" t="str">
        <f>IFERROR(__xludf.DUMMYFUNCTION("REGEXEXTRACT(C42,""\d*"")"),"00")</f>
        <v>00</v>
      </c>
      <c r="H42" s="17" t="str">
        <f>IFERROR(__xludf.DUMMYFUNCTION("REGEXEXTRACT(C42,""..$"")"),"00")</f>
        <v>00</v>
      </c>
      <c r="I42" s="17" t="str">
        <f>IFERROR(__xludf.DUMMYFUNCTION("REGEXEXTRACT(D42,""\d*"")"),"00")</f>
        <v>00</v>
      </c>
      <c r="J42" s="17" t="str">
        <f>IFERROR(__xludf.DUMMYFUNCTION("REGEXEXTRACT(D42,""..$"")"),"00")</f>
        <v>00</v>
      </c>
      <c r="K42" s="17">
        <f t="shared" si="2"/>
        <v>0</v>
      </c>
      <c r="L42" s="17">
        <f t="shared" si="3"/>
        <v>0</v>
      </c>
      <c r="M42" s="17">
        <f t="shared" si="4"/>
        <v>0</v>
      </c>
    </row>
    <row r="43">
      <c r="A43" s="21">
        <f t="shared" si="5"/>
        <v>53.53333333</v>
      </c>
      <c r="B43" s="5">
        <v>45293.0</v>
      </c>
      <c r="C43" s="2" t="s">
        <v>85</v>
      </c>
      <c r="D43" s="2" t="s">
        <v>121</v>
      </c>
      <c r="E43" s="21">
        <f t="shared" si="1"/>
        <v>1</v>
      </c>
      <c r="F43" s="2" t="s">
        <v>122</v>
      </c>
      <c r="G43" s="17" t="str">
        <f>IFERROR(__xludf.DUMMYFUNCTION("REGEXEXTRACT(C43,""\d*"")"),"12")</f>
        <v>12</v>
      </c>
      <c r="H43" s="17" t="str">
        <f>IFERROR(__xludf.DUMMYFUNCTION("REGEXEXTRACT(C43,""..$"")"),"00")</f>
        <v>00</v>
      </c>
      <c r="I43" s="17" t="str">
        <f>IFERROR(__xludf.DUMMYFUNCTION("REGEXEXTRACT(D43,""\d*"")"),"13")</f>
        <v>13</v>
      </c>
      <c r="J43" s="17" t="str">
        <f>IFERROR(__xludf.DUMMYFUNCTION("REGEXEXTRACT(D43,""..$"")"),"00")</f>
        <v>00</v>
      </c>
      <c r="K43" s="17">
        <f t="shared" si="2"/>
        <v>1</v>
      </c>
      <c r="L43" s="17">
        <f t="shared" si="3"/>
        <v>0</v>
      </c>
      <c r="M43" s="17">
        <f t="shared" si="4"/>
        <v>1</v>
      </c>
    </row>
    <row r="44">
      <c r="A44" s="21">
        <f t="shared" si="5"/>
        <v>58.53333333</v>
      </c>
      <c r="B44" s="5">
        <v>45294.0</v>
      </c>
      <c r="C44" s="2" t="s">
        <v>61</v>
      </c>
      <c r="D44" s="2" t="s">
        <v>123</v>
      </c>
      <c r="E44" s="21">
        <f t="shared" si="1"/>
        <v>5</v>
      </c>
      <c r="F44" s="2" t="s">
        <v>124</v>
      </c>
      <c r="G44" s="17" t="str">
        <f>IFERROR(__xludf.DUMMYFUNCTION("REGEXEXTRACT(C44,""\d*"")"),"10")</f>
        <v>10</v>
      </c>
      <c r="H44" s="17" t="str">
        <f>IFERROR(__xludf.DUMMYFUNCTION("REGEXEXTRACT(C44,""..$"")"),"00")</f>
        <v>00</v>
      </c>
      <c r="I44" s="17" t="str">
        <f>IFERROR(__xludf.DUMMYFUNCTION("REGEXEXTRACT(D44,""\d*"")"),"15")</f>
        <v>15</v>
      </c>
      <c r="J44" s="17" t="str">
        <f>IFERROR(__xludf.DUMMYFUNCTION("REGEXEXTRACT(D44,""..$"")"),"00")</f>
        <v>00</v>
      </c>
      <c r="K44" s="17">
        <f t="shared" si="2"/>
        <v>5</v>
      </c>
      <c r="L44" s="17">
        <f t="shared" si="3"/>
        <v>0</v>
      </c>
      <c r="M44" s="17">
        <f t="shared" si="4"/>
        <v>5</v>
      </c>
    </row>
    <row r="45">
      <c r="A45" s="21">
        <f t="shared" si="5"/>
        <v>61.28333333</v>
      </c>
      <c r="B45" s="5">
        <v>45294.0</v>
      </c>
      <c r="C45" s="2" t="s">
        <v>125</v>
      </c>
      <c r="D45" s="2" t="s">
        <v>126</v>
      </c>
      <c r="E45" s="21">
        <f t="shared" si="1"/>
        <v>2.75</v>
      </c>
      <c r="F45" s="2" t="s">
        <v>127</v>
      </c>
      <c r="G45" s="17" t="str">
        <f>IFERROR(__xludf.DUMMYFUNCTION("REGEXEXTRACT(C45,""\d*"")"),"18")</f>
        <v>18</v>
      </c>
      <c r="H45" s="17" t="str">
        <f>IFERROR(__xludf.DUMMYFUNCTION("REGEXEXTRACT(C45,""..$"")"),"10")</f>
        <v>10</v>
      </c>
      <c r="I45" s="17" t="str">
        <f>IFERROR(__xludf.DUMMYFUNCTION("REGEXEXTRACT(D45,""\d*"")"),"20")</f>
        <v>20</v>
      </c>
      <c r="J45" s="17" t="str">
        <f>IFERROR(__xludf.DUMMYFUNCTION("REGEXEXTRACT(D45,""..$"")"),"55")</f>
        <v>55</v>
      </c>
      <c r="K45" s="17">
        <f t="shared" si="2"/>
        <v>2</v>
      </c>
      <c r="L45" s="17">
        <f t="shared" si="3"/>
        <v>45</v>
      </c>
      <c r="M45" s="17">
        <f t="shared" si="4"/>
        <v>2.75</v>
      </c>
    </row>
    <row r="46">
      <c r="A46" s="21">
        <f t="shared" si="5"/>
        <v>63.56666667</v>
      </c>
      <c r="B46" s="5">
        <v>45295.0</v>
      </c>
      <c r="C46" s="2" t="s">
        <v>128</v>
      </c>
      <c r="D46" s="2" t="s">
        <v>129</v>
      </c>
      <c r="E46" s="21">
        <f t="shared" si="1"/>
        <v>2.283333333</v>
      </c>
      <c r="F46" s="2" t="s">
        <v>130</v>
      </c>
      <c r="G46" s="17" t="str">
        <f>IFERROR(__xludf.DUMMYFUNCTION("REGEXEXTRACT(C46,""\d*"")"),"08")</f>
        <v>08</v>
      </c>
      <c r="H46" s="17" t="str">
        <f>IFERROR(__xludf.DUMMYFUNCTION("REGEXEXTRACT(C46,""..$"")"),"30")</f>
        <v>30</v>
      </c>
      <c r="I46" s="17" t="str">
        <f>IFERROR(__xludf.DUMMYFUNCTION("REGEXEXTRACT(D46,""\d*"")"),"10")</f>
        <v>10</v>
      </c>
      <c r="J46" s="17" t="str">
        <f>IFERROR(__xludf.DUMMYFUNCTION("REGEXEXTRACT(D46,""..$"")"),"47")</f>
        <v>47</v>
      </c>
      <c r="K46" s="17">
        <f t="shared" si="2"/>
        <v>2</v>
      </c>
      <c r="L46" s="17">
        <f t="shared" si="3"/>
        <v>17</v>
      </c>
      <c r="M46" s="17">
        <f t="shared" si="4"/>
        <v>2.283333333</v>
      </c>
    </row>
    <row r="47">
      <c r="A47" s="21">
        <f t="shared" si="5"/>
        <v>64.66666667</v>
      </c>
      <c r="B47" s="5">
        <v>45295.0</v>
      </c>
      <c r="C47" s="2" t="s">
        <v>131</v>
      </c>
      <c r="D47" s="2" t="s">
        <v>132</v>
      </c>
      <c r="E47" s="21">
        <f t="shared" si="1"/>
        <v>1.1</v>
      </c>
      <c r="F47" s="2" t="s">
        <v>133</v>
      </c>
      <c r="G47" s="17" t="str">
        <f>IFERROR(__xludf.DUMMYFUNCTION("REGEXEXTRACT(C47,""\d*"")"),"10")</f>
        <v>10</v>
      </c>
      <c r="H47" s="17" t="str">
        <f>IFERROR(__xludf.DUMMYFUNCTION("REGEXEXTRACT(C47,""..$"")"),"48")</f>
        <v>48</v>
      </c>
      <c r="I47" s="17" t="str">
        <f>IFERROR(__xludf.DUMMYFUNCTION("REGEXEXTRACT(D47,""\d*"")"),"11")</f>
        <v>11</v>
      </c>
      <c r="J47" s="17" t="str">
        <f>IFERROR(__xludf.DUMMYFUNCTION("REGEXEXTRACT(D47,""..$"")"),"54")</f>
        <v>54</v>
      </c>
      <c r="K47" s="17">
        <f t="shared" si="2"/>
        <v>1</v>
      </c>
      <c r="L47" s="17">
        <f t="shared" si="3"/>
        <v>6</v>
      </c>
      <c r="M47" s="17">
        <f t="shared" si="4"/>
        <v>1.1</v>
      </c>
    </row>
    <row r="48">
      <c r="A48" s="21">
        <f t="shared" si="5"/>
        <v>64.76666667</v>
      </c>
      <c r="B48" s="5">
        <v>45295.0</v>
      </c>
      <c r="C48" s="2" t="s">
        <v>132</v>
      </c>
      <c r="D48" s="2" t="s">
        <v>68</v>
      </c>
      <c r="E48" s="21">
        <f t="shared" si="1"/>
        <v>0.1</v>
      </c>
      <c r="F48" s="2" t="s">
        <v>134</v>
      </c>
      <c r="G48" s="17" t="str">
        <f>IFERROR(__xludf.DUMMYFUNCTION("REGEXEXTRACT(C48,""\d*"")"),"11")</f>
        <v>11</v>
      </c>
      <c r="H48" s="17" t="str">
        <f>IFERROR(__xludf.DUMMYFUNCTION("REGEXEXTRACT(C48,""..$"")"),"54")</f>
        <v>54</v>
      </c>
      <c r="I48" s="17" t="str">
        <f>IFERROR(__xludf.DUMMYFUNCTION("REGEXEXTRACT(D48,""\d*"")"),"12")</f>
        <v>12</v>
      </c>
      <c r="J48" s="17" t="str">
        <f>IFERROR(__xludf.DUMMYFUNCTION("REGEXEXTRACT(D48,""..$"")"),"30")</f>
        <v>30</v>
      </c>
      <c r="K48" s="17">
        <f t="shared" si="2"/>
        <v>0</v>
      </c>
      <c r="L48" s="17">
        <f t="shared" si="3"/>
        <v>6</v>
      </c>
      <c r="M48" s="17">
        <f t="shared" si="4"/>
        <v>0.1</v>
      </c>
    </row>
    <row r="49">
      <c r="A49" s="21">
        <f t="shared" si="5"/>
        <v>68.26666667</v>
      </c>
      <c r="B49" s="5">
        <v>45295.0</v>
      </c>
      <c r="C49" s="2" t="s">
        <v>68</v>
      </c>
      <c r="D49" s="2" t="s">
        <v>123</v>
      </c>
      <c r="E49" s="21">
        <f t="shared" si="1"/>
        <v>3.5</v>
      </c>
      <c r="F49" s="2" t="s">
        <v>135</v>
      </c>
      <c r="G49" s="17" t="str">
        <f>IFERROR(__xludf.DUMMYFUNCTION("REGEXEXTRACT(C49,""\d*"")"),"12")</f>
        <v>12</v>
      </c>
      <c r="H49" s="17" t="str">
        <f>IFERROR(__xludf.DUMMYFUNCTION("REGEXEXTRACT(C49,""..$"")"),"30")</f>
        <v>30</v>
      </c>
      <c r="I49" s="17" t="str">
        <f>IFERROR(__xludf.DUMMYFUNCTION("REGEXEXTRACT(D49,""\d*"")"),"15")</f>
        <v>15</v>
      </c>
      <c r="J49" s="17" t="str">
        <f>IFERROR(__xludf.DUMMYFUNCTION("REGEXEXTRACT(D49,""..$"")"),"00")</f>
        <v>00</v>
      </c>
      <c r="K49" s="17">
        <f t="shared" si="2"/>
        <v>3</v>
      </c>
      <c r="L49" s="17">
        <f t="shared" si="3"/>
        <v>30</v>
      </c>
      <c r="M49" s="17">
        <f t="shared" si="4"/>
        <v>3.5</v>
      </c>
    </row>
    <row r="50">
      <c r="A50" s="21">
        <f t="shared" si="5"/>
        <v>75.51666667</v>
      </c>
      <c r="B50" s="5">
        <v>45296.0</v>
      </c>
      <c r="C50" s="2" t="s">
        <v>136</v>
      </c>
      <c r="D50" s="2" t="s">
        <v>137</v>
      </c>
      <c r="E50" s="21">
        <f t="shared" si="1"/>
        <v>7.25</v>
      </c>
      <c r="F50" s="2" t="s">
        <v>135</v>
      </c>
      <c r="G50" s="17" t="str">
        <f>IFERROR(__xludf.DUMMYFUNCTION("REGEXEXTRACT(C50,""\d*"")"),"08")</f>
        <v>08</v>
      </c>
      <c r="H50" s="17" t="str">
        <f>IFERROR(__xludf.DUMMYFUNCTION("REGEXEXTRACT(C50,""..$"")"),"45")</f>
        <v>45</v>
      </c>
      <c r="I50" s="17" t="str">
        <f>IFERROR(__xludf.DUMMYFUNCTION("REGEXEXTRACT(D50,""\d*"")"),"15")</f>
        <v>15</v>
      </c>
      <c r="J50" s="17" t="str">
        <f>IFERROR(__xludf.DUMMYFUNCTION("REGEXEXTRACT(D50,""..$"")"),"30")</f>
        <v>30</v>
      </c>
      <c r="K50" s="17">
        <f t="shared" si="2"/>
        <v>7</v>
      </c>
      <c r="L50" s="17">
        <f t="shared" si="3"/>
        <v>15</v>
      </c>
      <c r="M50" s="17">
        <f t="shared" si="4"/>
        <v>7.25</v>
      </c>
    </row>
    <row r="51">
      <c r="A51" s="21">
        <f t="shared" si="5"/>
        <v>78.01666667</v>
      </c>
      <c r="B51" s="5">
        <v>45296.0</v>
      </c>
      <c r="C51" s="2" t="s">
        <v>121</v>
      </c>
      <c r="D51" s="2" t="s">
        <v>137</v>
      </c>
      <c r="E51" s="21">
        <f t="shared" si="1"/>
        <v>2.5</v>
      </c>
      <c r="F51" s="2" t="s">
        <v>138</v>
      </c>
      <c r="G51" s="17" t="str">
        <f>IFERROR(__xludf.DUMMYFUNCTION("REGEXEXTRACT(C51,""\d*"")"),"13")</f>
        <v>13</v>
      </c>
      <c r="H51" s="17" t="str">
        <f>IFERROR(__xludf.DUMMYFUNCTION("REGEXEXTRACT(C51,""..$"")"),"00")</f>
        <v>00</v>
      </c>
      <c r="I51" s="17" t="str">
        <f>IFERROR(__xludf.DUMMYFUNCTION("REGEXEXTRACT(D51,""\d*"")"),"15")</f>
        <v>15</v>
      </c>
      <c r="J51" s="17" t="str">
        <f>IFERROR(__xludf.DUMMYFUNCTION("REGEXEXTRACT(D51,""..$"")"),"30")</f>
        <v>30</v>
      </c>
      <c r="K51" s="17">
        <f t="shared" si="2"/>
        <v>2</v>
      </c>
      <c r="L51" s="17">
        <f t="shared" si="3"/>
        <v>30</v>
      </c>
      <c r="M51" s="17">
        <f t="shared" si="4"/>
        <v>2.5</v>
      </c>
    </row>
    <row r="52">
      <c r="A52" s="21">
        <f t="shared" si="5"/>
        <v>79.4</v>
      </c>
      <c r="B52" s="5">
        <v>45296.0</v>
      </c>
      <c r="C52" s="2" t="s">
        <v>139</v>
      </c>
      <c r="D52" s="2" t="s">
        <v>140</v>
      </c>
      <c r="E52" s="21">
        <f t="shared" si="1"/>
        <v>1.383333333</v>
      </c>
      <c r="F52" s="2" t="s">
        <v>141</v>
      </c>
      <c r="G52" s="17" t="str">
        <f>IFERROR(__xludf.DUMMYFUNCTION("REGEXEXTRACT(C52,""\d*"")"),"21")</f>
        <v>21</v>
      </c>
      <c r="H52" s="17" t="str">
        <f>IFERROR(__xludf.DUMMYFUNCTION("REGEXEXTRACT(C52,""..$"")"),"30")</f>
        <v>30</v>
      </c>
      <c r="I52" s="17" t="str">
        <f>IFERROR(__xludf.DUMMYFUNCTION("REGEXEXTRACT(D52,""\d*"")"),"22")</f>
        <v>22</v>
      </c>
      <c r="J52" s="17" t="str">
        <f>IFERROR(__xludf.DUMMYFUNCTION("REGEXEXTRACT(D52,""..$"")"),"53")</f>
        <v>53</v>
      </c>
      <c r="K52" s="17">
        <f t="shared" si="2"/>
        <v>1</v>
      </c>
      <c r="L52" s="17">
        <f t="shared" si="3"/>
        <v>23</v>
      </c>
      <c r="M52" s="17">
        <f t="shared" si="4"/>
        <v>1.383333333</v>
      </c>
    </row>
    <row r="53">
      <c r="A53" s="21">
        <f t="shared" si="5"/>
        <v>80.15</v>
      </c>
      <c r="B53" s="5">
        <v>45296.0</v>
      </c>
      <c r="C53" s="2" t="s">
        <v>142</v>
      </c>
      <c r="D53" s="2" t="s">
        <v>143</v>
      </c>
      <c r="E53" s="21">
        <f t="shared" si="1"/>
        <v>0.75</v>
      </c>
      <c r="F53" s="2" t="s">
        <v>144</v>
      </c>
      <c r="G53" s="17" t="str">
        <f>IFERROR(__xludf.DUMMYFUNCTION("REGEXEXTRACT(C53,""\d*"")"),"23")</f>
        <v>23</v>
      </c>
      <c r="H53" s="17" t="str">
        <f>IFERROR(__xludf.DUMMYFUNCTION("REGEXEXTRACT(C53,""..$"")"),"00")</f>
        <v>00</v>
      </c>
      <c r="I53" s="17" t="str">
        <f>IFERROR(__xludf.DUMMYFUNCTION("REGEXEXTRACT(D53,""\d*"")"),"23")</f>
        <v>23</v>
      </c>
      <c r="J53" s="17" t="str">
        <f>IFERROR(__xludf.DUMMYFUNCTION("REGEXEXTRACT(D53,""..$"")"),"45")</f>
        <v>45</v>
      </c>
      <c r="K53" s="17">
        <f t="shared" si="2"/>
        <v>0</v>
      </c>
      <c r="L53" s="17">
        <f t="shared" si="3"/>
        <v>45</v>
      </c>
      <c r="M53" s="17">
        <f t="shared" si="4"/>
        <v>0.75</v>
      </c>
    </row>
    <row r="54">
      <c r="A54" s="21">
        <f t="shared" si="5"/>
        <v>80.4</v>
      </c>
      <c r="B54" s="5">
        <v>45296.0</v>
      </c>
      <c r="C54" s="2" t="s">
        <v>143</v>
      </c>
      <c r="D54" s="2" t="s">
        <v>77</v>
      </c>
      <c r="E54" s="21">
        <f t="shared" si="1"/>
        <v>0.25</v>
      </c>
      <c r="F54" s="2" t="s">
        <v>145</v>
      </c>
      <c r="G54" s="17" t="str">
        <f>IFERROR(__xludf.DUMMYFUNCTION("REGEXEXTRACT(C54,""\d*"")"),"23")</f>
        <v>23</v>
      </c>
      <c r="H54" s="17" t="str">
        <f>IFERROR(__xludf.DUMMYFUNCTION("REGEXEXTRACT(C54,""..$"")"),"45")</f>
        <v>45</v>
      </c>
      <c r="I54" s="17" t="str">
        <f>IFERROR(__xludf.DUMMYFUNCTION("REGEXEXTRACT(D54,""\d*"")"),"24")</f>
        <v>24</v>
      </c>
      <c r="J54" s="17" t="str">
        <f>IFERROR(__xludf.DUMMYFUNCTION("REGEXEXTRACT(D54,""..$"")"),"00")</f>
        <v>00</v>
      </c>
      <c r="K54" s="17">
        <f t="shared" si="2"/>
        <v>0</v>
      </c>
      <c r="L54" s="17">
        <f t="shared" si="3"/>
        <v>15</v>
      </c>
      <c r="M54" s="17">
        <f t="shared" si="4"/>
        <v>0.25</v>
      </c>
    </row>
    <row r="55">
      <c r="A55" s="21">
        <f t="shared" si="5"/>
        <v>81.65</v>
      </c>
      <c r="B55" s="5">
        <v>45297.0</v>
      </c>
      <c r="C55" s="2" t="s">
        <v>81</v>
      </c>
      <c r="D55" s="2" t="s">
        <v>146</v>
      </c>
      <c r="E55" s="21">
        <f t="shared" si="1"/>
        <v>1.25</v>
      </c>
      <c r="F55" s="2" t="s">
        <v>145</v>
      </c>
      <c r="G55" s="17" t="str">
        <f>IFERROR(__xludf.DUMMYFUNCTION("REGEXEXTRACT(C55,""\d*"")"),"00")</f>
        <v>00</v>
      </c>
      <c r="H55" s="17" t="str">
        <f>IFERROR(__xludf.DUMMYFUNCTION("REGEXEXTRACT(C55,""..$"")"),"00")</f>
        <v>00</v>
      </c>
      <c r="I55" s="17" t="str">
        <f>IFERROR(__xludf.DUMMYFUNCTION("REGEXEXTRACT(D55,""\d*"")"),"01")</f>
        <v>01</v>
      </c>
      <c r="J55" s="17" t="str">
        <f>IFERROR(__xludf.DUMMYFUNCTION("REGEXEXTRACT(D55,""..$"")"),"15")</f>
        <v>15</v>
      </c>
      <c r="K55" s="17">
        <f t="shared" si="2"/>
        <v>1</v>
      </c>
      <c r="L55" s="17">
        <f t="shared" si="3"/>
        <v>15</v>
      </c>
      <c r="M55" s="17">
        <f t="shared" si="4"/>
        <v>1.25</v>
      </c>
    </row>
    <row r="56">
      <c r="A56" s="21">
        <f t="shared" si="5"/>
        <v>82.4</v>
      </c>
      <c r="B56" s="5">
        <v>45297.0</v>
      </c>
      <c r="C56" s="2" t="s">
        <v>146</v>
      </c>
      <c r="D56" s="2" t="s">
        <v>147</v>
      </c>
      <c r="E56" s="21">
        <f t="shared" si="1"/>
        <v>0.75</v>
      </c>
      <c r="F56" s="2" t="s">
        <v>148</v>
      </c>
      <c r="G56" s="17" t="str">
        <f>IFERROR(__xludf.DUMMYFUNCTION("REGEXEXTRACT(C56,""\d*"")"),"01")</f>
        <v>01</v>
      </c>
      <c r="H56" s="17" t="str">
        <f>IFERROR(__xludf.DUMMYFUNCTION("REGEXEXTRACT(C56,""..$"")"),"15")</f>
        <v>15</v>
      </c>
      <c r="I56" s="17" t="str">
        <f>IFERROR(__xludf.DUMMYFUNCTION("REGEXEXTRACT(D56,""\d*"")"),"02")</f>
        <v>02</v>
      </c>
      <c r="J56" s="17" t="str">
        <f>IFERROR(__xludf.DUMMYFUNCTION("REGEXEXTRACT(D56,""..$"")"),"07")</f>
        <v>07</v>
      </c>
      <c r="K56" s="17">
        <f t="shared" si="2"/>
        <v>0</v>
      </c>
      <c r="L56" s="17">
        <f t="shared" si="3"/>
        <v>45</v>
      </c>
      <c r="M56" s="17">
        <f t="shared" si="4"/>
        <v>0.75</v>
      </c>
    </row>
    <row r="57">
      <c r="A57" s="21">
        <f t="shared" si="5"/>
        <v>83.25</v>
      </c>
      <c r="B57" s="5">
        <v>45297.0</v>
      </c>
      <c r="C57" s="2" t="s">
        <v>147</v>
      </c>
      <c r="D57" s="2" t="s">
        <v>149</v>
      </c>
      <c r="E57" s="21">
        <f t="shared" si="1"/>
        <v>0.85</v>
      </c>
      <c r="F57" s="23" t="s">
        <v>150</v>
      </c>
      <c r="G57" s="17" t="str">
        <f>IFERROR(__xludf.DUMMYFUNCTION("REGEXEXTRACT(C57,""\d*"")"),"02")</f>
        <v>02</v>
      </c>
      <c r="H57" s="17" t="str">
        <f>IFERROR(__xludf.DUMMYFUNCTION("REGEXEXTRACT(C57,""..$"")"),"07")</f>
        <v>07</v>
      </c>
      <c r="I57" s="17" t="str">
        <f>IFERROR(__xludf.DUMMYFUNCTION("REGEXEXTRACT(D57,""\d*"")"),"02")</f>
        <v>02</v>
      </c>
      <c r="J57" s="17" t="str">
        <f>IFERROR(__xludf.DUMMYFUNCTION("REGEXEXTRACT(D57,""..$"")"),"58")</f>
        <v>58</v>
      </c>
      <c r="K57" s="17">
        <f t="shared" si="2"/>
        <v>0</v>
      </c>
      <c r="L57" s="17">
        <f t="shared" si="3"/>
        <v>51</v>
      </c>
      <c r="M57" s="17">
        <f t="shared" si="4"/>
        <v>0.85</v>
      </c>
    </row>
    <row r="58">
      <c r="A58" s="21">
        <f t="shared" si="5"/>
        <v>84.26666667</v>
      </c>
      <c r="B58" s="5">
        <v>45297.0</v>
      </c>
      <c r="C58" s="2" t="s">
        <v>149</v>
      </c>
      <c r="D58" s="2" t="s">
        <v>151</v>
      </c>
      <c r="E58" s="21">
        <f t="shared" si="1"/>
        <v>1.016666667</v>
      </c>
      <c r="F58" s="2" t="s">
        <v>152</v>
      </c>
      <c r="G58" s="17" t="str">
        <f>IFERROR(__xludf.DUMMYFUNCTION("REGEXEXTRACT(C58,""\d*"")"),"02")</f>
        <v>02</v>
      </c>
      <c r="H58" s="17" t="str">
        <f>IFERROR(__xludf.DUMMYFUNCTION("REGEXEXTRACT(C58,""..$"")"),"58")</f>
        <v>58</v>
      </c>
      <c r="I58" s="17" t="str">
        <f>IFERROR(__xludf.DUMMYFUNCTION("REGEXEXTRACT(D58,""\d*"")"),"03")</f>
        <v>03</v>
      </c>
      <c r="J58" s="17" t="str">
        <f>IFERROR(__xludf.DUMMYFUNCTION("REGEXEXTRACT(D58,""..$"")"),"59")</f>
        <v>59</v>
      </c>
      <c r="K58" s="17">
        <f t="shared" si="2"/>
        <v>1</v>
      </c>
      <c r="L58" s="17">
        <f t="shared" si="3"/>
        <v>1</v>
      </c>
      <c r="M58" s="17">
        <f t="shared" si="4"/>
        <v>1.016666667</v>
      </c>
    </row>
    <row r="59">
      <c r="A59" s="21">
        <f t="shared" si="5"/>
        <v>86.26666667</v>
      </c>
      <c r="B59" s="5">
        <v>45297.0</v>
      </c>
      <c r="C59" s="2" t="s">
        <v>153</v>
      </c>
      <c r="D59" s="2" t="s">
        <v>62</v>
      </c>
      <c r="E59" s="21">
        <f t="shared" si="1"/>
        <v>2</v>
      </c>
      <c r="F59" s="2" t="s">
        <v>152</v>
      </c>
      <c r="G59" s="17" t="str">
        <f>IFERROR(__xludf.DUMMYFUNCTION("REGEXEXTRACT(C59,""\d*"")"),"14")</f>
        <v>14</v>
      </c>
      <c r="H59" s="17" t="str">
        <f>IFERROR(__xludf.DUMMYFUNCTION("REGEXEXTRACT(C59,""..$"")"),"00")</f>
        <v>00</v>
      </c>
      <c r="I59" s="17" t="str">
        <f>IFERROR(__xludf.DUMMYFUNCTION("REGEXEXTRACT(D59,""\d*"")"),"16")</f>
        <v>16</v>
      </c>
      <c r="J59" s="17" t="str">
        <f>IFERROR(__xludf.DUMMYFUNCTION("REGEXEXTRACT(D59,""..$"")"),"00")</f>
        <v>00</v>
      </c>
      <c r="K59" s="17">
        <f t="shared" si="2"/>
        <v>2</v>
      </c>
      <c r="L59" s="17">
        <f t="shared" si="3"/>
        <v>0</v>
      </c>
      <c r="M59" s="17">
        <f t="shared" si="4"/>
        <v>2</v>
      </c>
    </row>
    <row r="60">
      <c r="A60" s="21">
        <f t="shared" si="5"/>
        <v>86.56666667</v>
      </c>
      <c r="B60" s="5">
        <v>45297.0</v>
      </c>
      <c r="C60" s="2" t="s">
        <v>154</v>
      </c>
      <c r="D60" s="2" t="s">
        <v>155</v>
      </c>
      <c r="E60" s="21">
        <f t="shared" si="1"/>
        <v>0.3</v>
      </c>
      <c r="F60" s="23" t="s">
        <v>156</v>
      </c>
      <c r="G60" s="17" t="str">
        <f>IFERROR(__xludf.DUMMYFUNCTION("REGEXEXTRACT(C60,""\d*"")"),"22")</f>
        <v>22</v>
      </c>
      <c r="H60" s="17" t="str">
        <f>IFERROR(__xludf.DUMMYFUNCTION("REGEXEXTRACT(C60,""..$"")"),"42")</f>
        <v>42</v>
      </c>
      <c r="I60" s="17" t="str">
        <f>IFERROR(__xludf.DUMMYFUNCTION("REGEXEXTRACT(D60,""\d*"")"),"23")</f>
        <v>23</v>
      </c>
      <c r="J60" s="17" t="str">
        <f>IFERROR(__xludf.DUMMYFUNCTION("REGEXEXTRACT(D60,""..$"")"),"36")</f>
        <v>36</v>
      </c>
      <c r="K60" s="17">
        <f t="shared" si="2"/>
        <v>0</v>
      </c>
      <c r="L60" s="17">
        <f t="shared" si="3"/>
        <v>18</v>
      </c>
      <c r="M60" s="17">
        <f t="shared" si="4"/>
        <v>0.3</v>
      </c>
    </row>
    <row r="61">
      <c r="A61" s="21">
        <f t="shared" si="5"/>
        <v>86.96666667</v>
      </c>
      <c r="B61" s="5">
        <v>45297.0</v>
      </c>
      <c r="C61" s="2" t="s">
        <v>155</v>
      </c>
      <c r="D61" s="2" t="s">
        <v>77</v>
      </c>
      <c r="E61" s="21">
        <f t="shared" si="1"/>
        <v>0.4</v>
      </c>
      <c r="F61" s="2" t="s">
        <v>157</v>
      </c>
      <c r="G61" s="17" t="str">
        <f>IFERROR(__xludf.DUMMYFUNCTION("REGEXEXTRACT(C61,""\d*"")"),"23")</f>
        <v>23</v>
      </c>
      <c r="H61" s="17" t="str">
        <f>IFERROR(__xludf.DUMMYFUNCTION("REGEXEXTRACT(C61,""..$"")"),"36")</f>
        <v>36</v>
      </c>
      <c r="I61" s="17" t="str">
        <f>IFERROR(__xludf.DUMMYFUNCTION("REGEXEXTRACT(D61,""\d*"")"),"24")</f>
        <v>24</v>
      </c>
      <c r="J61" s="17" t="str">
        <f>IFERROR(__xludf.DUMMYFUNCTION("REGEXEXTRACT(D61,""..$"")"),"00")</f>
        <v>00</v>
      </c>
      <c r="K61" s="17">
        <f t="shared" si="2"/>
        <v>0</v>
      </c>
      <c r="L61" s="17">
        <f t="shared" si="3"/>
        <v>24</v>
      </c>
      <c r="M61" s="17">
        <f t="shared" si="4"/>
        <v>0.4</v>
      </c>
    </row>
    <row r="62">
      <c r="A62" s="21">
        <f t="shared" si="5"/>
        <v>88.56666667</v>
      </c>
      <c r="B62" s="5">
        <v>45298.0</v>
      </c>
      <c r="C62" s="2" t="s">
        <v>81</v>
      </c>
      <c r="D62" s="2" t="s">
        <v>158</v>
      </c>
      <c r="E62" s="21">
        <f t="shared" si="1"/>
        <v>1.6</v>
      </c>
      <c r="F62" s="23" t="s">
        <v>159</v>
      </c>
      <c r="G62" s="17" t="str">
        <f>IFERROR(__xludf.DUMMYFUNCTION("REGEXEXTRACT(C62,""\d*"")"),"00")</f>
        <v>00</v>
      </c>
      <c r="H62" s="17" t="str">
        <f>IFERROR(__xludf.DUMMYFUNCTION("REGEXEXTRACT(C62,""..$"")"),"00")</f>
        <v>00</v>
      </c>
      <c r="I62" s="17" t="str">
        <f>IFERROR(__xludf.DUMMYFUNCTION("REGEXEXTRACT(D62,""\d*"")"),"01")</f>
        <v>01</v>
      </c>
      <c r="J62" s="17" t="str">
        <f>IFERROR(__xludf.DUMMYFUNCTION("REGEXEXTRACT(D62,""..$"")"),"36")</f>
        <v>36</v>
      </c>
      <c r="K62" s="17">
        <f t="shared" si="2"/>
        <v>1</v>
      </c>
      <c r="L62" s="17">
        <f t="shared" si="3"/>
        <v>36</v>
      </c>
      <c r="M62" s="17">
        <f t="shared" si="4"/>
        <v>1.6</v>
      </c>
    </row>
    <row r="63">
      <c r="A63" s="21">
        <f t="shared" si="5"/>
        <v>90.96666667</v>
      </c>
      <c r="B63" s="5">
        <v>45298.0</v>
      </c>
      <c r="C63" s="2" t="s">
        <v>158</v>
      </c>
      <c r="D63" s="2" t="s">
        <v>160</v>
      </c>
      <c r="E63" s="21">
        <f t="shared" si="1"/>
        <v>2.4</v>
      </c>
      <c r="F63" s="2" t="s">
        <v>161</v>
      </c>
      <c r="G63" s="17" t="str">
        <f>IFERROR(__xludf.DUMMYFUNCTION("REGEXEXTRACT(C63,""\d*"")"),"01")</f>
        <v>01</v>
      </c>
      <c r="H63" s="17" t="str">
        <f>IFERROR(__xludf.DUMMYFUNCTION("REGEXEXTRACT(C63,""..$"")"),"36")</f>
        <v>36</v>
      </c>
      <c r="I63" s="17" t="str">
        <f>IFERROR(__xludf.DUMMYFUNCTION("REGEXEXTRACT(D63,""\d*"")"),"03")</f>
        <v>03</v>
      </c>
      <c r="J63" s="17" t="str">
        <f>IFERROR(__xludf.DUMMYFUNCTION("REGEXEXTRACT(D63,""..$"")"),"00")</f>
        <v>00</v>
      </c>
      <c r="K63" s="17">
        <f t="shared" si="2"/>
        <v>2</v>
      </c>
      <c r="L63" s="17">
        <f t="shared" si="3"/>
        <v>24</v>
      </c>
      <c r="M63" s="17">
        <f t="shared" si="4"/>
        <v>2.4</v>
      </c>
    </row>
    <row r="64">
      <c r="A64" s="21">
        <f t="shared" si="5"/>
        <v>94.96666667</v>
      </c>
      <c r="B64" s="5">
        <v>45298.0</v>
      </c>
      <c r="C64" s="2" t="s">
        <v>160</v>
      </c>
      <c r="D64" s="2" t="s">
        <v>162</v>
      </c>
      <c r="E64" s="21">
        <f t="shared" si="1"/>
        <v>4</v>
      </c>
      <c r="F64" s="2" t="s">
        <v>163</v>
      </c>
      <c r="G64" s="17" t="str">
        <f>IFERROR(__xludf.DUMMYFUNCTION("REGEXEXTRACT(C64,""\d*"")"),"03")</f>
        <v>03</v>
      </c>
      <c r="H64" s="17" t="str">
        <f>IFERROR(__xludf.DUMMYFUNCTION("REGEXEXTRACT(C64,""..$"")"),"00")</f>
        <v>00</v>
      </c>
      <c r="I64" s="17" t="str">
        <f>IFERROR(__xludf.DUMMYFUNCTION("REGEXEXTRACT(D64,""\d*"")"),"07")</f>
        <v>07</v>
      </c>
      <c r="J64" s="17" t="str">
        <f>IFERROR(__xludf.DUMMYFUNCTION("REGEXEXTRACT(D64,""..$"")"),"00")</f>
        <v>00</v>
      </c>
      <c r="K64" s="17">
        <f t="shared" si="2"/>
        <v>4</v>
      </c>
      <c r="L64" s="17">
        <f t="shared" si="3"/>
        <v>0</v>
      </c>
      <c r="M64" s="17">
        <f t="shared" si="4"/>
        <v>4</v>
      </c>
    </row>
    <row r="65">
      <c r="A65" s="21">
        <f t="shared" si="5"/>
        <v>97.35</v>
      </c>
      <c r="B65" s="5">
        <v>45298.0</v>
      </c>
      <c r="C65" s="2" t="s">
        <v>164</v>
      </c>
      <c r="D65" s="2" t="s">
        <v>165</v>
      </c>
      <c r="E65" s="21">
        <f t="shared" si="1"/>
        <v>2.383333333</v>
      </c>
      <c r="F65" s="23" t="s">
        <v>166</v>
      </c>
      <c r="G65" s="17" t="str">
        <f>IFERROR(__xludf.DUMMYFUNCTION("REGEXEXTRACT(C65,""\d*"")"),"10")</f>
        <v>10</v>
      </c>
      <c r="H65" s="17" t="str">
        <f>IFERROR(__xludf.DUMMYFUNCTION("REGEXEXTRACT(C65,""..$"")"),"03")</f>
        <v>03</v>
      </c>
      <c r="I65" s="17" t="str">
        <f>IFERROR(__xludf.DUMMYFUNCTION("REGEXEXTRACT(D65,""\d*"")"),"12")</f>
        <v>12</v>
      </c>
      <c r="J65" s="17" t="str">
        <f>IFERROR(__xludf.DUMMYFUNCTION("REGEXEXTRACT(D65,""..$"")"),"26")</f>
        <v>26</v>
      </c>
      <c r="K65" s="17">
        <f t="shared" si="2"/>
        <v>2</v>
      </c>
      <c r="L65" s="17">
        <f t="shared" si="3"/>
        <v>23</v>
      </c>
      <c r="M65" s="17">
        <f t="shared" si="4"/>
        <v>2.383333333</v>
      </c>
    </row>
    <row r="66">
      <c r="A66" s="21">
        <f t="shared" si="5"/>
        <v>98.51666667</v>
      </c>
      <c r="B66" s="5">
        <v>45298.0</v>
      </c>
      <c r="C66" s="2" t="s">
        <v>167</v>
      </c>
      <c r="D66" s="2" t="s">
        <v>168</v>
      </c>
      <c r="E66" s="21">
        <f t="shared" si="1"/>
        <v>1.166666667</v>
      </c>
      <c r="F66" s="2" t="s">
        <v>169</v>
      </c>
      <c r="G66" s="17" t="str">
        <f>IFERROR(__xludf.DUMMYFUNCTION("REGEXEXTRACT(C66,""\d*"")"),"12")</f>
        <v>12</v>
      </c>
      <c r="H66" s="17" t="str">
        <f>IFERROR(__xludf.DUMMYFUNCTION("REGEXEXTRACT(C66,""..$"")"),"03")</f>
        <v>03</v>
      </c>
      <c r="I66" s="17" t="str">
        <f>IFERROR(__xludf.DUMMYFUNCTION("REGEXEXTRACT(D66,""\d*"")"),"13")</f>
        <v>13</v>
      </c>
      <c r="J66" s="17" t="str">
        <f>IFERROR(__xludf.DUMMYFUNCTION("REGEXEXTRACT(D66,""..$"")"),"13")</f>
        <v>13</v>
      </c>
      <c r="K66" s="17">
        <f t="shared" si="2"/>
        <v>1</v>
      </c>
      <c r="L66" s="17">
        <f t="shared" si="3"/>
        <v>10</v>
      </c>
      <c r="M66" s="17">
        <f t="shared" si="4"/>
        <v>1.166666667</v>
      </c>
    </row>
    <row r="67">
      <c r="A67" s="21">
        <f t="shared" si="5"/>
        <v>101.3</v>
      </c>
      <c r="B67" s="5">
        <v>45298.0</v>
      </c>
      <c r="C67" s="2" t="s">
        <v>168</v>
      </c>
      <c r="D67" s="2" t="s">
        <v>123</v>
      </c>
      <c r="E67" s="21">
        <f t="shared" si="1"/>
        <v>2.783333333</v>
      </c>
      <c r="F67" s="23" t="s">
        <v>170</v>
      </c>
      <c r="G67" s="17" t="str">
        <f>IFERROR(__xludf.DUMMYFUNCTION("REGEXEXTRACT(C67,""\d*"")"),"13")</f>
        <v>13</v>
      </c>
      <c r="H67" s="17" t="str">
        <f>IFERROR(__xludf.DUMMYFUNCTION("REGEXEXTRACT(C67,""..$"")"),"13")</f>
        <v>13</v>
      </c>
      <c r="I67" s="17" t="str">
        <f>IFERROR(__xludf.DUMMYFUNCTION("REGEXEXTRACT(D67,""\d*"")"),"15")</f>
        <v>15</v>
      </c>
      <c r="J67" s="17" t="str">
        <f>IFERROR(__xludf.DUMMYFUNCTION("REGEXEXTRACT(D67,""..$"")"),"00")</f>
        <v>00</v>
      </c>
      <c r="K67" s="17">
        <f t="shared" si="2"/>
        <v>2</v>
      </c>
      <c r="L67" s="17">
        <f t="shared" si="3"/>
        <v>47</v>
      </c>
      <c r="M67" s="17">
        <f t="shared" si="4"/>
        <v>2.783333333</v>
      </c>
    </row>
    <row r="68">
      <c r="A68" s="21">
        <f t="shared" si="5"/>
        <v>101.3</v>
      </c>
      <c r="B68" s="5">
        <f>B67+1</f>
        <v>45299</v>
      </c>
      <c r="C68" s="2" t="s">
        <v>81</v>
      </c>
      <c r="D68" s="2" t="s">
        <v>81</v>
      </c>
      <c r="E68" s="21">
        <f t="shared" si="1"/>
        <v>0</v>
      </c>
      <c r="G68" s="17" t="str">
        <f>IFERROR(__xludf.DUMMYFUNCTION("REGEXEXTRACT(C68,""\d*"")"),"00")</f>
        <v>00</v>
      </c>
      <c r="H68" s="17" t="str">
        <f>IFERROR(__xludf.DUMMYFUNCTION("REGEXEXTRACT(C68,""..$"")"),"00")</f>
        <v>00</v>
      </c>
      <c r="I68" s="17" t="str">
        <f>IFERROR(__xludf.DUMMYFUNCTION("REGEXEXTRACT(D68,""\d*"")"),"00")</f>
        <v>00</v>
      </c>
      <c r="J68" s="17" t="str">
        <f>IFERROR(__xludf.DUMMYFUNCTION("REGEXEXTRACT(D68,""..$"")"),"00")</f>
        <v>00</v>
      </c>
      <c r="K68" s="17">
        <f t="shared" si="2"/>
        <v>0</v>
      </c>
      <c r="L68" s="17">
        <f t="shared" si="3"/>
        <v>0</v>
      </c>
      <c r="M68" s="17">
        <f t="shared" si="4"/>
        <v>0</v>
      </c>
    </row>
  </sheetData>
  <mergeCells count="2">
    <mergeCell ref="G3:J3"/>
    <mergeCell ref="K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7">
        <f>B4/B2</f>
        <v>3.857142857</v>
      </c>
    </row>
    <row r="2">
      <c r="B2" s="2">
        <f>36-15</f>
        <v>21</v>
      </c>
    </row>
    <row r="3">
      <c r="A3" s="19" t="s">
        <v>171</v>
      </c>
      <c r="B3" s="19" t="s">
        <v>172</v>
      </c>
      <c r="C3" s="19" t="s">
        <v>171</v>
      </c>
      <c r="D3" s="19" t="s">
        <v>173</v>
      </c>
      <c r="E3" s="19" t="s">
        <v>174</v>
      </c>
      <c r="F3" s="19" t="s">
        <v>175</v>
      </c>
      <c r="G3" s="19" t="s">
        <v>176</v>
      </c>
    </row>
    <row r="4">
      <c r="A4" s="24">
        <v>45263.0</v>
      </c>
      <c r="B4" s="11">
        <f>'Project Estimation'!D15</f>
        <v>81</v>
      </c>
      <c r="C4" s="21">
        <f>B4-D4</f>
        <v>75</v>
      </c>
      <c r="D4" s="21">
        <f>IFERROR(__xludf.DUMMYFUNCTION("SUM(FILTER(Log!$E:$E,Log!$B:$B=A4))"),6.0)</f>
        <v>6</v>
      </c>
      <c r="E4" s="2">
        <v>4.0</v>
      </c>
      <c r="F4" s="17">
        <f>E4</f>
        <v>4</v>
      </c>
      <c r="G4" s="21">
        <f>D4</f>
        <v>6</v>
      </c>
    </row>
    <row r="5">
      <c r="A5" s="5">
        <f t="shared" ref="A5:A40" si="1">A4+1</f>
        <v>45264</v>
      </c>
      <c r="B5" s="11">
        <f t="shared" ref="B5:B9" si="2">B4-$B$1</f>
        <v>77.14285714</v>
      </c>
      <c r="C5" s="21">
        <f t="shared" ref="C5:C40" si="3">C4-D5</f>
        <v>61.48333333</v>
      </c>
      <c r="D5" s="21">
        <f>IFERROR(__xludf.DUMMYFUNCTION("SUM(FILTER(Log!$E:$E,Log!$B:$B=A5))"),13.516666666666666)</f>
        <v>13.51666667</v>
      </c>
      <c r="E5" s="2">
        <v>5.0</v>
      </c>
      <c r="F5" s="17">
        <f t="shared" ref="F5:F40" si="4">E5+F4</f>
        <v>9</v>
      </c>
      <c r="G5" s="21">
        <f t="shared" ref="G5:G40" si="5">D5+G4</f>
        <v>19.51666667</v>
      </c>
    </row>
    <row r="6">
      <c r="A6" s="5">
        <f t="shared" si="1"/>
        <v>45265</v>
      </c>
      <c r="B6" s="11">
        <f t="shared" si="2"/>
        <v>73.28571429</v>
      </c>
      <c r="C6" s="21">
        <f t="shared" si="3"/>
        <v>56.81666667</v>
      </c>
      <c r="D6" s="21">
        <f>IFERROR(__xludf.DUMMYFUNCTION("SUM(FILTER(Log!$E:$E,Log!$B:$B=A6))"),4.666666666666667)</f>
        <v>4.666666667</v>
      </c>
      <c r="E6" s="2">
        <v>5.0</v>
      </c>
      <c r="F6" s="17">
        <f t="shared" si="4"/>
        <v>14</v>
      </c>
      <c r="G6" s="21">
        <f t="shared" si="5"/>
        <v>24.18333333</v>
      </c>
    </row>
    <row r="7">
      <c r="A7" s="5">
        <f t="shared" si="1"/>
        <v>45266</v>
      </c>
      <c r="B7" s="11">
        <f t="shared" si="2"/>
        <v>69.42857143</v>
      </c>
      <c r="C7" s="21">
        <f t="shared" si="3"/>
        <v>56.81666667</v>
      </c>
      <c r="D7" s="21">
        <f>IFERROR(__xludf.DUMMYFUNCTION("SUM(FILTER(Log!$E:$E,Log!$B:$B=A7))"),0.0)</f>
        <v>0</v>
      </c>
      <c r="E7" s="2">
        <v>5.0</v>
      </c>
      <c r="F7" s="17">
        <f t="shared" si="4"/>
        <v>19</v>
      </c>
      <c r="G7" s="21">
        <f t="shared" si="5"/>
        <v>24.18333333</v>
      </c>
    </row>
    <row r="8">
      <c r="A8" s="5">
        <f t="shared" si="1"/>
        <v>45267</v>
      </c>
      <c r="B8" s="11">
        <f t="shared" si="2"/>
        <v>65.57142857</v>
      </c>
      <c r="C8" s="21">
        <f t="shared" si="3"/>
        <v>56.81666667</v>
      </c>
      <c r="D8" s="21">
        <f>IFERROR(__xludf.DUMMYFUNCTION("SUM(FILTER(Log!$E:$E,Log!$B:$B=A8))"),0.0)</f>
        <v>0</v>
      </c>
      <c r="E8" s="2">
        <v>5.0</v>
      </c>
      <c r="F8" s="17">
        <f t="shared" si="4"/>
        <v>24</v>
      </c>
      <c r="G8" s="21">
        <f t="shared" si="5"/>
        <v>24.18333333</v>
      </c>
    </row>
    <row r="9">
      <c r="A9" s="5">
        <f t="shared" si="1"/>
        <v>45268</v>
      </c>
      <c r="B9" s="11">
        <f t="shared" si="2"/>
        <v>61.71428571</v>
      </c>
      <c r="C9" s="21">
        <f t="shared" si="3"/>
        <v>56.81666667</v>
      </c>
      <c r="D9" s="21">
        <f>IFERROR(__xludf.DUMMYFUNCTION("SUM(FILTER(Log!$E:$E,Log!$B:$B=A9))"),0.0)</f>
        <v>0</v>
      </c>
      <c r="E9" s="2">
        <v>5.0</v>
      </c>
      <c r="F9" s="17">
        <f t="shared" si="4"/>
        <v>29</v>
      </c>
      <c r="G9" s="21">
        <f t="shared" si="5"/>
        <v>24.18333333</v>
      </c>
    </row>
    <row r="10">
      <c r="A10" s="24">
        <f t="shared" si="1"/>
        <v>45269</v>
      </c>
      <c r="B10" s="25">
        <f t="shared" ref="B10:B11" si="6">B9</f>
        <v>61.71428571</v>
      </c>
      <c r="C10" s="21">
        <f t="shared" si="3"/>
        <v>55.48333333</v>
      </c>
      <c r="D10" s="21">
        <f>IFERROR(__xludf.DUMMYFUNCTION("SUM(FILTER(Log!$E:$E,Log!$B:$B=A10))"),1.3333333333333333)</f>
        <v>1.333333333</v>
      </c>
      <c r="E10" s="2">
        <v>0.0</v>
      </c>
      <c r="F10" s="17">
        <f t="shared" si="4"/>
        <v>29</v>
      </c>
      <c r="G10" s="21">
        <f t="shared" si="5"/>
        <v>25.51666667</v>
      </c>
    </row>
    <row r="11">
      <c r="A11" s="24">
        <f t="shared" si="1"/>
        <v>45270</v>
      </c>
      <c r="B11" s="25">
        <f t="shared" si="6"/>
        <v>61.71428571</v>
      </c>
      <c r="C11" s="21">
        <f t="shared" si="3"/>
        <v>53.48333333</v>
      </c>
      <c r="D11" s="21">
        <f>IFERROR(__xludf.DUMMYFUNCTION("SUM(FILTER(Log!$E:$E,Log!$B:$B=A11))"),2.0)</f>
        <v>2</v>
      </c>
      <c r="E11" s="2">
        <v>0.0</v>
      </c>
      <c r="F11" s="17">
        <f t="shared" si="4"/>
        <v>29</v>
      </c>
      <c r="G11" s="21">
        <f t="shared" si="5"/>
        <v>27.51666667</v>
      </c>
    </row>
    <row r="12">
      <c r="A12" s="5">
        <f t="shared" si="1"/>
        <v>45271</v>
      </c>
      <c r="B12" s="11">
        <f>B9-$B$1</f>
        <v>57.85714286</v>
      </c>
      <c r="C12" s="21">
        <f t="shared" si="3"/>
        <v>49.66666667</v>
      </c>
      <c r="D12" s="21">
        <f>IFERROR(__xludf.DUMMYFUNCTION("SUM(FILTER(Log!$E:$E,Log!$B:$B=A12))"),3.816666666666667)</f>
        <v>3.816666667</v>
      </c>
      <c r="E12" s="2">
        <v>5.0</v>
      </c>
      <c r="F12" s="17">
        <f t="shared" si="4"/>
        <v>34</v>
      </c>
      <c r="G12" s="21">
        <f t="shared" si="5"/>
        <v>31.33333333</v>
      </c>
    </row>
    <row r="13">
      <c r="A13" s="5">
        <f t="shared" si="1"/>
        <v>45272</v>
      </c>
      <c r="B13" s="11">
        <f t="shared" ref="B13:B16" si="7">B12-$B$1</f>
        <v>54</v>
      </c>
      <c r="C13" s="21">
        <f t="shared" si="3"/>
        <v>44.81666667</v>
      </c>
      <c r="D13" s="21">
        <f>IFERROR(__xludf.DUMMYFUNCTION("SUM(FILTER(Log!$E:$E,Log!$B:$B=A13))"),4.85)</f>
        <v>4.85</v>
      </c>
      <c r="E13" s="2">
        <v>5.0</v>
      </c>
      <c r="F13" s="17">
        <f t="shared" si="4"/>
        <v>39</v>
      </c>
      <c r="G13" s="21">
        <f t="shared" si="5"/>
        <v>36.18333333</v>
      </c>
    </row>
    <row r="14">
      <c r="A14" s="5">
        <f t="shared" si="1"/>
        <v>45273</v>
      </c>
      <c r="B14" s="11">
        <f t="shared" si="7"/>
        <v>50.14285714</v>
      </c>
      <c r="C14" s="21">
        <f t="shared" si="3"/>
        <v>44.81666667</v>
      </c>
      <c r="D14" s="21">
        <f>IFERROR(__xludf.DUMMYFUNCTION("SUM(FILTER(Log!$E:$E,Log!$B:$B=A14))"),0.0)</f>
        <v>0</v>
      </c>
      <c r="E14" s="2">
        <v>5.0</v>
      </c>
      <c r="F14" s="17">
        <f t="shared" si="4"/>
        <v>44</v>
      </c>
      <c r="G14" s="21">
        <f t="shared" si="5"/>
        <v>36.18333333</v>
      </c>
    </row>
    <row r="15">
      <c r="A15" s="5">
        <f t="shared" si="1"/>
        <v>45274</v>
      </c>
      <c r="B15" s="11">
        <f t="shared" si="7"/>
        <v>46.28571429</v>
      </c>
      <c r="C15" s="21">
        <f t="shared" si="3"/>
        <v>44.81666667</v>
      </c>
      <c r="D15" s="21">
        <f>IFERROR(__xludf.DUMMYFUNCTION("SUM(FILTER(Log!$E:$E,Log!$B:$B=A15))"),0.0)</f>
        <v>0</v>
      </c>
      <c r="E15" s="2">
        <v>5.0</v>
      </c>
      <c r="F15" s="17">
        <f t="shared" si="4"/>
        <v>49</v>
      </c>
      <c r="G15" s="21">
        <f t="shared" si="5"/>
        <v>36.18333333</v>
      </c>
    </row>
    <row r="16">
      <c r="A16" s="5">
        <f t="shared" si="1"/>
        <v>45275</v>
      </c>
      <c r="B16" s="11">
        <f t="shared" si="7"/>
        <v>42.42857143</v>
      </c>
      <c r="C16" s="21">
        <f t="shared" si="3"/>
        <v>44.81666667</v>
      </c>
      <c r="D16" s="21">
        <f>IFERROR(__xludf.DUMMYFUNCTION("SUM(FILTER(Log!$E:$E,Log!$B:$B=A16))"),0.0)</f>
        <v>0</v>
      </c>
      <c r="E16" s="2">
        <v>5.0</v>
      </c>
      <c r="F16" s="17">
        <f t="shared" si="4"/>
        <v>54</v>
      </c>
      <c r="G16" s="21">
        <f t="shared" si="5"/>
        <v>36.18333333</v>
      </c>
    </row>
    <row r="17">
      <c r="A17" s="24">
        <f t="shared" si="1"/>
        <v>45276</v>
      </c>
      <c r="B17" s="25">
        <f t="shared" ref="B17:B18" si="8">B16</f>
        <v>42.42857143</v>
      </c>
      <c r="C17" s="21">
        <f t="shared" si="3"/>
        <v>44.81666667</v>
      </c>
      <c r="D17" s="21">
        <f>IFERROR(__xludf.DUMMYFUNCTION("SUM(FILTER(Log!$E:$E,Log!$B:$B=A17))"),0.0)</f>
        <v>0</v>
      </c>
      <c r="E17" s="2">
        <v>0.0</v>
      </c>
      <c r="F17" s="17">
        <f t="shared" si="4"/>
        <v>54</v>
      </c>
      <c r="G17" s="21">
        <f t="shared" si="5"/>
        <v>36.18333333</v>
      </c>
    </row>
    <row r="18">
      <c r="A18" s="24">
        <f t="shared" si="1"/>
        <v>45277</v>
      </c>
      <c r="B18" s="25">
        <f t="shared" si="8"/>
        <v>42.42857143</v>
      </c>
      <c r="C18" s="21">
        <f t="shared" si="3"/>
        <v>42.75</v>
      </c>
      <c r="D18" s="21">
        <f>IFERROR(__xludf.DUMMYFUNCTION("SUM(FILTER(Log!$E:$E,Log!$B:$B=A18))"),2.066666666666667)</f>
        <v>2.066666667</v>
      </c>
      <c r="E18" s="2">
        <v>0.0</v>
      </c>
      <c r="F18" s="17">
        <f t="shared" si="4"/>
        <v>54</v>
      </c>
      <c r="G18" s="21">
        <f t="shared" si="5"/>
        <v>38.25</v>
      </c>
    </row>
    <row r="19">
      <c r="A19" s="5">
        <f t="shared" si="1"/>
        <v>45278</v>
      </c>
      <c r="B19" s="11">
        <f>B16-$B$1</f>
        <v>38.57142857</v>
      </c>
      <c r="C19" s="21">
        <f t="shared" si="3"/>
        <v>41.35</v>
      </c>
      <c r="D19" s="21">
        <f>IFERROR(__xludf.DUMMYFUNCTION("SUM(FILTER(Log!$E:$E,Log!$B:$B=A19))"),1.4)</f>
        <v>1.4</v>
      </c>
      <c r="E19" s="2">
        <v>5.0</v>
      </c>
      <c r="F19" s="17">
        <f t="shared" si="4"/>
        <v>59</v>
      </c>
      <c r="G19" s="21">
        <f t="shared" si="5"/>
        <v>39.65</v>
      </c>
    </row>
    <row r="20">
      <c r="A20" s="5">
        <f t="shared" si="1"/>
        <v>45279</v>
      </c>
      <c r="B20" s="11">
        <f t="shared" ref="B20:B21" si="9">B19-$B$1</f>
        <v>34.71428571</v>
      </c>
      <c r="C20" s="21">
        <f t="shared" si="3"/>
        <v>36.53333333</v>
      </c>
      <c r="D20" s="21">
        <f>IFERROR(__xludf.DUMMYFUNCTION("SUM(FILTER(Log!$E:$E,Log!$B:$B=A20))"),4.816666666666666)</f>
        <v>4.816666667</v>
      </c>
      <c r="E20" s="2">
        <v>5.0</v>
      </c>
      <c r="F20" s="17">
        <f t="shared" si="4"/>
        <v>64</v>
      </c>
      <c r="G20" s="21">
        <f t="shared" si="5"/>
        <v>44.46666667</v>
      </c>
    </row>
    <row r="21">
      <c r="A21" s="5">
        <f t="shared" si="1"/>
        <v>45280</v>
      </c>
      <c r="B21" s="11">
        <f t="shared" si="9"/>
        <v>30.85714286</v>
      </c>
      <c r="C21" s="21">
        <f t="shared" si="3"/>
        <v>34.41666667</v>
      </c>
      <c r="D21" s="21">
        <f>IFERROR(__xludf.DUMMYFUNCTION("SUM(FILTER(Log!$E:$E,Log!$B:$B=A21))"),2.1166666666666667)</f>
        <v>2.116666667</v>
      </c>
      <c r="E21" s="2">
        <v>5.0</v>
      </c>
      <c r="F21" s="17">
        <f t="shared" si="4"/>
        <v>69</v>
      </c>
      <c r="G21" s="21">
        <f t="shared" si="5"/>
        <v>46.58333333</v>
      </c>
    </row>
    <row r="22">
      <c r="A22" s="24">
        <f t="shared" si="1"/>
        <v>45281</v>
      </c>
      <c r="B22" s="25">
        <f t="shared" ref="B22:B27" si="10">B21</f>
        <v>30.85714286</v>
      </c>
      <c r="C22" s="21">
        <f t="shared" si="3"/>
        <v>34.41666667</v>
      </c>
      <c r="D22" s="21">
        <f>IFERROR(__xludf.DUMMYFUNCTION("SUM(FILTER(Log!$E:$E,Log!$B:$B=A22))"),0.0)</f>
        <v>0</v>
      </c>
      <c r="E22" s="2">
        <v>0.0</v>
      </c>
      <c r="F22" s="17">
        <f t="shared" si="4"/>
        <v>69</v>
      </c>
      <c r="G22" s="21">
        <f t="shared" si="5"/>
        <v>46.58333333</v>
      </c>
    </row>
    <row r="23">
      <c r="A23" s="24">
        <f t="shared" si="1"/>
        <v>45282</v>
      </c>
      <c r="B23" s="25">
        <f t="shared" si="10"/>
        <v>30.85714286</v>
      </c>
      <c r="C23" s="21">
        <f t="shared" si="3"/>
        <v>34.41666667</v>
      </c>
      <c r="D23" s="21">
        <f>IFERROR(__xludf.DUMMYFUNCTION("SUM(FILTER(Log!$E:$E,Log!$B:$B=A23))"),0.0)</f>
        <v>0</v>
      </c>
      <c r="E23" s="2">
        <v>0.0</v>
      </c>
      <c r="F23" s="17">
        <f t="shared" si="4"/>
        <v>69</v>
      </c>
      <c r="G23" s="21">
        <f t="shared" si="5"/>
        <v>46.58333333</v>
      </c>
    </row>
    <row r="24">
      <c r="A24" s="24">
        <f t="shared" si="1"/>
        <v>45283</v>
      </c>
      <c r="B24" s="25">
        <f t="shared" si="10"/>
        <v>30.85714286</v>
      </c>
      <c r="C24" s="21">
        <f t="shared" si="3"/>
        <v>34.41666667</v>
      </c>
      <c r="D24" s="21">
        <f>IFERROR(__xludf.DUMMYFUNCTION("SUM(FILTER(Log!$E:$E,Log!$B:$B=A24))"),0.0)</f>
        <v>0</v>
      </c>
      <c r="E24" s="2">
        <v>0.0</v>
      </c>
      <c r="F24" s="17">
        <f t="shared" si="4"/>
        <v>69</v>
      </c>
      <c r="G24" s="21">
        <f t="shared" si="5"/>
        <v>46.58333333</v>
      </c>
    </row>
    <row r="25">
      <c r="A25" s="24">
        <f t="shared" si="1"/>
        <v>45284</v>
      </c>
      <c r="B25" s="25">
        <f t="shared" si="10"/>
        <v>30.85714286</v>
      </c>
      <c r="C25" s="21">
        <f t="shared" si="3"/>
        <v>34.41666667</v>
      </c>
      <c r="D25" s="21">
        <f>IFERROR(__xludf.DUMMYFUNCTION("SUM(FILTER(Log!$E:$E,Log!$B:$B=A25))"),0.0)</f>
        <v>0</v>
      </c>
      <c r="E25" s="2">
        <v>0.0</v>
      </c>
      <c r="F25" s="17">
        <f t="shared" si="4"/>
        <v>69</v>
      </c>
      <c r="G25" s="21">
        <f t="shared" si="5"/>
        <v>46.58333333</v>
      </c>
    </row>
    <row r="26">
      <c r="A26" s="24">
        <f t="shared" si="1"/>
        <v>45285</v>
      </c>
      <c r="B26" s="25">
        <f t="shared" si="10"/>
        <v>30.85714286</v>
      </c>
      <c r="C26" s="21">
        <f t="shared" si="3"/>
        <v>34.41666667</v>
      </c>
      <c r="D26" s="21">
        <f>IFERROR(__xludf.DUMMYFUNCTION("SUM(FILTER(Log!$E:$E,Log!$B:$B=A26))"),0.0)</f>
        <v>0</v>
      </c>
      <c r="E26" s="2">
        <v>0.0</v>
      </c>
      <c r="F26" s="17">
        <f t="shared" si="4"/>
        <v>69</v>
      </c>
      <c r="G26" s="21">
        <f t="shared" si="5"/>
        <v>46.58333333</v>
      </c>
    </row>
    <row r="27">
      <c r="A27" s="24">
        <f t="shared" si="1"/>
        <v>45286</v>
      </c>
      <c r="B27" s="25">
        <f t="shared" si="10"/>
        <v>30.85714286</v>
      </c>
      <c r="C27" s="21">
        <f t="shared" si="3"/>
        <v>34.41666667</v>
      </c>
      <c r="D27" s="21">
        <f>IFERROR(__xludf.DUMMYFUNCTION("SUM(FILTER(Log!$E:$E,Log!$B:$B=A27))"),0.0)</f>
        <v>0</v>
      </c>
      <c r="E27" s="2">
        <v>0.0</v>
      </c>
      <c r="F27" s="17">
        <f t="shared" si="4"/>
        <v>69</v>
      </c>
      <c r="G27" s="21">
        <f t="shared" si="5"/>
        <v>46.58333333</v>
      </c>
    </row>
    <row r="28">
      <c r="A28" s="5">
        <f t="shared" si="1"/>
        <v>45287</v>
      </c>
      <c r="B28" s="11">
        <f>B23-$B$1</f>
        <v>27</v>
      </c>
      <c r="C28" s="21">
        <f t="shared" si="3"/>
        <v>32.91666667</v>
      </c>
      <c r="D28" s="21">
        <f>IFERROR(__xludf.DUMMYFUNCTION("SUM(FILTER(Log!$E:$E,Log!$B:$B=A28))"),1.5)</f>
        <v>1.5</v>
      </c>
      <c r="E28" s="2">
        <v>0.0</v>
      </c>
      <c r="F28" s="17">
        <f t="shared" si="4"/>
        <v>69</v>
      </c>
      <c r="G28" s="21">
        <f t="shared" si="5"/>
        <v>48.08333333</v>
      </c>
    </row>
    <row r="29">
      <c r="A29" s="5">
        <f t="shared" si="1"/>
        <v>45288</v>
      </c>
      <c r="B29" s="11">
        <f t="shared" ref="B29:B30" si="11">B28-$B$1</f>
        <v>23.14285714</v>
      </c>
      <c r="C29" s="21">
        <f t="shared" si="3"/>
        <v>32.21666667</v>
      </c>
      <c r="D29" s="21">
        <f>IFERROR(__xludf.DUMMYFUNCTION("SUM(FILTER(Log!$E:$E,Log!$B:$B=A29))"),0.7)</f>
        <v>0.7</v>
      </c>
      <c r="E29" s="2">
        <v>0.0</v>
      </c>
      <c r="F29" s="17">
        <f t="shared" si="4"/>
        <v>69</v>
      </c>
      <c r="G29" s="21">
        <f t="shared" si="5"/>
        <v>48.78333333</v>
      </c>
    </row>
    <row r="30">
      <c r="A30" s="5">
        <f t="shared" si="1"/>
        <v>45289</v>
      </c>
      <c r="B30" s="11">
        <f t="shared" si="11"/>
        <v>19.28571429</v>
      </c>
      <c r="C30" s="21">
        <f t="shared" si="3"/>
        <v>32.05</v>
      </c>
      <c r="D30" s="21">
        <f>IFERROR(__xludf.DUMMYFUNCTION("SUM(FILTER(Log!$E:$E,Log!$B:$B=A30))"),0.16666666666666666)</f>
        <v>0.1666666667</v>
      </c>
      <c r="E30" s="2">
        <v>0.0</v>
      </c>
      <c r="F30" s="17">
        <f t="shared" si="4"/>
        <v>69</v>
      </c>
      <c r="G30" s="21">
        <f t="shared" si="5"/>
        <v>48.95</v>
      </c>
    </row>
    <row r="31">
      <c r="A31" s="24">
        <f t="shared" si="1"/>
        <v>45290</v>
      </c>
      <c r="B31" s="25">
        <f t="shared" ref="B31:B33" si="12">B30</f>
        <v>19.28571429</v>
      </c>
      <c r="C31" s="21">
        <f t="shared" si="3"/>
        <v>30.51666667</v>
      </c>
      <c r="D31" s="21">
        <f>IFERROR(__xludf.DUMMYFUNCTION("SUM(FILTER(Log!$E:$E,Log!$B:$B=A31))"),1.5333333333333332)</f>
        <v>1.533333333</v>
      </c>
      <c r="E31" s="2">
        <v>0.0</v>
      </c>
      <c r="F31" s="17">
        <f t="shared" si="4"/>
        <v>69</v>
      </c>
      <c r="G31" s="21">
        <f t="shared" si="5"/>
        <v>50.48333333</v>
      </c>
    </row>
    <row r="32">
      <c r="A32" s="24">
        <f t="shared" si="1"/>
        <v>45291</v>
      </c>
      <c r="B32" s="25">
        <f t="shared" si="12"/>
        <v>19.28571429</v>
      </c>
      <c r="C32" s="21">
        <f t="shared" si="3"/>
        <v>28.46666667</v>
      </c>
      <c r="D32" s="21">
        <f>IFERROR(__xludf.DUMMYFUNCTION("SUM(FILTER(Log!$E:$E,Log!$B:$B=A32))"),2.05)</f>
        <v>2.05</v>
      </c>
      <c r="E32" s="2">
        <v>0.0</v>
      </c>
      <c r="F32" s="17">
        <f t="shared" si="4"/>
        <v>69</v>
      </c>
      <c r="G32" s="21">
        <f t="shared" si="5"/>
        <v>52.53333333</v>
      </c>
    </row>
    <row r="33">
      <c r="A33" s="24">
        <f t="shared" si="1"/>
        <v>45292</v>
      </c>
      <c r="B33" s="25">
        <f t="shared" si="12"/>
        <v>19.28571429</v>
      </c>
      <c r="C33" s="21">
        <f t="shared" si="3"/>
        <v>28.46666667</v>
      </c>
      <c r="D33" s="21">
        <f>IFERROR(__xludf.DUMMYFUNCTION("SUM(FILTER(Log!$E:$E,Log!$B:$B=A33))"),0.0)</f>
        <v>0</v>
      </c>
      <c r="E33" s="2">
        <v>0.0</v>
      </c>
      <c r="F33" s="17">
        <f t="shared" si="4"/>
        <v>69</v>
      </c>
      <c r="G33" s="21">
        <f t="shared" si="5"/>
        <v>52.53333333</v>
      </c>
    </row>
    <row r="34">
      <c r="A34" s="5">
        <f t="shared" si="1"/>
        <v>45293</v>
      </c>
      <c r="B34" s="11">
        <f t="shared" ref="B34:B37" si="13">B33-$B$1</f>
        <v>15.42857143</v>
      </c>
      <c r="C34" s="21">
        <f t="shared" si="3"/>
        <v>27.46666667</v>
      </c>
      <c r="D34" s="21">
        <f>IFERROR(__xludf.DUMMYFUNCTION("SUM(FILTER(Log!$E:$E,Log!$B:$B=A34))"),1.0)</f>
        <v>1</v>
      </c>
      <c r="E34" s="2">
        <v>5.0</v>
      </c>
      <c r="F34" s="17">
        <f t="shared" si="4"/>
        <v>74</v>
      </c>
      <c r="G34" s="21">
        <f t="shared" si="5"/>
        <v>53.53333333</v>
      </c>
    </row>
    <row r="35">
      <c r="A35" s="5">
        <f t="shared" si="1"/>
        <v>45294</v>
      </c>
      <c r="B35" s="11">
        <f t="shared" si="13"/>
        <v>11.57142857</v>
      </c>
      <c r="C35" s="21">
        <f t="shared" si="3"/>
        <v>19.71666667</v>
      </c>
      <c r="D35" s="21">
        <f>IFERROR(__xludf.DUMMYFUNCTION("SUM(FILTER(Log!$E:$E,Log!$B:$B=A35))"),7.75)</f>
        <v>7.75</v>
      </c>
      <c r="E35" s="2">
        <v>5.0</v>
      </c>
      <c r="F35" s="17">
        <f t="shared" si="4"/>
        <v>79</v>
      </c>
      <c r="G35" s="21">
        <f t="shared" si="5"/>
        <v>61.28333333</v>
      </c>
      <c r="K35" s="2">
        <v>0.0</v>
      </c>
    </row>
    <row r="36">
      <c r="A36" s="5">
        <f t="shared" si="1"/>
        <v>45295</v>
      </c>
      <c r="B36" s="11">
        <f t="shared" si="13"/>
        <v>7.714285714</v>
      </c>
      <c r="C36" s="21">
        <f t="shared" si="3"/>
        <v>12.73333333</v>
      </c>
      <c r="D36" s="21">
        <f>IFERROR(__xludf.DUMMYFUNCTION("SUM(FILTER(Log!$E:$E,Log!$B:$B=A36))"),6.983333333333333)</f>
        <v>6.983333333</v>
      </c>
      <c r="E36" s="2">
        <v>5.0</v>
      </c>
      <c r="F36" s="17">
        <f t="shared" si="4"/>
        <v>84</v>
      </c>
      <c r="G36" s="21">
        <f t="shared" si="5"/>
        <v>68.26666667</v>
      </c>
    </row>
    <row r="37">
      <c r="A37" s="5">
        <f t="shared" si="1"/>
        <v>45296</v>
      </c>
      <c r="B37" s="11">
        <f t="shared" si="13"/>
        <v>3.857142857</v>
      </c>
      <c r="C37" s="21">
        <f t="shared" si="3"/>
        <v>0.6</v>
      </c>
      <c r="D37" s="21">
        <f>IFERROR(__xludf.DUMMYFUNCTION("SUM(FILTER(Log!$E:$E,Log!$B:$B=A37))"),12.133333333333333)</f>
        <v>12.13333333</v>
      </c>
      <c r="E37" s="2">
        <v>5.0</v>
      </c>
      <c r="F37" s="17">
        <f t="shared" si="4"/>
        <v>89</v>
      </c>
      <c r="G37" s="21">
        <f t="shared" si="5"/>
        <v>80.4</v>
      </c>
    </row>
    <row r="38">
      <c r="A38" s="24">
        <f t="shared" si="1"/>
        <v>45297</v>
      </c>
      <c r="B38" s="25">
        <f t="shared" ref="B38:B39" si="14">B37</f>
        <v>3.857142857</v>
      </c>
      <c r="C38" s="21">
        <f t="shared" si="3"/>
        <v>-5.966666667</v>
      </c>
      <c r="D38" s="21">
        <f>IFERROR(__xludf.DUMMYFUNCTION("SUM(FILTER(Log!$E:$E,Log!$B:$B=A38))"),6.566666666666667)</f>
        <v>6.566666667</v>
      </c>
      <c r="E38" s="2">
        <v>0.0</v>
      </c>
      <c r="F38" s="17">
        <f t="shared" si="4"/>
        <v>89</v>
      </c>
      <c r="G38" s="21">
        <f t="shared" si="5"/>
        <v>86.96666667</v>
      </c>
    </row>
    <row r="39">
      <c r="A39" s="24">
        <f t="shared" si="1"/>
        <v>45298</v>
      </c>
      <c r="B39" s="25">
        <f t="shared" si="14"/>
        <v>3.857142857</v>
      </c>
      <c r="C39" s="21">
        <f t="shared" si="3"/>
        <v>-20.3</v>
      </c>
      <c r="D39" s="21">
        <f>IFERROR(__xludf.DUMMYFUNCTION("SUM(FILTER(Log!$E:$E,Log!$B:$B=A39))"),14.333333333333332)</f>
        <v>14.33333333</v>
      </c>
      <c r="E39" s="2">
        <v>0.0</v>
      </c>
      <c r="F39" s="17">
        <f t="shared" si="4"/>
        <v>89</v>
      </c>
      <c r="G39" s="21">
        <f t="shared" si="5"/>
        <v>101.3</v>
      </c>
    </row>
    <row r="40">
      <c r="A40" s="5">
        <f t="shared" si="1"/>
        <v>45299</v>
      </c>
      <c r="B40" s="25">
        <v>0.0</v>
      </c>
      <c r="C40" s="21">
        <f t="shared" si="3"/>
        <v>-20.3</v>
      </c>
      <c r="D40" s="21">
        <f>IFERROR(__xludf.DUMMYFUNCTION("SUM(FILTER(Log!$E:$E,Log!$B:$B=A40))"),0.0)</f>
        <v>0</v>
      </c>
      <c r="E40" s="2">
        <v>0.0</v>
      </c>
      <c r="F40" s="17">
        <f t="shared" si="4"/>
        <v>89</v>
      </c>
      <c r="G40" s="21">
        <f t="shared" si="5"/>
        <v>101.3</v>
      </c>
    </row>
    <row r="41">
      <c r="A41" s="5"/>
    </row>
    <row r="42">
      <c r="A42" s="5"/>
    </row>
    <row r="43">
      <c r="A43" s="5"/>
    </row>
  </sheetData>
  <drawing r:id="rId1"/>
</worksheet>
</file>