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3" firstSheet="0" showHorizontalScroll="true" showSheetTabs="true" showVerticalScroll="true" tabRatio="577" windowHeight="8192" windowWidth="16384" xWindow="0" yWindow="0"/>
  </bookViews>
  <sheets>
    <sheet name="Settings" sheetId="1" state="visible" r:id="rId2"/>
    <sheet name="Shotguns" sheetId="2" state="visible" r:id="rId3"/>
    <sheet name="Shotgun Ammo" sheetId="3" state="visible" r:id="rId4"/>
    <sheet name="Handguns" sheetId="4" state="visible" r:id="rId5"/>
    <sheet name="SMGs" sheetId="5" state="visible" r:id="rId6"/>
    <sheet name="Handgun and SMG Ammo" sheetId="6" state="visible" r:id="rId7"/>
    <sheet name="Rifles" sheetId="7" state="visible" r:id="rId8"/>
    <sheet name="Assault Rifles" sheetId="8" state="visible" r:id="rId9"/>
    <sheet name="Machineguns" sheetId="9" state="visible" r:id="rId10"/>
    <sheet name="Rifle and Machinegun Ammo" sheetId="10" state="visible" r:id="rId11"/>
    <sheet name="Demolitions" sheetId="11" state="visible" r:id="rId12"/>
  </sheets>
  <calcPr iterateCount="100" refMode="A1" iterate="false" iterateDelta="0.001"/>
</workbook>
</file>

<file path=xl/sharedStrings.xml><?xml version="1.0" encoding="utf-8"?>
<sst xmlns="http://schemas.openxmlformats.org/spreadsheetml/2006/main" count="513" uniqueCount="250">
  <si>
    <t>Energy per point of damage</t>
  </si>
  <si>
    <t>Weight multiplier</t>
  </si>
  <si>
    <t>Optimal RoF</t>
  </si>
  <si>
    <t>gm/s for penetration</t>
  </si>
  <si>
    <t>uu per meter</t>
  </si>
  <si>
    <t>Gorefast body health (hard,3P)</t>
  </si>
  <si>
    <t>Husk body health (hard,3P)</t>
  </si>
  <si>
    <t>Husk head health (hard,3P)</t>
  </si>
  <si>
    <t>Commando damage multi (level 4)</t>
  </si>
  <si>
    <t>Short name</t>
  </si>
  <si>
    <t>Real gun</t>
  </si>
  <si>
    <t>Incude</t>
  </si>
  <si>
    <t>Tier</t>
  </si>
  <si>
    <t>Mag size</t>
  </si>
  <si>
    <t>Rate of fire</t>
  </si>
  <si>
    <t>Ammo type</t>
  </si>
  <si>
    <t>Max ammo</t>
  </si>
  <si>
    <t>Weapon cost</t>
  </si>
  <si>
    <t>Bullet cost</t>
  </si>
  <si>
    <t>Ammo cost</t>
  </si>
  <si>
    <t>Real Weight</t>
  </si>
  <si>
    <t>Weight</t>
  </si>
  <si>
    <t>Spread [off center]</t>
  </si>
  <si>
    <t>Spread [int]</t>
  </si>
  <si>
    <t>Energy</t>
  </si>
  <si>
    <t>DamCalc</t>
  </si>
  <si>
    <t>PenNum</t>
  </si>
  <si>
    <t>PenDamLoss</t>
  </si>
  <si>
    <t>BaseDamCalc</t>
  </si>
  <si>
    <t>Base Damage</t>
  </si>
  <si>
    <t>FullDam</t>
  </si>
  <si>
    <t>Ratio</t>
  </si>
  <si>
    <t>HeadMulti</t>
  </si>
  <si>
    <t>Head damage</t>
  </si>
  <si>
    <t>Clot HS#</t>
  </si>
  <si>
    <t>Clot SHS#</t>
  </si>
  <si>
    <t>Gorefast</t>
  </si>
  <si>
    <t>Husk HS#</t>
  </si>
  <si>
    <t>Husk SHS#</t>
  </si>
  <si>
    <t>Notes</t>
  </si>
  <si>
    <t>Benelli M3</t>
  </si>
  <si>
    <t>yes</t>
  </si>
  <si>
    <t>semi auto</t>
  </si>
  <si>
    <t>00-buck +</t>
  </si>
  <si>
    <t>KSG</t>
  </si>
  <si>
    <t>Kel-Tec KSG</t>
  </si>
  <si>
    <t>pump-action</t>
  </si>
  <si>
    <t>#1-buck magnum</t>
  </si>
  <si>
    <t>Need a fix of animatios to make it tube-mag instead of box-mag</t>
  </si>
  <si>
    <t>Benelli M4</t>
  </si>
  <si>
    <t>semi-auto</t>
  </si>
  <si>
    <t>slug magnum</t>
  </si>
  <si>
    <t>Old shotgun</t>
  </si>
  <si>
    <t>English hunting shotgun</t>
  </si>
  <si>
    <t>double-barrel</t>
  </si>
  <si>
    <t>#4-buck magnum</t>
  </si>
  <si>
    <t>English hunting shotgun (double fire)</t>
  </si>
  <si>
    <t>Winchester '97</t>
  </si>
  <si>
    <t>Winchester model 1897</t>
  </si>
  <si>
    <t>#4-buck -</t>
  </si>
  <si>
    <t>AA-12</t>
  </si>
  <si>
    <t>Auto Assault-12</t>
  </si>
  <si>
    <t>300 rpm</t>
  </si>
  <si>
    <t>00-buck magnum</t>
  </si>
  <si>
    <t>Shorty</t>
  </si>
  <si>
    <t>Serbu Super-Shorty</t>
  </si>
  <si>
    <t>#1-buck -</t>
  </si>
  <si>
    <t>velocity penaly 10-20%</t>
  </si>
  <si>
    <t>Mossberg</t>
  </si>
  <si>
    <t>Mossberg 500</t>
  </si>
  <si>
    <t>00-buck -</t>
  </si>
  <si>
    <t>velocity penaly 5-10%</t>
  </si>
  <si>
    <t>Remington 870</t>
  </si>
  <si>
    <t>Remington 870 Express Combo 20“</t>
  </si>
  <si>
    <t>yes(1)</t>
  </si>
  <si>
    <t>#1-buck +</t>
  </si>
  <si>
    <t>Ithaca 37</t>
  </si>
  <si>
    <t>Ithaca 37 Homeland security</t>
  </si>
  <si>
    <t>Saiga-12</t>
  </si>
  <si>
    <t>00-buck praktik</t>
  </si>
  <si>
    <t>Type</t>
  </si>
  <si>
    <t>Load weight [g]</t>
  </si>
  <si>
    <t>Pellet diameter [mm]</t>
  </si>
  <si>
    <t>Pellet weight [g]</t>
  </si>
  <si>
    <t>Pellet count</t>
  </si>
  <si>
    <t>Case length [mm]</t>
  </si>
  <si>
    <t>Muzzle velocity [m/s]</t>
  </si>
  <si>
    <t>Game Velocity [uu/s]</t>
  </si>
  <si>
    <t>Muzzle energy per pellet [J]</t>
  </si>
  <si>
    <t>Momentum [gm/s]</t>
  </si>
  <si>
    <t>Penetrations</t>
  </si>
  <si>
    <t>pen dam loss</t>
  </si>
  <si>
    <t>Per Pellet dmg</t>
  </si>
  <si>
    <t>Muzzle energy [J]</t>
  </si>
  <si>
    <t>Shot dmg</t>
  </si>
  <si>
    <t>slug</t>
  </si>
  <si>
    <t>00-buck</t>
  </si>
  <si>
    <t>#1-buck</t>
  </si>
  <si>
    <t>#4-buck</t>
  </si>
  <si>
    <t>#4-buck +</t>
  </si>
  <si>
    <t>Clot head health (hard,3P)</t>
  </si>
  <si>
    <t>Sharpshooter headshot bonus (level 4)</t>
  </si>
  <si>
    <t>Momentum</t>
  </si>
  <si>
    <t>Beretta</t>
  </si>
  <si>
    <t>Beretta 92FS</t>
  </si>
  <si>
    <t>MK23</t>
  </si>
  <si>
    <t>HK MK23</t>
  </si>
  <si>
    <t>can hold light or laser</t>
  </si>
  <si>
    <t>S&amp;W 29</t>
  </si>
  <si>
    <t>S&amp;W model 29</t>
  </si>
  <si>
    <t>check correct cylinder rotation and emptying</t>
  </si>
  <si>
    <t>Desert Eagle</t>
  </si>
  <si>
    <t>IMI Desert Eagle XIX .50AE</t>
  </si>
  <si>
    <t>Cz 75</t>
  </si>
  <si>
    <t>no</t>
  </si>
  <si>
    <t>replace by non-laser version – not available</t>
  </si>
  <si>
    <t>Five-seveN</t>
  </si>
  <si>
    <t>FN Five-seveN</t>
  </si>
  <si>
    <t>Hi-Power</t>
  </si>
  <si>
    <t>FN Browning Hi-Power</t>
  </si>
  <si>
    <t>M1911</t>
  </si>
  <si>
    <t>remove the version with knife and replace with plain gun</t>
  </si>
  <si>
    <t>Python</t>
  </si>
  <si>
    <t>Colt Python</t>
  </si>
  <si>
    <t>Makarov</t>
  </si>
  <si>
    <t>Makarov PM</t>
  </si>
  <si>
    <t>Contender</t>
  </si>
  <si>
    <t>Thompson Contender G2</t>
  </si>
  <si>
    <t>maybe</t>
  </si>
  <si>
    <t>scope weights 360g</t>
  </si>
  <si>
    <t>FireRate</t>
  </si>
  <si>
    <t>Mag cost</t>
  </si>
  <si>
    <t>Husk body</t>
  </si>
  <si>
    <t>Husk head</t>
  </si>
  <si>
    <t>Dps</t>
  </si>
  <si>
    <t>Dam/mag</t>
  </si>
  <si>
    <t>Time/mag</t>
  </si>
  <si>
    <t>M1A1</t>
  </si>
  <si>
    <t>Thompson M1A1</t>
  </si>
  <si>
    <t>Tommy Gun</t>
  </si>
  <si>
    <t>Thompson model 1921</t>
  </si>
  <si>
    <t>MAC-10</t>
  </si>
  <si>
    <t>MP7</t>
  </si>
  <si>
    <t>HK MP7</t>
  </si>
  <si>
    <t>MP7A1 could hold a light</t>
  </si>
  <si>
    <t>MP5A4</t>
  </si>
  <si>
    <t>HK MP5A4</t>
  </si>
  <si>
    <t>has a light</t>
  </si>
  <si>
    <t>MP5SD6</t>
  </si>
  <si>
    <t>HK MP5SD6</t>
  </si>
  <si>
    <t>subsonic rounds (different price)</t>
  </si>
  <si>
    <t>MP5KA4</t>
  </si>
  <si>
    <t>HK MP5KA4</t>
  </si>
  <si>
    <t>Kriss Vector</t>
  </si>
  <si>
    <t>can hold a light</t>
  </si>
  <si>
    <t>P90</t>
  </si>
  <si>
    <t>FN P90</t>
  </si>
  <si>
    <t>Bizon</t>
  </si>
  <si>
    <t>PP-19 Bizon-2</t>
  </si>
  <si>
    <t>UMP45</t>
  </si>
  <si>
    <t>HK UMP45</t>
  </si>
  <si>
    <t>Ammo</t>
  </si>
  <si>
    <t>Weight [grain]</t>
  </si>
  <si>
    <t>Weight [g]</t>
  </si>
  <si>
    <t>Price [CZK]</t>
  </si>
  <si>
    <t>Price [USD]</t>
  </si>
  <si>
    <t>Price [pts]</t>
  </si>
  <si>
    <t>9x19mm standard</t>
  </si>
  <si>
    <t>9x19mm</t>
  </si>
  <si>
    <t>9x19mm subsonic</t>
  </si>
  <si>
    <t>.44 Magnum</t>
  </si>
  <si>
    <t>9x18mm</t>
  </si>
  <si>
    <t>.357 magnum standard</t>
  </si>
  <si>
    <t>.357 magnum light</t>
  </si>
  <si>
    <t>.45 ACP</t>
  </si>
  <si>
    <t>.50 AE</t>
  </si>
  <si>
    <t>4.6x30mm</t>
  </si>
  <si>
    <t>5.7x28mm</t>
  </si>
  <si>
    <t>.30-30Winchester</t>
  </si>
  <si>
    <t>Husk head health (hard, 3P)</t>
  </si>
  <si>
    <t>Scrake head health (hard, 3P)</t>
  </si>
  <si>
    <t>Fleshpound head health (hard, 3P)</t>
  </si>
  <si>
    <t>Sharpshooter headshot multi (level 4)</t>
  </si>
  <si>
    <t>Scrake SHS#</t>
  </si>
  <si>
    <t>FP SHS#</t>
  </si>
  <si>
    <t>M14 EBR-RI</t>
  </si>
  <si>
    <t>Winchester '92</t>
  </si>
  <si>
    <t>Winchester model 1892</t>
  </si>
  <si>
    <t>M99</t>
  </si>
  <si>
    <t>Barett M99</t>
  </si>
  <si>
    <t>RFB</t>
  </si>
  <si>
    <t>Kel-Tec RFB</t>
  </si>
  <si>
    <t>can hold a light, remove automatic fire</t>
  </si>
  <si>
    <t>Remington 700</t>
  </si>
  <si>
    <t>Remington 700 SPS Tactical</t>
  </si>
  <si>
    <t>Arctic Warfare</t>
  </si>
  <si>
    <t>Accuracy International Arctic Warfare</t>
  </si>
  <si>
    <t>SVD</t>
  </si>
  <si>
    <t>Dragunov</t>
  </si>
  <si>
    <t>SR-25</t>
  </si>
  <si>
    <t>SR-25 (Mk11 mod 0)</t>
  </si>
  <si>
    <t>AS50</t>
  </si>
  <si>
    <t>Accuracy International AS50</t>
  </si>
  <si>
    <t>Mosin-Nagant</t>
  </si>
  <si>
    <t>Mosin-Nagant 1891/30</t>
  </si>
  <si>
    <t>M82A1</t>
  </si>
  <si>
    <t>Barett M82A1</t>
  </si>
  <si>
    <t>Real weight</t>
  </si>
  <si>
    <t>L22A1</t>
  </si>
  <si>
    <t>L22A1 Carbine</t>
  </si>
  <si>
    <t>MKb 42</t>
  </si>
  <si>
    <t>Maschinenkarabiner 1942</t>
  </si>
  <si>
    <t>M4</t>
  </si>
  <si>
    <t>M4 Carbine</t>
  </si>
  <si>
    <t>SCAR-H</t>
  </si>
  <si>
    <t>SCAR-H Mk17 Standard</t>
  </si>
  <si>
    <t>FN FAL</t>
  </si>
  <si>
    <t>L85A2</t>
  </si>
  <si>
    <t>Steyr AUG</t>
  </si>
  <si>
    <t>Steyr AUG A3</t>
  </si>
  <si>
    <t>HK G36C</t>
  </si>
  <si>
    <t>AKM</t>
  </si>
  <si>
    <t>AK-47</t>
  </si>
  <si>
    <t>F2000</t>
  </si>
  <si>
    <t>FN F2000</t>
  </si>
  <si>
    <t>AEK-971</t>
  </si>
  <si>
    <t>Abakan</t>
  </si>
  <si>
    <t>AN-94 Abakan</t>
  </si>
  <si>
    <t>M249 SPW</t>
  </si>
  <si>
    <t>RPK</t>
  </si>
  <si>
    <t>PKM</t>
  </si>
  <si>
    <t>M60</t>
  </si>
  <si>
    <t>.50 BMG</t>
  </si>
  <si>
    <t>5.56x45mm</t>
  </si>
  <si>
    <t>7.62x39mm</t>
  </si>
  <si>
    <t>7.62x51mm</t>
  </si>
  <si>
    <t>7.62x54R standard</t>
  </si>
  <si>
    <t>7.62x54R heavy ball</t>
  </si>
  <si>
    <t>7.92x33mm</t>
  </si>
  <si>
    <t>5.45x39mm</t>
  </si>
  <si>
    <t>Weapon name</t>
  </si>
  <si>
    <t>Damage min</t>
  </si>
  <si>
    <t>Damage max</t>
  </si>
  <si>
    <t>Purpose</t>
  </si>
  <si>
    <t>RPG-7</t>
  </si>
  <si>
    <t>M79</t>
  </si>
  <si>
    <t>M32</t>
  </si>
  <si>
    <t>M203</t>
  </si>
  <si>
    <t>LAW</t>
  </si>
  <si>
    <t>Bomb</t>
  </si>
</sst>
</file>

<file path=xl/styles.xml><?xml version="1.0" encoding="utf-8"?>
<styleSheet xmlns="http://schemas.openxmlformats.org/spreadsheetml/2006/main">
  <numFmts count="7">
    <numFmt formatCode="GENERAL" numFmtId="164"/>
    <numFmt formatCode="0.00" numFmtId="165"/>
    <numFmt formatCode="0.000" numFmtId="166"/>
    <numFmt formatCode="0.00%" numFmtId="167"/>
    <numFmt formatCode="@" numFmtId="168"/>
    <numFmt formatCode="0" numFmtId="169"/>
    <numFmt formatCode="0.0000" numFmtId="17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angal"/>
      <family val="2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3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/>
      <right/>
      <top/>
      <bottom style="thin"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false" applyBorder="false" applyFont="true" applyProtection="false" borderId="0" fillId="2" fontId="4" numFmtId="164"/>
  </cellStyleXfs>
  <cellXfs count="19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0" numFmtId="165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right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8" xfId="0">
      <alignment horizontal="left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5" xfId="0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9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70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5" xfId="0">
      <alignment horizontal="right" indent="0" shrinkToFit="false" textRotation="0" vertical="bottom" wrapText="false"/>
      <protection hidden="false" locked="tru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Untitled1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6" activeCellId="0" pane="topLeft" sqref="B6"/>
    </sheetView>
  </sheetViews>
  <sheetFormatPr defaultRowHeight="12.85"/>
  <cols>
    <col collapsed="false" hidden="false" max="1" min="1" style="0" width="24"/>
    <col collapsed="false" hidden="false" max="2" min="2" style="0" width="7.33673469387755"/>
    <col collapsed="false" hidden="false" max="1025" min="3" style="0" width="11.5204081632653"/>
  </cols>
  <sheetData>
    <row collapsed="false" customFormat="false" customHeight="false" hidden="false" ht="12.85" outlineLevel="0" r="1">
      <c r="A1" s="1" t="s">
        <v>0</v>
      </c>
      <c r="B1" s="1" t="n">
        <v>20</v>
      </c>
    </row>
    <row collapsed="false" customFormat="false" customHeight="false" hidden="false" ht="12.85" outlineLevel="0" r="2">
      <c r="A2" s="1" t="s">
        <v>1</v>
      </c>
      <c r="B2" s="1" t="n">
        <v>1.05</v>
      </c>
    </row>
    <row collapsed="false" customFormat="false" customHeight="false" hidden="false" ht="12.85" outlineLevel="0" r="3">
      <c r="A3" s="0" t="s">
        <v>2</v>
      </c>
      <c r="B3" s="0" t="n">
        <v>700</v>
      </c>
    </row>
    <row collapsed="false" customFormat="false" customHeight="false" hidden="false" ht="12.85" outlineLevel="0" r="4">
      <c r="A4" s="0" t="s">
        <v>3</v>
      </c>
      <c r="B4" s="0" t="n">
        <v>3900</v>
      </c>
    </row>
    <row collapsed="false" customFormat="false" customHeight="false" hidden="false" ht="12.85" outlineLevel="0" r="5">
      <c r="A5" s="0" t="s">
        <v>4</v>
      </c>
      <c r="B5" s="0" t="n">
        <v>55.2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5" activeCellId="0" pane="topLeft" sqref="F5"/>
    </sheetView>
  </sheetViews>
  <sheetFormatPr defaultRowHeight="12.85"/>
  <cols>
    <col collapsed="false" hidden="false" max="1" min="1" style="0" width="17.9336734693878"/>
    <col collapsed="false" hidden="false" max="2" min="2" style="0" width="13.0051020408163"/>
    <col collapsed="false" hidden="false" max="3" min="3" style="0" width="10.0459183673469"/>
    <col collapsed="false" hidden="false" max="5" min="5" style="0" width="11.3112244897959"/>
    <col collapsed="false" hidden="false" max="6" min="6" style="0" width="10.0459183673469"/>
    <col collapsed="false" hidden="false" max="1025" min="7" style="0" width="11.5204081632653"/>
  </cols>
  <sheetData>
    <row collapsed="false" customFormat="false" customHeight="false" hidden="false" ht="12.85" outlineLevel="0" r="1">
      <c r="A1" s="3" t="s">
        <v>161</v>
      </c>
      <c r="B1" s="3" t="s">
        <v>162</v>
      </c>
      <c r="C1" s="5" t="s">
        <v>163</v>
      </c>
      <c r="D1" s="5" t="s">
        <v>164</v>
      </c>
      <c r="E1" s="5" t="s">
        <v>165</v>
      </c>
      <c r="F1" s="5" t="s">
        <v>166</v>
      </c>
    </row>
    <row collapsed="false" customFormat="false" customHeight="false" hidden="false" ht="12.85" outlineLevel="0" r="2">
      <c r="A2" s="11" t="s">
        <v>170</v>
      </c>
      <c r="B2" s="10" t="n">
        <v>240</v>
      </c>
      <c r="C2" s="11" t="n">
        <v>15.5</v>
      </c>
      <c r="D2" s="17" t="n">
        <f aca="false">606/50</f>
        <v>12.12</v>
      </c>
      <c r="E2" s="17" t="n">
        <f aca="false">32.2/20</f>
        <v>1.61</v>
      </c>
      <c r="F2" s="0" t="n">
        <f aca="false">ROUND(IF(ISBLANK(D2),E2*2,D2/20+E2),2)</f>
        <v>2.22</v>
      </c>
    </row>
    <row collapsed="false" customFormat="false" customHeight="false" hidden="false" ht="12.85" outlineLevel="0" r="3">
      <c r="A3" s="11" t="s">
        <v>232</v>
      </c>
      <c r="B3" s="10"/>
      <c r="C3" s="11" t="n">
        <v>42.83</v>
      </c>
      <c r="D3" s="17"/>
      <c r="E3" s="17" t="n">
        <f aca="false">38.87/10</f>
        <v>3.887</v>
      </c>
      <c r="F3" s="0" t="n">
        <f aca="false">ROUND(IF(ISBLANK(D3),E3*2,D3/20+E3),2)</f>
        <v>7.77</v>
      </c>
    </row>
    <row collapsed="false" customFormat="false" customHeight="false" hidden="false" ht="12.85" outlineLevel="0" r="4">
      <c r="A4" s="11" t="s">
        <v>233</v>
      </c>
      <c r="B4" s="10"/>
      <c r="C4" s="11" t="n">
        <v>4</v>
      </c>
      <c r="D4" s="17" t="n">
        <f aca="false">144/20</f>
        <v>7.2</v>
      </c>
      <c r="E4" s="17" t="n">
        <f aca="false">135.39/300</f>
        <v>0.4513</v>
      </c>
      <c r="F4" s="0" t="n">
        <f aca="false">ROUND(IF(ISBLANK(D4),E4*2,D4/20+E4),2)</f>
        <v>0.81</v>
      </c>
    </row>
    <row collapsed="false" customFormat="false" customHeight="false" hidden="false" ht="12.85" outlineLevel="0" r="5">
      <c r="A5" s="11" t="s">
        <v>234</v>
      </c>
      <c r="B5" s="10"/>
      <c r="C5" s="11" t="n">
        <v>8</v>
      </c>
      <c r="D5" s="17" t="n">
        <f aca="false">145/20</f>
        <v>7.25</v>
      </c>
      <c r="E5" s="17" t="n">
        <f aca="false">119.59/500</f>
        <v>0.23918</v>
      </c>
      <c r="F5" s="0" t="n">
        <f aca="false">ROUND(IF(ISBLANK(D5),E5*2,D5/20+E5),2)</f>
        <v>0.6</v>
      </c>
    </row>
    <row collapsed="false" customFormat="false" customHeight="false" hidden="false" ht="12.85" outlineLevel="0" r="6">
      <c r="A6" s="11" t="s">
        <v>235</v>
      </c>
      <c r="B6" s="10"/>
      <c r="C6" s="11" t="n">
        <v>9.55</v>
      </c>
      <c r="D6" s="17" t="n">
        <f aca="false">200/20</f>
        <v>10</v>
      </c>
      <c r="E6" s="17" t="n">
        <f aca="false">319.19/500</f>
        <v>0.63838</v>
      </c>
      <c r="F6" s="0" t="n">
        <f aca="false">ROUND(IF(ISBLANK(D6),E6*2,D6/20+E6),2)</f>
        <v>1.14</v>
      </c>
    </row>
    <row collapsed="false" customFormat="false" customHeight="false" hidden="false" ht="12.85" outlineLevel="0" r="7">
      <c r="A7" s="11" t="s">
        <v>236</v>
      </c>
      <c r="B7" s="10" t="n">
        <v>148.3</v>
      </c>
      <c r="C7" s="11" t="n">
        <v>9.61</v>
      </c>
      <c r="D7" s="17"/>
      <c r="E7" s="17" t="n">
        <f aca="false">259.19/880</f>
        <v>0.294534090909091</v>
      </c>
      <c r="F7" s="0" t="n">
        <f aca="false">ROUND(IF(ISBLANK(D7),E7*2,D7/20+E7),2)</f>
        <v>0.59</v>
      </c>
    </row>
    <row collapsed="false" customFormat="false" customHeight="false" hidden="false" ht="12.85" outlineLevel="0" r="8">
      <c r="A8" s="11" t="s">
        <v>237</v>
      </c>
      <c r="B8" s="10" t="n">
        <v>181.9</v>
      </c>
      <c r="C8" s="11" t="n">
        <v>11.79</v>
      </c>
      <c r="D8" s="17"/>
      <c r="E8" s="17" t="n">
        <f aca="false">11.78/20</f>
        <v>0.589</v>
      </c>
      <c r="F8" s="0" t="n">
        <f aca="false">ROUND(IF(ISBLANK(D8),E8*2,D8/20+E8),2)</f>
        <v>1.18</v>
      </c>
    </row>
    <row collapsed="false" customFormat="false" customHeight="false" hidden="false" ht="12.85" outlineLevel="0" r="9">
      <c r="A9" s="11" t="s">
        <v>238</v>
      </c>
      <c r="B9" s="10"/>
      <c r="C9" s="11" t="n">
        <v>8.1</v>
      </c>
      <c r="D9" s="17"/>
      <c r="E9" s="17" t="n">
        <f aca="false">21.05/20</f>
        <v>1.0525</v>
      </c>
      <c r="F9" s="0" t="n">
        <f aca="false">ROUND(IF(ISBLANK(D9),E9*2,D9/20+E9),2)</f>
        <v>2.11</v>
      </c>
    </row>
    <row collapsed="false" customFormat="false" customHeight="false" hidden="false" ht="12.85" outlineLevel="0" r="10">
      <c r="A10" s="11" t="s">
        <v>239</v>
      </c>
      <c r="B10" s="10"/>
      <c r="C10" s="11" t="n">
        <v>3.43</v>
      </c>
      <c r="D10" s="17" t="n">
        <f aca="false">212/30</f>
        <v>7.06666666666667</v>
      </c>
      <c r="E10" s="17" t="n">
        <f aca="false">19.42/50</f>
        <v>0.3884</v>
      </c>
      <c r="F10" s="0" t="n">
        <f aca="false">ROUND(IF(ISBLANK(D10),E10*2,D10/20+E10),2)</f>
        <v>0.74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7" activeCellId="0" pane="topLeft" sqref="A7"/>
    </sheetView>
  </sheetViews>
  <sheetFormatPr defaultRowHeight="12.85"/>
  <cols>
    <col collapsed="false" hidden="false" max="1025" min="1" style="0" width="11.5204081632653"/>
  </cols>
  <sheetData>
    <row collapsed="false" customFormat="true" customHeight="false" hidden="false" ht="12.85" outlineLevel="0" r="1" s="1">
      <c r="A1" s="3" t="s">
        <v>240</v>
      </c>
      <c r="B1" s="3" t="s">
        <v>10</v>
      </c>
      <c r="C1" s="3" t="s">
        <v>13</v>
      </c>
      <c r="D1" s="3" t="s">
        <v>16</v>
      </c>
      <c r="E1" s="3" t="s">
        <v>241</v>
      </c>
      <c r="F1" s="3" t="s">
        <v>242</v>
      </c>
      <c r="G1" s="3" t="s">
        <v>21</v>
      </c>
      <c r="H1" s="3" t="s">
        <v>17</v>
      </c>
      <c r="I1" s="3" t="s">
        <v>19</v>
      </c>
      <c r="J1" s="3" t="s">
        <v>243</v>
      </c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collapsed="false" customFormat="false" customHeight="false" hidden="false" ht="12.85" outlineLevel="0" r="2">
      <c r="B2" s="0" t="s">
        <v>244</v>
      </c>
    </row>
    <row collapsed="false" customFormat="false" customHeight="false" hidden="false" ht="12.85" outlineLevel="0" r="3">
      <c r="B3" s="0" t="s">
        <v>245</v>
      </c>
    </row>
    <row collapsed="false" customFormat="false" customHeight="false" hidden="false" ht="12.85" outlineLevel="0" r="4">
      <c r="B4" s="0" t="s">
        <v>246</v>
      </c>
    </row>
    <row collapsed="false" customFormat="false" customHeight="false" hidden="false" ht="12.85" outlineLevel="0" r="5">
      <c r="B5" s="0" t="s">
        <v>247</v>
      </c>
    </row>
    <row collapsed="false" customFormat="false" customHeight="false" hidden="false" ht="12.85" outlineLevel="0" r="6">
      <c r="A6" s="0" t="s">
        <v>248</v>
      </c>
    </row>
    <row collapsed="false" customFormat="false" customHeight="false" hidden="false" ht="12.85" outlineLevel="0" r="7">
      <c r="A7" s="0" t="s">
        <v>249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8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bottomRight" state="frozen" topLeftCell="E7" xSplit="4" ySplit="6"/>
      <selection activeCell="A1" activeCellId="0" pane="topLeft" sqref="A1"/>
      <selection activeCell="E1" activeCellId="0" pane="topRight" sqref="E1"/>
      <selection activeCell="A7" activeCellId="0" pane="bottomLeft" sqref="A7"/>
      <selection activeCell="A12" activeCellId="0" pane="bottomRight" sqref="A12"/>
    </sheetView>
  </sheetViews>
  <sheetFormatPr defaultRowHeight="12.85"/>
  <cols>
    <col collapsed="false" hidden="false" max="1" min="1" style="1" width="13.265306122449"/>
    <col collapsed="false" hidden="false" max="2" min="2" style="1" width="30.6326530612245"/>
    <col collapsed="false" hidden="false" max="5" min="3" style="1" width="9.05102040816327"/>
    <col collapsed="false" hidden="false" max="7" min="6" style="1" width="15.6836734693878"/>
    <col collapsed="false" hidden="false" max="8" min="8" style="0" width="11.5918367346939"/>
    <col collapsed="false" hidden="false" max="9" min="9" style="0" width="13.1377551020408"/>
    <col collapsed="false" hidden="false" max="10" min="10" style="0" width="10.8877551020408"/>
    <col collapsed="false" hidden="false" max="11" min="11" style="0" width="11.4489795918367"/>
    <col collapsed="false" hidden="false" max="12" min="12" style="0" width="11.5918367346939"/>
    <col collapsed="false" hidden="false" max="13" min="13" style="0" width="7.91836734693878"/>
    <col collapsed="false" hidden="false" max="14" min="14" style="0" width="18.2244897959184"/>
    <col collapsed="false" hidden="false" max="15" min="15" style="0" width="12.015306122449"/>
    <col collapsed="false" hidden="false" max="17" min="17" style="1" width="8.35204081632653"/>
    <col collapsed="false" hidden="false" max="19" min="18" style="0" width="11.5204081632653"/>
    <col collapsed="false" hidden="false" max="20" min="20" style="0" width="18.7551020408163"/>
    <col collapsed="false" hidden="false" max="21" min="21" style="0" width="15.3724489795918"/>
    <col collapsed="false" hidden="false" max="24" min="22" style="0" width="11.5204081632653"/>
    <col collapsed="false" hidden="false" max="25" min="25" style="0" width="15.3724489795918"/>
    <col collapsed="false" hidden="false" max="1025" min="26" style="0" width="11.5204081632653"/>
  </cols>
  <sheetData>
    <row collapsed="false" customFormat="true" customHeight="false" hidden="false" ht="12.85" outlineLevel="0" r="1" s="1">
      <c r="B1" s="2" t="s">
        <v>5</v>
      </c>
      <c r="C1" s="2" t="n">
        <v>438.75</v>
      </c>
      <c r="AMC1" s="0"/>
      <c r="AMD1" s="0"/>
      <c r="AME1" s="0"/>
      <c r="AMF1" s="0"/>
      <c r="AMG1" s="0"/>
      <c r="AMH1" s="0"/>
      <c r="AMI1" s="0"/>
      <c r="AMJ1" s="0"/>
    </row>
    <row collapsed="false" customFormat="true" customHeight="false" hidden="false" ht="12.85" outlineLevel="0" r="2" s="1">
      <c r="B2" s="2" t="s">
        <v>6</v>
      </c>
      <c r="C2" s="2" t="n">
        <v>972</v>
      </c>
      <c r="AMC2" s="0"/>
      <c r="AMD2" s="0"/>
      <c r="AME2" s="0"/>
      <c r="AMF2" s="0"/>
      <c r="AMG2" s="0"/>
      <c r="AMH2" s="0"/>
      <c r="AMI2" s="0"/>
      <c r="AMJ2" s="0"/>
    </row>
    <row collapsed="false" customFormat="true" customHeight="false" hidden="false" ht="12.85" outlineLevel="0" r="3" s="1">
      <c r="B3" s="2" t="s">
        <v>7</v>
      </c>
      <c r="C3" s="2" t="n">
        <v>310.5</v>
      </c>
      <c r="AMC3" s="0"/>
      <c r="AMD3" s="0"/>
      <c r="AME3" s="0"/>
      <c r="AMF3" s="0"/>
      <c r="AMG3" s="0"/>
      <c r="AMH3" s="0"/>
      <c r="AMI3" s="0"/>
      <c r="AMJ3" s="0"/>
    </row>
    <row collapsed="false" customFormat="true" customHeight="false" hidden="false" ht="12.85" outlineLevel="0" r="4" s="1">
      <c r="B4" s="2" t="s">
        <v>8</v>
      </c>
      <c r="C4" s="2" t="n">
        <v>1.4</v>
      </c>
      <c r="AMC4" s="0"/>
      <c r="AMD4" s="0"/>
      <c r="AME4" s="0"/>
      <c r="AMF4" s="0"/>
      <c r="AMG4" s="0"/>
      <c r="AMH4" s="0"/>
      <c r="AMI4" s="0"/>
      <c r="AMJ4" s="0"/>
    </row>
    <row collapsed="false" customFormat="true" customHeight="false" hidden="false" ht="12.85" outlineLevel="0" r="5" s="1">
      <c r="AMC5" s="0"/>
      <c r="AMD5" s="0"/>
      <c r="AME5" s="0"/>
      <c r="AMF5" s="0"/>
      <c r="AMG5" s="0"/>
      <c r="AMH5" s="0"/>
      <c r="AMI5" s="0"/>
      <c r="AMJ5" s="0"/>
    </row>
    <row collapsed="false" customFormat="true" customHeight="false" hidden="false" ht="12.85" outlineLevel="0" r="6" s="1">
      <c r="A6" s="3" t="s">
        <v>9</v>
      </c>
      <c r="B6" s="3" t="s">
        <v>10</v>
      </c>
      <c r="C6" s="3" t="s">
        <v>11</v>
      </c>
      <c r="D6" s="4" t="s">
        <v>12</v>
      </c>
      <c r="E6" s="4" t="s">
        <v>13</v>
      </c>
      <c r="F6" s="4" t="s">
        <v>14</v>
      </c>
      <c r="G6" s="4" t="s">
        <v>15</v>
      </c>
      <c r="H6" s="4" t="s">
        <v>16</v>
      </c>
      <c r="I6" s="4" t="s">
        <v>17</v>
      </c>
      <c r="J6" s="4" t="s">
        <v>18</v>
      </c>
      <c r="K6" s="4" t="s">
        <v>19</v>
      </c>
      <c r="L6" s="3" t="s">
        <v>20</v>
      </c>
      <c r="M6" s="4" t="s">
        <v>21</v>
      </c>
      <c r="N6" s="4" t="s">
        <v>22</v>
      </c>
      <c r="O6" s="4" t="s">
        <v>23</v>
      </c>
      <c r="P6" s="3" t="s">
        <v>24</v>
      </c>
      <c r="Q6" s="3" t="s">
        <v>25</v>
      </c>
      <c r="R6" s="3" t="s">
        <v>26</v>
      </c>
      <c r="S6" s="3" t="s">
        <v>27</v>
      </c>
      <c r="T6" s="3" t="s">
        <v>28</v>
      </c>
      <c r="U6" s="3" t="s">
        <v>29</v>
      </c>
      <c r="V6" s="3" t="s">
        <v>30</v>
      </c>
      <c r="W6" s="3" t="s">
        <v>31</v>
      </c>
      <c r="X6" s="5" t="s">
        <v>32</v>
      </c>
      <c r="Y6" s="5" t="s">
        <v>33</v>
      </c>
      <c r="Z6" s="5" t="s">
        <v>34</v>
      </c>
      <c r="AA6" s="5" t="s">
        <v>35</v>
      </c>
      <c r="AB6" s="5" t="s">
        <v>36</v>
      </c>
      <c r="AC6" s="5" t="s">
        <v>37</v>
      </c>
      <c r="AD6" s="5" t="s">
        <v>38</v>
      </c>
      <c r="AE6" s="3" t="s">
        <v>39</v>
      </c>
      <c r="AMC6" s="0"/>
      <c r="AMD6" s="0"/>
      <c r="AME6" s="0"/>
      <c r="AMF6" s="0"/>
      <c r="AMG6" s="0"/>
      <c r="AMH6" s="0"/>
      <c r="AMI6" s="0"/>
      <c r="AMJ6" s="0"/>
    </row>
    <row collapsed="false" customFormat="false" customHeight="false" hidden="false" ht="12.85" outlineLevel="0" r="7">
      <c r="A7" s="1" t="s">
        <v>40</v>
      </c>
      <c r="B7" s="1" t="s">
        <v>40</v>
      </c>
      <c r="C7" s="1" t="s">
        <v>41</v>
      </c>
      <c r="D7" s="1" t="n">
        <v>2</v>
      </c>
      <c r="E7" s="6" t="n">
        <v>8</v>
      </c>
      <c r="F7" s="6" t="s">
        <v>42</v>
      </c>
      <c r="G7" s="7" t="s">
        <v>43</v>
      </c>
      <c r="L7" s="8" t="n">
        <v>3.83</v>
      </c>
      <c r="M7" s="0" t="n">
        <f aca="false">ROUND(L7*Settings!$B$2, 0)</f>
        <v>4</v>
      </c>
      <c r="N7" s="9" t="n">
        <v>0.02</v>
      </c>
      <c r="O7" s="10" t="n">
        <f aca="false">ROUND(ATAN(N7)*65536/PI(),0)</f>
        <v>417</v>
      </c>
      <c r="X7" s="11" t="n">
        <v>1.5</v>
      </c>
    </row>
    <row collapsed="false" customFormat="false" customHeight="false" hidden="false" ht="12.85" outlineLevel="0" r="8">
      <c r="A8" s="1" t="s">
        <v>44</v>
      </c>
      <c r="B8" s="1" t="s">
        <v>45</v>
      </c>
      <c r="C8" s="1" t="s">
        <v>41</v>
      </c>
      <c r="D8" s="1" t="n">
        <v>3</v>
      </c>
      <c r="E8" s="6" t="n">
        <v>12</v>
      </c>
      <c r="F8" s="6" t="s">
        <v>46</v>
      </c>
      <c r="G8" s="12" t="s">
        <v>47</v>
      </c>
      <c r="L8" s="8" t="n">
        <v>3.94</v>
      </c>
      <c r="M8" s="0" t="n">
        <f aca="false">ROUND(L8*Settings!$B$2, 0)</f>
        <v>4</v>
      </c>
      <c r="N8" s="9" t="n">
        <v>0.02</v>
      </c>
      <c r="O8" s="10" t="n">
        <f aca="false">ROUND(ATAN(N8)*65536/PI(),0)</f>
        <v>417</v>
      </c>
      <c r="X8" s="11" t="n">
        <v>1.5</v>
      </c>
      <c r="AE8" s="0" t="s">
        <v>48</v>
      </c>
    </row>
    <row collapsed="false" customFormat="false" customHeight="false" hidden="false" ht="12.85" outlineLevel="0" r="9">
      <c r="A9" s="1" t="s">
        <v>49</v>
      </c>
      <c r="B9" s="1" t="s">
        <v>49</v>
      </c>
      <c r="C9" s="1" t="s">
        <v>41</v>
      </c>
      <c r="D9" s="1" t="n">
        <v>3</v>
      </c>
      <c r="E9" s="6" t="n">
        <v>7</v>
      </c>
      <c r="F9" s="6" t="s">
        <v>50</v>
      </c>
      <c r="G9" s="7" t="s">
        <v>51</v>
      </c>
      <c r="L9" s="8" t="n">
        <v>4.38</v>
      </c>
      <c r="M9" s="0" t="n">
        <f aca="false">ROUND(L9*Settings!$B$2, 0)</f>
        <v>5</v>
      </c>
      <c r="N9" s="9" t="n">
        <v>0.02</v>
      </c>
      <c r="O9" s="10" t="n">
        <f aca="false">ROUND(ATAN(N9)*65536/PI(),0)</f>
        <v>417</v>
      </c>
      <c r="X9" s="11" t="n">
        <v>1.5</v>
      </c>
    </row>
    <row collapsed="false" customFormat="false" customHeight="false" hidden="false" ht="12.85" outlineLevel="0" r="10">
      <c r="A10" s="1" t="s">
        <v>52</v>
      </c>
      <c r="B10" s="0" t="s">
        <v>53</v>
      </c>
      <c r="C10" s="0" t="s">
        <v>41</v>
      </c>
      <c r="D10" s="0" t="n">
        <v>1</v>
      </c>
      <c r="E10" s="6" t="n">
        <v>2</v>
      </c>
      <c r="F10" s="6" t="s">
        <v>54</v>
      </c>
      <c r="G10" s="7" t="s">
        <v>55</v>
      </c>
      <c r="L10" s="8" t="n">
        <v>3.44</v>
      </c>
      <c r="M10" s="0" t="n">
        <f aca="false">ROUND(L10*Settings!$B$2, 0)</f>
        <v>4</v>
      </c>
      <c r="N10" s="9" t="n">
        <v>0.03</v>
      </c>
      <c r="O10" s="10" t="n">
        <f aca="false">ROUND(ATAN(N10)*65536/PI(),0)</f>
        <v>626</v>
      </c>
      <c r="X10" s="11" t="n">
        <v>1.5</v>
      </c>
    </row>
    <row collapsed="false" customFormat="false" customHeight="false" hidden="false" ht="12.85" outlineLevel="0" r="11">
      <c r="A11" s="1" t="s">
        <v>52</v>
      </c>
      <c r="B11" s="0" t="s">
        <v>56</v>
      </c>
      <c r="C11" s="0" t="s">
        <v>41</v>
      </c>
      <c r="D11" s="0" t="n">
        <v>1</v>
      </c>
      <c r="E11" s="6" t="n">
        <v>2</v>
      </c>
      <c r="F11" s="6" t="s">
        <v>54</v>
      </c>
      <c r="G11" s="7" t="s">
        <v>55</v>
      </c>
      <c r="L11" s="8" t="n">
        <v>3.44</v>
      </c>
      <c r="M11" s="0" t="n">
        <f aca="false">ROUND(L11*Settings!$B$2, 0)</f>
        <v>4</v>
      </c>
      <c r="N11" s="9" t="n">
        <v>0.035</v>
      </c>
      <c r="O11" s="10" t="n">
        <f aca="false">ROUND(ATAN(N11)*65536/PI(),0)</f>
        <v>730</v>
      </c>
      <c r="X11" s="11" t="n">
        <v>1.5</v>
      </c>
    </row>
    <row collapsed="false" customFormat="false" customHeight="false" hidden="false" ht="12.85" outlineLevel="0" r="12">
      <c r="A12" s="1" t="s">
        <v>57</v>
      </c>
      <c r="B12" s="0" t="s">
        <v>58</v>
      </c>
      <c r="C12" s="0" t="s">
        <v>41</v>
      </c>
      <c r="D12" s="0" t="n">
        <v>2</v>
      </c>
      <c r="E12" s="6" t="n">
        <v>6</v>
      </c>
      <c r="F12" s="6" t="s">
        <v>46</v>
      </c>
      <c r="G12" s="7" t="s">
        <v>59</v>
      </c>
      <c r="L12" s="8" t="n">
        <v>4.02</v>
      </c>
      <c r="M12" s="0" t="n">
        <f aca="false">ROUND(L12*Settings!$B$2, 0)</f>
        <v>4</v>
      </c>
      <c r="N12" s="9" t="n">
        <v>0.02</v>
      </c>
      <c r="O12" s="10" t="n">
        <f aca="false">ROUND(ATAN(N12)*65536/PI(),0)</f>
        <v>417</v>
      </c>
      <c r="X12" s="11" t="n">
        <v>1.5</v>
      </c>
    </row>
    <row collapsed="false" customFormat="false" customHeight="false" hidden="false" ht="12.85" outlineLevel="0" r="13">
      <c r="A13" s="1" t="s">
        <v>60</v>
      </c>
      <c r="B13" s="0" t="s">
        <v>61</v>
      </c>
      <c r="C13" s="0" t="s">
        <v>41</v>
      </c>
      <c r="D13" s="0" t="n">
        <v>3</v>
      </c>
      <c r="E13" s="6" t="n">
        <v>20</v>
      </c>
      <c r="F13" s="6" t="s">
        <v>62</v>
      </c>
      <c r="G13" s="7" t="s">
        <v>63</v>
      </c>
      <c r="L13" s="8" t="n">
        <v>7</v>
      </c>
      <c r="M13" s="0" t="n">
        <f aca="false">ROUND(L13*Settings!$B$2, 0)</f>
        <v>7</v>
      </c>
      <c r="N13" s="9" t="n">
        <v>0.02</v>
      </c>
      <c r="O13" s="10" t="n">
        <f aca="false">ROUND(ATAN(N13)*65536/PI(),0)</f>
        <v>417</v>
      </c>
      <c r="X13" s="11" t="n">
        <v>1.5</v>
      </c>
    </row>
    <row collapsed="false" customFormat="false" customHeight="false" hidden="false" ht="12.85" outlineLevel="0" r="14">
      <c r="A14" s="1" t="s">
        <v>64</v>
      </c>
      <c r="B14" s="0" t="s">
        <v>65</v>
      </c>
      <c r="C14" s="0" t="s">
        <v>41</v>
      </c>
      <c r="D14" s="0" t="n">
        <v>1</v>
      </c>
      <c r="E14" s="6" t="n">
        <v>3</v>
      </c>
      <c r="F14" s="6" t="s">
        <v>46</v>
      </c>
      <c r="G14" s="7" t="s">
        <v>66</v>
      </c>
      <c r="L14" s="8" t="n">
        <v>2.01</v>
      </c>
      <c r="M14" s="0" t="n">
        <f aca="false">ROUND(L14*Settings!$B$2, 0)</f>
        <v>2</v>
      </c>
      <c r="N14" s="9" t="n">
        <v>0.06</v>
      </c>
      <c r="O14" s="10" t="n">
        <f aca="false">ROUND(ATAN(N14)*65536/PI(),0)</f>
        <v>1250</v>
      </c>
      <c r="X14" s="11" t="n">
        <v>1.5</v>
      </c>
      <c r="AE14" s="0" t="s">
        <v>67</v>
      </c>
    </row>
    <row collapsed="false" customFormat="false" customHeight="false" hidden="false" ht="12.85" outlineLevel="0" r="15">
      <c r="A15" s="1" t="s">
        <v>68</v>
      </c>
      <c r="B15" s="0" t="s">
        <v>69</v>
      </c>
      <c r="C15" s="0" t="s">
        <v>41</v>
      </c>
      <c r="D15" s="0" t="n">
        <v>1</v>
      </c>
      <c r="E15" s="6" t="n">
        <v>4</v>
      </c>
      <c r="F15" s="6" t="s">
        <v>46</v>
      </c>
      <c r="G15" s="7" t="s">
        <v>70</v>
      </c>
      <c r="L15" s="8" t="n">
        <v>2.53</v>
      </c>
      <c r="M15" s="0" t="n">
        <f aca="false">ROUND(L15*Settings!$B$2, 0)</f>
        <v>3</v>
      </c>
      <c r="N15" s="9" t="n">
        <v>0.04</v>
      </c>
      <c r="O15" s="10" t="n">
        <f aca="false">ROUND(ATAN(N15)*65536/PI(),0)</f>
        <v>834</v>
      </c>
      <c r="X15" s="11" t="n">
        <v>1.5</v>
      </c>
      <c r="AE15" s="0" t="s">
        <v>71</v>
      </c>
    </row>
    <row collapsed="false" customFormat="false" customHeight="false" hidden="false" ht="12.85" outlineLevel="0" r="16">
      <c r="A16" s="1" t="s">
        <v>72</v>
      </c>
      <c r="B16" s="0" t="s">
        <v>73</v>
      </c>
      <c r="C16" s="0" t="s">
        <v>74</v>
      </c>
      <c r="D16" s="0" t="n">
        <v>2</v>
      </c>
      <c r="E16" s="6" t="n">
        <v>5</v>
      </c>
      <c r="F16" s="6" t="s">
        <v>46</v>
      </c>
      <c r="G16" s="7" t="s">
        <v>75</v>
      </c>
      <c r="L16" s="13" t="n">
        <v>3.55</v>
      </c>
      <c r="M16" s="0" t="n">
        <f aca="false">ROUND(L16*Settings!$B$2, 0)</f>
        <v>4</v>
      </c>
      <c r="N16" s="9" t="n">
        <v>0.02</v>
      </c>
      <c r="O16" s="10" t="n">
        <f aca="false">ROUND(ATAN(N16)*65536/PI(),0)</f>
        <v>417</v>
      </c>
      <c r="X16" s="11" t="n">
        <v>1.5</v>
      </c>
    </row>
    <row collapsed="false" customFormat="false" customHeight="false" hidden="false" ht="12.85" outlineLevel="0" r="17">
      <c r="A17" s="1" t="s">
        <v>76</v>
      </c>
      <c r="B17" s="0" t="s">
        <v>77</v>
      </c>
      <c r="C17" s="0" t="s">
        <v>74</v>
      </c>
      <c r="D17" s="0" t="n">
        <v>2</v>
      </c>
      <c r="E17" s="6" t="n">
        <v>5</v>
      </c>
      <c r="F17" s="6" t="s">
        <v>46</v>
      </c>
      <c r="G17" s="7" t="s">
        <v>75</v>
      </c>
      <c r="L17" s="8" t="n">
        <v>3.41</v>
      </c>
      <c r="M17" s="0" t="n">
        <f aca="false">ROUND(L17*Settings!$B$2, 0)</f>
        <v>4</v>
      </c>
      <c r="N17" s="9" t="n">
        <v>0.02</v>
      </c>
      <c r="O17" s="10" t="n">
        <f aca="false">ROUND(ATAN(N17)*65536/PI(),0)</f>
        <v>417</v>
      </c>
      <c r="X17" s="11" t="n">
        <v>1.5</v>
      </c>
    </row>
    <row collapsed="false" customFormat="false" customHeight="false" hidden="false" ht="12.85" outlineLevel="0" r="18">
      <c r="A18" s="1" t="s">
        <v>78</v>
      </c>
      <c r="B18" s="0" t="s">
        <v>78</v>
      </c>
      <c r="C18" s="0" t="s">
        <v>41</v>
      </c>
      <c r="D18" s="0" t="n">
        <v>2</v>
      </c>
      <c r="E18" s="6" t="n">
        <v>8</v>
      </c>
      <c r="F18" s="6" t="s">
        <v>50</v>
      </c>
      <c r="G18" s="7" t="s">
        <v>79</v>
      </c>
      <c r="L18" s="8" t="n">
        <v>4.3</v>
      </c>
      <c r="M18" s="0" t="n">
        <f aca="false">ROUND(L18*Settings!$B$2, 0)</f>
        <v>5</v>
      </c>
      <c r="N18" s="9" t="n">
        <v>0.03</v>
      </c>
      <c r="O18" s="10" t="n">
        <f aca="false">ROUND(ATAN(N18)*65536/PI(),0)</f>
        <v>626</v>
      </c>
      <c r="X18" s="11" t="n">
        <v>1.5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9" activeCellId="0" pane="topLeft" sqref="A9"/>
    </sheetView>
  </sheetViews>
  <sheetFormatPr defaultRowHeight="12.85"/>
  <cols>
    <col collapsed="false" hidden="false" max="1" min="1" style="0" width="15.6836734693878"/>
    <col collapsed="false" hidden="false" max="2" min="2" style="0" width="13.984693877551"/>
    <col collapsed="false" hidden="false" max="3" min="3" style="0" width="18.6479591836735"/>
    <col collapsed="false" hidden="false" max="4" min="4" style="0" width="14.6938775510204"/>
    <col collapsed="false" hidden="false" max="5" min="5" style="0" width="11.3112244897959"/>
    <col collapsed="false" hidden="false" max="6" min="6" style="0" width="16.1071428571429"/>
    <col collapsed="false" hidden="false" max="8" min="7" style="0" width="18.9234693877551"/>
    <col collapsed="false" hidden="false" max="9" min="9" style="0" width="24.1479591836735"/>
    <col collapsed="false" hidden="false" max="10" min="10" style="0" width="17.515306122449"/>
    <col collapsed="false" hidden="false" max="13" min="11" style="0" width="13.7040816326531"/>
    <col collapsed="false" hidden="false" max="14" min="14" style="0" width="16.1071428571429"/>
    <col collapsed="false" hidden="false" max="16" min="16" style="0" width="13.2857142857143"/>
    <col collapsed="false" hidden="false" max="17" min="17" style="0" width="13.984693877551"/>
    <col collapsed="false" hidden="false" max="18" min="18" style="0" width="8.35204081632653"/>
    <col collapsed="false" hidden="false" max="19" min="19" style="0" width="6.09183673469388"/>
    <col collapsed="false" hidden="false" max="1025" min="20" style="0" width="11.5204081632653"/>
  </cols>
  <sheetData>
    <row collapsed="false" customFormat="false" customHeight="false" hidden="false" ht="12.85" outlineLevel="0" r="1">
      <c r="A1" s="3" t="s">
        <v>80</v>
      </c>
      <c r="B1" s="3" t="s">
        <v>81</v>
      </c>
      <c r="C1" s="3" t="s">
        <v>82</v>
      </c>
      <c r="D1" s="3" t="s">
        <v>83</v>
      </c>
      <c r="E1" s="3" t="s">
        <v>84</v>
      </c>
      <c r="F1" s="3" t="s">
        <v>85</v>
      </c>
      <c r="G1" s="3" t="s">
        <v>86</v>
      </c>
      <c r="H1" s="3" t="s">
        <v>87</v>
      </c>
      <c r="I1" s="3" t="s">
        <v>88</v>
      </c>
      <c r="J1" s="3" t="s">
        <v>89</v>
      </c>
      <c r="K1" s="3" t="s">
        <v>90</v>
      </c>
      <c r="L1" s="3" t="s">
        <v>91</v>
      </c>
      <c r="M1" s="3" t="s">
        <v>92</v>
      </c>
      <c r="N1" s="3" t="s">
        <v>93</v>
      </c>
      <c r="O1" s="3" t="s">
        <v>94</v>
      </c>
      <c r="P1" s="3" t="s">
        <v>28</v>
      </c>
      <c r="Q1" s="4" t="s">
        <v>29</v>
      </c>
      <c r="R1" s="3" t="s">
        <v>30</v>
      </c>
      <c r="S1" s="3" t="s">
        <v>31</v>
      </c>
    </row>
    <row collapsed="false" customFormat="false" customHeight="false" hidden="false" ht="12.85" outlineLevel="0" r="2">
      <c r="A2" s="0" t="s">
        <v>95</v>
      </c>
      <c r="B2" s="0" t="n">
        <v>32</v>
      </c>
      <c r="D2" s="0" t="n">
        <v>32</v>
      </c>
      <c r="E2" s="0" t="n">
        <f aca="false">FLOOR(B2/D2, 1)</f>
        <v>1</v>
      </c>
      <c r="F2" s="0" t="n">
        <v>67.5</v>
      </c>
      <c r="G2" s="0" t="n">
        <v>420</v>
      </c>
      <c r="H2" s="0" t="n">
        <f aca="false">G2*Settings!$B$5</f>
        <v>23184</v>
      </c>
      <c r="I2" s="11" t="n">
        <f aca="false">POWER(G2,2)*D2/2000</f>
        <v>2822.4</v>
      </c>
      <c r="J2" s="11" t="n">
        <f aca="false">G2*D2</f>
        <v>13440</v>
      </c>
      <c r="K2" s="11" t="n">
        <f aca="false">FLOOR(J2/Settings!$B$4,1)</f>
        <v>3</v>
      </c>
      <c r="L2" s="11" t="n">
        <v>0.8</v>
      </c>
      <c r="M2" s="11" t="n">
        <f aca="false">I2/Settings!$B$1</f>
        <v>141.12</v>
      </c>
      <c r="N2" s="11" t="n">
        <f aca="false">I2*E2</f>
        <v>2822.4</v>
      </c>
      <c r="O2" s="11" t="n">
        <f aca="false">N2/Settings!$B$1</f>
        <v>141.12</v>
      </c>
      <c r="P2" s="11" t="n">
        <f aca="false">M2*L2/(1-POWER((1-L2), (K2+1)))</f>
        <v>113.076923076923</v>
      </c>
      <c r="Q2" s="0" t="n">
        <f aca="false">ROUND(P2,0)</f>
        <v>113</v>
      </c>
      <c r="R2" s="11" t="n">
        <f aca="false">Q2*(1-POWER((1-L2), (K2+1)))/L2</f>
        <v>141.024</v>
      </c>
      <c r="S2" s="13" t="n">
        <f aca="false">R2/M2</f>
        <v>0.999319727891156</v>
      </c>
    </row>
    <row collapsed="false" customFormat="false" customHeight="false" hidden="false" ht="12.85" outlineLevel="0" r="3">
      <c r="A3" s="0" t="s">
        <v>51</v>
      </c>
      <c r="B3" s="0" t="n">
        <v>32</v>
      </c>
      <c r="D3" s="0" t="n">
        <v>32</v>
      </c>
      <c r="E3" s="0" t="n">
        <f aca="false">FLOOR(B3/D3, 1)</f>
        <v>1</v>
      </c>
      <c r="F3" s="0" t="n">
        <v>76</v>
      </c>
      <c r="G3" s="0" t="n">
        <v>450</v>
      </c>
      <c r="H3" s="0" t="n">
        <f aca="false">G3*Settings!$B$5</f>
        <v>24840</v>
      </c>
      <c r="I3" s="11" t="n">
        <f aca="false">POWER(G3,2)*D3/2000</f>
        <v>3240</v>
      </c>
      <c r="J3" s="11" t="n">
        <f aca="false">G3*D3</f>
        <v>14400</v>
      </c>
      <c r="K3" s="11" t="n">
        <f aca="false">FLOOR(J3/Settings!$B$4,1)</f>
        <v>3</v>
      </c>
      <c r="L3" s="11" t="n">
        <v>0.8</v>
      </c>
      <c r="M3" s="11" t="n">
        <f aca="false">I3/Settings!$B$1</f>
        <v>162</v>
      </c>
      <c r="N3" s="11" t="n">
        <f aca="false">I3*E3</f>
        <v>3240</v>
      </c>
      <c r="O3" s="11" t="n">
        <f aca="false">N3/Settings!$B$1</f>
        <v>162</v>
      </c>
      <c r="P3" s="11" t="n">
        <f aca="false">M3*L3/(1-POWER((1-L3), (K3+1)))</f>
        <v>129.807692307692</v>
      </c>
      <c r="Q3" s="0" t="n">
        <f aca="false">ROUND(P3,0)</f>
        <v>130</v>
      </c>
      <c r="R3" s="11" t="n">
        <f aca="false">Q3*(1-POWER((1-L3), (K3+1)))/L3</f>
        <v>162.24</v>
      </c>
      <c r="S3" s="13" t="n">
        <f aca="false">R3/M3</f>
        <v>1.00148148148148</v>
      </c>
    </row>
    <row collapsed="false" customFormat="false" customHeight="false" hidden="false" ht="12.85" outlineLevel="0" r="4">
      <c r="A4" s="0" t="s">
        <v>79</v>
      </c>
      <c r="B4" s="0" t="n">
        <v>32</v>
      </c>
      <c r="C4" s="0" t="n">
        <v>8.4</v>
      </c>
      <c r="D4" s="0" t="n">
        <v>3.49</v>
      </c>
      <c r="E4" s="0" t="n">
        <v>9</v>
      </c>
      <c r="F4" s="0" t="n">
        <v>63.5</v>
      </c>
      <c r="G4" s="0" t="n">
        <v>385</v>
      </c>
      <c r="H4" s="0" t="n">
        <f aca="false">G4*Settings!$B$5</f>
        <v>21252</v>
      </c>
      <c r="I4" s="11" t="n">
        <f aca="false">POWER(G4,2)*D4/2000</f>
        <v>258.652625</v>
      </c>
      <c r="J4" s="11" t="n">
        <f aca="false">G4*D4</f>
        <v>1343.65</v>
      </c>
      <c r="K4" s="11" t="n">
        <f aca="false">FLOOR(J4/Settings!$B$4,1)</f>
        <v>0</v>
      </c>
      <c r="L4" s="11" t="n">
        <v>0.8</v>
      </c>
      <c r="M4" s="11" t="n">
        <f aca="false">I4/Settings!$B$1</f>
        <v>12.93263125</v>
      </c>
      <c r="N4" s="11" t="n">
        <f aca="false">I4*E4</f>
        <v>2327.873625</v>
      </c>
      <c r="O4" s="11" t="n">
        <f aca="false">N4/Settings!$B$1</f>
        <v>116.39368125</v>
      </c>
      <c r="P4" s="11" t="n">
        <f aca="false">M4*L4/(1-POWER((1-L4), (K4+1)))</f>
        <v>12.93263125</v>
      </c>
      <c r="Q4" s="0" t="n">
        <f aca="false">ROUND(P4,0)</f>
        <v>13</v>
      </c>
      <c r="R4" s="11" t="n">
        <f aca="false">Q4*(1-POWER((1-L4), (K4+1)))/L4</f>
        <v>13</v>
      </c>
      <c r="S4" s="13" t="n">
        <f aca="false">R4/M4</f>
        <v>1.00520920674979</v>
      </c>
    </row>
    <row collapsed="false" customFormat="false" customHeight="false" hidden="false" ht="12.85" outlineLevel="0" r="5">
      <c r="A5" s="0" t="s">
        <v>70</v>
      </c>
      <c r="B5" s="0" t="n">
        <v>32</v>
      </c>
      <c r="C5" s="0" t="n">
        <v>8.4</v>
      </c>
      <c r="D5" s="0" t="n">
        <v>3.49</v>
      </c>
      <c r="E5" s="0" t="n">
        <v>9</v>
      </c>
      <c r="F5" s="0" t="n">
        <v>67.5</v>
      </c>
      <c r="G5" s="0" t="n">
        <v>360</v>
      </c>
      <c r="H5" s="0" t="n">
        <f aca="false">G5*Settings!$B$5</f>
        <v>19872</v>
      </c>
      <c r="I5" s="11" t="n">
        <f aca="false">POWER(G5,2)*D5/2000</f>
        <v>226.152</v>
      </c>
      <c r="J5" s="11" t="n">
        <f aca="false">G5*D5</f>
        <v>1256.4</v>
      </c>
      <c r="K5" s="11" t="n">
        <f aca="false">FLOOR(J5/Settings!$B$4,1)</f>
        <v>0</v>
      </c>
      <c r="L5" s="11" t="n">
        <v>0.8</v>
      </c>
      <c r="M5" s="11" t="n">
        <f aca="false">I5/Settings!$B$1</f>
        <v>11.3076</v>
      </c>
      <c r="N5" s="11" t="n">
        <f aca="false">I5*E5</f>
        <v>2035.368</v>
      </c>
      <c r="O5" s="11" t="n">
        <f aca="false">N5/Settings!$B$1</f>
        <v>101.7684</v>
      </c>
      <c r="P5" s="11" t="n">
        <f aca="false">M5*L5/(1-POWER((1-L5), (K5+1)))</f>
        <v>11.3076</v>
      </c>
      <c r="Q5" s="0" t="n">
        <f aca="false">ROUND(P5,0)</f>
        <v>11</v>
      </c>
      <c r="R5" s="11" t="n">
        <f aca="false">Q5*(1-POWER((1-L5), (K5+1)))/L5</f>
        <v>11</v>
      </c>
      <c r="S5" s="13" t="n">
        <f aca="false">R5/M5</f>
        <v>0.972797056846722</v>
      </c>
    </row>
    <row collapsed="false" customFormat="false" customHeight="false" hidden="false" ht="12.85" outlineLevel="0" r="6">
      <c r="A6" s="0" t="s">
        <v>96</v>
      </c>
      <c r="B6" s="0" t="n">
        <v>32</v>
      </c>
      <c r="C6" s="0" t="n">
        <v>8.4</v>
      </c>
      <c r="D6" s="0" t="n">
        <v>3.49</v>
      </c>
      <c r="E6" s="0" t="n">
        <f aca="false">FLOOR(B6/D6, 1)</f>
        <v>9</v>
      </c>
      <c r="F6" s="0" t="n">
        <v>70</v>
      </c>
      <c r="G6" s="0" t="n">
        <v>370</v>
      </c>
      <c r="H6" s="0" t="n">
        <f aca="false">G6*Settings!$B$5</f>
        <v>20424</v>
      </c>
      <c r="I6" s="11" t="n">
        <f aca="false">POWER(G6,2)*D6/2000</f>
        <v>238.8905</v>
      </c>
      <c r="J6" s="11" t="n">
        <f aca="false">G6*D6</f>
        <v>1291.3</v>
      </c>
      <c r="K6" s="11" t="n">
        <f aca="false">FLOOR(J6/Settings!$B$4,1)</f>
        <v>0</v>
      </c>
      <c r="L6" s="11" t="n">
        <v>0.8</v>
      </c>
      <c r="M6" s="11" t="n">
        <f aca="false">I6/Settings!$B$1</f>
        <v>11.944525</v>
      </c>
      <c r="N6" s="11" t="n">
        <f aca="false">I6*E6</f>
        <v>2150.0145</v>
      </c>
      <c r="O6" s="11" t="n">
        <f aca="false">N6/Settings!$B$1</f>
        <v>107.500725</v>
      </c>
      <c r="P6" s="11" t="n">
        <f aca="false">M6*L6/(1-POWER((1-L6), (K6+1)))</f>
        <v>11.944525</v>
      </c>
      <c r="Q6" s="0" t="n">
        <f aca="false">ROUND(P6,0)</f>
        <v>12</v>
      </c>
      <c r="R6" s="11" t="n">
        <f aca="false">Q6*(1-POWER((1-L6), (K6+1)))/L6</f>
        <v>12</v>
      </c>
      <c r="S6" s="13" t="n">
        <f aca="false">R6/M6</f>
        <v>1.00464438728204</v>
      </c>
    </row>
    <row collapsed="false" customFormat="false" customHeight="false" hidden="false" ht="12.85" outlineLevel="0" r="7">
      <c r="A7" s="0" t="s">
        <v>43</v>
      </c>
      <c r="B7" s="0" t="n">
        <v>36</v>
      </c>
      <c r="C7" s="0" t="n">
        <v>8.4</v>
      </c>
      <c r="D7" s="0" t="n">
        <v>3.49</v>
      </c>
      <c r="E7" s="0" t="n">
        <f aca="false">FLOOR(B7/D7, 1)</f>
        <v>10</v>
      </c>
      <c r="F7" s="0" t="n">
        <v>70</v>
      </c>
      <c r="G7" s="0" t="n">
        <v>360</v>
      </c>
      <c r="H7" s="0" t="n">
        <f aca="false">G7*Settings!$B$5</f>
        <v>19872</v>
      </c>
      <c r="I7" s="11" t="n">
        <f aca="false">POWER(G7,2)*D7/2000</f>
        <v>226.152</v>
      </c>
      <c r="J7" s="11" t="n">
        <f aca="false">G7*D7</f>
        <v>1256.4</v>
      </c>
      <c r="K7" s="11" t="n">
        <f aca="false">FLOOR(J7/Settings!$B$4,1)</f>
        <v>0</v>
      </c>
      <c r="L7" s="11" t="n">
        <v>0.8</v>
      </c>
      <c r="M7" s="11" t="n">
        <f aca="false">I7/Settings!$B$1</f>
        <v>11.3076</v>
      </c>
      <c r="N7" s="11" t="n">
        <f aca="false">I7*E7</f>
        <v>2261.52</v>
      </c>
      <c r="O7" s="11" t="n">
        <f aca="false">N7/Settings!$B$1</f>
        <v>113.076</v>
      </c>
      <c r="P7" s="11" t="n">
        <f aca="false">M7*L7/(1-POWER((1-L7), (K7+1)))</f>
        <v>11.3076</v>
      </c>
      <c r="Q7" s="0" t="n">
        <f aca="false">ROUND(P7,0)</f>
        <v>11</v>
      </c>
      <c r="R7" s="11" t="n">
        <f aca="false">Q7*(1-POWER((1-L7), (K7+1)))/L7</f>
        <v>11</v>
      </c>
      <c r="S7" s="13" t="n">
        <f aca="false">R7/M7</f>
        <v>0.972797056846722</v>
      </c>
    </row>
    <row collapsed="false" customFormat="false" customHeight="false" hidden="false" ht="12.85" outlineLevel="0" r="8">
      <c r="A8" s="0" t="s">
        <v>63</v>
      </c>
      <c r="B8" s="0" t="n">
        <v>53</v>
      </c>
      <c r="C8" s="0" t="n">
        <v>8.4</v>
      </c>
      <c r="D8" s="0" t="n">
        <v>3.49</v>
      </c>
      <c r="E8" s="0" t="n">
        <f aca="false">FLOOR(B8/D8, 1)</f>
        <v>15</v>
      </c>
      <c r="F8" s="0" t="n">
        <v>76</v>
      </c>
      <c r="G8" s="0" t="n">
        <v>350</v>
      </c>
      <c r="H8" s="0" t="n">
        <f aca="false">G8*Settings!$B$5</f>
        <v>19320</v>
      </c>
      <c r="I8" s="11" t="n">
        <f aca="false">POWER(G8,2)*D8/2000</f>
        <v>213.7625</v>
      </c>
      <c r="J8" s="11" t="n">
        <f aca="false">G8*D8</f>
        <v>1221.5</v>
      </c>
      <c r="K8" s="11" t="n">
        <f aca="false">FLOOR(J8/Settings!$B$4,1)</f>
        <v>0</v>
      </c>
      <c r="L8" s="11" t="n">
        <v>0.8</v>
      </c>
      <c r="M8" s="11" t="n">
        <f aca="false">I8/Settings!$B$1</f>
        <v>10.688125</v>
      </c>
      <c r="N8" s="11" t="n">
        <f aca="false">I8*E8</f>
        <v>3206.4375</v>
      </c>
      <c r="O8" s="11" t="n">
        <f aca="false">N8/Settings!$B$1</f>
        <v>160.321875</v>
      </c>
      <c r="P8" s="11" t="n">
        <f aca="false">M8*L8/(1-POWER((1-L8), (K8+1)))</f>
        <v>10.688125</v>
      </c>
      <c r="Q8" s="0" t="n">
        <f aca="false">ROUND(P8,0)</f>
        <v>11</v>
      </c>
      <c r="R8" s="11" t="n">
        <f aca="false">Q8*(1-POWER((1-L8), (K8+1)))/L8</f>
        <v>11</v>
      </c>
      <c r="S8" s="13" t="n">
        <f aca="false">R8/M8</f>
        <v>1.02917958014151</v>
      </c>
    </row>
    <row collapsed="false" customFormat="false" customHeight="false" hidden="false" ht="12.85" outlineLevel="0" r="9">
      <c r="A9" s="0" t="s">
        <v>66</v>
      </c>
      <c r="B9" s="0" t="n">
        <v>32</v>
      </c>
      <c r="C9" s="0" t="n">
        <v>7.6</v>
      </c>
      <c r="D9" s="0" t="n">
        <v>2.62</v>
      </c>
      <c r="E9" s="0" t="n">
        <f aca="false">FLOOR(B9/D9, 1)</f>
        <v>12</v>
      </c>
      <c r="F9" s="0" t="n">
        <v>67.5</v>
      </c>
      <c r="G9" s="0" t="n">
        <v>360</v>
      </c>
      <c r="H9" s="0" t="n">
        <f aca="false">G9*Settings!$B$5</f>
        <v>19872</v>
      </c>
      <c r="I9" s="11" t="n">
        <f aca="false">POWER(G9,2)*D9/2000</f>
        <v>169.776</v>
      </c>
      <c r="J9" s="11" t="n">
        <f aca="false">G9*D9</f>
        <v>943.2</v>
      </c>
      <c r="K9" s="11" t="n">
        <f aca="false">FLOOR(J9/Settings!$B$4,1)</f>
        <v>0</v>
      </c>
      <c r="L9" s="11" t="n">
        <v>0.8</v>
      </c>
      <c r="M9" s="11" t="n">
        <f aca="false">I9/Settings!$B$1</f>
        <v>8.4888</v>
      </c>
      <c r="N9" s="11" t="n">
        <f aca="false">I9*E9</f>
        <v>2037.312</v>
      </c>
      <c r="O9" s="11" t="n">
        <f aca="false">N9/Settings!$B$1</f>
        <v>101.8656</v>
      </c>
      <c r="P9" s="11" t="n">
        <f aca="false">M9*L9/(1-POWER((1-L9), (K9+1)))</f>
        <v>8.4888</v>
      </c>
      <c r="Q9" s="0" t="n">
        <f aca="false">ROUND(P9,0)</f>
        <v>8</v>
      </c>
      <c r="R9" s="11" t="n">
        <f aca="false">Q9*(1-POWER((1-L9), (K9+1)))/L9</f>
        <v>8</v>
      </c>
      <c r="S9" s="13" t="n">
        <f aca="false">R9/M9</f>
        <v>0.942418245217228</v>
      </c>
    </row>
    <row collapsed="false" customFormat="false" customHeight="false" hidden="false" ht="12.85" outlineLevel="0" r="10">
      <c r="A10" s="0" t="s">
        <v>97</v>
      </c>
      <c r="B10" s="0" t="n">
        <v>32</v>
      </c>
      <c r="C10" s="0" t="n">
        <v>7.6</v>
      </c>
      <c r="D10" s="0" t="n">
        <v>2.62</v>
      </c>
      <c r="E10" s="0" t="n">
        <f aca="false">FLOOR(B10/D10, 1)</f>
        <v>12</v>
      </c>
      <c r="F10" s="0" t="n">
        <v>70</v>
      </c>
      <c r="G10" s="0" t="n">
        <v>370</v>
      </c>
      <c r="H10" s="0" t="n">
        <f aca="false">G10*Settings!$B$5</f>
        <v>20424</v>
      </c>
      <c r="I10" s="11" t="n">
        <f aca="false">POWER(G10,2)*D10/2000</f>
        <v>179.339</v>
      </c>
      <c r="J10" s="11" t="n">
        <f aca="false">G10*D10</f>
        <v>969.4</v>
      </c>
      <c r="K10" s="11" t="n">
        <f aca="false">FLOOR(J10/Settings!$B$4,1)</f>
        <v>0</v>
      </c>
      <c r="L10" s="11" t="n">
        <v>0.8</v>
      </c>
      <c r="M10" s="11" t="n">
        <f aca="false">I10/Settings!$B$1</f>
        <v>8.96695</v>
      </c>
      <c r="N10" s="11" t="n">
        <f aca="false">I10*E10</f>
        <v>2152.068</v>
      </c>
      <c r="O10" s="11" t="n">
        <f aca="false">N10/Settings!$B$1</f>
        <v>107.6034</v>
      </c>
      <c r="P10" s="11" t="n">
        <f aca="false">M10*L10/(1-POWER((1-L10), (K10+1)))</f>
        <v>8.96695</v>
      </c>
      <c r="Q10" s="0" t="n">
        <f aca="false">ROUND(P10,0)</f>
        <v>9</v>
      </c>
      <c r="R10" s="11" t="n">
        <f aca="false">Q10*(1-POWER((1-L10), (K10+1)))/L10</f>
        <v>9</v>
      </c>
      <c r="S10" s="13" t="n">
        <f aca="false">R10/M10</f>
        <v>1.0036857571415</v>
      </c>
    </row>
    <row collapsed="false" customFormat="false" customHeight="false" hidden="false" ht="12.85" outlineLevel="0" r="11">
      <c r="A11" s="0" t="s">
        <v>75</v>
      </c>
      <c r="B11" s="0" t="n">
        <v>36</v>
      </c>
      <c r="C11" s="0" t="n">
        <v>7.6</v>
      </c>
      <c r="D11" s="0" t="n">
        <v>2.62</v>
      </c>
      <c r="E11" s="0" t="n">
        <f aca="false">FLOOR(B11/D11, 1)</f>
        <v>13</v>
      </c>
      <c r="F11" s="0" t="n">
        <v>70</v>
      </c>
      <c r="G11" s="0" t="n">
        <v>360</v>
      </c>
      <c r="H11" s="0" t="n">
        <f aca="false">G11*Settings!$B$5</f>
        <v>19872</v>
      </c>
      <c r="I11" s="11" t="n">
        <f aca="false">POWER(G11,2)*D11/2000</f>
        <v>169.776</v>
      </c>
      <c r="J11" s="11" t="n">
        <f aca="false">G11*D11</f>
        <v>943.2</v>
      </c>
      <c r="K11" s="11" t="n">
        <f aca="false">FLOOR(J11/Settings!$B$4,1)</f>
        <v>0</v>
      </c>
      <c r="L11" s="11" t="n">
        <v>0.8</v>
      </c>
      <c r="M11" s="11" t="n">
        <f aca="false">I11/Settings!$B$1</f>
        <v>8.4888</v>
      </c>
      <c r="N11" s="11" t="n">
        <f aca="false">I11*E11</f>
        <v>2207.088</v>
      </c>
      <c r="O11" s="11" t="n">
        <f aca="false">N11/Settings!$B$1</f>
        <v>110.3544</v>
      </c>
      <c r="P11" s="11" t="n">
        <f aca="false">M11*L11/(1-POWER((1-L11), (K11+1)))</f>
        <v>8.4888</v>
      </c>
      <c r="Q11" s="0" t="n">
        <f aca="false">ROUND(P11,0)</f>
        <v>8</v>
      </c>
      <c r="R11" s="11" t="n">
        <f aca="false">Q11*(1-POWER((1-L11), (K11+1)))/L11</f>
        <v>8</v>
      </c>
      <c r="S11" s="13" t="n">
        <f aca="false">R11/M11</f>
        <v>0.942418245217228</v>
      </c>
    </row>
    <row collapsed="false" customFormat="false" customHeight="false" hidden="false" ht="12.85" outlineLevel="0" r="12">
      <c r="A12" s="0" t="s">
        <v>47</v>
      </c>
      <c r="B12" s="0" t="n">
        <v>53</v>
      </c>
      <c r="C12" s="0" t="n">
        <v>7.6</v>
      </c>
      <c r="D12" s="0" t="n">
        <v>2.62</v>
      </c>
      <c r="E12" s="0" t="n">
        <f aca="false">FLOOR(B12/D12, 1)</f>
        <v>20</v>
      </c>
      <c r="F12" s="0" t="n">
        <v>76</v>
      </c>
      <c r="G12" s="0" t="n">
        <v>350</v>
      </c>
      <c r="H12" s="0" t="n">
        <f aca="false">G12*Settings!$B$5</f>
        <v>19320</v>
      </c>
      <c r="I12" s="11" t="n">
        <f aca="false">POWER(G12,2)*D12/2000</f>
        <v>160.475</v>
      </c>
      <c r="J12" s="11" t="n">
        <f aca="false">G12*D12</f>
        <v>917</v>
      </c>
      <c r="K12" s="11" t="n">
        <f aca="false">FLOOR(J12/Settings!$B$4,1)</f>
        <v>0</v>
      </c>
      <c r="L12" s="11" t="n">
        <v>0.8</v>
      </c>
      <c r="M12" s="11" t="n">
        <f aca="false">I12/Settings!$B$1</f>
        <v>8.02375</v>
      </c>
      <c r="N12" s="11" t="n">
        <f aca="false">I12*E12</f>
        <v>3209.5</v>
      </c>
      <c r="O12" s="11" t="n">
        <f aca="false">N12/Settings!$B$1</f>
        <v>160.475</v>
      </c>
      <c r="P12" s="11" t="n">
        <f aca="false">M12*L12/(1-POWER((1-L12), (K12+1)))</f>
        <v>8.02375</v>
      </c>
      <c r="Q12" s="0" t="n">
        <f aca="false">ROUND(P12,0)</f>
        <v>8</v>
      </c>
      <c r="R12" s="11" t="n">
        <f aca="false">Q12*(1-POWER((1-L12), (K12+1)))/L12</f>
        <v>8</v>
      </c>
      <c r="S12" s="13" t="n">
        <f aca="false">R12/M12</f>
        <v>0.997040037389001</v>
      </c>
    </row>
    <row collapsed="false" customFormat="false" customHeight="false" hidden="false" ht="12.85" outlineLevel="0" r="13">
      <c r="A13" s="0" t="s">
        <v>59</v>
      </c>
      <c r="B13" s="0" t="n">
        <v>32</v>
      </c>
      <c r="C13" s="0" t="n">
        <v>6.1</v>
      </c>
      <c r="D13" s="0" t="n">
        <v>1.34</v>
      </c>
      <c r="E13" s="0" t="n">
        <f aca="false">FLOOR(B13/D13, 1)</f>
        <v>23</v>
      </c>
      <c r="F13" s="0" t="n">
        <v>67.5</v>
      </c>
      <c r="G13" s="0" t="n">
        <v>360</v>
      </c>
      <c r="H13" s="0" t="n">
        <f aca="false">G13*Settings!$B$5</f>
        <v>19872</v>
      </c>
      <c r="I13" s="11" t="n">
        <f aca="false">POWER(G13,2)*D13/2000</f>
        <v>86.832</v>
      </c>
      <c r="J13" s="11" t="n">
        <f aca="false">G13*D13</f>
        <v>482.4</v>
      </c>
      <c r="K13" s="11" t="n">
        <f aca="false">FLOOR(J13/Settings!$B$4,1)</f>
        <v>0</v>
      </c>
      <c r="L13" s="11" t="n">
        <v>0.8</v>
      </c>
      <c r="M13" s="11" t="n">
        <f aca="false">I13/Settings!$B$1</f>
        <v>4.3416</v>
      </c>
      <c r="N13" s="11" t="n">
        <f aca="false">I13*E13</f>
        <v>1997.136</v>
      </c>
      <c r="O13" s="11" t="n">
        <f aca="false">N13/Settings!$B$1</f>
        <v>99.8568</v>
      </c>
      <c r="P13" s="11" t="n">
        <f aca="false">M13*L13/(1-POWER((1-L13), (K13+1)))</f>
        <v>4.3416</v>
      </c>
      <c r="Q13" s="0" t="n">
        <f aca="false">ROUND(P13,0)</f>
        <v>4</v>
      </c>
      <c r="R13" s="11" t="n">
        <f aca="false">Q13*(1-POWER((1-L13), (K13+1)))/L13</f>
        <v>4</v>
      </c>
      <c r="S13" s="13" t="n">
        <f aca="false">R13/M13</f>
        <v>0.921319329279528</v>
      </c>
    </row>
    <row collapsed="false" customFormat="false" customHeight="false" hidden="false" ht="12.85" outlineLevel="0" r="14">
      <c r="A14" s="0" t="s">
        <v>98</v>
      </c>
      <c r="B14" s="0" t="n">
        <v>32</v>
      </c>
      <c r="C14" s="0" t="n">
        <v>6.1</v>
      </c>
      <c r="D14" s="0" t="n">
        <v>1.34</v>
      </c>
      <c r="E14" s="0" t="n">
        <f aca="false">FLOOR(B14/D14, 1)</f>
        <v>23</v>
      </c>
      <c r="F14" s="0" t="n">
        <v>70</v>
      </c>
      <c r="G14" s="0" t="n">
        <v>370</v>
      </c>
      <c r="H14" s="0" t="n">
        <f aca="false">G14*Settings!$B$5</f>
        <v>20424</v>
      </c>
      <c r="I14" s="11" t="n">
        <f aca="false">POWER(G14,2)*D14/2000</f>
        <v>91.723</v>
      </c>
      <c r="J14" s="11" t="n">
        <f aca="false">G14*D14</f>
        <v>495.8</v>
      </c>
      <c r="K14" s="11" t="n">
        <f aca="false">FLOOR(J14/Settings!$B$4,1)</f>
        <v>0</v>
      </c>
      <c r="L14" s="11" t="n">
        <v>0.8</v>
      </c>
      <c r="M14" s="11" t="n">
        <f aca="false">I14/Settings!$B$1</f>
        <v>4.58615</v>
      </c>
      <c r="N14" s="11" t="n">
        <f aca="false">I14*E14</f>
        <v>2109.629</v>
      </c>
      <c r="O14" s="11" t="n">
        <f aca="false">N14/Settings!$B$1</f>
        <v>105.48145</v>
      </c>
      <c r="P14" s="11" t="n">
        <f aca="false">M14*L14/(1-POWER((1-L14), (K14+1)))</f>
        <v>4.58615</v>
      </c>
      <c r="Q14" s="0" t="n">
        <f aca="false">ROUND(P14,0)</f>
        <v>5</v>
      </c>
      <c r="R14" s="11" t="n">
        <f aca="false">Q14*(1-POWER((1-L14), (K14+1)))/L14</f>
        <v>5</v>
      </c>
      <c r="S14" s="13" t="n">
        <f aca="false">R14/M14</f>
        <v>1.09023908943231</v>
      </c>
    </row>
    <row collapsed="false" customFormat="false" customHeight="false" hidden="false" ht="12.85" outlineLevel="0" r="15">
      <c r="A15" s="0" t="s">
        <v>99</v>
      </c>
      <c r="B15" s="0" t="n">
        <v>36</v>
      </c>
      <c r="C15" s="0" t="n">
        <v>6.1</v>
      </c>
      <c r="D15" s="0" t="n">
        <v>1.34</v>
      </c>
      <c r="E15" s="0" t="n">
        <f aca="false">FLOOR(B15/D15, 1)</f>
        <v>26</v>
      </c>
      <c r="F15" s="0" t="n">
        <v>70</v>
      </c>
      <c r="G15" s="0" t="n">
        <v>360</v>
      </c>
      <c r="H15" s="0" t="n">
        <f aca="false">G15*Settings!$B$5</f>
        <v>19872</v>
      </c>
      <c r="I15" s="11" t="n">
        <f aca="false">POWER(G15,2)*D15/2000</f>
        <v>86.832</v>
      </c>
      <c r="J15" s="11" t="n">
        <f aca="false">G15*D15</f>
        <v>482.4</v>
      </c>
      <c r="K15" s="11" t="n">
        <f aca="false">FLOOR(J15/Settings!$B$4,1)</f>
        <v>0</v>
      </c>
      <c r="L15" s="11" t="n">
        <v>0.8</v>
      </c>
      <c r="M15" s="11" t="n">
        <f aca="false">I15/Settings!$B$1</f>
        <v>4.3416</v>
      </c>
      <c r="N15" s="11" t="n">
        <f aca="false">I15*E15</f>
        <v>2257.632</v>
      </c>
      <c r="O15" s="11" t="n">
        <f aca="false">N15/Settings!$B$1</f>
        <v>112.8816</v>
      </c>
      <c r="P15" s="11" t="n">
        <f aca="false">M15*L15/(1-POWER((1-L15), (K15+1)))</f>
        <v>4.3416</v>
      </c>
      <c r="Q15" s="0" t="n">
        <f aca="false">ROUND(P15,0)</f>
        <v>4</v>
      </c>
      <c r="R15" s="11" t="n">
        <f aca="false">Q15*(1-POWER((1-L15), (K15+1)))/L15</f>
        <v>4</v>
      </c>
      <c r="S15" s="13" t="n">
        <f aca="false">R15/M15</f>
        <v>0.921319329279528</v>
      </c>
    </row>
    <row collapsed="false" customFormat="false" customHeight="false" hidden="false" ht="12.85" outlineLevel="0" r="16">
      <c r="A16" s="0" t="s">
        <v>55</v>
      </c>
      <c r="B16" s="0" t="n">
        <v>53</v>
      </c>
      <c r="C16" s="0" t="n">
        <v>6.1</v>
      </c>
      <c r="D16" s="0" t="n">
        <v>1.34</v>
      </c>
      <c r="E16" s="0" t="n">
        <f aca="false">FLOOR(B16/D16, 1)</f>
        <v>39</v>
      </c>
      <c r="F16" s="0" t="n">
        <v>76</v>
      </c>
      <c r="G16" s="0" t="n">
        <v>350</v>
      </c>
      <c r="H16" s="0" t="n">
        <f aca="false">G16*Settings!$B$5</f>
        <v>19320</v>
      </c>
      <c r="I16" s="11" t="n">
        <f aca="false">POWER(G16,2)*D16/2000</f>
        <v>82.075</v>
      </c>
      <c r="J16" s="11" t="n">
        <f aca="false">G16*D16</f>
        <v>469</v>
      </c>
      <c r="K16" s="11" t="n">
        <f aca="false">FLOOR(J16/Settings!$B$4,1)</f>
        <v>0</v>
      </c>
      <c r="L16" s="11" t="n">
        <v>0.8</v>
      </c>
      <c r="M16" s="11" t="n">
        <f aca="false">I16/Settings!$B$1</f>
        <v>4.10375</v>
      </c>
      <c r="N16" s="11" t="n">
        <f aca="false">I16*E16</f>
        <v>3200.925</v>
      </c>
      <c r="O16" s="11" t="n">
        <f aca="false">N16/Settings!$B$1</f>
        <v>160.04625</v>
      </c>
      <c r="P16" s="11" t="n">
        <f aca="false">M16*L16/(1-POWER((1-L16), (K16+1)))</f>
        <v>4.10375</v>
      </c>
      <c r="Q16" s="0" t="n">
        <f aca="false">ROUND(P16,0)</f>
        <v>4</v>
      </c>
      <c r="R16" s="11" t="n">
        <f aca="false">Q16*(1-POWER((1-L16), (K16+1)))/L16</f>
        <v>4</v>
      </c>
      <c r="S16" s="13" t="n">
        <f aca="false">R16/M16</f>
        <v>0.974718245507158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7"/>
  <sheetViews>
    <sheetView colorId="64" defaultGridColor="true" rightToLeft="false" showFormulas="false" showGridLines="true" showOutlineSymbols="true" showRowColHeaders="true" showZeros="true" tabSelected="true" topLeftCell="A1" view="normal" windowProtection="true" workbookViewId="0" zoomScale="100" zoomScaleNormal="100" zoomScalePageLayoutView="100">
      <pane activePane="bottomRight" state="frozen" topLeftCell="E7" xSplit="4" ySplit="6"/>
      <selection activeCell="A1" activeCellId="0" pane="topLeft" sqref="A1"/>
      <selection activeCell="E1" activeCellId="0" pane="topRight" sqref="E1"/>
      <selection activeCell="A7" activeCellId="0" pane="bottomLeft" sqref="A7"/>
      <selection activeCell="O7" activeCellId="0" pane="bottomRight" sqref="O7"/>
    </sheetView>
  </sheetViews>
  <sheetFormatPr defaultRowHeight="12.85"/>
  <cols>
    <col collapsed="false" hidden="false" max="1" min="1" style="0" width="13.265306122449"/>
    <col collapsed="false" hidden="false" max="2" min="2" style="0" width="31.7602040816327"/>
    <col collapsed="false" hidden="false" max="3" min="3" style="0" width="7.07142857142857"/>
    <col collapsed="false" hidden="false" max="5" min="4" style="0" width="9.05102040816327"/>
    <col collapsed="false" hidden="false" max="6" min="6" style="0" width="10.7448979591837"/>
    <col collapsed="false" hidden="false" max="7" min="7" style="0" width="13.1377551020408"/>
    <col collapsed="false" hidden="false" max="8" min="8" style="0" width="11.5918367346939"/>
    <col collapsed="false" hidden="false" max="9" min="9" style="0" width="11.4489795918367"/>
    <col collapsed="false" hidden="false" max="10" min="10" style="0" width="11.5918367346939"/>
    <col collapsed="false" hidden="false" max="11" min="11" style="0" width="7.91836734693878"/>
    <col collapsed="false" hidden="false" max="12" min="12" style="0" width="8.06122448979592"/>
    <col collapsed="false" hidden="false" max="13" min="13" style="0" width="9.05102040816327"/>
    <col collapsed="false" hidden="false" max="14" min="14" style="0" width="10.7448979591837"/>
    <col collapsed="false" hidden="false" max="15" min="15" style="0" width="8.63265306122449"/>
    <col collapsed="false" hidden="false" max="16" min="16" style="0" width="12.5816326530612"/>
    <col collapsed="false" hidden="false" max="17" min="17" style="0" width="13.2857142857143"/>
    <col collapsed="false" hidden="false" max="18" min="18" style="0" width="13.1377551020408"/>
    <col collapsed="false" hidden="false" max="19" min="19" style="0" width="8.35204081632653"/>
    <col collapsed="false" hidden="false" max="20" min="20" style="0" width="6.09183673469388"/>
    <col collapsed="false" hidden="false" max="21" min="21" style="11" width="9.75510204081633"/>
    <col collapsed="false" hidden="false" max="22" min="22" style="11" width="12.8622448979592"/>
    <col collapsed="false" hidden="false" max="23" min="23" style="14" width="8.90816326530612"/>
    <col collapsed="false" hidden="false" max="24" min="24" style="14" width="10.4642857142857"/>
    <col collapsed="false" hidden="false" max="25" min="25" style="14" width="9.75510204081633"/>
    <col collapsed="false" hidden="false" max="26" min="26" style="14" width="9.89795918367347"/>
    <col collapsed="false" hidden="false" max="27" min="27" style="14" width="11.1683673469388"/>
    <col collapsed="false" hidden="false" max="28" min="28" style="0" width="22.0051020408163"/>
    <col collapsed="false" hidden="false" max="1025" min="29" style="0" width="11.5204081632653"/>
  </cols>
  <sheetData>
    <row collapsed="false" customFormat="true" customHeight="false" hidden="false" ht="12.85" outlineLevel="0" r="1" s="1">
      <c r="B1" s="2" t="s">
        <v>100</v>
      </c>
      <c r="C1" s="2" t="n">
        <v>33.75</v>
      </c>
      <c r="U1" s="15"/>
      <c r="V1" s="15"/>
      <c r="W1" s="15"/>
      <c r="X1" s="15"/>
      <c r="Y1" s="15"/>
      <c r="Z1" s="15"/>
      <c r="AA1" s="15"/>
    </row>
    <row collapsed="false" customFormat="true" customHeight="false" hidden="false" ht="12.85" outlineLevel="0" r="2" s="1">
      <c r="B2" s="2" t="s">
        <v>5</v>
      </c>
      <c r="C2" s="2" t="n">
        <v>438.75</v>
      </c>
      <c r="U2" s="15"/>
      <c r="V2" s="15"/>
      <c r="W2" s="15"/>
      <c r="X2" s="15"/>
      <c r="Y2" s="15"/>
      <c r="Z2" s="15"/>
      <c r="AA2" s="15"/>
    </row>
    <row collapsed="false" customFormat="true" customHeight="false" hidden="false" ht="12.85" outlineLevel="0" r="3" s="1">
      <c r="B3" s="2" t="s">
        <v>7</v>
      </c>
      <c r="C3" s="2" t="n">
        <v>310.5</v>
      </c>
      <c r="U3" s="15"/>
      <c r="V3" s="15"/>
      <c r="W3" s="15"/>
      <c r="X3" s="15"/>
      <c r="Y3" s="15"/>
      <c r="Z3" s="15"/>
      <c r="AA3" s="15"/>
    </row>
    <row collapsed="false" customFormat="true" customHeight="false" hidden="false" ht="12.85" outlineLevel="0" r="4" s="1">
      <c r="B4" s="2" t="s">
        <v>101</v>
      </c>
      <c r="C4" s="2" t="n">
        <v>1.82</v>
      </c>
      <c r="U4" s="15"/>
      <c r="V4" s="15"/>
      <c r="W4" s="15"/>
      <c r="X4" s="15"/>
      <c r="Y4" s="15"/>
      <c r="Z4" s="15"/>
      <c r="AA4" s="15"/>
    </row>
    <row collapsed="false" customFormat="true" customHeight="false" hidden="false" ht="12.85" outlineLevel="0" r="5" s="1">
      <c r="U5" s="15"/>
      <c r="V5" s="15"/>
      <c r="W5" s="15"/>
      <c r="X5" s="15"/>
      <c r="Y5" s="15"/>
      <c r="Z5" s="15"/>
      <c r="AA5" s="15"/>
    </row>
    <row collapsed="false" customFormat="true" customHeight="false" hidden="false" ht="12.85" outlineLevel="0" r="6" s="1">
      <c r="A6" s="3" t="s">
        <v>9</v>
      </c>
      <c r="B6" s="3" t="s">
        <v>10</v>
      </c>
      <c r="C6" s="3" t="s">
        <v>11</v>
      </c>
      <c r="D6" s="3" t="s">
        <v>12</v>
      </c>
      <c r="E6" s="4" t="s">
        <v>13</v>
      </c>
      <c r="F6" s="4" t="s">
        <v>16</v>
      </c>
      <c r="G6" s="4" t="s">
        <v>17</v>
      </c>
      <c r="H6" s="4" t="s">
        <v>18</v>
      </c>
      <c r="I6" s="4" t="s">
        <v>19</v>
      </c>
      <c r="J6" s="3" t="s">
        <v>20</v>
      </c>
      <c r="K6" s="4" t="s">
        <v>21</v>
      </c>
      <c r="L6" s="3" t="s">
        <v>24</v>
      </c>
      <c r="M6" s="3" t="s">
        <v>25</v>
      </c>
      <c r="N6" s="3" t="s">
        <v>102</v>
      </c>
      <c r="O6" s="3" t="s">
        <v>26</v>
      </c>
      <c r="P6" s="3" t="s">
        <v>27</v>
      </c>
      <c r="Q6" s="3" t="s">
        <v>28</v>
      </c>
      <c r="R6" s="4" t="s">
        <v>29</v>
      </c>
      <c r="S6" s="3" t="s">
        <v>30</v>
      </c>
      <c r="T6" s="3" t="s">
        <v>31</v>
      </c>
      <c r="U6" s="5" t="s">
        <v>32</v>
      </c>
      <c r="V6" s="5" t="s">
        <v>33</v>
      </c>
      <c r="W6" s="5" t="s">
        <v>34</v>
      </c>
      <c r="X6" s="5" t="s">
        <v>35</v>
      </c>
      <c r="Y6" s="5" t="s">
        <v>36</v>
      </c>
      <c r="Z6" s="5" t="s">
        <v>37</v>
      </c>
      <c r="AA6" s="5" t="s">
        <v>38</v>
      </c>
      <c r="AB6" s="3" t="s">
        <v>39</v>
      </c>
    </row>
    <row collapsed="false" customFormat="false" customHeight="false" hidden="false" ht="12.85" outlineLevel="0" r="7">
      <c r="A7" s="0" t="s">
        <v>103</v>
      </c>
      <c r="B7" s="0" t="s">
        <v>104</v>
      </c>
      <c r="C7" s="1" t="s">
        <v>41</v>
      </c>
      <c r="D7" s="1" t="n">
        <v>1</v>
      </c>
      <c r="E7" s="6" t="n">
        <v>15</v>
      </c>
      <c r="F7" s="0" t="n">
        <v>200</v>
      </c>
      <c r="G7" s="0" t="n">
        <v>150</v>
      </c>
      <c r="H7" s="11" t="n">
        <f aca="false">'Handgun and SMG Ammo'!$F$2</f>
        <v>0.54</v>
      </c>
      <c r="I7" s="11" t="n">
        <f aca="false">E7*H7</f>
        <v>8.1</v>
      </c>
      <c r="J7" s="8" t="n">
        <v>1.15</v>
      </c>
      <c r="K7" s="0" t="n">
        <f aca="false">ROUND(J7*Settings!$B$2, 0)</f>
        <v>1</v>
      </c>
      <c r="L7" s="11" t="n">
        <v>475.26</v>
      </c>
      <c r="M7" s="11" t="n">
        <f aca="false">L7/Settings!$B$1</f>
        <v>23.763</v>
      </c>
      <c r="N7" s="16" t="n">
        <v>2670</v>
      </c>
      <c r="O7" s="0" t="n">
        <f aca="false">FLOOR(N7/Settings!$B$4,1)</f>
        <v>0</v>
      </c>
      <c r="P7" s="0" t="n">
        <v>0.8</v>
      </c>
      <c r="Q7" s="11" t="n">
        <f aca="false">M7*P7/(1-POWER((1-P7), (O7+1)))</f>
        <v>23.763</v>
      </c>
      <c r="R7" s="0" t="n">
        <f aca="false">ROUND(Q7,0)</f>
        <v>24</v>
      </c>
      <c r="S7" s="11" t="n">
        <f aca="false">R7*(1-POWER((1-P7), (O7+1)))/P7</f>
        <v>24</v>
      </c>
      <c r="T7" s="13" t="n">
        <f aca="false">S7/M7</f>
        <v>1.00997348819594</v>
      </c>
      <c r="U7" s="11" t="n">
        <v>1.5</v>
      </c>
      <c r="V7" s="11" t="n">
        <f aca="false">R7*U7</f>
        <v>36</v>
      </c>
      <c r="W7" s="6" t="str">
        <f aca="false">CEILING($C$1/V7,1, )&amp;" ("&amp;ROUND($C$1/V7,2)&amp;")"</f>
        <v>1 (0,94)</v>
      </c>
      <c r="X7" s="6" t="str">
        <f aca="false">CEILING($C$1/(V7*$C$4),1, )&amp;" ("&amp;ROUND($C$1/(V7*$C$4),2)&amp;")"</f>
        <v>1 (0,52)</v>
      </c>
      <c r="Y7" s="6" t="str">
        <f aca="false">CEILING($C$2/(R7*$C$4),1, )&amp;" ("&amp;ROUND($C$3/(R7*$C$4),2)&amp;")"</f>
        <v>11 (7,11)</v>
      </c>
      <c r="Z7" s="6" t="str">
        <f aca="false">CEILING($C$3/V7,1, )&amp;" ("&amp;ROUND($C$3/V7,2)&amp;")"</f>
        <v>9 (8,63)</v>
      </c>
      <c r="AA7" s="6" t="str">
        <f aca="false">CEILING($C$3/(V7*$C$4),1, )&amp;" ("&amp;ROUND($C$3/(V7*$C$4),2)&amp;")"</f>
        <v>5 (4,74)</v>
      </c>
    </row>
    <row collapsed="false" customFormat="false" customHeight="false" hidden="false" ht="12.85" outlineLevel="0" r="8">
      <c r="A8" s="0" t="s">
        <v>105</v>
      </c>
      <c r="B8" s="0" t="s">
        <v>106</v>
      </c>
      <c r="C8" s="1" t="s">
        <v>41</v>
      </c>
      <c r="D8" s="1" t="n">
        <v>2</v>
      </c>
      <c r="E8" s="6" t="n">
        <v>12</v>
      </c>
      <c r="F8" s="0" t="n">
        <v>150</v>
      </c>
      <c r="G8" s="0" t="n">
        <v>300</v>
      </c>
      <c r="H8" s="11" t="n">
        <f aca="false">'Handgun and SMG Ammo'!$F$9</f>
        <v>1.41</v>
      </c>
      <c r="I8" s="11" t="n">
        <f aca="false">E8*H8</f>
        <v>16.92</v>
      </c>
      <c r="J8" s="8" t="n">
        <v>1.47</v>
      </c>
      <c r="K8" s="0" t="n">
        <f aca="false">ROUND(J8*Settings!$B$2, 0)</f>
        <v>2</v>
      </c>
      <c r="L8" s="11" t="n">
        <v>584.08</v>
      </c>
      <c r="M8" s="11" t="n">
        <f aca="false">L8/Settings!$B$1</f>
        <v>29.204</v>
      </c>
      <c r="N8" s="16" t="n">
        <v>4172</v>
      </c>
      <c r="O8" s="0" t="n">
        <v>0</v>
      </c>
      <c r="P8" s="0" t="n">
        <v>0.8</v>
      </c>
      <c r="Q8" s="11" t="n">
        <f aca="false">M8*P8/(1-POWER((1-P8), (O8+1)))</f>
        <v>29.204</v>
      </c>
      <c r="R8" s="0" t="n">
        <f aca="false">ROUND(Q8,0)</f>
        <v>29</v>
      </c>
      <c r="S8" s="11" t="n">
        <f aca="false">R8*(1-POWER((1-P8), (O8+1)))/P8</f>
        <v>29</v>
      </c>
      <c r="T8" s="13" t="n">
        <f aca="false">S8/M8</f>
        <v>0.99301465552664</v>
      </c>
      <c r="U8" s="11" t="n">
        <v>1.5</v>
      </c>
      <c r="V8" s="11" t="n">
        <f aca="false">R8*U8</f>
        <v>43.5</v>
      </c>
      <c r="W8" s="6" t="str">
        <f aca="false">CEILING($C$1/V8,1, )&amp;" ("&amp;ROUND($C$1/V8,2)&amp;")"</f>
        <v>1 (0,78)</v>
      </c>
      <c r="X8" s="6" t="str">
        <f aca="false">CEILING($C$1/(V8*$C$4),1, )&amp;" ("&amp;ROUND($C$1/(V8*$C$4),2)&amp;")"</f>
        <v>1 (0,43)</v>
      </c>
      <c r="Y8" s="6" t="str">
        <f aca="false">CEILING($C$2/(R8*$C$4),1, )&amp;" ("&amp;ROUND($C$3/(R8*$C$4),2)&amp;")"</f>
        <v>9 (5,88)</v>
      </c>
      <c r="Z8" s="6" t="str">
        <f aca="false">CEILING($C$3/V8,1, )&amp;" ("&amp;ROUND($C$3/V8,2)&amp;")"</f>
        <v>8 (7,14)</v>
      </c>
      <c r="AA8" s="6" t="str">
        <f aca="false">CEILING($C$3/(V8*$C$4),1, )&amp;" ("&amp;ROUND($C$3/(V8*$C$4),2)&amp;")"</f>
        <v>4 (3,92)</v>
      </c>
      <c r="AB8" s="0" t="s">
        <v>107</v>
      </c>
    </row>
    <row collapsed="false" customFormat="false" customHeight="false" hidden="false" ht="12.85" outlineLevel="0" r="9">
      <c r="A9" s="0" t="s">
        <v>108</v>
      </c>
      <c r="B9" s="0" t="s">
        <v>109</v>
      </c>
      <c r="C9" s="1" t="s">
        <v>41</v>
      </c>
      <c r="D9" s="1" t="n">
        <v>3</v>
      </c>
      <c r="E9" s="6" t="n">
        <v>6</v>
      </c>
      <c r="F9" s="0" t="n">
        <v>120</v>
      </c>
      <c r="G9" s="0" t="n">
        <v>450</v>
      </c>
      <c r="H9" s="11" t="n">
        <f aca="false">'Handgun and SMG Ammo'!$F$5</f>
        <v>2.22</v>
      </c>
      <c r="I9" s="11" t="n">
        <f aca="false">E9*H9</f>
        <v>13.32</v>
      </c>
      <c r="J9" s="8" t="n">
        <v>1.52</v>
      </c>
      <c r="K9" s="0" t="n">
        <f aca="false">ROUND(J9*Settings!$B$2, 0)</f>
        <v>2</v>
      </c>
      <c r="L9" s="11" t="n">
        <v>1209.19375</v>
      </c>
      <c r="M9" s="11" t="n">
        <f aca="false">L9/Settings!$B$1</f>
        <v>60.4596875</v>
      </c>
      <c r="N9" s="16" t="n">
        <v>6142.25</v>
      </c>
      <c r="O9" s="0" t="n">
        <f aca="false">FLOOR(N9/Settings!$B$4,1)</f>
        <v>1</v>
      </c>
      <c r="P9" s="0" t="n">
        <v>0.8</v>
      </c>
      <c r="Q9" s="11" t="n">
        <f aca="false">M9*P9/(1-POWER((1-P9), (O9+1)))</f>
        <v>50.3830729166667</v>
      </c>
      <c r="R9" s="0" t="n">
        <f aca="false">ROUND(Q9,0)</f>
        <v>50</v>
      </c>
      <c r="S9" s="11" t="n">
        <f aca="false">R9*(1-POWER((1-P9), (O9+1)))/P9</f>
        <v>60</v>
      </c>
      <c r="T9" s="13" t="n">
        <f aca="false">S9/M9</f>
        <v>0.992396793317861</v>
      </c>
      <c r="U9" s="11" t="n">
        <v>1.5</v>
      </c>
      <c r="V9" s="11" t="n">
        <f aca="false">R9*U9</f>
        <v>75</v>
      </c>
      <c r="W9" s="6" t="str">
        <f aca="false">CEILING($C$1/V9,1, )&amp;" ("&amp;ROUND($C$1/V9,2)&amp;")"</f>
        <v>1 (0,45)</v>
      </c>
      <c r="X9" s="6" t="str">
        <f aca="false">CEILING($C$1/(V9*$C$4),1, )&amp;" ("&amp;ROUND($C$1/(V9*$C$4),2)&amp;")"</f>
        <v>1 (0,25)</v>
      </c>
      <c r="Y9" s="6" t="str">
        <f aca="false">CEILING($C$2/(R9*$C$4),1, )&amp;" ("&amp;ROUND($C$3/(R9*$C$4),2)&amp;")"</f>
        <v>5 (3,41)</v>
      </c>
      <c r="Z9" s="6" t="str">
        <f aca="false">CEILING($C$3/V9,1, )&amp;" ("&amp;ROUND($C$3/V9,2)&amp;")"</f>
        <v>5 (4,14)</v>
      </c>
      <c r="AA9" s="6" t="str">
        <f aca="false">CEILING($C$3/(V9*$C$4),1, )&amp;" ("&amp;ROUND($C$3/(V9*$C$4),2)&amp;")"</f>
        <v>3 (2,27)</v>
      </c>
      <c r="AB9" s="0" t="s">
        <v>110</v>
      </c>
    </row>
    <row collapsed="false" customFormat="false" customHeight="false" hidden="false" ht="12.85" outlineLevel="0" r="10">
      <c r="A10" s="0" t="s">
        <v>111</v>
      </c>
      <c r="B10" s="0" t="s">
        <v>112</v>
      </c>
      <c r="C10" s="1" t="s">
        <v>41</v>
      </c>
      <c r="D10" s="1" t="n">
        <v>3</v>
      </c>
      <c r="E10" s="6" t="n">
        <v>7</v>
      </c>
      <c r="F10" s="0" t="n">
        <v>100</v>
      </c>
      <c r="G10" s="0" t="n">
        <v>500</v>
      </c>
      <c r="H10" s="11" t="n">
        <f aca="false">'Handgun and SMG Ammo'!F10</f>
        <v>5.15</v>
      </c>
      <c r="I10" s="11" t="n">
        <f aca="false">E10*H10</f>
        <v>36.05</v>
      </c>
      <c r="J10" s="8" t="n">
        <v>2.23</v>
      </c>
      <c r="K10" s="0" t="n">
        <f aca="false">ROUND(J10*Settings!$B$2, 0)</f>
        <v>2</v>
      </c>
      <c r="L10" s="11" t="n">
        <v>1680</v>
      </c>
      <c r="M10" s="11" t="n">
        <f aca="false">L10/Settings!$B$1</f>
        <v>84</v>
      </c>
      <c r="N10" s="16" t="n">
        <v>8400</v>
      </c>
      <c r="O10" s="0" t="n">
        <f aca="false">FLOOR(N10/Settings!$B$4,1)</f>
        <v>2</v>
      </c>
      <c r="P10" s="0" t="n">
        <v>0.8</v>
      </c>
      <c r="Q10" s="11" t="n">
        <f aca="false">M10*P10/(1-POWER((1-P10), (O10+1)))</f>
        <v>67.741935483871</v>
      </c>
      <c r="R10" s="0" t="n">
        <f aca="false">ROUND(Q10,0)</f>
        <v>68</v>
      </c>
      <c r="S10" s="11" t="n">
        <f aca="false">R10*(1-POWER((1-P10), (O10+1)))/P10</f>
        <v>84.32</v>
      </c>
      <c r="T10" s="13" t="n">
        <f aca="false">S10/M10</f>
        <v>1.00380952380952</v>
      </c>
      <c r="U10" s="11" t="n">
        <v>1.5</v>
      </c>
      <c r="V10" s="11" t="n">
        <f aca="false">R10*U10</f>
        <v>102</v>
      </c>
      <c r="W10" s="6" t="str">
        <f aca="false">CEILING($C$1/V10,1, )&amp;" ("&amp;ROUND($C$1/V10,2)&amp;")"</f>
        <v>1 (0,33)</v>
      </c>
      <c r="X10" s="6" t="str">
        <f aca="false">CEILING($C$1/(V10*$C$4),1, )&amp;" ("&amp;ROUND($C$1/(V10*$C$4),2)&amp;")"</f>
        <v>1 (0,18)</v>
      </c>
      <c r="Y10" s="6" t="str">
        <f aca="false">CEILING($C$2/(R10*$C$4),1, )&amp;" ("&amp;ROUND($C$3/(R10*$C$4),2)&amp;")"</f>
        <v>4 (2,51)</v>
      </c>
      <c r="Z10" s="6" t="str">
        <f aca="false">CEILING($C$3/V10,1, )&amp;" ("&amp;ROUND($C$3/V10,2)&amp;")"</f>
        <v>4 (3,04)</v>
      </c>
      <c r="AA10" s="6" t="str">
        <f aca="false">CEILING($C$3/(V10*$C$4),1, )&amp;" ("&amp;ROUND($C$3/(V10*$C$4),2)&amp;")"</f>
        <v>2 (1,67)</v>
      </c>
    </row>
    <row collapsed="false" customFormat="false" customHeight="false" hidden="false" ht="12.85" outlineLevel="0" r="11">
      <c r="A11" s="0" t="s">
        <v>113</v>
      </c>
      <c r="B11" s="0" t="s">
        <v>113</v>
      </c>
      <c r="C11" s="1" t="s">
        <v>114</v>
      </c>
      <c r="D11" s="1"/>
      <c r="E11" s="6" t="n">
        <v>16</v>
      </c>
      <c r="F11" s="0" t="n">
        <v>200</v>
      </c>
      <c r="H11" s="11" t="n">
        <f aca="false">'Handgun and SMG Ammo'!F2</f>
        <v>0.54</v>
      </c>
      <c r="I11" s="11" t="n">
        <f aca="false">E11*H11</f>
        <v>8.64</v>
      </c>
      <c r="J11" s="8" t="n">
        <v>1.3</v>
      </c>
      <c r="K11" s="0" t="n">
        <f aca="false">ROUND(J11*Settings!$B$2, 0)</f>
        <v>1</v>
      </c>
      <c r="L11" s="11" t="n">
        <v>464.64</v>
      </c>
      <c r="M11" s="11" t="n">
        <f aca="false">L11/Settings!$B$1</f>
        <v>23.232</v>
      </c>
      <c r="N11" s="16" t="n">
        <v>2640</v>
      </c>
      <c r="O11" s="0" t="n">
        <f aca="false">FLOOR(N11/Settings!$B$4,1)</f>
        <v>0</v>
      </c>
      <c r="P11" s="0" t="n">
        <v>0.8</v>
      </c>
      <c r="Q11" s="11" t="n">
        <f aca="false">M11*P11/(1-POWER((1-P11), (O11+1)))</f>
        <v>23.232</v>
      </c>
      <c r="R11" s="0" t="n">
        <f aca="false">ROUND(Q11,0)</f>
        <v>23</v>
      </c>
      <c r="S11" s="11" t="n">
        <f aca="false">R11*(1-POWER((1-P11), (O11+1)))/P11</f>
        <v>23</v>
      </c>
      <c r="T11" s="13" t="n">
        <f aca="false">S11/M11</f>
        <v>0.990013774104683</v>
      </c>
      <c r="U11" s="11" t="n">
        <v>1.5</v>
      </c>
      <c r="V11" s="11" t="n">
        <f aca="false">R11*U11</f>
        <v>34.5</v>
      </c>
      <c r="W11" s="6" t="str">
        <f aca="false">CEILING($C$1/V11,1, )&amp;" ("&amp;ROUND($C$1/V11,2)&amp;")"</f>
        <v>1 (0,98)</v>
      </c>
      <c r="X11" s="6" t="str">
        <f aca="false">CEILING($C$1/(V11*$C$4),1, )&amp;" ("&amp;ROUND($C$1/(V11*$C$4),2)&amp;")"</f>
        <v>1 (0,54)</v>
      </c>
      <c r="Y11" s="6" t="str">
        <f aca="false">CEILING($C$2/(R11*$C$4),1, )&amp;" ("&amp;ROUND($C$3/(R11*$C$4),2)&amp;")"</f>
        <v>11 (7,42)</v>
      </c>
      <c r="Z11" s="6" t="str">
        <f aca="false">CEILING($C$3/V11,1, )&amp;" ("&amp;ROUND($C$3/V11,2)&amp;")"</f>
        <v>9 (9)</v>
      </c>
      <c r="AA11" s="6" t="str">
        <f aca="false">CEILING($C$3/(V11*$C$4),1, )&amp;" ("&amp;ROUND($C$3/(V11*$C$4),2)&amp;")"</f>
        <v>5 (4,95)</v>
      </c>
      <c r="AB11" s="0" t="s">
        <v>115</v>
      </c>
    </row>
    <row collapsed="false" customFormat="false" customHeight="false" hidden="false" ht="12.85" outlineLevel="0" r="12">
      <c r="A12" s="0" t="s">
        <v>116</v>
      </c>
      <c r="B12" s="0" t="s">
        <v>117</v>
      </c>
      <c r="C12" s="1" t="s">
        <v>41</v>
      </c>
      <c r="D12" s="1" t="n">
        <v>2</v>
      </c>
      <c r="E12" s="6" t="n">
        <v>20</v>
      </c>
      <c r="F12" s="0" t="n">
        <v>300</v>
      </c>
      <c r="G12" s="0" t="n">
        <v>300</v>
      </c>
      <c r="H12" s="11" t="n">
        <f aca="false">'Handgun and SMG Ammo'!$F$12</f>
        <v>0.85</v>
      </c>
      <c r="I12" s="11" t="n">
        <f aca="false">E12*H12</f>
        <v>17</v>
      </c>
      <c r="J12" s="8" t="n">
        <v>0.74</v>
      </c>
      <c r="K12" s="0" t="n">
        <f aca="false">ROUND(J12*Settings!$B$2, 0)</f>
        <v>1</v>
      </c>
      <c r="L12" s="11" t="n">
        <v>422.5</v>
      </c>
      <c r="M12" s="11" t="n">
        <f aca="false">L12/Settings!$B$1</f>
        <v>21.125</v>
      </c>
      <c r="N12" s="16" t="n">
        <v>1300</v>
      </c>
      <c r="O12" s="0" t="n">
        <f aca="false">FLOOR(N12/Settings!$B$4,1)</f>
        <v>0</v>
      </c>
      <c r="P12" s="0" t="n">
        <v>0.8</v>
      </c>
      <c r="Q12" s="11" t="n">
        <f aca="false">M12*P12/(1-POWER((1-P12), (O12+1)))</f>
        <v>21.125</v>
      </c>
      <c r="R12" s="0" t="n">
        <f aca="false">ROUND(Q12,0)</f>
        <v>21</v>
      </c>
      <c r="S12" s="11" t="n">
        <f aca="false">R12*(1-POWER((1-P12), (O12+1)))/P12</f>
        <v>21</v>
      </c>
      <c r="T12" s="13" t="n">
        <f aca="false">S12/M12</f>
        <v>0.994082840236686</v>
      </c>
      <c r="U12" s="11" t="n">
        <v>1.5</v>
      </c>
      <c r="V12" s="11" t="n">
        <f aca="false">R12*U12</f>
        <v>31.5</v>
      </c>
      <c r="W12" s="6" t="str">
        <f aca="false">CEILING($C$1/V12,1, )&amp;" ("&amp;ROUND($C$1/V12,2)&amp;")"</f>
        <v>2 (1,07)</v>
      </c>
      <c r="X12" s="6" t="str">
        <f aca="false">CEILING($C$1/(V12*$C$4),1, )&amp;" ("&amp;ROUND($C$1/(V12*$C$4),2)&amp;")"</f>
        <v>1 (0,59)</v>
      </c>
      <c r="Y12" s="6" t="str">
        <f aca="false">CEILING($C$2/(R12*$C$4),1, )&amp;" ("&amp;ROUND($C$3/(R12*$C$4),2)&amp;")"</f>
        <v>12 (8,12)</v>
      </c>
      <c r="Z12" s="6" t="str">
        <f aca="false">CEILING($C$3/V12,1, )&amp;" ("&amp;ROUND($C$3/V12,2)&amp;")"</f>
        <v>10 (9,86)</v>
      </c>
      <c r="AA12" s="6" t="str">
        <f aca="false">CEILING($C$3/(V12*$C$4),1, )&amp;" ("&amp;ROUND($C$3/(V12*$C$4),2)&amp;")"</f>
        <v>6 (5,42)</v>
      </c>
    </row>
    <row collapsed="false" customFormat="false" customHeight="false" hidden="false" ht="12.85" outlineLevel="0" r="13">
      <c r="A13" s="0" t="s">
        <v>118</v>
      </c>
      <c r="B13" s="0" t="s">
        <v>119</v>
      </c>
      <c r="C13" s="1" t="s">
        <v>114</v>
      </c>
      <c r="D13" s="1"/>
      <c r="E13" s="6" t="n">
        <v>13</v>
      </c>
      <c r="F13" s="0" t="n">
        <v>200</v>
      </c>
      <c r="H13" s="11" t="n">
        <f aca="false">'Handgun and SMG Ammo'!F2</f>
        <v>0.54</v>
      </c>
      <c r="I13" s="11" t="n">
        <f aca="false">E13*H13</f>
        <v>7.02</v>
      </c>
      <c r="J13" s="8" t="n">
        <v>1.19</v>
      </c>
      <c r="K13" s="0" t="n">
        <f aca="false">ROUND(J13*Settings!$B$2, 0)</f>
        <v>1</v>
      </c>
      <c r="L13" s="11" t="n">
        <v>459.375</v>
      </c>
      <c r="M13" s="11" t="n">
        <f aca="false">L13/Settings!$B$1</f>
        <v>22.96875</v>
      </c>
      <c r="N13" s="16" t="n">
        <v>2625</v>
      </c>
      <c r="O13" s="0" t="n">
        <f aca="false">FLOOR(N13/Settings!$B$4,1)</f>
        <v>0</v>
      </c>
      <c r="P13" s="0" t="n">
        <v>0.8</v>
      </c>
      <c r="Q13" s="11" t="n">
        <f aca="false">M13*P13/(1-POWER((1-P13), (O13+1)))</f>
        <v>22.96875</v>
      </c>
      <c r="R13" s="0" t="n">
        <f aca="false">ROUND(Q13,0)</f>
        <v>23</v>
      </c>
      <c r="S13" s="11" t="n">
        <f aca="false">R13*(1-POWER((1-P13), (O13+1)))/P13</f>
        <v>23</v>
      </c>
      <c r="T13" s="13" t="n">
        <f aca="false">S13/M13</f>
        <v>1.00136054421769</v>
      </c>
      <c r="U13" s="11" t="n">
        <v>1.5</v>
      </c>
      <c r="V13" s="11" t="n">
        <f aca="false">R13*U13</f>
        <v>34.5</v>
      </c>
      <c r="W13" s="6" t="str">
        <f aca="false">CEILING($C$1/V13,1, )&amp;" ("&amp;ROUND($C$1/V13,2)&amp;")"</f>
        <v>1 (0,98)</v>
      </c>
      <c r="X13" s="6" t="str">
        <f aca="false">CEILING($C$1/(V13*$C$4),1, )&amp;" ("&amp;ROUND($C$1/(V13*$C$4),2)&amp;")"</f>
        <v>1 (0,54)</v>
      </c>
      <c r="Y13" s="6" t="str">
        <f aca="false">CEILING($C$2/(R13*$C$4),1, )&amp;" ("&amp;ROUND($C$3/(R13*$C$4),2)&amp;")"</f>
        <v>11 (7,42)</v>
      </c>
      <c r="Z13" s="6" t="str">
        <f aca="false">CEILING($C$3/V13,1, )&amp;" ("&amp;ROUND($C$3/V13,2)&amp;")"</f>
        <v>9 (9)</v>
      </c>
      <c r="AA13" s="6" t="str">
        <f aca="false">CEILING($C$3/(V13*$C$4),1, )&amp;" ("&amp;ROUND($C$3/(V13*$C$4),2)&amp;")"</f>
        <v>5 (4,95)</v>
      </c>
    </row>
    <row collapsed="false" customFormat="false" customHeight="false" hidden="false" ht="12.85" outlineLevel="0" r="14">
      <c r="A14" s="0" t="s">
        <v>120</v>
      </c>
      <c r="B14" s="0" t="s">
        <v>120</v>
      </c>
      <c r="C14" s="1" t="s">
        <v>114</v>
      </c>
      <c r="D14" s="1" t="n">
        <v>1</v>
      </c>
      <c r="E14" s="6" t="n">
        <v>7</v>
      </c>
      <c r="F14" s="0" t="n">
        <v>150</v>
      </c>
      <c r="H14" s="11" t="n">
        <f aca="false">'Handgun and SMG Ammo'!F9</f>
        <v>1.41</v>
      </c>
      <c r="I14" s="11" t="n">
        <f aca="false">E14*H14</f>
        <v>9.87</v>
      </c>
      <c r="J14" s="8" t="n">
        <v>1.246</v>
      </c>
      <c r="K14" s="0" t="n">
        <f aca="false">ROUND(J14*Settings!$B$2, 0)</f>
        <v>1</v>
      </c>
      <c r="L14" s="11" t="n">
        <v>543.105</v>
      </c>
      <c r="M14" s="11" t="n">
        <f aca="false">L14/Settings!$B$1</f>
        <v>27.15525</v>
      </c>
      <c r="N14" s="16" t="n">
        <v>4023</v>
      </c>
      <c r="O14" s="0" t="n">
        <f aca="false">FLOOR(N14/Settings!$B$4,1)</f>
        <v>1</v>
      </c>
      <c r="P14" s="0" t="n">
        <v>0.8</v>
      </c>
      <c r="Q14" s="11" t="n">
        <f aca="false">M14*P14/(1-POWER((1-P14), (O14+1)))</f>
        <v>22.629375</v>
      </c>
      <c r="R14" s="0" t="n">
        <f aca="false">ROUND(Q14,0)</f>
        <v>23</v>
      </c>
      <c r="S14" s="11" t="n">
        <f aca="false">R14*(1-POWER((1-P14), (O14+1)))/P14</f>
        <v>27.6</v>
      </c>
      <c r="T14" s="13" t="n">
        <f aca="false">S14/M14</f>
        <v>1.01637804844367</v>
      </c>
      <c r="U14" s="11" t="n">
        <v>1.5</v>
      </c>
      <c r="V14" s="11" t="n">
        <f aca="false">R14*U14</f>
        <v>34.5</v>
      </c>
      <c r="W14" s="6" t="str">
        <f aca="false">CEILING($C$1/V14,1, )&amp;" ("&amp;ROUND($C$1/V14,2)&amp;")"</f>
        <v>1 (0,98)</v>
      </c>
      <c r="X14" s="6" t="str">
        <f aca="false">CEILING($C$1/(V14*$C$4),1, )&amp;" ("&amp;ROUND($C$1/(V14*$C$4),2)&amp;")"</f>
        <v>1 (0,54)</v>
      </c>
      <c r="Y14" s="6" t="str">
        <f aca="false">CEILING($C$2/(R14*$C$4),1, )&amp;" ("&amp;ROUND($C$3/(R14*$C$4),2)&amp;")"</f>
        <v>11 (7,42)</v>
      </c>
      <c r="Z14" s="6" t="str">
        <f aca="false">CEILING($C$3/V14,1, )&amp;" ("&amp;ROUND($C$3/V14,2)&amp;")"</f>
        <v>9 (9)</v>
      </c>
      <c r="AA14" s="6" t="str">
        <f aca="false">CEILING($C$3/(V14*$C$4),1, )&amp;" ("&amp;ROUND($C$3/(V14*$C$4),2)&amp;")"</f>
        <v>5 (4,95)</v>
      </c>
      <c r="AB14" s="0" t="s">
        <v>121</v>
      </c>
    </row>
    <row collapsed="false" customFormat="false" customHeight="false" hidden="false" ht="12.85" outlineLevel="0" r="15">
      <c r="A15" s="0" t="s">
        <v>122</v>
      </c>
      <c r="B15" s="0" t="s">
        <v>123</v>
      </c>
      <c r="C15" s="1" t="s">
        <v>41</v>
      </c>
      <c r="D15" s="1" t="n">
        <v>2</v>
      </c>
      <c r="E15" s="6" t="n">
        <v>6</v>
      </c>
      <c r="F15" s="0" t="n">
        <v>150</v>
      </c>
      <c r="G15" s="0" t="n">
        <v>400</v>
      </c>
      <c r="H15" s="11" t="n">
        <f aca="false">'Handgun and SMG Ammo'!F7</f>
        <v>1.19</v>
      </c>
      <c r="I15" s="11" t="n">
        <f aca="false">E15*H15</f>
        <v>7.14</v>
      </c>
      <c r="J15" s="8" t="n">
        <v>1.345</v>
      </c>
      <c r="K15" s="0" t="n">
        <f aca="false">ROUND(J15*Settings!$B$2, 0)</f>
        <v>1</v>
      </c>
      <c r="L15" s="11" t="n">
        <v>836.482</v>
      </c>
      <c r="M15" s="11" t="n">
        <f aca="false">L15/Settings!$B$1</f>
        <v>41.8241</v>
      </c>
      <c r="N15" s="16" t="n">
        <v>4141</v>
      </c>
      <c r="O15" s="0" t="n">
        <f aca="false">FLOOR(N15/Settings!$B$4,1)</f>
        <v>1</v>
      </c>
      <c r="P15" s="0" t="n">
        <v>0.8</v>
      </c>
      <c r="Q15" s="11" t="n">
        <f aca="false">M15*P15/(1-POWER((1-P15), (O15+1)))</f>
        <v>34.8534166666667</v>
      </c>
      <c r="R15" s="0" t="n">
        <f aca="false">ROUND(Q15,0)</f>
        <v>35</v>
      </c>
      <c r="S15" s="11" t="n">
        <f aca="false">R15*(1-POWER((1-P15), (O15+1)))/P15</f>
        <v>42</v>
      </c>
      <c r="T15" s="13" t="n">
        <f aca="false">S15/M15</f>
        <v>1.00420570914855</v>
      </c>
      <c r="U15" s="11" t="n">
        <v>1.5</v>
      </c>
      <c r="V15" s="11" t="n">
        <f aca="false">R15*U15</f>
        <v>52.5</v>
      </c>
      <c r="W15" s="6" t="str">
        <f aca="false">CEILING($C$1/V15,1, )&amp;" ("&amp;ROUND($C$1/V15,2)&amp;")"</f>
        <v>1 (0,64)</v>
      </c>
      <c r="X15" s="6" t="str">
        <f aca="false">CEILING($C$1/(V15*$C$4),1, )&amp;" ("&amp;ROUND($C$1/(V15*$C$4),2)&amp;")"</f>
        <v>1 (0,35)</v>
      </c>
      <c r="Y15" s="6" t="str">
        <f aca="false">CEILING($C$2/(R15*$C$4),1, )&amp;" ("&amp;ROUND($C$3/(R15*$C$4),2)&amp;")"</f>
        <v>7 (4,87)</v>
      </c>
      <c r="Z15" s="6" t="str">
        <f aca="false">CEILING($C$3/V15,1, )&amp;" ("&amp;ROUND($C$3/V15,2)&amp;")"</f>
        <v>6 (5,91)</v>
      </c>
      <c r="AA15" s="6" t="str">
        <f aca="false">CEILING($C$3/(V15*$C$4),1, )&amp;" ("&amp;ROUND($C$3/(V15*$C$4),2)&amp;")"</f>
        <v>4 (3,25)</v>
      </c>
    </row>
    <row collapsed="false" customFormat="false" customHeight="false" hidden="false" ht="12.85" outlineLevel="0" r="16">
      <c r="A16" s="0" t="s">
        <v>124</v>
      </c>
      <c r="B16" s="0" t="s">
        <v>125</v>
      </c>
      <c r="C16" s="1" t="s">
        <v>41</v>
      </c>
      <c r="D16" s="1" t="n">
        <v>1</v>
      </c>
      <c r="E16" s="6" t="n">
        <v>8</v>
      </c>
      <c r="F16" s="0" t="n">
        <v>200</v>
      </c>
      <c r="H16" s="11" t="n">
        <f aca="false">'Handgun and SMG Ammo'!$F$6</f>
        <v>0.59</v>
      </c>
      <c r="I16" s="11" t="n">
        <f aca="false">E16*H16</f>
        <v>4.72</v>
      </c>
      <c r="J16" s="8" t="n">
        <v>0.83</v>
      </c>
      <c r="K16" s="0" t="n">
        <f aca="false">ROUND(J16*Settings!$B$2, 0)</f>
        <v>1</v>
      </c>
      <c r="L16" s="11" t="n">
        <v>305.116875</v>
      </c>
      <c r="M16" s="11" t="n">
        <f aca="false">L16/Settings!$B$1</f>
        <v>15.25584375</v>
      </c>
      <c r="N16" s="16" t="n">
        <v>1937.25</v>
      </c>
      <c r="O16" s="0" t="n">
        <f aca="false">FLOOR(N16/Settings!$B$4,1)</f>
        <v>0</v>
      </c>
      <c r="P16" s="0" t="n">
        <v>0.8</v>
      </c>
      <c r="Q16" s="11" t="n">
        <f aca="false">M16*P16/(1-POWER((1-P16), (O16+1)))</f>
        <v>15.25584375</v>
      </c>
      <c r="R16" s="0" t="n">
        <f aca="false">ROUND(Q16,0)</f>
        <v>15</v>
      </c>
      <c r="S16" s="11" t="n">
        <f aca="false">R16*(1-POWER((1-P16), (O16+1)))/P16</f>
        <v>15</v>
      </c>
      <c r="T16" s="13" t="n">
        <f aca="false">S16/M16</f>
        <v>0.983229786946395</v>
      </c>
      <c r="U16" s="11" t="n">
        <v>1.5</v>
      </c>
      <c r="V16" s="11" t="n">
        <f aca="false">R16*U16</f>
        <v>22.5</v>
      </c>
      <c r="W16" s="6" t="str">
        <f aca="false">CEILING($C$1/V16,1, )&amp;" ("&amp;ROUND($C$1/V16,2)&amp;")"</f>
        <v>2 (1,5)</v>
      </c>
      <c r="X16" s="6" t="str">
        <f aca="false">CEILING($C$1/(V16*$C$4),1, )&amp;" ("&amp;ROUND($C$1/(V16*$C$4),2)&amp;")"</f>
        <v>1 (0,82)</v>
      </c>
      <c r="Y16" s="6" t="str">
        <f aca="false">CEILING($C$2/(R16*$C$4),1, )&amp;" ("&amp;ROUND($C$3/(R16*$C$4),2)&amp;")"</f>
        <v>17 (11,37)</v>
      </c>
      <c r="Z16" s="6" t="str">
        <f aca="false">CEILING($C$3/V16,1, )&amp;" ("&amp;ROUND($C$3/V16,2)&amp;")"</f>
        <v>14 (13,8)</v>
      </c>
      <c r="AA16" s="6" t="str">
        <f aca="false">CEILING($C$3/(V16*$C$4),1, )&amp;" ("&amp;ROUND($C$3/(V16*$C$4),2)&amp;")"</f>
        <v>8 (7,58)</v>
      </c>
    </row>
    <row collapsed="false" customFormat="false" customHeight="false" hidden="false" ht="12.85" outlineLevel="0" r="17">
      <c r="A17" s="0" t="s">
        <v>126</v>
      </c>
      <c r="B17" s="0" t="s">
        <v>127</v>
      </c>
      <c r="C17" s="1" t="s">
        <v>128</v>
      </c>
      <c r="D17" s="1" t="n">
        <v>3</v>
      </c>
      <c r="E17" s="6" t="n">
        <v>1</v>
      </c>
      <c r="F17" s="0" t="n">
        <v>50</v>
      </c>
      <c r="H17" s="11" t="n">
        <f aca="false">'Handgun and SMG Ammo'!F13</f>
        <v>1.88</v>
      </c>
      <c r="I17" s="11" t="n">
        <f aca="false">E17*H17</f>
        <v>1.88</v>
      </c>
      <c r="J17" s="8" t="n">
        <v>1.53</v>
      </c>
      <c r="K17" s="0" t="n">
        <f aca="false">ROUND(J17*Settings!$B$2, 0)</f>
        <v>2</v>
      </c>
      <c r="L17" s="11" t="n">
        <v>2177.165</v>
      </c>
      <c r="M17" s="11" t="n">
        <f aca="false">L17/Settings!$B$1</f>
        <v>108.85825</v>
      </c>
      <c r="N17" s="16" t="n">
        <v>6499</v>
      </c>
      <c r="O17" s="0" t="n">
        <f aca="false">FLOOR(N17/Settings!$B$4,1)</f>
        <v>1</v>
      </c>
      <c r="P17" s="0" t="n">
        <v>0.7</v>
      </c>
      <c r="Q17" s="11" t="n">
        <f aca="false">M17*P17/(1-POWER((1-P17), (O17+1)))</f>
        <v>83.7371153846154</v>
      </c>
      <c r="R17" s="0" t="n">
        <f aca="false">ROUND(Q17,0)</f>
        <v>84</v>
      </c>
      <c r="S17" s="11" t="n">
        <f aca="false">R17*(1-POWER((1-P17), (O17+1)))/P17</f>
        <v>109.2</v>
      </c>
      <c r="T17" s="13" t="n">
        <f aca="false">S17/M17</f>
        <v>1.00313940376591</v>
      </c>
      <c r="U17" s="11" t="n">
        <v>2</v>
      </c>
      <c r="V17" s="11" t="n">
        <f aca="false">R17*U17</f>
        <v>168</v>
      </c>
      <c r="W17" s="6" t="str">
        <f aca="false">CEILING($C$1/V17,1, )&amp;" ("&amp;ROUND($C$1/V17,2)&amp;")"</f>
        <v>1 (0,2)</v>
      </c>
      <c r="X17" s="6" t="str">
        <f aca="false">CEILING($C$1/(V17*$C$4),1, )&amp;" ("&amp;ROUND($C$1/(V17*$C$4),2)&amp;")"</f>
        <v>1 (0,11)</v>
      </c>
      <c r="Y17" s="6" t="str">
        <f aca="false">CEILING($C$2/(R17*$C$4),1, )&amp;" ("&amp;ROUND($C$3/(R17*$C$4),2)&amp;")"</f>
        <v>3 (2,03)</v>
      </c>
      <c r="Z17" s="6" t="str">
        <f aca="false">CEILING($C$3/V17,1, )&amp;" ("&amp;ROUND($C$3/V17,2)&amp;")"</f>
        <v>2 (1,85)</v>
      </c>
      <c r="AA17" s="6" t="str">
        <f aca="false">CEILING($C$3/(V17*$C$4),1, )&amp;" ("&amp;ROUND($C$3/(V17*$C$4),2)&amp;")"</f>
        <v>2 (1,02)</v>
      </c>
      <c r="AB17" s="0" t="s">
        <v>129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bottomRight" state="frozen" topLeftCell="E7" xSplit="4" ySplit="6"/>
      <selection activeCell="A1" activeCellId="0" pane="topLeft" sqref="A1"/>
      <selection activeCell="E1" activeCellId="0" pane="topRight" sqref="E1"/>
      <selection activeCell="A7" activeCellId="0" pane="bottomLeft" sqref="A7"/>
      <selection activeCell="AE7" activeCellId="0" pane="bottomRight" sqref="AE7"/>
    </sheetView>
  </sheetViews>
  <sheetFormatPr defaultRowHeight="12.85"/>
  <cols>
    <col collapsed="false" hidden="false" max="1" min="1" style="0" width="13.265306122449"/>
    <col collapsed="false" hidden="false" max="2" min="2" style="0" width="29.219387755102"/>
    <col collapsed="false" hidden="false" max="3" min="3" style="0" width="6.93877551020408"/>
    <col collapsed="false" hidden="false" max="5" min="4" style="0" width="9.47448979591837"/>
    <col collapsed="false" hidden="false" max="6" min="6" style="0" width="11.5918367346939"/>
    <col collapsed="false" hidden="false" max="7" min="7" style="0" width="11.4489795918367"/>
    <col collapsed="false" hidden="false" max="8" min="8" style="0" width="8.48469387755102"/>
    <col collapsed="false" hidden="false" max="9" min="9" style="0" width="13.1377551020408"/>
    <col collapsed="false" hidden="false" max="10" min="10" style="0" width="11.4489795918367"/>
    <col collapsed="false" hidden="false" max="11" min="11" style="0" width="9.47448979591837"/>
    <col collapsed="false" hidden="false" max="12" min="12" style="0" width="11.5918367346939"/>
    <col collapsed="false" hidden="false" max="13" min="13" style="0" width="7.91836734693878"/>
    <col collapsed="false" hidden="false" max="14" min="14" style="0" width="7.36224489795918"/>
    <col collapsed="false" hidden="false" max="15" min="15" style="0" width="9.05102040816327"/>
    <col collapsed="false" hidden="false" max="16" min="16" style="0" width="10.7448979591837"/>
    <col collapsed="false" hidden="false" max="17" min="17" style="0" width="8.63265306122449"/>
    <col collapsed="false" hidden="false" max="18" min="18" style="0" width="12.5816326530612"/>
    <col collapsed="false" hidden="false" max="19" min="19" style="0" width="13.2857142857143"/>
    <col collapsed="false" hidden="false" max="20" min="20" style="0" width="13.984693877551"/>
    <col collapsed="false" hidden="false" max="21" min="21" style="0" width="8.35204081632653"/>
    <col collapsed="false" hidden="false" max="22" min="22" style="0" width="5.80612244897959"/>
    <col collapsed="false" hidden="false" max="23" min="23" style="0" width="9.75510204081633"/>
    <col collapsed="false" hidden="false" max="24" min="24" style="0" width="12.8622448979592"/>
    <col collapsed="false" hidden="false" max="25" min="25" style="0" width="8.90816326530612"/>
    <col collapsed="false" hidden="false" max="27" min="26" style="0" width="10.3214285714286"/>
    <col collapsed="false" hidden="false" max="28" min="28" style="0" width="7.36224489795918"/>
    <col collapsed="false" hidden="false" max="29" min="29" style="0" width="9.47448979591837"/>
    <col collapsed="false" hidden="false" max="30" min="30" style="0" width="9.62244897959184"/>
    <col collapsed="false" hidden="false" max="1025" min="31" style="0" width="11.5204081632653"/>
  </cols>
  <sheetData>
    <row collapsed="false" customFormat="true" customHeight="false" hidden="false" ht="12.85" outlineLevel="0" r="1" s="1">
      <c r="B1" s="2" t="s">
        <v>5</v>
      </c>
      <c r="C1" s="2" t="n">
        <v>438.75</v>
      </c>
      <c r="W1" s="15"/>
      <c r="X1" s="15"/>
      <c r="Y1" s="15"/>
      <c r="Z1" s="15"/>
      <c r="AA1" s="15"/>
      <c r="AB1" s="15"/>
      <c r="AC1" s="15"/>
      <c r="AD1" s="15"/>
      <c r="AMF1" s="0"/>
      <c r="AMG1" s="0"/>
      <c r="AMH1" s="0"/>
      <c r="AMI1" s="0"/>
      <c r="AMJ1" s="0"/>
    </row>
    <row collapsed="false" customFormat="true" customHeight="false" hidden="false" ht="12.85" outlineLevel="0" r="2" s="1">
      <c r="B2" s="2" t="s">
        <v>6</v>
      </c>
      <c r="C2" s="2" t="n">
        <v>972</v>
      </c>
      <c r="W2" s="15"/>
      <c r="X2" s="15"/>
      <c r="Y2" s="15"/>
      <c r="Z2" s="15"/>
      <c r="AA2" s="15"/>
      <c r="AB2" s="15"/>
      <c r="AC2" s="15"/>
      <c r="AD2" s="15"/>
      <c r="AMF2" s="0"/>
      <c r="AMG2" s="0"/>
      <c r="AMH2" s="0"/>
      <c r="AMI2" s="0"/>
      <c r="AMJ2" s="0"/>
    </row>
    <row collapsed="false" customFormat="true" customHeight="false" hidden="false" ht="12.85" outlineLevel="0" r="3" s="1">
      <c r="B3" s="2" t="s">
        <v>7</v>
      </c>
      <c r="C3" s="2" t="n">
        <v>310.5</v>
      </c>
      <c r="W3" s="15"/>
      <c r="X3" s="15"/>
      <c r="Y3" s="15"/>
      <c r="Z3" s="15"/>
      <c r="AA3" s="15"/>
      <c r="AB3" s="15"/>
      <c r="AC3" s="15"/>
      <c r="AD3" s="15"/>
      <c r="AMF3" s="0"/>
      <c r="AMG3" s="0"/>
      <c r="AMH3" s="0"/>
      <c r="AMI3" s="0"/>
      <c r="AMJ3" s="0"/>
    </row>
    <row collapsed="false" customFormat="true" customHeight="false" hidden="false" ht="12.85" outlineLevel="0" r="4" s="1">
      <c r="B4" s="2" t="s">
        <v>8</v>
      </c>
      <c r="C4" s="2" t="n">
        <v>1.4</v>
      </c>
      <c r="W4" s="15"/>
      <c r="X4" s="15"/>
      <c r="Y4" s="15"/>
      <c r="Z4" s="15"/>
      <c r="AA4" s="15"/>
      <c r="AB4" s="15"/>
      <c r="AC4" s="15"/>
      <c r="AD4" s="15"/>
      <c r="AMF4" s="0"/>
      <c r="AMG4" s="0"/>
      <c r="AMH4" s="0"/>
      <c r="AMI4" s="0"/>
      <c r="AMJ4" s="0"/>
    </row>
    <row collapsed="false" customFormat="true" customHeight="false" hidden="false" ht="12.85" outlineLevel="0" r="5" s="1">
      <c r="W5" s="15"/>
      <c r="X5" s="15"/>
      <c r="Y5" s="15"/>
      <c r="Z5" s="15"/>
      <c r="AA5" s="15"/>
      <c r="AB5" s="15"/>
      <c r="AC5" s="15"/>
      <c r="AD5" s="15"/>
      <c r="AMF5" s="0"/>
      <c r="AMG5" s="0"/>
      <c r="AMH5" s="0"/>
      <c r="AMI5" s="0"/>
      <c r="AMJ5" s="0"/>
    </row>
    <row collapsed="false" customFormat="true" customHeight="false" hidden="false" ht="12.85" outlineLevel="0" r="6" s="1">
      <c r="A6" s="3" t="s">
        <v>9</v>
      </c>
      <c r="B6" s="3" t="s">
        <v>10</v>
      </c>
      <c r="C6" s="3" t="s">
        <v>11</v>
      </c>
      <c r="D6" s="3" t="s">
        <v>12</v>
      </c>
      <c r="E6" s="4" t="s">
        <v>13</v>
      </c>
      <c r="F6" s="4" t="s">
        <v>16</v>
      </c>
      <c r="G6" s="4" t="s">
        <v>14</v>
      </c>
      <c r="H6" s="3" t="s">
        <v>130</v>
      </c>
      <c r="I6" s="4" t="s">
        <v>17</v>
      </c>
      <c r="J6" s="4" t="s">
        <v>18</v>
      </c>
      <c r="K6" s="4" t="s">
        <v>131</v>
      </c>
      <c r="L6" s="3" t="s">
        <v>20</v>
      </c>
      <c r="M6" s="4" t="s">
        <v>21</v>
      </c>
      <c r="N6" s="3" t="s">
        <v>24</v>
      </c>
      <c r="O6" s="3" t="s">
        <v>25</v>
      </c>
      <c r="P6" s="3" t="s">
        <v>102</v>
      </c>
      <c r="Q6" s="3" t="s">
        <v>26</v>
      </c>
      <c r="R6" s="3" t="s">
        <v>27</v>
      </c>
      <c r="S6" s="3" t="s">
        <v>28</v>
      </c>
      <c r="T6" s="4" t="s">
        <v>29</v>
      </c>
      <c r="U6" s="3" t="s">
        <v>30</v>
      </c>
      <c r="V6" s="3" t="s">
        <v>31</v>
      </c>
      <c r="W6" s="5" t="s">
        <v>32</v>
      </c>
      <c r="X6" s="5" t="s">
        <v>33</v>
      </c>
      <c r="Y6" s="5" t="s">
        <v>36</v>
      </c>
      <c r="Z6" s="5" t="s">
        <v>132</v>
      </c>
      <c r="AA6" s="5" t="s">
        <v>133</v>
      </c>
      <c r="AB6" s="5" t="s">
        <v>134</v>
      </c>
      <c r="AC6" s="5" t="s">
        <v>135</v>
      </c>
      <c r="AD6" s="5" t="s">
        <v>136</v>
      </c>
      <c r="AE6" s="3" t="s">
        <v>39</v>
      </c>
      <c r="AMF6" s="0"/>
      <c r="AMG6" s="0"/>
      <c r="AMH6" s="0"/>
      <c r="AMI6" s="0"/>
      <c r="AMJ6" s="0"/>
    </row>
    <row collapsed="false" customFormat="false" customHeight="false" hidden="false" ht="12.85" outlineLevel="0" r="7">
      <c r="A7" s="0" t="s">
        <v>137</v>
      </c>
      <c r="B7" s="0" t="s">
        <v>138</v>
      </c>
      <c r="C7" s="1" t="s">
        <v>41</v>
      </c>
      <c r="D7" s="1" t="n">
        <v>2</v>
      </c>
      <c r="E7" s="6" t="n">
        <v>30</v>
      </c>
      <c r="F7" s="0" t="n">
        <v>300</v>
      </c>
      <c r="G7" s="0" t="n">
        <v>700</v>
      </c>
      <c r="H7" s="17" t="n">
        <f aca="false">60/G7</f>
        <v>0.0857142857142857</v>
      </c>
      <c r="I7" s="0" t="n">
        <v>900</v>
      </c>
      <c r="J7" s="11" t="n">
        <f aca="false">'Handgun and SMG Ammo'!$F$9</f>
        <v>1.41</v>
      </c>
      <c r="K7" s="11" t="n">
        <f aca="false">E7*J7</f>
        <v>42.3</v>
      </c>
      <c r="L7" s="13" t="n">
        <v>5.6</v>
      </c>
      <c r="M7" s="0" t="n">
        <f aca="false">ROUND(L7*Settings!$B$2, 0)</f>
        <v>6</v>
      </c>
      <c r="N7" s="11" t="n">
        <v>670.5</v>
      </c>
      <c r="O7" s="11" t="n">
        <f aca="false">N7/Settings!$B$1</f>
        <v>33.525</v>
      </c>
      <c r="P7" s="16" t="n">
        <v>4470</v>
      </c>
      <c r="Q7" s="0" t="n">
        <f aca="false">FLOOR(P7/Settings!$B$4,1)</f>
        <v>1</v>
      </c>
      <c r="R7" s="0" t="n">
        <v>0.8</v>
      </c>
      <c r="S7" s="11" t="n">
        <f aca="false">O7*R7/(1-POWER((1-R7), (Q7+1)))</f>
        <v>27.9375</v>
      </c>
      <c r="T7" s="0" t="n">
        <f aca="false">ROUND(S7,0)</f>
        <v>28</v>
      </c>
      <c r="U7" s="11" t="n">
        <f aca="false">T7*(1-POWER((1-R7), (Q7+1)))/R7</f>
        <v>33.6</v>
      </c>
      <c r="V7" s="13" t="n">
        <f aca="false">U7/O7</f>
        <v>1.00223713646532</v>
      </c>
      <c r="W7" s="11" t="n">
        <v>1.5</v>
      </c>
      <c r="X7" s="11" t="n">
        <f aca="false">T7*W7</f>
        <v>42</v>
      </c>
      <c r="Y7" s="6" t="str">
        <f aca="false">CEILING($C$1/(U7*$C$4),1, )&amp;" ("&amp;ROUND($C$1/(U7*$C$4),2)&amp;")"</f>
        <v>10 (9,33)</v>
      </c>
      <c r="Z7" s="6" t="str">
        <f aca="false">CEILING($C$2/(U7*$C$4),1, )&amp;" ("&amp;ROUND($C$2/(U7*$C$4),2)&amp;")"</f>
        <v>21 (20,66)</v>
      </c>
      <c r="AA7" s="6" t="str">
        <f aca="false">CEILING($C$3/(X7*$C$4),1, )&amp;" ("&amp;ROUND($C$3/(X7*$C$4),2)&amp;")"</f>
        <v>6 (5,28)</v>
      </c>
      <c r="AB7" s="18" t="n">
        <f aca="false">T7*G7/60</f>
        <v>326.666666666667</v>
      </c>
      <c r="AC7" s="18" t="n">
        <f aca="false">E7*T7</f>
        <v>840</v>
      </c>
      <c r="AD7" s="18" t="n">
        <f aca="false">E7*60/G7</f>
        <v>2.57142857142857</v>
      </c>
    </row>
    <row collapsed="false" customFormat="false" customHeight="false" hidden="false" ht="12.85" outlineLevel="0" r="8">
      <c r="A8" s="0" t="s">
        <v>139</v>
      </c>
      <c r="B8" s="0" t="s">
        <v>140</v>
      </c>
      <c r="C8" s="1" t="s">
        <v>41</v>
      </c>
      <c r="D8" s="1" t="n">
        <v>3</v>
      </c>
      <c r="E8" s="6" t="n">
        <v>50</v>
      </c>
      <c r="F8" s="0" t="n">
        <v>300</v>
      </c>
      <c r="G8" s="0" t="n">
        <v>1100</v>
      </c>
      <c r="H8" s="17" t="n">
        <f aca="false">60/G8</f>
        <v>0.0545454545454545</v>
      </c>
      <c r="I8" s="0" t="n">
        <v>1450</v>
      </c>
      <c r="J8" s="11" t="n">
        <f aca="false">'Handgun and SMG Ammo'!$F$9</f>
        <v>1.41</v>
      </c>
      <c r="K8" s="11" t="n">
        <f aca="false">E8*J8</f>
        <v>70.5</v>
      </c>
      <c r="L8" s="13" t="n">
        <v>7.05</v>
      </c>
      <c r="M8" s="0" t="n">
        <f aca="false">ROUND(L8*Settings!$B$2, 0)</f>
        <v>7</v>
      </c>
      <c r="N8" s="11" t="n">
        <v>670.5</v>
      </c>
      <c r="O8" s="11" t="n">
        <f aca="false">N8/Settings!$B$1</f>
        <v>33.525</v>
      </c>
      <c r="P8" s="16" t="n">
        <v>4470</v>
      </c>
      <c r="Q8" s="0" t="n">
        <f aca="false">FLOOR(P8/Settings!$B$4,1)</f>
        <v>1</v>
      </c>
      <c r="R8" s="0" t="n">
        <v>0.8</v>
      </c>
      <c r="S8" s="11" t="n">
        <f aca="false">O8*R8/(1-POWER((1-R8), (Q8+1)))</f>
        <v>27.9375</v>
      </c>
      <c r="T8" s="0" t="n">
        <f aca="false">ROUND(S8,0)</f>
        <v>28</v>
      </c>
      <c r="U8" s="11" t="n">
        <f aca="false">T8*(1-POWER((1-R8), (Q8+1)))/R8</f>
        <v>33.6</v>
      </c>
      <c r="V8" s="13" t="n">
        <f aca="false">U8/O8</f>
        <v>1.00223713646532</v>
      </c>
      <c r="W8" s="11" t="n">
        <v>1.5</v>
      </c>
      <c r="X8" s="11" t="n">
        <f aca="false">T8*W8</f>
        <v>42</v>
      </c>
      <c r="Y8" s="6" t="str">
        <f aca="false">CEILING($C$1/(U8*$C$4),1, )&amp;" ("&amp;ROUND($C$1/(U8*$C$4),2)&amp;")"</f>
        <v>10 (9,33)</v>
      </c>
      <c r="Z8" s="6" t="str">
        <f aca="false">CEILING($C$2/(U8*$C$4),1, )&amp;" ("&amp;ROUND($C$2/(U8*$C$4),2)&amp;")"</f>
        <v>21 (20,66)</v>
      </c>
      <c r="AA8" s="6" t="str">
        <f aca="false">CEILING($C$3/(X8*$C$4),1, )&amp;" ("&amp;ROUND($C$3/(X8*$C$4),2)&amp;")"</f>
        <v>6 (5,28)</v>
      </c>
      <c r="AB8" s="18" t="n">
        <f aca="false">T8*G8/60</f>
        <v>513.333333333333</v>
      </c>
      <c r="AC8" s="18" t="n">
        <f aca="false">E8*T8</f>
        <v>1400</v>
      </c>
      <c r="AD8" s="18" t="n">
        <f aca="false">E8*60/G8</f>
        <v>2.72727272727273</v>
      </c>
    </row>
    <row collapsed="false" customFormat="false" customHeight="false" hidden="false" ht="12.85" outlineLevel="0" r="9">
      <c r="A9" s="0" t="s">
        <v>141</v>
      </c>
      <c r="B9" s="0" t="s">
        <v>141</v>
      </c>
      <c r="C9" s="1" t="s">
        <v>74</v>
      </c>
      <c r="D9" s="1" t="n">
        <v>1</v>
      </c>
      <c r="E9" s="6" t="n">
        <v>30</v>
      </c>
      <c r="F9" s="0" t="n">
        <v>300</v>
      </c>
      <c r="G9" s="0" t="n">
        <v>1145</v>
      </c>
      <c r="H9" s="17" t="n">
        <f aca="false">60/G9</f>
        <v>0.0524017467248908</v>
      </c>
      <c r="I9" s="0" t="n">
        <v>500</v>
      </c>
      <c r="J9" s="11" t="n">
        <f aca="false">'Handgun and SMG Ammo'!$F$9</f>
        <v>1.41</v>
      </c>
      <c r="K9" s="11" t="n">
        <f aca="false">E9*J9</f>
        <v>42.3</v>
      </c>
      <c r="L9" s="13" t="n">
        <v>4.2</v>
      </c>
      <c r="M9" s="0" t="n">
        <f aca="false">ROUND(L9*Settings!$B$2, 0)</f>
        <v>4</v>
      </c>
      <c r="N9" s="11" t="n">
        <v>543.105</v>
      </c>
      <c r="O9" s="11" t="n">
        <f aca="false">N9/Settings!$B$1</f>
        <v>27.15525</v>
      </c>
      <c r="P9" s="16" t="n">
        <v>4023</v>
      </c>
      <c r="Q9" s="0" t="n">
        <f aca="false">FLOOR(P9/Settings!$B$4,1)</f>
        <v>1</v>
      </c>
      <c r="R9" s="0" t="n">
        <v>0.8</v>
      </c>
      <c r="S9" s="11" t="n">
        <f aca="false">O9*R9/(1-POWER((1-R9), (Q9+1)))</f>
        <v>22.629375</v>
      </c>
      <c r="T9" s="0" t="n">
        <f aca="false">ROUND(S9,0)</f>
        <v>23</v>
      </c>
      <c r="U9" s="11" t="n">
        <f aca="false">T9*(1-POWER((1-R9), (Q9+1)))/R9</f>
        <v>27.6</v>
      </c>
      <c r="V9" s="13" t="n">
        <f aca="false">U9/O9</f>
        <v>1.01637804844367</v>
      </c>
      <c r="W9" s="11" t="n">
        <v>1.5</v>
      </c>
      <c r="X9" s="11" t="n">
        <f aca="false">T9*W9</f>
        <v>34.5</v>
      </c>
      <c r="Y9" s="6" t="str">
        <f aca="false">CEILING($C$1/(U9*$C$4),1, )&amp;" ("&amp;ROUND($C$1/(U9*$C$4),2)&amp;")"</f>
        <v>12 (11,35)</v>
      </c>
      <c r="Z9" s="6" t="str">
        <f aca="false">CEILING($C$2/(U9*$C$4),1, )&amp;" ("&amp;ROUND($C$2/(U9*$C$4),2)&amp;")"</f>
        <v>26 (25,16)</v>
      </c>
      <c r="AA9" s="6" t="str">
        <f aca="false">CEILING($C$3/(X9*$C$4),1, )&amp;" ("&amp;ROUND($C$3/(X9*$C$4),2)&amp;")"</f>
        <v>7 (6,43)</v>
      </c>
      <c r="AB9" s="18" t="n">
        <f aca="false">T9*G9/60</f>
        <v>438.916666666667</v>
      </c>
      <c r="AC9" s="18" t="n">
        <f aca="false">E9*T9</f>
        <v>690</v>
      </c>
      <c r="AD9" s="18" t="n">
        <f aca="false">E9*60/G9</f>
        <v>1.57205240174672</v>
      </c>
    </row>
    <row collapsed="false" customFormat="false" customHeight="false" hidden="false" ht="12.85" outlineLevel="0" r="10">
      <c r="A10" s="0" t="s">
        <v>142</v>
      </c>
      <c r="B10" s="0" t="s">
        <v>143</v>
      </c>
      <c r="C10" s="1" t="s">
        <v>41</v>
      </c>
      <c r="D10" s="1" t="n">
        <v>1</v>
      </c>
      <c r="E10" s="6" t="n">
        <v>20</v>
      </c>
      <c r="F10" s="0" t="n">
        <v>400</v>
      </c>
      <c r="G10" s="0" t="n">
        <v>950</v>
      </c>
      <c r="H10" s="17" t="n">
        <f aca="false">60/G10</f>
        <v>0.0631578947368421</v>
      </c>
      <c r="I10" s="0" t="n">
        <v>525</v>
      </c>
      <c r="J10" s="11" t="n">
        <f aca="false">'Handgun and SMG Ammo'!$F$2</f>
        <v>0.54</v>
      </c>
      <c r="K10" s="11" t="n">
        <f aca="false">E10*J10</f>
        <v>10.8</v>
      </c>
      <c r="L10" s="13" t="n">
        <v>2.25</v>
      </c>
      <c r="M10" s="0" t="n">
        <f aca="false">ROUND(L10*Settings!$B$2, 0)</f>
        <v>2</v>
      </c>
      <c r="N10" s="11" t="n">
        <v>486</v>
      </c>
      <c r="O10" s="11" t="n">
        <f aca="false">N10/Settings!$B$1</f>
        <v>24.3</v>
      </c>
      <c r="P10" s="16" t="n">
        <v>1620</v>
      </c>
      <c r="Q10" s="0" t="n">
        <f aca="false">FLOOR(P10/Settings!$B$4,1)</f>
        <v>0</v>
      </c>
      <c r="R10" s="0" t="n">
        <v>0.8</v>
      </c>
      <c r="S10" s="11" t="n">
        <f aca="false">O10*R10/(1-POWER((1-R10), (Q10+1)))</f>
        <v>24.3</v>
      </c>
      <c r="T10" s="0" t="n">
        <f aca="false">ROUND(S10,0)</f>
        <v>24</v>
      </c>
      <c r="U10" s="11" t="n">
        <f aca="false">T10*(1-POWER((1-R10), (Q10+1)))/R10</f>
        <v>24</v>
      </c>
      <c r="V10" s="13" t="n">
        <f aca="false">U10/O10</f>
        <v>0.987654320987654</v>
      </c>
      <c r="W10" s="11" t="n">
        <v>1.5</v>
      </c>
      <c r="X10" s="11" t="n">
        <f aca="false">T10*W10</f>
        <v>36</v>
      </c>
      <c r="Y10" s="6" t="str">
        <f aca="false">CEILING($C$1/(U10*$C$4),1, )&amp;" ("&amp;ROUND($C$1/(U10*$C$4),2)&amp;")"</f>
        <v>14 (13,06)</v>
      </c>
      <c r="Z10" s="6" t="str">
        <f aca="false">CEILING($C$2/(U10*$C$4),1, )&amp;" ("&amp;ROUND($C$2/(U10*$C$4),2)&amp;")"</f>
        <v>29 (28,93)</v>
      </c>
      <c r="AA10" s="6" t="str">
        <f aca="false">CEILING($C$3/(X10*$C$4),1, )&amp;" ("&amp;ROUND($C$3/(X10*$C$4),2)&amp;")"</f>
        <v>7 (6,16)</v>
      </c>
      <c r="AB10" s="18" t="n">
        <f aca="false">T10*G10/60</f>
        <v>380</v>
      </c>
      <c r="AC10" s="18" t="n">
        <f aca="false">E10*T10</f>
        <v>480</v>
      </c>
      <c r="AD10" s="18" t="n">
        <f aca="false">E10*60/G10</f>
        <v>1.26315789473684</v>
      </c>
      <c r="AE10" s="0" t="s">
        <v>144</v>
      </c>
    </row>
    <row collapsed="false" customFormat="false" customHeight="false" hidden="false" ht="12.85" outlineLevel="0" r="11">
      <c r="A11" s="0" t="s">
        <v>145</v>
      </c>
      <c r="B11" s="0" t="s">
        <v>146</v>
      </c>
      <c r="C11" s="1" t="s">
        <v>41</v>
      </c>
      <c r="D11" s="1" t="n">
        <v>3</v>
      </c>
      <c r="E11" s="6" t="n">
        <v>30</v>
      </c>
      <c r="F11" s="0" t="n">
        <v>400</v>
      </c>
      <c r="G11" s="0" t="n">
        <v>800</v>
      </c>
      <c r="H11" s="17" t="n">
        <f aca="false">60/G11</f>
        <v>0.075</v>
      </c>
      <c r="I11" s="0" t="n">
        <v>1075</v>
      </c>
      <c r="J11" s="11" t="n">
        <f aca="false">'Handgun and SMG Ammo'!$F$2</f>
        <v>0.54</v>
      </c>
      <c r="K11" s="11" t="n">
        <f aca="false">E11*J11</f>
        <v>16.2</v>
      </c>
      <c r="L11" s="13" t="n">
        <v>3.43</v>
      </c>
      <c r="M11" s="0" t="n">
        <f aca="false">ROUND(L11*Settings!$B$2, 0)</f>
        <v>4</v>
      </c>
      <c r="N11" s="11" t="n">
        <v>630.375</v>
      </c>
      <c r="O11" s="11" t="n">
        <f aca="false">N11/Settings!$B$1</f>
        <v>31.51875</v>
      </c>
      <c r="P11" s="16" t="n">
        <v>3075</v>
      </c>
      <c r="Q11" s="0" t="n">
        <f aca="false">FLOOR(P11/Settings!$B$4,1)</f>
        <v>0</v>
      </c>
      <c r="R11" s="0" t="n">
        <v>0.8</v>
      </c>
      <c r="S11" s="11" t="n">
        <f aca="false">O11*R11/(1-POWER((1-R11), (Q11+1)))</f>
        <v>31.51875</v>
      </c>
      <c r="T11" s="0" t="n">
        <f aca="false">ROUND(S11,0)</f>
        <v>32</v>
      </c>
      <c r="U11" s="11" t="n">
        <f aca="false">T11*(1-POWER((1-R11), (Q11+1)))/R11</f>
        <v>32</v>
      </c>
      <c r="V11" s="13" t="n">
        <f aca="false">U11/O11</f>
        <v>1.01526868927226</v>
      </c>
      <c r="W11" s="11" t="n">
        <v>1.5</v>
      </c>
      <c r="X11" s="11" t="n">
        <f aca="false">T11*W11</f>
        <v>48</v>
      </c>
      <c r="Y11" s="6" t="str">
        <f aca="false">CEILING($C$1/(U11*$C$4),1, )&amp;" ("&amp;ROUND($C$1/(U11*$C$4),2)&amp;")"</f>
        <v>10 (9,79)</v>
      </c>
      <c r="Z11" s="6" t="str">
        <f aca="false">CEILING($C$2/(U11*$C$4),1, )&amp;" ("&amp;ROUND($C$2/(U11*$C$4),2)&amp;")"</f>
        <v>22 (21,7)</v>
      </c>
      <c r="AA11" s="6" t="str">
        <f aca="false">CEILING($C$3/(X11*$C$4),1, )&amp;" ("&amp;ROUND($C$3/(X11*$C$4),2)&amp;")"</f>
        <v>5 (4,62)</v>
      </c>
      <c r="AB11" s="18" t="n">
        <f aca="false">T11*G11/60</f>
        <v>426.666666666667</v>
      </c>
      <c r="AC11" s="18" t="n">
        <f aca="false">E11*T11</f>
        <v>960</v>
      </c>
      <c r="AD11" s="18" t="n">
        <f aca="false">E11*60/G11</f>
        <v>2.25</v>
      </c>
      <c r="AE11" s="0" t="s">
        <v>147</v>
      </c>
    </row>
    <row collapsed="false" customFormat="false" customHeight="false" hidden="false" ht="12.85" outlineLevel="0" r="12">
      <c r="A12" s="0" t="s">
        <v>148</v>
      </c>
      <c r="B12" s="0" t="s">
        <v>149</v>
      </c>
      <c r="C12" s="1" t="s">
        <v>114</v>
      </c>
      <c r="D12" s="1"/>
      <c r="E12" s="6" t="n">
        <v>30</v>
      </c>
      <c r="F12" s="0" t="n">
        <v>300</v>
      </c>
      <c r="G12" s="0" t="n">
        <v>800</v>
      </c>
      <c r="H12" s="17" t="n">
        <f aca="false">60/G12</f>
        <v>0.075</v>
      </c>
      <c r="I12" s="0" t="n">
        <v>9999</v>
      </c>
      <c r="J12" s="11" t="n">
        <f aca="false">'Handgun and SMG Ammo'!$F$2</f>
        <v>0.54</v>
      </c>
      <c r="K12" s="11" t="n">
        <f aca="false">E12*J12</f>
        <v>16.2</v>
      </c>
      <c r="L12" s="13" t="n">
        <v>3.935</v>
      </c>
      <c r="M12" s="0" t="n">
        <f aca="false">ROUND(L12*Settings!$B$2, 0)</f>
        <v>4</v>
      </c>
      <c r="N12" s="11" t="n">
        <v>451.17125</v>
      </c>
      <c r="O12" s="11" t="n">
        <f aca="false">N12/Settings!$B$1</f>
        <v>22.5585625</v>
      </c>
      <c r="P12" s="16" t="n">
        <v>2958.5</v>
      </c>
      <c r="Q12" s="0" t="n">
        <f aca="false">FLOOR(P12/Settings!$B$4,1)</f>
        <v>0</v>
      </c>
      <c r="R12" s="0" t="n">
        <v>0.8</v>
      </c>
      <c r="S12" s="11" t="n">
        <f aca="false">O12*R12/(1-POWER((1-R12), (Q12+1)))</f>
        <v>22.5585625</v>
      </c>
      <c r="T12" s="0" t="n">
        <f aca="false">ROUND(S12,0)</f>
        <v>23</v>
      </c>
      <c r="U12" s="11" t="n">
        <f aca="false">T12*(1-POWER((1-R12), (Q12+1)))/R12</f>
        <v>23</v>
      </c>
      <c r="V12" s="13" t="n">
        <f aca="false">U12/O12</f>
        <v>1.01956851195638</v>
      </c>
      <c r="W12" s="11" t="n">
        <v>1.5</v>
      </c>
      <c r="X12" s="11" t="n">
        <f aca="false">T12*W12</f>
        <v>34.5</v>
      </c>
      <c r="Y12" s="6" t="str">
        <f aca="false">CEILING($C$1/(U12*$C$4),1, )&amp;" ("&amp;ROUND($C$1/(U12*$C$4),2)&amp;")"</f>
        <v>14 (13,63)</v>
      </c>
      <c r="Z12" s="6" t="str">
        <f aca="false">CEILING($C$2/(U12*$C$4),1, )&amp;" ("&amp;ROUND($C$2/(U12*$C$4),2)&amp;")"</f>
        <v>31 (30,19)</v>
      </c>
      <c r="AA12" s="6" t="str">
        <f aca="false">CEILING($C$3/(X12*$C$4),1, )&amp;" ("&amp;ROUND($C$3/(X12*$C$4),2)&amp;")"</f>
        <v>7 (6,43)</v>
      </c>
      <c r="AB12" s="18" t="n">
        <f aca="false">T12*G12/60</f>
        <v>306.666666666667</v>
      </c>
      <c r="AC12" s="18" t="n">
        <f aca="false">E12*T12</f>
        <v>690</v>
      </c>
      <c r="AD12" s="18" t="n">
        <f aca="false">E12*60/G12</f>
        <v>2.25</v>
      </c>
      <c r="AE12" s="0" t="s">
        <v>150</v>
      </c>
    </row>
    <row collapsed="false" customFormat="false" customHeight="false" hidden="false" ht="12.85" outlineLevel="0" r="13">
      <c r="A13" s="0" t="s">
        <v>151</v>
      </c>
      <c r="B13" s="0" t="s">
        <v>152</v>
      </c>
      <c r="C13" s="1" t="s">
        <v>74</v>
      </c>
      <c r="D13" s="1" t="n">
        <v>1</v>
      </c>
      <c r="E13" s="6" t="n">
        <v>15</v>
      </c>
      <c r="F13" s="0" t="n">
        <v>400</v>
      </c>
      <c r="G13" s="0" t="n">
        <v>900</v>
      </c>
      <c r="H13" s="17" t="n">
        <f aca="false">60/G13</f>
        <v>0.0666666666666667</v>
      </c>
      <c r="I13" s="0" t="n">
        <v>450</v>
      </c>
      <c r="J13" s="11" t="n">
        <f aca="false">'Handgun and SMG Ammo'!$F$2</f>
        <v>0.54</v>
      </c>
      <c r="K13" s="11" t="n">
        <f aca="false">E13*J13</f>
        <v>8.1</v>
      </c>
      <c r="L13" s="13" t="n">
        <v>2.302</v>
      </c>
      <c r="M13" s="0" t="n">
        <f aca="false">ROUND(L13*Settings!$B$2, 0)</f>
        <v>2</v>
      </c>
      <c r="N13" s="11" t="n">
        <v>544.35375</v>
      </c>
      <c r="O13" s="11" t="n">
        <f aca="false">N13/Settings!$B$1</f>
        <v>27.2176875</v>
      </c>
      <c r="P13" s="16" t="n">
        <v>2857.5</v>
      </c>
      <c r="Q13" s="0" t="n">
        <f aca="false">FLOOR(P13/Settings!$B$4,1)</f>
        <v>0</v>
      </c>
      <c r="R13" s="0" t="n">
        <v>0.8</v>
      </c>
      <c r="S13" s="11" t="n">
        <f aca="false">O13*R13/(1-POWER((1-R13), (Q13+1)))</f>
        <v>27.2176875</v>
      </c>
      <c r="T13" s="0" t="n">
        <f aca="false">ROUND(S13,0)</f>
        <v>27</v>
      </c>
      <c r="U13" s="11" t="n">
        <f aca="false">T13*(1-POWER((1-R13), (Q13+1)))/R13</f>
        <v>27</v>
      </c>
      <c r="V13" s="13" t="n">
        <f aca="false">U13/O13</f>
        <v>0.992001984003968</v>
      </c>
      <c r="W13" s="11" t="n">
        <v>1.5</v>
      </c>
      <c r="X13" s="11" t="n">
        <f aca="false">T13*W13</f>
        <v>40.5</v>
      </c>
      <c r="Y13" s="6" t="str">
        <f aca="false">CEILING($C$1/(U13*$C$4),1, )&amp;" ("&amp;ROUND($C$1/(U13*$C$4),2)&amp;")"</f>
        <v>12 (11,61)</v>
      </c>
      <c r="Z13" s="6" t="str">
        <f aca="false">CEILING($C$2/(U13*$C$4),1, )&amp;" ("&amp;ROUND($C$2/(U13*$C$4),2)&amp;")"</f>
        <v>26 (25,71)</v>
      </c>
      <c r="AA13" s="6" t="str">
        <f aca="false">CEILING($C$3/(X13*$C$4),1, )&amp;" ("&amp;ROUND($C$3/(X13*$C$4),2)&amp;")"</f>
        <v>6 (5,48)</v>
      </c>
      <c r="AB13" s="18" t="n">
        <f aca="false">T13*G13/60</f>
        <v>405</v>
      </c>
      <c r="AC13" s="18" t="n">
        <f aca="false">E13*T13</f>
        <v>405</v>
      </c>
      <c r="AD13" s="18" t="n">
        <f aca="false">E13*60/G13</f>
        <v>1</v>
      </c>
    </row>
    <row collapsed="false" customFormat="false" customHeight="false" hidden="false" ht="12.85" outlineLevel="0" r="14">
      <c r="A14" s="0" t="s">
        <v>153</v>
      </c>
      <c r="B14" s="0" t="s">
        <v>153</v>
      </c>
      <c r="C14" s="1" t="s">
        <v>41</v>
      </c>
      <c r="D14" s="1" t="n">
        <v>2</v>
      </c>
      <c r="E14" s="6" t="n">
        <v>30</v>
      </c>
      <c r="F14" s="0" t="n">
        <v>300</v>
      </c>
      <c r="G14" s="0" t="n">
        <v>1000</v>
      </c>
      <c r="H14" s="17" t="n">
        <f aca="false">60/G14</f>
        <v>0.06</v>
      </c>
      <c r="I14" s="0" t="n">
        <v>2450</v>
      </c>
      <c r="J14" s="11" t="n">
        <f aca="false">'Handgun and SMG Ammo'!$F$9</f>
        <v>1.41</v>
      </c>
      <c r="K14" s="11" t="n">
        <f aca="false">E14*J14</f>
        <v>42.3</v>
      </c>
      <c r="L14" s="13" t="n">
        <v>3.32</v>
      </c>
      <c r="M14" s="0" t="n">
        <f aca="false">ROUND(L14*Settings!$B$2, 0)</f>
        <v>3</v>
      </c>
      <c r="N14" s="11" t="n">
        <v>543.105</v>
      </c>
      <c r="O14" s="11" t="n">
        <f aca="false">N14/Settings!$B$1</f>
        <v>27.15525</v>
      </c>
      <c r="P14" s="16" t="n">
        <v>4023</v>
      </c>
      <c r="Q14" s="0" t="n">
        <f aca="false">FLOOR(P14/Settings!$B$4,1)</f>
        <v>1</v>
      </c>
      <c r="R14" s="0" t="n">
        <v>0.8</v>
      </c>
      <c r="S14" s="11" t="n">
        <f aca="false">O14*R14/(1-POWER((1-R14), (Q14+1)))</f>
        <v>22.629375</v>
      </c>
      <c r="T14" s="0" t="n">
        <f aca="false">ROUND(S14,0)</f>
        <v>23</v>
      </c>
      <c r="U14" s="11" t="n">
        <f aca="false">T14*(1-POWER((1-R14), (Q14+1)))/R14</f>
        <v>27.6</v>
      </c>
      <c r="V14" s="13" t="n">
        <f aca="false">U14/O14</f>
        <v>1.01637804844367</v>
      </c>
      <c r="W14" s="11" t="n">
        <v>1.5</v>
      </c>
      <c r="X14" s="11" t="n">
        <f aca="false">T14*W14</f>
        <v>34.5</v>
      </c>
      <c r="Y14" s="6" t="str">
        <f aca="false">CEILING($C$1/(U14*$C$4),1, )&amp;" ("&amp;ROUND($C$1/(U14*$C$4),2)&amp;")"</f>
        <v>12 (11,35)</v>
      </c>
      <c r="Z14" s="6" t="str">
        <f aca="false">CEILING($C$2/(U14*$C$4),1, )&amp;" ("&amp;ROUND($C$2/(U14*$C$4),2)&amp;")"</f>
        <v>26 (25,16)</v>
      </c>
      <c r="AA14" s="6" t="str">
        <f aca="false">CEILING($C$3/(X14*$C$4),1, )&amp;" ("&amp;ROUND($C$3/(X14*$C$4),2)&amp;")"</f>
        <v>7 (6,43)</v>
      </c>
      <c r="AB14" s="18" t="n">
        <f aca="false">T14*G14/60</f>
        <v>383.333333333333</v>
      </c>
      <c r="AC14" s="18" t="n">
        <f aca="false">E14*T14</f>
        <v>690</v>
      </c>
      <c r="AD14" s="18" t="n">
        <f aca="false">E14*60/G14</f>
        <v>1.8</v>
      </c>
      <c r="AE14" s="0" t="s">
        <v>154</v>
      </c>
    </row>
    <row collapsed="false" customFormat="false" customHeight="false" hidden="false" ht="12.85" outlineLevel="0" r="15">
      <c r="A15" s="0" t="s">
        <v>155</v>
      </c>
      <c r="B15" s="0" t="s">
        <v>156</v>
      </c>
      <c r="C15" s="1" t="s">
        <v>41</v>
      </c>
      <c r="D15" s="1" t="n">
        <v>3</v>
      </c>
      <c r="E15" s="6" t="n">
        <v>50</v>
      </c>
      <c r="F15" s="0" t="n">
        <v>400</v>
      </c>
      <c r="G15" s="0" t="n">
        <v>900</v>
      </c>
      <c r="H15" s="17" t="n">
        <f aca="false">60/G15</f>
        <v>0.0666666666666667</v>
      </c>
      <c r="I15" s="0" t="n">
        <v>2250</v>
      </c>
      <c r="J15" s="11" t="n">
        <f aca="false">'Handgun and SMG Ammo'!$F$12</f>
        <v>0.85</v>
      </c>
      <c r="K15" s="11" t="n">
        <f aca="false">E15*J15</f>
        <v>42.5</v>
      </c>
      <c r="L15" s="13" t="n">
        <v>2.93</v>
      </c>
      <c r="M15" s="0" t="n">
        <f aca="false">ROUND(L15*Settings!$B$2, 0)</f>
        <v>3</v>
      </c>
      <c r="N15" s="11" t="n">
        <v>512.656</v>
      </c>
      <c r="O15" s="11" t="n">
        <f aca="false">N15/Settings!$B$1</f>
        <v>25.6328</v>
      </c>
      <c r="P15" s="16" t="n">
        <v>1432</v>
      </c>
      <c r="Q15" s="0" t="n">
        <f aca="false">FLOOR(P15/Settings!$B$4,1)</f>
        <v>0</v>
      </c>
      <c r="R15" s="0" t="n">
        <v>0.8</v>
      </c>
      <c r="S15" s="11" t="n">
        <f aca="false">O15*R15/(1-POWER((1-R15), (Q15+1)))</f>
        <v>25.6328</v>
      </c>
      <c r="T15" s="0" t="n">
        <f aca="false">ROUND(S15,0)</f>
        <v>26</v>
      </c>
      <c r="U15" s="11" t="n">
        <f aca="false">T15*(1-POWER((1-R15), (Q15+1)))/R15</f>
        <v>26</v>
      </c>
      <c r="V15" s="13" t="n">
        <f aca="false">U15/O15</f>
        <v>1.0143253955869</v>
      </c>
      <c r="W15" s="11" t="n">
        <v>1.5</v>
      </c>
      <c r="X15" s="11" t="n">
        <f aca="false">T15*W15</f>
        <v>39</v>
      </c>
      <c r="Y15" s="6" t="str">
        <f aca="false">CEILING($C$1/(U15*$C$4),1, )&amp;" ("&amp;ROUND($C$1/(U15*$C$4),2)&amp;")"</f>
        <v>13 (12,05)</v>
      </c>
      <c r="Z15" s="6" t="str">
        <f aca="false">CEILING($C$2/(U15*$C$4),1, )&amp;" ("&amp;ROUND($C$2/(U15*$C$4),2)&amp;")"</f>
        <v>27 (26,7)</v>
      </c>
      <c r="AA15" s="6" t="str">
        <f aca="false">CEILING($C$3/(X15*$C$4),1, )&amp;" ("&amp;ROUND($C$3/(X15*$C$4),2)&amp;")"</f>
        <v>6 (5,69)</v>
      </c>
      <c r="AB15" s="18" t="n">
        <f aca="false">T15*G15/60</f>
        <v>390</v>
      </c>
      <c r="AC15" s="18" t="n">
        <f aca="false">E15*T15</f>
        <v>1300</v>
      </c>
      <c r="AD15" s="18" t="n">
        <f aca="false">E15*60/G15</f>
        <v>3.33333333333333</v>
      </c>
    </row>
    <row collapsed="false" customFormat="false" customHeight="false" hidden="false" ht="12.85" outlineLevel="0" r="16">
      <c r="A16" s="0" t="s">
        <v>157</v>
      </c>
      <c r="B16" s="0" t="s">
        <v>158</v>
      </c>
      <c r="C16" s="1" t="s">
        <v>41</v>
      </c>
      <c r="D16" s="1" t="n">
        <v>1</v>
      </c>
      <c r="E16" s="6" t="n">
        <v>64</v>
      </c>
      <c r="F16" s="0" t="n">
        <v>400</v>
      </c>
      <c r="G16" s="0" t="n">
        <v>700</v>
      </c>
      <c r="H16" s="17" t="n">
        <f aca="false">60/G16</f>
        <v>0.0857142857142857</v>
      </c>
      <c r="I16" s="0" t="n">
        <v>850</v>
      </c>
      <c r="J16" s="11" t="n">
        <f aca="false">'Handgun and SMG Ammo'!$F$6</f>
        <v>0.59</v>
      </c>
      <c r="K16" s="11" t="n">
        <f aca="false">E16*J16</f>
        <v>37.76</v>
      </c>
      <c r="L16" s="13" t="n">
        <v>3</v>
      </c>
      <c r="M16" s="0" t="n">
        <f aca="false">ROUND(L16*Settings!$B$2, 0)</f>
        <v>3</v>
      </c>
      <c r="N16" s="11" t="n">
        <v>336.675</v>
      </c>
      <c r="O16" s="11" t="n">
        <f aca="false">N16/Settings!$B$1</f>
        <v>16.83375</v>
      </c>
      <c r="P16" s="16" t="n">
        <v>2010</v>
      </c>
      <c r="Q16" s="0" t="n">
        <f aca="false">FLOOR(P16/Settings!$B$4,1)</f>
        <v>0</v>
      </c>
      <c r="R16" s="0" t="n">
        <v>0.8</v>
      </c>
      <c r="S16" s="11" t="n">
        <f aca="false">O16*R16/(1-POWER((1-R16), (Q16+1)))</f>
        <v>16.83375</v>
      </c>
      <c r="T16" s="0" t="n">
        <f aca="false">ROUND(S16,0)</f>
        <v>17</v>
      </c>
      <c r="U16" s="11" t="n">
        <f aca="false">T16*(1-POWER((1-R16), (Q16+1)))/R16</f>
        <v>17</v>
      </c>
      <c r="V16" s="13" t="n">
        <f aca="false">U16/O16</f>
        <v>1.00987599316849</v>
      </c>
      <c r="W16" s="11" t="n">
        <v>1.5</v>
      </c>
      <c r="X16" s="11" t="n">
        <f aca="false">T16*W16</f>
        <v>25.5</v>
      </c>
      <c r="Y16" s="6" t="str">
        <f aca="false">CEILING($C$1/(U16*$C$4),1, )&amp;" ("&amp;ROUND($C$1/(U16*$C$4),2)&amp;")"</f>
        <v>19 (18,43)</v>
      </c>
      <c r="Z16" s="6" t="str">
        <f aca="false">CEILING($C$2/(U16*$C$4),1, )&amp;" ("&amp;ROUND($C$2/(U16*$C$4),2)&amp;")"</f>
        <v>41 (40,84)</v>
      </c>
      <c r="AA16" s="6" t="str">
        <f aca="false">CEILING($C$3/(X16*$C$4),1, )&amp;" ("&amp;ROUND($C$3/(X16*$C$4),2)&amp;")"</f>
        <v>9 (8,7)</v>
      </c>
      <c r="AB16" s="18" t="n">
        <f aca="false">T16*G16/60</f>
        <v>198.333333333333</v>
      </c>
      <c r="AC16" s="18" t="n">
        <f aca="false">E16*T16</f>
        <v>1088</v>
      </c>
      <c r="AD16" s="18" t="n">
        <f aca="false">E16*60/G16</f>
        <v>5.48571428571429</v>
      </c>
    </row>
    <row collapsed="false" customFormat="false" customHeight="false" hidden="false" ht="12.85" outlineLevel="0" r="17">
      <c r="A17" s="0" t="s">
        <v>159</v>
      </c>
      <c r="B17" s="0" t="s">
        <v>160</v>
      </c>
      <c r="C17" s="1" t="s">
        <v>41</v>
      </c>
      <c r="D17" s="1" t="n">
        <v>2</v>
      </c>
      <c r="E17" s="6" t="n">
        <v>25</v>
      </c>
      <c r="F17" s="0" t="n">
        <v>300</v>
      </c>
      <c r="G17" s="0" t="n">
        <v>650</v>
      </c>
      <c r="H17" s="17" t="n">
        <f aca="false">60/G17</f>
        <v>0.0923076923076923</v>
      </c>
      <c r="I17" s="0" t="n">
        <v>1100</v>
      </c>
      <c r="J17" s="11" t="n">
        <f aca="false">'Handgun and SMG Ammo'!$F$9</f>
        <v>1.41</v>
      </c>
      <c r="K17" s="11" t="n">
        <f aca="false">E17*J17</f>
        <v>35.25</v>
      </c>
      <c r="L17" s="13" t="n">
        <v>3.2</v>
      </c>
      <c r="M17" s="0" t="n">
        <f aca="false">ROUND(L17*Settings!$B$2, 0)</f>
        <v>3</v>
      </c>
      <c r="N17" s="11" t="n">
        <v>626.545</v>
      </c>
      <c r="O17" s="11" t="n">
        <f aca="false">N17/Settings!$B$1</f>
        <v>31.32725</v>
      </c>
      <c r="P17" s="16" t="n">
        <v>4321</v>
      </c>
      <c r="Q17" s="0" t="n">
        <f aca="false">FLOOR(P17/Settings!$B$4,1)</f>
        <v>1</v>
      </c>
      <c r="R17" s="0" t="n">
        <v>0.8</v>
      </c>
      <c r="S17" s="11" t="n">
        <f aca="false">O17*R17/(1-POWER((1-R17), (Q17+1)))</f>
        <v>26.1060416666667</v>
      </c>
      <c r="T17" s="0" t="n">
        <f aca="false">ROUND(S17,0)</f>
        <v>26</v>
      </c>
      <c r="U17" s="11" t="n">
        <f aca="false">T17*(1-POWER((1-R17), (Q17+1)))/R17</f>
        <v>31.2</v>
      </c>
      <c r="V17" s="13" t="n">
        <f aca="false">U17/O17</f>
        <v>0.995938041162247</v>
      </c>
      <c r="W17" s="11" t="n">
        <v>1.5</v>
      </c>
      <c r="X17" s="11" t="n">
        <f aca="false">T17*W17</f>
        <v>39</v>
      </c>
      <c r="Y17" s="6" t="str">
        <f aca="false">CEILING($C$1/(U17*$C$4),1, )&amp;" ("&amp;ROUND($C$1/(U17*$C$4),2)&amp;")"</f>
        <v>11 (10,04)</v>
      </c>
      <c r="Z17" s="6" t="str">
        <f aca="false">CEILING($C$2/(U17*$C$4),1, )&amp;" ("&amp;ROUND($C$2/(U17*$C$4),2)&amp;")"</f>
        <v>23 (22,25)</v>
      </c>
      <c r="AA17" s="6" t="str">
        <f aca="false">CEILING($C$3/(X17*$C$4),1, )&amp;" ("&amp;ROUND($C$3/(X17*$C$4),2)&amp;")"</f>
        <v>6 (5,69)</v>
      </c>
      <c r="AB17" s="18" t="n">
        <f aca="false">T17*G17/60</f>
        <v>281.666666666667</v>
      </c>
      <c r="AC17" s="18" t="n">
        <f aca="false">E17*T17</f>
        <v>650</v>
      </c>
      <c r="AD17" s="18" t="n">
        <f aca="false">E17*60/G17</f>
        <v>2.30769230769231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7" activeCellId="0" pane="topLeft" sqref="F7"/>
    </sheetView>
  </sheetViews>
  <sheetFormatPr defaultRowHeight="12.85"/>
  <cols>
    <col collapsed="false" hidden="false" max="1" min="1" style="0" width="20.3367346938776"/>
    <col collapsed="false" hidden="false" max="2" min="2" style="0" width="13.0051020408163"/>
    <col collapsed="false" hidden="false" max="3" min="3" style="0" width="10.0459183673469"/>
    <col collapsed="false" hidden="false" max="5" min="5" style="0" width="11.3112244897959"/>
    <col collapsed="false" hidden="false" max="6" min="6" style="0" width="10.0459183673469"/>
    <col collapsed="false" hidden="false" max="1025" min="7" style="0" width="11.5204081632653"/>
  </cols>
  <sheetData>
    <row collapsed="false" customFormat="false" customHeight="false" hidden="false" ht="12.85" outlineLevel="0" r="1">
      <c r="A1" s="3" t="s">
        <v>161</v>
      </c>
      <c r="B1" s="3" t="s">
        <v>162</v>
      </c>
      <c r="C1" s="5" t="s">
        <v>163</v>
      </c>
      <c r="D1" s="5" t="s">
        <v>164</v>
      </c>
      <c r="E1" s="5" t="s">
        <v>165</v>
      </c>
      <c r="F1" s="5" t="s">
        <v>166</v>
      </c>
    </row>
    <row collapsed="false" customFormat="false" customHeight="false" hidden="false" ht="12.85" outlineLevel="0" r="2">
      <c r="A2" s="0" t="s">
        <v>167</v>
      </c>
      <c r="B2" s="0" t="n">
        <v>115</v>
      </c>
      <c r="C2" s="11" t="n">
        <v>7.5</v>
      </c>
      <c r="D2" s="17" t="n">
        <f aca="false">260/50</f>
        <v>5.2</v>
      </c>
      <c r="E2" s="17" t="n">
        <f aca="false">13.79/50</f>
        <v>0.2758</v>
      </c>
      <c r="F2" s="0" t="n">
        <f aca="false">ROUND(IF(ISBLANK(D2),E2*2,D2/20+E2),2)</f>
        <v>0.54</v>
      </c>
    </row>
    <row collapsed="false" customFormat="false" customHeight="false" hidden="false" ht="12.85" outlineLevel="0" r="3">
      <c r="A3" s="0" t="s">
        <v>168</v>
      </c>
      <c r="C3" s="11" t="n">
        <v>8</v>
      </c>
      <c r="D3" s="17" t="n">
        <f aca="false">260/50</f>
        <v>5.2</v>
      </c>
      <c r="E3" s="17" t="n">
        <f aca="false">15.19/50</f>
        <v>0.3038</v>
      </c>
      <c r="F3" s="0" t="n">
        <f aca="false">ROUND(IF(ISBLANK(D3),E3*2,D3/20+E3),2)</f>
        <v>0.56</v>
      </c>
    </row>
    <row collapsed="false" customFormat="false" customHeight="false" hidden="false" ht="12.85" outlineLevel="0" r="4">
      <c r="A4" s="0" t="s">
        <v>169</v>
      </c>
      <c r="C4" s="11" t="n">
        <v>9.7</v>
      </c>
      <c r="D4" s="17" t="n">
        <f aca="false">330/50</f>
        <v>6.6</v>
      </c>
      <c r="E4" s="17" t="n">
        <f aca="false">21.84/20</f>
        <v>1.092</v>
      </c>
      <c r="F4" s="0" t="n">
        <f aca="false">ROUND(IF(ISBLANK(D4),E4*2,D4/20+E4),2)</f>
        <v>1.42</v>
      </c>
    </row>
    <row collapsed="false" customFormat="false" customHeight="false" hidden="false" ht="12.85" outlineLevel="0" r="5">
      <c r="A5" s="0" t="s">
        <v>170</v>
      </c>
      <c r="B5" s="0" t="n">
        <v>240</v>
      </c>
      <c r="C5" s="11" t="n">
        <v>15.5</v>
      </c>
      <c r="D5" s="17" t="n">
        <f aca="false">606/50</f>
        <v>12.12</v>
      </c>
      <c r="E5" s="17" t="n">
        <f aca="false">32.2/20</f>
        <v>1.61</v>
      </c>
      <c r="F5" s="0" t="n">
        <f aca="false">ROUND(IF(ISBLANK(D5),E5*2,D5/20+E5),2)</f>
        <v>2.22</v>
      </c>
    </row>
    <row collapsed="false" customFormat="false" customHeight="false" hidden="false" ht="12.85" outlineLevel="0" r="6">
      <c r="A6" s="0" t="s">
        <v>171</v>
      </c>
      <c r="B6" s="0" t="n">
        <v>95</v>
      </c>
      <c r="C6" s="11" t="n">
        <v>6</v>
      </c>
      <c r="D6" s="17" t="n">
        <f aca="false">328/50</f>
        <v>6.56</v>
      </c>
      <c r="E6" s="17" t="n">
        <f aca="false">13.19/50</f>
        <v>0.2638</v>
      </c>
      <c r="F6" s="0" t="n">
        <f aca="false">ROUND(IF(ISBLANK(D6),E6*2,D6/20+E6),2)</f>
        <v>0.59</v>
      </c>
    </row>
    <row collapsed="false" customFormat="false" customHeight="false" hidden="false" ht="12.85" outlineLevel="0" r="7">
      <c r="A7" s="0" t="s">
        <v>172</v>
      </c>
      <c r="B7" s="0" t="n">
        <v>158</v>
      </c>
      <c r="C7" s="11" t="n">
        <v>10.25</v>
      </c>
      <c r="D7" s="17" t="n">
        <f aca="false">400/50</f>
        <v>8</v>
      </c>
      <c r="E7" s="17" t="n">
        <f aca="false">39.59/50</f>
        <v>0.7918</v>
      </c>
      <c r="F7" s="0" t="n">
        <f aca="false">ROUND(IF(ISBLANK(D7),E7*2,D7/20+E7),2)</f>
        <v>1.19</v>
      </c>
    </row>
    <row collapsed="false" customFormat="false" customHeight="false" hidden="false" ht="12.85" outlineLevel="0" r="8">
      <c r="A8" s="0" t="s">
        <v>173</v>
      </c>
      <c r="B8" s="0" t="n">
        <v>125</v>
      </c>
      <c r="C8" s="11" t="n">
        <v>8.1</v>
      </c>
      <c r="D8" s="17"/>
      <c r="E8" s="17" t="n">
        <f aca="false">25.32/20</f>
        <v>1.266</v>
      </c>
      <c r="F8" s="0" t="n">
        <f aca="false">ROUND(IF(ISBLANK(D8),E8*2,D8/20+E8),2)</f>
        <v>2.53</v>
      </c>
    </row>
    <row collapsed="false" customFormat="false" customHeight="false" hidden="false" ht="12.85" outlineLevel="0" r="9">
      <c r="A9" s="0" t="s">
        <v>174</v>
      </c>
      <c r="B9" s="0" t="n">
        <v>230</v>
      </c>
      <c r="C9" s="11" t="n">
        <v>14.9</v>
      </c>
      <c r="D9" s="17" t="n">
        <f aca="false">425/50</f>
        <v>8.5</v>
      </c>
      <c r="E9" s="17" t="n">
        <f aca="false">19.79/20</f>
        <v>0.9895</v>
      </c>
      <c r="F9" s="0" t="n">
        <f aca="false">ROUND(IF(ISBLANK(D9),E9*2,D9/20+E9),2)</f>
        <v>1.41</v>
      </c>
    </row>
    <row collapsed="false" customFormat="false" customHeight="false" hidden="false" ht="12.85" outlineLevel="0" r="10">
      <c r="A10" s="0" t="s">
        <v>175</v>
      </c>
      <c r="B10" s="0" t="n">
        <v>325</v>
      </c>
      <c r="C10" s="11" t="n">
        <v>21</v>
      </c>
      <c r="D10" s="17" t="n">
        <v>39</v>
      </c>
      <c r="E10" s="17" t="n">
        <f aca="false">63.99/20</f>
        <v>3.1995</v>
      </c>
      <c r="F10" s="0" t="n">
        <f aca="false">ROUND(IF(ISBLANK(D10),E10*2,D10/20+E10),2)</f>
        <v>5.15</v>
      </c>
    </row>
    <row collapsed="false" customFormat="false" customHeight="false" hidden="false" ht="12.85" outlineLevel="0" r="11">
      <c r="A11" s="0" t="s">
        <v>176</v>
      </c>
      <c r="C11" s="11" t="n">
        <v>2.7</v>
      </c>
      <c r="D11" s="17"/>
      <c r="E11" s="17" t="n">
        <f aca="false">21.95/50</f>
        <v>0.439</v>
      </c>
      <c r="F11" s="0" t="n">
        <f aca="false">ROUND(IF(ISBLANK(D11),E11*2,D11/20+E11),2)</f>
        <v>0.88</v>
      </c>
    </row>
    <row collapsed="false" customFormat="false" customHeight="false" hidden="false" ht="12.85" outlineLevel="0" r="12">
      <c r="A12" s="0" t="s">
        <v>177</v>
      </c>
      <c r="B12" s="0" t="n">
        <v>31</v>
      </c>
      <c r="C12" s="11" t="n">
        <v>2</v>
      </c>
      <c r="D12" s="17"/>
      <c r="E12" s="17" t="n">
        <f aca="false">21.19/50</f>
        <v>0.4238</v>
      </c>
      <c r="F12" s="0" t="n">
        <f aca="false">ROUND(IF(ISBLANK(D12),E12*2,D12/20+E12),2)</f>
        <v>0.85</v>
      </c>
    </row>
    <row collapsed="false" customFormat="false" customHeight="false" hidden="false" ht="12.85" outlineLevel="0" r="13">
      <c r="A13" s="0" t="s">
        <v>178</v>
      </c>
      <c r="B13" s="0" t="n">
        <v>150</v>
      </c>
      <c r="C13" s="11" t="n">
        <v>9.7</v>
      </c>
      <c r="D13" s="17" t="n">
        <f aca="false">434/20</f>
        <v>21.7</v>
      </c>
      <c r="E13" s="17" t="n">
        <f aca="false">15.99/20</f>
        <v>0.7995</v>
      </c>
      <c r="F13" s="0" t="n">
        <f aca="false">ROUND(IF(ISBLANK(D13),E13*2,D13/20+E13),2)</f>
        <v>1.88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bottomRight" state="frozen" topLeftCell="G7" xSplit="4" ySplit="6"/>
      <selection activeCell="A1" activeCellId="0" pane="topLeft" sqref="A1"/>
      <selection activeCell="G1" activeCellId="0" pane="topRight" sqref="G1"/>
      <selection activeCell="A7" activeCellId="0" pane="bottomLeft" sqref="A7"/>
      <selection activeCell="A11" activeCellId="0" pane="bottomRight" sqref="A11"/>
    </sheetView>
  </sheetViews>
  <sheetFormatPr defaultRowHeight="12.85"/>
  <cols>
    <col collapsed="false" hidden="false" max="1" min="1" style="0" width="13.265306122449"/>
    <col collapsed="false" hidden="false" max="2" min="2" style="0" width="32.0459183673469"/>
    <col collapsed="false" hidden="false" max="3" min="3" style="0" width="7.07142857142857"/>
    <col collapsed="false" hidden="false" max="5" min="4" style="0" width="9.05102040816327"/>
    <col collapsed="false" hidden="false" max="6" min="6" style="0" width="10.7448979591837"/>
    <col collapsed="false" hidden="false" max="7" min="7" style="0" width="13.1377551020408"/>
    <col collapsed="false" hidden="false" max="9" min="8" style="0" width="11.4489795918367"/>
    <col collapsed="false" hidden="false" max="10" min="10" style="0" width="11.5918367346939"/>
    <col collapsed="false" hidden="false" max="11" min="11" style="0" width="7.91836734693878"/>
    <col collapsed="false" hidden="false" max="13" min="12" style="0" width="9.05102040816327"/>
    <col collapsed="false" hidden="false" max="14" min="14" style="0" width="10.7448979591837"/>
    <col collapsed="false" hidden="false" max="15" min="15" style="0" width="8.63265306122449"/>
    <col collapsed="false" hidden="false" max="16" min="16" style="0" width="12.5816326530612"/>
    <col collapsed="false" hidden="false" max="17" min="17" style="0" width="13.2857142857143"/>
    <col collapsed="false" hidden="false" max="18" min="18" style="0" width="13.1377551020408"/>
    <col collapsed="false" hidden="false" max="19" min="19" style="0" width="8.35204081632653"/>
    <col collapsed="false" hidden="false" max="20" min="20" style="0" width="6.09183673469388"/>
    <col collapsed="false" hidden="false" max="21" min="21" style="11" width="9.75510204081633"/>
    <col collapsed="false" hidden="false" max="22" min="22" style="11" width="12.8622448979592"/>
    <col collapsed="false" hidden="false" max="23" min="23" style="0" width="11.1683673469388"/>
    <col collapsed="false" hidden="false" max="24" min="24" style="0" width="12.7142857142857"/>
    <col collapsed="false" hidden="false" max="25" min="25" style="0" width="9.33163265306122"/>
    <col collapsed="false" hidden="false" max="1025" min="26" style="0" width="11.5204081632653"/>
  </cols>
  <sheetData>
    <row collapsed="false" customFormat="true" customHeight="false" hidden="false" ht="12.85" outlineLevel="0" r="1" s="1">
      <c r="B1" s="2" t="s">
        <v>179</v>
      </c>
      <c r="C1" s="2" t="n">
        <v>310.5</v>
      </c>
      <c r="U1" s="15"/>
      <c r="V1" s="15"/>
      <c r="AMH1" s="0"/>
      <c r="AMI1" s="0"/>
      <c r="AMJ1" s="0"/>
    </row>
    <row collapsed="false" customFormat="true" customHeight="false" hidden="false" ht="12.85" outlineLevel="0" r="2" s="1">
      <c r="B2" s="2" t="s">
        <v>180</v>
      </c>
      <c r="C2" s="2" t="n">
        <v>1404</v>
      </c>
      <c r="U2" s="15"/>
      <c r="V2" s="15"/>
      <c r="AMH2" s="0"/>
      <c r="AMI2" s="0"/>
      <c r="AMJ2" s="0"/>
    </row>
    <row collapsed="false" customFormat="true" customHeight="false" hidden="false" ht="12.85" outlineLevel="0" r="3" s="1">
      <c r="B3" s="2" t="s">
        <v>181</v>
      </c>
      <c r="C3" s="2" t="n">
        <v>3024</v>
      </c>
      <c r="U3" s="15"/>
      <c r="V3" s="15"/>
      <c r="AMH3" s="0"/>
      <c r="AMI3" s="0"/>
      <c r="AMJ3" s="0"/>
    </row>
    <row collapsed="false" customFormat="true" customHeight="false" hidden="false" ht="12.85" outlineLevel="0" r="4" s="1">
      <c r="B4" s="2" t="s">
        <v>182</v>
      </c>
      <c r="C4" s="2" t="n">
        <v>2.25</v>
      </c>
      <c r="U4" s="15"/>
      <c r="V4" s="15"/>
      <c r="AMH4" s="0"/>
      <c r="AMI4" s="0"/>
      <c r="AMJ4" s="0"/>
    </row>
    <row collapsed="false" customFormat="true" customHeight="false" hidden="false" ht="12.85" outlineLevel="0" r="5" s="1">
      <c r="U5" s="15"/>
      <c r="V5" s="15"/>
      <c r="AMH5" s="0"/>
      <c r="AMI5" s="0"/>
      <c r="AMJ5" s="0"/>
    </row>
    <row collapsed="false" customFormat="true" customHeight="false" hidden="false" ht="12.85" outlineLevel="0" r="6" s="1">
      <c r="A6" s="3" t="s">
        <v>9</v>
      </c>
      <c r="B6" s="3" t="s">
        <v>10</v>
      </c>
      <c r="C6" s="3" t="s">
        <v>11</v>
      </c>
      <c r="D6" s="3" t="s">
        <v>12</v>
      </c>
      <c r="E6" s="3" t="s">
        <v>13</v>
      </c>
      <c r="F6" s="3" t="s">
        <v>16</v>
      </c>
      <c r="G6" s="4" t="s">
        <v>17</v>
      </c>
      <c r="H6" s="4" t="s">
        <v>18</v>
      </c>
      <c r="I6" s="4" t="s">
        <v>19</v>
      </c>
      <c r="J6" s="3" t="s">
        <v>20</v>
      </c>
      <c r="K6" s="4" t="s">
        <v>21</v>
      </c>
      <c r="L6" s="3" t="s">
        <v>24</v>
      </c>
      <c r="M6" s="3" t="s">
        <v>25</v>
      </c>
      <c r="N6" s="3" t="s">
        <v>102</v>
      </c>
      <c r="O6" s="3" t="s">
        <v>26</v>
      </c>
      <c r="P6" s="3" t="s">
        <v>27</v>
      </c>
      <c r="Q6" s="3" t="s">
        <v>28</v>
      </c>
      <c r="R6" s="4" t="s">
        <v>29</v>
      </c>
      <c r="S6" s="3" t="s">
        <v>30</v>
      </c>
      <c r="T6" s="3" t="s">
        <v>31</v>
      </c>
      <c r="U6" s="5" t="s">
        <v>32</v>
      </c>
      <c r="V6" s="5" t="s">
        <v>33</v>
      </c>
      <c r="W6" s="5" t="s">
        <v>38</v>
      </c>
      <c r="X6" s="5" t="s">
        <v>183</v>
      </c>
      <c r="Y6" s="5" t="s">
        <v>184</v>
      </c>
      <c r="Z6" s="3" t="s">
        <v>39</v>
      </c>
      <c r="AMJ6" s="0"/>
    </row>
    <row collapsed="false" customFormat="false" customHeight="false" hidden="false" ht="12.85" outlineLevel="0" r="7">
      <c r="A7" s="0" t="s">
        <v>185</v>
      </c>
      <c r="B7" s="0" t="s">
        <v>185</v>
      </c>
      <c r="C7" s="1" t="s">
        <v>41</v>
      </c>
      <c r="D7" s="1" t="n">
        <v>2</v>
      </c>
      <c r="E7" s="6" t="n">
        <v>20</v>
      </c>
      <c r="F7" s="0" t="n">
        <v>200</v>
      </c>
      <c r="G7" s="0" t="n">
        <v>2500</v>
      </c>
      <c r="H7" s="0" t="n">
        <f aca="false">'Rifle and Machinegun Ammo'!$F$6</f>
        <v>1.14</v>
      </c>
      <c r="I7" s="11" t="n">
        <f aca="false">E7*H7</f>
        <v>22.8</v>
      </c>
      <c r="J7" s="8" t="n">
        <v>5.78</v>
      </c>
      <c r="K7" s="0" t="n">
        <f aca="false">ROUND(J7*Settings!$B$2, 0)</f>
        <v>6</v>
      </c>
      <c r="L7" s="11" t="n">
        <v>3474.332975</v>
      </c>
      <c r="M7" s="11" t="n">
        <f aca="false">L7/Settings!$B$1</f>
        <v>173.71664875</v>
      </c>
      <c r="N7" s="16" t="n">
        <v>8146.15</v>
      </c>
      <c r="O7" s="0" t="n">
        <f aca="false">FLOOR(N7/Settings!$B$4,1)</f>
        <v>2</v>
      </c>
      <c r="P7" s="0" t="n">
        <v>0.7</v>
      </c>
      <c r="Q7" s="11" t="n">
        <f aca="false">M7*P7/(1-POWER((1-P7), (O7+1)))</f>
        <v>124.976006294964</v>
      </c>
      <c r="R7" s="0" t="n">
        <f aca="false">ROUND(Q7,0)</f>
        <v>125</v>
      </c>
      <c r="S7" s="11" t="n">
        <f aca="false">R7*(1-POWER((1-P7), (O7+1)))/P7</f>
        <v>173.75</v>
      </c>
      <c r="T7" s="13" t="n">
        <f aca="false">S7/M7</f>
        <v>1.00019198649203</v>
      </c>
      <c r="U7" s="11" t="n">
        <v>1.75</v>
      </c>
      <c r="V7" s="11" t="n">
        <f aca="false">R7*U7</f>
        <v>218.75</v>
      </c>
      <c r="W7" s="6" t="str">
        <f aca="false">CEILING($C$1/(V7*$C$4),1, )&amp;" ("&amp;ROUND($C$1/(V7*$C$4),2)&amp;")"</f>
        <v>1 (0,63)</v>
      </c>
      <c r="X7" s="6" t="str">
        <f aca="false">CEILING($C$2/(V7*$C$4),1, )&amp;" ("&amp;ROUND($C$2/(V7*$C$4),2)&amp;")"</f>
        <v>3 (2,85)</v>
      </c>
      <c r="Y7" s="6" t="str">
        <f aca="false">CEILING($C$3/(V7*$C$4),1, )&amp;" ("&amp;ROUND($C$3/(V7*$C$4),2)&amp;")"</f>
        <v>7 (6,14)</v>
      </c>
      <c r="Z7" s="0" t="s">
        <v>154</v>
      </c>
    </row>
    <row collapsed="false" customFormat="false" customHeight="false" hidden="false" ht="12.85" outlineLevel="0" r="8">
      <c r="A8" s="0" t="s">
        <v>186</v>
      </c>
      <c r="B8" s="0" t="s">
        <v>187</v>
      </c>
      <c r="C8" s="1" t="s">
        <v>41</v>
      </c>
      <c r="D8" s="1" t="n">
        <v>1</v>
      </c>
      <c r="E8" s="6" t="n">
        <v>10</v>
      </c>
      <c r="F8" s="0" t="n">
        <v>100</v>
      </c>
      <c r="G8" s="0" t="n">
        <v>600</v>
      </c>
      <c r="H8" s="0" t="n">
        <f aca="false">'Rifle and Machinegun Ammo'!$F$2</f>
        <v>2.22</v>
      </c>
      <c r="I8" s="11" t="n">
        <f aca="false">E8*H8</f>
        <v>22.2</v>
      </c>
      <c r="J8" s="8" t="n">
        <v>3.325</v>
      </c>
      <c r="K8" s="0" t="n">
        <f aca="false">ROUND(J8*Settings!$B$2, 0)</f>
        <v>3</v>
      </c>
      <c r="L8" s="11" t="n">
        <v>1943.75</v>
      </c>
      <c r="M8" s="11" t="n">
        <f aca="false">L8/Settings!$B$1</f>
        <v>97.1875</v>
      </c>
      <c r="N8" s="16" t="n">
        <v>7775</v>
      </c>
      <c r="O8" s="0" t="n">
        <f aca="false">FLOOR(N8/Settings!$B$4,1)</f>
        <v>1</v>
      </c>
      <c r="P8" s="0" t="n">
        <v>0.8</v>
      </c>
      <c r="Q8" s="11" t="n">
        <f aca="false">M8*P8/(1-POWER((1-P8), (O8+1)))</f>
        <v>80.9895833333333</v>
      </c>
      <c r="R8" s="0" t="n">
        <f aca="false">ROUND(Q8,0)</f>
        <v>81</v>
      </c>
      <c r="S8" s="11" t="n">
        <f aca="false">R8*(1-POWER((1-P8), (O8+1)))/P8</f>
        <v>97.2</v>
      </c>
      <c r="T8" s="13" t="n">
        <f aca="false">S8/M8</f>
        <v>1.00012861736334</v>
      </c>
      <c r="U8" s="11" t="n">
        <v>1.75</v>
      </c>
      <c r="V8" s="11" t="n">
        <f aca="false">R8*U8</f>
        <v>141.75</v>
      </c>
      <c r="W8" s="6" t="str">
        <f aca="false">CEILING($C$1/(V8*$C$4),1, )&amp;" ("&amp;ROUND($C$1/(V8*$C$4),2)&amp;")"</f>
        <v>1 (0,97)</v>
      </c>
      <c r="X8" s="6" t="str">
        <f aca="false">CEILING($C$2/(V8*$C$4),1, )&amp;" ("&amp;ROUND($C$2/(V8*$C$4),2)&amp;")"</f>
        <v>5 (4,4)</v>
      </c>
      <c r="Y8" s="6" t="str">
        <f aca="false">CEILING($C$3/(V8*$C$4),1, )&amp;" ("&amp;ROUND($C$3/(V8*$C$4),2)&amp;")"</f>
        <v>10 (9,48)</v>
      </c>
    </row>
    <row collapsed="false" customFormat="false" customHeight="false" hidden="false" ht="12.85" outlineLevel="0" r="9">
      <c r="A9" s="0" t="s">
        <v>188</v>
      </c>
      <c r="B9" s="0" t="s">
        <v>189</v>
      </c>
      <c r="C9" s="1" t="s">
        <v>41</v>
      </c>
      <c r="D9" s="1" t="n">
        <v>3</v>
      </c>
      <c r="E9" s="6" t="n">
        <v>1</v>
      </c>
      <c r="F9" s="0" t="n">
        <v>50</v>
      </c>
      <c r="G9" s="0" t="n">
        <v>3500</v>
      </c>
      <c r="H9" s="0" t="n">
        <f aca="false">'Rifle and Machinegun Ammo'!$F$3</f>
        <v>7.77</v>
      </c>
      <c r="I9" s="11" t="n">
        <f aca="false">E9*H9</f>
        <v>7.77</v>
      </c>
      <c r="J9" s="8" t="n">
        <v>10</v>
      </c>
      <c r="K9" s="0" t="n">
        <f aca="false">ROUND(J9*Settings!$B$2, 0)</f>
        <v>11</v>
      </c>
      <c r="L9" s="11" t="n">
        <v>15038.55526</v>
      </c>
      <c r="M9" s="11" t="n">
        <f aca="false">L9/Settings!$B$1</f>
        <v>751.927763</v>
      </c>
      <c r="N9" s="16" t="n">
        <v>35891.54</v>
      </c>
      <c r="O9" s="0" t="n">
        <f aca="false">FLOOR(N9/Settings!$B$4,1)</f>
        <v>9</v>
      </c>
      <c r="P9" s="0" t="n">
        <v>0.6</v>
      </c>
      <c r="Q9" s="11" t="n">
        <f aca="false">M9*P9/(1-POWER((1-P9), (O9+1)))</f>
        <v>451.203969965401</v>
      </c>
      <c r="R9" s="0" t="n">
        <f aca="false">ROUND(Q9,0)</f>
        <v>451</v>
      </c>
      <c r="S9" s="11" t="n">
        <f aca="false">R9*(1-POWER((1-P9), (O9+1)))/P9</f>
        <v>751.587848704</v>
      </c>
      <c r="T9" s="13" t="n">
        <f aca="false">S9/M9</f>
        <v>0.999547942883976</v>
      </c>
      <c r="U9" s="11" t="n">
        <v>2.5</v>
      </c>
      <c r="V9" s="11" t="n">
        <f aca="false">R9*U9</f>
        <v>1127.5</v>
      </c>
      <c r="W9" s="6" t="str">
        <f aca="false">CEILING($C$1/(V9*$C$4),1, )&amp;" ("&amp;ROUND($C$1/(V9*$C$4),2)&amp;")"</f>
        <v>1 (0,12)</v>
      </c>
      <c r="X9" s="6" t="str">
        <f aca="false">CEILING($C$2/(V9*$C$4),1, )&amp;" ("&amp;ROUND($C$2/(V9*$C$4),2)&amp;")"</f>
        <v>1 (0,55)</v>
      </c>
      <c r="Y9" s="6" t="str">
        <f aca="false">CEILING($C$3/(V9*$C$4),1, )&amp;" ("&amp;ROUND($C$3/(V9*$C$4),2)&amp;")"</f>
        <v>2 (1,19)</v>
      </c>
    </row>
    <row collapsed="false" customFormat="false" customHeight="false" hidden="false" ht="12.85" outlineLevel="0" r="10">
      <c r="A10" s="0" t="s">
        <v>190</v>
      </c>
      <c r="B10" s="0" t="s">
        <v>191</v>
      </c>
      <c r="C10" s="1" t="s">
        <v>41</v>
      </c>
      <c r="D10" s="1" t="n">
        <v>1</v>
      </c>
      <c r="E10" s="6" t="n">
        <v>20</v>
      </c>
      <c r="F10" s="0" t="n">
        <v>200</v>
      </c>
      <c r="G10" s="0" t="n">
        <v>1750</v>
      </c>
      <c r="H10" s="0" t="n">
        <f aca="false">'Rifle and Machinegun Ammo'!$F$6</f>
        <v>1.14</v>
      </c>
      <c r="I10" s="11" t="n">
        <f aca="false">E10*H10</f>
        <v>22.8</v>
      </c>
      <c r="J10" s="8" t="n">
        <v>4.38</v>
      </c>
      <c r="K10" s="0" t="n">
        <f aca="false">ROUND(J10*Settings!$B$2, 0)</f>
        <v>5</v>
      </c>
      <c r="L10" s="11" t="n">
        <v>2758.04</v>
      </c>
      <c r="M10" s="11" t="n">
        <f aca="false">L10/Settings!$B$1</f>
        <v>137.902</v>
      </c>
      <c r="N10" s="16" t="n">
        <v>7258</v>
      </c>
      <c r="O10" s="0" t="n">
        <f aca="false">FLOOR(N10/Settings!$B$4,1)</f>
        <v>1</v>
      </c>
      <c r="P10" s="0" t="n">
        <v>0.7</v>
      </c>
      <c r="Q10" s="11" t="n">
        <f aca="false">M10*P10/(1-POWER((1-P10), (O10+1)))</f>
        <v>106.078461538462</v>
      </c>
      <c r="R10" s="0" t="n">
        <f aca="false">ROUND(Q10,0)</f>
        <v>106</v>
      </c>
      <c r="S10" s="11" t="n">
        <f aca="false">R10*(1-POWER((1-P10), (O10+1)))/P10</f>
        <v>137.8</v>
      </c>
      <c r="T10" s="13" t="n">
        <f aca="false">S10/M10</f>
        <v>0.999260344302476</v>
      </c>
      <c r="U10" s="11" t="n">
        <v>1.5</v>
      </c>
      <c r="V10" s="11" t="n">
        <f aca="false">R10*U10</f>
        <v>159</v>
      </c>
      <c r="W10" s="6" t="str">
        <f aca="false">CEILING($C$1/V10,1, )&amp;" ("&amp;ROUND($C$1/V10,2)&amp;")"</f>
        <v>2 (1,95)</v>
      </c>
      <c r="X10" s="6" t="str">
        <f aca="false">CEILING($C$2/V10,1, )&amp;" ("&amp;ROUND($C$2/V10,2)&amp;")"</f>
        <v>9 (8,83)</v>
      </c>
      <c r="Y10" s="6" t="str">
        <f aca="false">CEILING($C$2/V10,1, )&amp;" ("&amp;ROUND($C$2/V10,2)&amp;")"</f>
        <v>9 (8,83)</v>
      </c>
      <c r="Z10" s="0" t="s">
        <v>192</v>
      </c>
    </row>
    <row collapsed="false" customFormat="false" customHeight="false" hidden="false" ht="12.85" outlineLevel="0" r="11">
      <c r="A11" s="0" t="s">
        <v>193</v>
      </c>
      <c r="B11" s="0" t="s">
        <v>194</v>
      </c>
      <c r="C11" s="1" t="s">
        <v>41</v>
      </c>
      <c r="D11" s="1" t="n">
        <v>2</v>
      </c>
      <c r="E11" s="6" t="n">
        <v>5</v>
      </c>
      <c r="F11" s="0" t="n">
        <v>100</v>
      </c>
      <c r="G11" s="0" t="n">
        <v>1100</v>
      </c>
      <c r="H11" s="0" t="n">
        <f aca="false">'Rifle and Machinegun Ammo'!$F$6</f>
        <v>1.14</v>
      </c>
      <c r="I11" s="11" t="n">
        <f aca="false">E11*H11</f>
        <v>5.7</v>
      </c>
      <c r="J11" s="8" t="n">
        <v>4.05</v>
      </c>
      <c r="K11" s="0" t="n">
        <f aca="false">ROUND(J11*Settings!$B$2, 0)</f>
        <v>4</v>
      </c>
      <c r="L11" s="11" t="n">
        <v>3132.8775</v>
      </c>
      <c r="M11" s="11" t="n">
        <f aca="false">L11/Settings!$B$1</f>
        <v>156.643875</v>
      </c>
      <c r="N11" s="16" t="n">
        <v>7735.5</v>
      </c>
      <c r="O11" s="0" t="n">
        <f aca="false">FLOOR(N11/Settings!$B$4,1)</f>
        <v>1</v>
      </c>
      <c r="P11" s="0" t="n">
        <v>0.7</v>
      </c>
      <c r="Q11" s="11" t="n">
        <f aca="false">M11*P11/(1-POWER((1-P11), (O11+1)))</f>
        <v>120.495288461538</v>
      </c>
      <c r="R11" s="0" t="n">
        <f aca="false">ROUND(Q11,0)</f>
        <v>120</v>
      </c>
      <c r="S11" s="11" t="n">
        <f aca="false">R11*(1-POWER((1-P11), (O11+1)))/P11</f>
        <v>156</v>
      </c>
      <c r="T11" s="13" t="n">
        <f aca="false">S11/M11</f>
        <v>0.995889561593136</v>
      </c>
      <c r="U11" s="11" t="n">
        <v>1.75</v>
      </c>
      <c r="V11" s="11" t="n">
        <f aca="false">R11*U11</f>
        <v>210</v>
      </c>
      <c r="W11" s="6" t="str">
        <f aca="false">CEILING($C$1/(V11*$C$4),1, )&amp;" ("&amp;ROUND($C$1/(V11*$C$4),2)&amp;")"</f>
        <v>1 (0,66)</v>
      </c>
      <c r="X11" s="6" t="str">
        <f aca="false">CEILING($C$2/(V11*$C$4),1, )&amp;" ("&amp;ROUND($C$2/(V11*$C$4),2)&amp;")"</f>
        <v>3 (2,97)</v>
      </c>
      <c r="Y11" s="6" t="str">
        <f aca="false">CEILING($C$3/(V11*$C$4),1, )&amp;" ("&amp;ROUND($C$3/(V11*$C$4),2)&amp;")"</f>
        <v>7 (6,4)</v>
      </c>
    </row>
    <row collapsed="false" customFormat="false" customHeight="false" hidden="false" ht="12.85" outlineLevel="0" r="12">
      <c r="A12" s="0" t="s">
        <v>195</v>
      </c>
      <c r="B12" s="0" t="s">
        <v>196</v>
      </c>
      <c r="C12" s="1" t="s">
        <v>128</v>
      </c>
      <c r="D12" s="1"/>
      <c r="E12" s="6" t="n">
        <v>10</v>
      </c>
      <c r="F12" s="0" t="n">
        <v>100</v>
      </c>
      <c r="H12" s="0" t="n">
        <f aca="false">'Rifle and Machinegun Ammo'!$F$6</f>
        <v>1.14</v>
      </c>
      <c r="I12" s="11" t="n">
        <f aca="false">E12*H12</f>
        <v>11.4</v>
      </c>
      <c r="J12" s="8" t="n">
        <v>6.84</v>
      </c>
      <c r="K12" s="0" t="n">
        <f aca="false">ROUND(J12*Settings!$B$2, 0)</f>
        <v>7</v>
      </c>
      <c r="L12" s="11" t="n">
        <v>3739.899375</v>
      </c>
      <c r="M12" s="11" t="n">
        <f aca="false">L12/Settings!$B$1</f>
        <v>186.99496875</v>
      </c>
      <c r="N12" s="16" t="n">
        <v>8451.75</v>
      </c>
      <c r="O12" s="0" t="n">
        <f aca="false">FLOOR(N12/Settings!$B$4,1)</f>
        <v>2</v>
      </c>
      <c r="P12" s="0" t="n">
        <v>0.7</v>
      </c>
      <c r="Q12" s="11" t="n">
        <f aca="false">M12*P12/(1-POWER((1-P12), (O12+1)))</f>
        <v>134.528754496403</v>
      </c>
      <c r="R12" s="0" t="n">
        <f aca="false">ROUND(Q12,0)</f>
        <v>135</v>
      </c>
      <c r="S12" s="11" t="n">
        <f aca="false">R12*(1-POWER((1-P12), (O12+1)))/P12</f>
        <v>187.65</v>
      </c>
      <c r="T12" s="13" t="n">
        <f aca="false">S12/M12</f>
        <v>1.00350293515584</v>
      </c>
      <c r="U12" s="11" t="n">
        <v>1.75</v>
      </c>
      <c r="V12" s="11" t="n">
        <f aca="false">R12*U12</f>
        <v>236.25</v>
      </c>
      <c r="W12" s="6" t="str">
        <f aca="false">CEILING($C$1/(V12*$C$4),1, )&amp;" ("&amp;ROUND($C$1/(V12*$C$4),2)&amp;")"</f>
        <v>1 (0,58)</v>
      </c>
      <c r="X12" s="6" t="str">
        <f aca="false">CEILING($C$2/(V12*$C$4),1, )&amp;" ("&amp;ROUND($C$2/(V12*$C$4),2)&amp;")"</f>
        <v>3 (2,64)</v>
      </c>
      <c r="Y12" s="6" t="str">
        <f aca="false">CEILING($C$3/(V12*$C$4),1, )&amp;" ("&amp;ROUND($C$3/(V12*$C$4),2)&amp;")"</f>
        <v>6 (5,69)</v>
      </c>
    </row>
    <row collapsed="false" customFormat="false" customHeight="false" hidden="false" ht="12.85" outlineLevel="0" r="13">
      <c r="A13" s="0" t="s">
        <v>197</v>
      </c>
      <c r="B13" s="0" t="s">
        <v>198</v>
      </c>
      <c r="C13" s="1" t="s">
        <v>41</v>
      </c>
      <c r="D13" s="1" t="n">
        <v>2</v>
      </c>
      <c r="E13" s="6" t="n">
        <v>10</v>
      </c>
      <c r="F13" s="0" t="n">
        <v>200</v>
      </c>
      <c r="H13" s="0" t="n">
        <f aca="false">'Rifle and Machinegun Ammo'!$F$7</f>
        <v>0.59</v>
      </c>
      <c r="I13" s="11" t="n">
        <f aca="false">E13*H13</f>
        <v>5.9</v>
      </c>
      <c r="J13" s="8" t="n">
        <v>4.52</v>
      </c>
      <c r="K13" s="0" t="n">
        <f aca="false">ROUND(J13*Settings!$B$2, 0)</f>
        <v>5</v>
      </c>
      <c r="L13" s="11" t="n">
        <v>3310.1645</v>
      </c>
      <c r="M13" s="11" t="n">
        <f aca="false">L13/Settings!$B$1</f>
        <v>165.508225</v>
      </c>
      <c r="N13" s="16" t="n">
        <v>7976.3</v>
      </c>
      <c r="O13" s="0" t="n">
        <f aca="false">FLOOR(N13/Settings!$B$4,1)</f>
        <v>2</v>
      </c>
      <c r="P13" s="0" t="n">
        <v>0.7</v>
      </c>
      <c r="Q13" s="11" t="n">
        <f aca="false">M13*P13/(1-POWER((1-P13), (O13+1)))</f>
        <v>119.070665467626</v>
      </c>
      <c r="R13" s="0" t="n">
        <f aca="false">ROUND(Q13,0)</f>
        <v>119</v>
      </c>
      <c r="S13" s="11" t="n">
        <f aca="false">R13*(1-POWER((1-P13), (O13+1)))/P13</f>
        <v>165.41</v>
      </c>
      <c r="T13" s="13" t="n">
        <f aca="false">S13/M13</f>
        <v>0.999406524962732</v>
      </c>
      <c r="U13" s="11" t="n">
        <v>1.75</v>
      </c>
      <c r="V13" s="11" t="n">
        <f aca="false">R13*U13</f>
        <v>208.25</v>
      </c>
      <c r="W13" s="6" t="str">
        <f aca="false">CEILING($C$1/(V13*$C$4),1, )&amp;" ("&amp;ROUND($C$1/(V13*$C$4),2)&amp;")"</f>
        <v>1 (0,66)</v>
      </c>
      <c r="X13" s="6" t="str">
        <f aca="false">CEILING($C$2/(V13*$C$4),1, )&amp;" ("&amp;ROUND($C$2/(V13*$C$4),2)&amp;")"</f>
        <v>3 (3)</v>
      </c>
      <c r="Y13" s="6" t="str">
        <f aca="false">CEILING($C$3/(V13*$C$4),1, )&amp;" ("&amp;ROUND($C$3/(V13*$C$4),2)&amp;")"</f>
        <v>7 (6,45)</v>
      </c>
    </row>
    <row collapsed="false" customFormat="false" customHeight="false" hidden="false" ht="12.85" outlineLevel="0" r="14">
      <c r="A14" s="0" t="s">
        <v>199</v>
      </c>
      <c r="B14" s="0" t="s">
        <v>200</v>
      </c>
      <c r="C14" s="1" t="s">
        <v>41</v>
      </c>
      <c r="D14" s="1" t="n">
        <v>3</v>
      </c>
      <c r="E14" s="6" t="n">
        <v>20</v>
      </c>
      <c r="F14" s="0" t="n">
        <v>200</v>
      </c>
      <c r="H14" s="0" t="n">
        <f aca="false">'Rifle and Machinegun Ammo'!$F$6</f>
        <v>1.14</v>
      </c>
      <c r="I14" s="11" t="n">
        <f aca="false">E14*H14</f>
        <v>22.8</v>
      </c>
      <c r="J14" s="8" t="n">
        <v>7.58</v>
      </c>
      <c r="K14" s="0" t="n">
        <f aca="false">ROUND(J14*Settings!$B$2, 0)</f>
        <v>8</v>
      </c>
      <c r="L14" s="11" t="n">
        <v>3056</v>
      </c>
      <c r="M14" s="11" t="n">
        <f aca="false">L14/Settings!$B$1</f>
        <v>152.8</v>
      </c>
      <c r="N14" s="16" t="n">
        <v>7640</v>
      </c>
      <c r="O14" s="0" t="n">
        <f aca="false">FLOOR(N14/Settings!$B$4,1)</f>
        <v>1</v>
      </c>
      <c r="P14" s="0" t="n">
        <v>0.7</v>
      </c>
      <c r="Q14" s="11" t="n">
        <f aca="false">M14*P14/(1-POWER((1-P14), (O14+1)))</f>
        <v>117.538461538462</v>
      </c>
      <c r="R14" s="0" t="n">
        <f aca="false">ROUND(Q14,0)</f>
        <v>118</v>
      </c>
      <c r="S14" s="11" t="n">
        <f aca="false">R14*(1-POWER((1-P14), (O14+1)))/P14</f>
        <v>153.4</v>
      </c>
      <c r="T14" s="13" t="n">
        <f aca="false">S14/M14</f>
        <v>1.00392670157068</v>
      </c>
      <c r="U14" s="11" t="n">
        <v>1.75</v>
      </c>
      <c r="V14" s="11" t="n">
        <f aca="false">R14*U14</f>
        <v>206.5</v>
      </c>
      <c r="W14" s="6" t="str">
        <f aca="false">CEILING($C$1/(V14*$C$4),1, )&amp;" ("&amp;ROUND($C$1/(V14*$C$4),2)&amp;")"</f>
        <v>1 (0,67)</v>
      </c>
      <c r="X14" s="6" t="str">
        <f aca="false">CEILING($C$2/(V14*$C$4),1, )&amp;" ("&amp;ROUND($C$2/(V14*$C$4),2)&amp;")"</f>
        <v>4 (3,02)</v>
      </c>
      <c r="Y14" s="6" t="str">
        <f aca="false">CEILING($C$3/(V14*$C$4),1, )&amp;" ("&amp;ROUND($C$3/(V14*$C$4),2)&amp;")"</f>
        <v>7 (6,51)</v>
      </c>
    </row>
    <row collapsed="false" customFormat="false" customHeight="false" hidden="false" ht="12.85" outlineLevel="0" r="15">
      <c r="A15" s="0" t="s">
        <v>201</v>
      </c>
      <c r="B15" s="0" t="s">
        <v>202</v>
      </c>
      <c r="C15" s="1" t="s">
        <v>114</v>
      </c>
      <c r="D15" s="1"/>
      <c r="E15" s="6" t="n">
        <v>5</v>
      </c>
      <c r="F15" s="0" t="n">
        <v>50</v>
      </c>
      <c r="H15" s="0" t="n">
        <f aca="false">'Rifle and Machinegun Ammo'!$F$3</f>
        <v>7.77</v>
      </c>
      <c r="I15" s="11" t="n">
        <f aca="false">E15*H15</f>
        <v>38.85</v>
      </c>
      <c r="J15" s="8" t="n">
        <v>14.75</v>
      </c>
      <c r="K15" s="0" t="n">
        <f aca="false">ROUND(J15*Settings!$B$2, 0)</f>
        <v>15</v>
      </c>
      <c r="L15" s="11" t="n">
        <v>14505.000535</v>
      </c>
      <c r="M15" s="11" t="n">
        <f aca="false">L15/Settings!$B$1</f>
        <v>725.25002675</v>
      </c>
      <c r="N15" s="16" t="n">
        <v>35249.09</v>
      </c>
      <c r="O15" s="0" t="n">
        <f aca="false">FLOOR(N15/Settings!$B$4,1)</f>
        <v>9</v>
      </c>
      <c r="P15" s="0" t="n">
        <v>0.6</v>
      </c>
      <c r="Q15" s="11" t="n">
        <f aca="false">M15*P15/(1-POWER((1-P15), (O15+1)))</f>
        <v>435.19564962135</v>
      </c>
      <c r="R15" s="0" t="n">
        <f aca="false">ROUND(Q15,0)</f>
        <v>435</v>
      </c>
      <c r="S15" s="11" t="n">
        <f aca="false">R15*(1-POWER((1-P15), (O15+1)))/P15</f>
        <v>724.92397824</v>
      </c>
      <c r="T15" s="13" t="n">
        <f aca="false">S15/M15</f>
        <v>0.999550432956947</v>
      </c>
      <c r="U15" s="11" t="n">
        <v>2.5</v>
      </c>
      <c r="V15" s="11" t="n">
        <f aca="false">R15*U15</f>
        <v>1087.5</v>
      </c>
      <c r="W15" s="6" t="str">
        <f aca="false">CEILING($C$1/(V15*$C$4),1, )&amp;" ("&amp;ROUND($C$1/(V15*$C$4),2)&amp;")"</f>
        <v>1 (0,13)</v>
      </c>
      <c r="X15" s="6" t="str">
        <f aca="false">CEILING($C$2/(V15*$C$4),1, )&amp;" ("&amp;ROUND($C$2/(V15*$C$4),2)&amp;")"</f>
        <v>1 (0,57)</v>
      </c>
      <c r="Y15" s="6" t="str">
        <f aca="false">CEILING($C$3/(V15*$C$4),1, )&amp;" ("&amp;ROUND($C$3/(V15*$C$4),2)&amp;")"</f>
        <v>2 (1,24)</v>
      </c>
    </row>
    <row collapsed="false" customFormat="false" customHeight="false" hidden="false" ht="12.85" outlineLevel="0" r="16">
      <c r="A16" s="0" t="s">
        <v>203</v>
      </c>
      <c r="B16" s="0" t="s">
        <v>204</v>
      </c>
      <c r="C16" s="1" t="s">
        <v>41</v>
      </c>
      <c r="D16" s="1" t="n">
        <v>1</v>
      </c>
      <c r="E16" s="6" t="n">
        <v>5</v>
      </c>
      <c r="F16" s="0" t="n">
        <v>100</v>
      </c>
      <c r="H16" s="0" t="n">
        <f aca="false">'Rifle and Machinegun Ammo'!$F$7</f>
        <v>0.59</v>
      </c>
      <c r="I16" s="11" t="n">
        <f aca="false">E16*H16</f>
        <v>2.95</v>
      </c>
      <c r="J16" s="8" t="n">
        <v>4.11</v>
      </c>
      <c r="K16" s="0" t="n">
        <f aca="false">ROUND(J16*Settings!$B$2, 0)</f>
        <v>4</v>
      </c>
      <c r="L16" s="11" t="n">
        <v>3620.20232</v>
      </c>
      <c r="M16" s="11" t="n">
        <f aca="false">L16/Settings!$B$1</f>
        <v>181.010116</v>
      </c>
      <c r="N16" s="16" t="n">
        <v>8341.48</v>
      </c>
      <c r="O16" s="0" t="n">
        <f aca="false">FLOOR(N16/Settings!$B$4,1)</f>
        <v>2</v>
      </c>
      <c r="P16" s="0" t="n">
        <v>0.7</v>
      </c>
      <c r="Q16" s="11" t="n">
        <f aca="false">M16*P16/(1-POWER((1-P16), (O16+1)))</f>
        <v>130.223105035971</v>
      </c>
      <c r="R16" s="0" t="n">
        <f aca="false">ROUND(Q16,0)</f>
        <v>130</v>
      </c>
      <c r="S16" s="11" t="n">
        <f aca="false">R16*(1-POWER((1-P16), (O16+1)))/P16</f>
        <v>180.7</v>
      </c>
      <c r="T16" s="13" t="n">
        <f aca="false">S16/M16</f>
        <v>0.998286747686521</v>
      </c>
      <c r="U16" s="11" t="n">
        <v>1.75</v>
      </c>
      <c r="V16" s="11" t="n">
        <f aca="false">R16*U16</f>
        <v>227.5</v>
      </c>
      <c r="W16" s="6" t="str">
        <f aca="false">CEILING($C$1/(V16*$C$4),1, )&amp;" ("&amp;ROUND($C$1/(V16*$C$4),2)&amp;")"</f>
        <v>1 (0,61)</v>
      </c>
      <c r="X16" s="6" t="str">
        <f aca="false">CEILING($C$2/(V16*$C$4),1, )&amp;" ("&amp;ROUND($C$2/(V16*$C$4),2)&amp;")"</f>
        <v>3 (2,74)</v>
      </c>
      <c r="Y16" s="6" t="str">
        <f aca="false">CEILING($C$3/(V16*$C$4),1, )&amp;" ("&amp;ROUND($C$3/(V16*$C$4),2)&amp;")"</f>
        <v>6 (5,91)</v>
      </c>
    </row>
    <row collapsed="false" customFormat="false" customHeight="false" hidden="false" ht="12.85" outlineLevel="0" r="17">
      <c r="A17" s="0" t="s">
        <v>205</v>
      </c>
      <c r="B17" s="0" t="s">
        <v>206</v>
      </c>
      <c r="C17" s="1" t="s">
        <v>41</v>
      </c>
      <c r="D17" s="1" t="n">
        <v>3</v>
      </c>
      <c r="E17" s="6" t="n">
        <v>10</v>
      </c>
      <c r="F17" s="0" t="n">
        <v>50</v>
      </c>
      <c r="G17" s="0" t="n">
        <v>4500</v>
      </c>
      <c r="H17" s="0" t="n">
        <f aca="false">'Rifle and Machinegun Ammo'!$F$3</f>
        <v>7.77</v>
      </c>
      <c r="I17" s="11" t="n">
        <f aca="false">E17*H17</f>
        <v>77.7</v>
      </c>
      <c r="J17" s="8" t="n">
        <v>15.17</v>
      </c>
      <c r="K17" s="0" t="n">
        <f aca="false">ROUND(J17*Settings!$B$2, 0)</f>
        <v>16</v>
      </c>
      <c r="L17" s="11" t="n">
        <v>15038.55526</v>
      </c>
      <c r="M17" s="11" t="n">
        <f aca="false">L17/Settings!$B$1</f>
        <v>751.927763</v>
      </c>
      <c r="N17" s="16" t="n">
        <v>35891.54</v>
      </c>
      <c r="O17" s="0" t="n">
        <f aca="false">FLOOR(N17/Settings!$B$4,1)</f>
        <v>9</v>
      </c>
      <c r="P17" s="0" t="n">
        <v>0.6</v>
      </c>
      <c r="Q17" s="11" t="n">
        <f aca="false">M17*P17/(1-POWER((1-P17), (O17+1)))</f>
        <v>451.203969965401</v>
      </c>
      <c r="R17" s="0" t="n">
        <f aca="false">ROUND(Q17,0)</f>
        <v>451</v>
      </c>
      <c r="S17" s="11" t="n">
        <f aca="false">R17*(1-POWER((1-P17), (O17+1)))/P17</f>
        <v>751.587848704</v>
      </c>
      <c r="T17" s="13" t="n">
        <f aca="false">S17/M17</f>
        <v>0.999547942883976</v>
      </c>
      <c r="U17" s="11" t="n">
        <v>2.5</v>
      </c>
      <c r="V17" s="11" t="n">
        <f aca="false">R17*U17</f>
        <v>1127.5</v>
      </c>
      <c r="W17" s="6" t="str">
        <f aca="false">CEILING($C$1/(V17*$C$4),1, )&amp;" ("&amp;ROUND($C$1/(V17*$C$4),2)&amp;")"</f>
        <v>1 (0,12)</v>
      </c>
      <c r="X17" s="6" t="str">
        <f aca="false">CEILING($C$2/(V17*$C$4),1, )&amp;" ("&amp;ROUND($C$2/(V17*$C$4),2)&amp;")"</f>
        <v>1 (0,55)</v>
      </c>
      <c r="Y17" s="6" t="str">
        <f aca="false">CEILING($C$3/(V17*$C$4),1, )&amp;" ("&amp;ROUND($C$3/(V17*$C$4),2)&amp;")"</f>
        <v>2 (1,19)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9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bottomRight" state="frozen" topLeftCell="E7" xSplit="4" ySplit="6"/>
      <selection activeCell="A1" activeCellId="0" pane="topLeft" sqref="A1"/>
      <selection activeCell="E1" activeCellId="0" pane="topRight" sqref="E1"/>
      <selection activeCell="A7" activeCellId="0" pane="bottomLeft" sqref="A7"/>
      <selection activeCell="H1" activeCellId="0" pane="bottomRight" sqref="H1"/>
    </sheetView>
  </sheetViews>
  <sheetFormatPr defaultRowHeight="12.85"/>
  <cols>
    <col collapsed="false" hidden="false" max="1" min="1" style="0" width="13.265306122449"/>
    <col collapsed="false" hidden="false" max="2" min="2" style="0" width="29.219387755102"/>
    <col collapsed="false" hidden="false" max="3" min="3" style="0" width="7.07142857142857"/>
    <col collapsed="false" hidden="false" max="5" min="4" style="0" width="9.05102040816327"/>
    <col collapsed="false" hidden="false" max="6" min="6" style="0" width="10.7448979591837"/>
    <col collapsed="false" hidden="false" max="7" min="7" style="0" width="10.3214285714286"/>
    <col collapsed="false" hidden="false" max="8" min="8" style="0" width="8.48469387755102"/>
    <col collapsed="false" hidden="false" max="9" min="9" style="0" width="13.1377551020408"/>
    <col collapsed="false" hidden="false" max="11" min="10" style="0" width="11.4489795918367"/>
    <col collapsed="false" hidden="false" max="12" min="12" style="0" width="11.5204081632653"/>
    <col collapsed="false" hidden="false" max="13" min="13" style="0" width="7.91836734693878"/>
    <col collapsed="false" hidden="false" max="14" min="14" style="0" width="7.36224489795918"/>
    <col collapsed="false" hidden="false" max="15" min="15" style="0" width="9.05102040816327"/>
    <col collapsed="false" hidden="false" max="16" min="16" style="0" width="10.7448979591837"/>
    <col collapsed="false" hidden="false" max="17" min="17" style="0" width="8.63265306122449"/>
    <col collapsed="false" hidden="false" max="18" min="18" style="0" width="12.5816326530612"/>
    <col collapsed="false" hidden="false" max="19" min="19" style="0" width="13.2857142857143"/>
    <col collapsed="false" hidden="false" max="20" min="20" style="0" width="13.1377551020408"/>
    <col collapsed="false" hidden="false" max="21" min="21" style="0" width="8.35204081632653"/>
    <col collapsed="false" hidden="false" max="22" min="22" style="0" width="5.80612244897959"/>
    <col collapsed="false" hidden="false" max="23" min="23" style="0" width="9.75510204081633"/>
    <col collapsed="false" hidden="false" max="24" min="24" style="0" width="12.8622448979592"/>
    <col collapsed="false" hidden="false" max="25" min="25" style="0" width="11.1683673469388"/>
    <col collapsed="false" hidden="false" max="26" min="26" style="0" width="12.7142857142857"/>
    <col collapsed="false" hidden="false" max="27" min="27" style="0" width="9.33163265306122"/>
    <col collapsed="false" hidden="false" max="28" min="28" style="0" width="8.06122448979592"/>
    <col collapsed="false" hidden="false" max="29" min="29" style="0" width="9.47448979591837"/>
    <col collapsed="false" hidden="false" max="30" min="30" style="0" width="9.62244897959184"/>
    <col collapsed="false" hidden="false" max="31" min="31" style="0" width="6.37244897959184"/>
    <col collapsed="false" hidden="false" max="1025" min="32" style="0" width="11.5204081632653"/>
  </cols>
  <sheetData>
    <row collapsed="false" customFormat="false" customHeight="false" hidden="false" ht="12.85" outlineLevel="0" r="1">
      <c r="B1" s="2" t="s">
        <v>5</v>
      </c>
      <c r="C1" s="2" t="n">
        <v>438.75</v>
      </c>
      <c r="D1" s="1"/>
    </row>
    <row collapsed="false" customFormat="false" customHeight="false" hidden="false" ht="12.85" outlineLevel="0" r="2">
      <c r="B2" s="2" t="s">
        <v>6</v>
      </c>
      <c r="C2" s="2" t="n">
        <v>972</v>
      </c>
      <c r="D2" s="1"/>
    </row>
    <row collapsed="false" customFormat="false" customHeight="false" hidden="false" ht="12.85" outlineLevel="0" r="3">
      <c r="B3" s="2" t="s">
        <v>7</v>
      </c>
      <c r="C3" s="2" t="n">
        <v>310.5</v>
      </c>
      <c r="D3" s="1"/>
    </row>
    <row collapsed="false" customFormat="false" customHeight="false" hidden="false" ht="12.85" outlineLevel="0" r="4">
      <c r="B4" s="2" t="s">
        <v>8</v>
      </c>
      <c r="C4" s="2" t="n">
        <v>1.4</v>
      </c>
      <c r="D4" s="1"/>
    </row>
    <row collapsed="false" customFormat="true" customHeight="false" hidden="false" ht="12.85" outlineLevel="0" r="6" s="1">
      <c r="A6" s="3" t="s">
        <v>9</v>
      </c>
      <c r="B6" s="3" t="s">
        <v>10</v>
      </c>
      <c r="C6" s="3" t="s">
        <v>11</v>
      </c>
      <c r="D6" s="3" t="s">
        <v>12</v>
      </c>
      <c r="E6" s="4" t="s">
        <v>13</v>
      </c>
      <c r="F6" s="4" t="s">
        <v>16</v>
      </c>
      <c r="G6" s="4" t="s">
        <v>14</v>
      </c>
      <c r="H6" s="3" t="s">
        <v>130</v>
      </c>
      <c r="I6" s="4" t="s">
        <v>17</v>
      </c>
      <c r="J6" s="4" t="s">
        <v>18</v>
      </c>
      <c r="K6" s="4" t="s">
        <v>19</v>
      </c>
      <c r="L6" s="3" t="s">
        <v>207</v>
      </c>
      <c r="M6" s="4" t="s">
        <v>21</v>
      </c>
      <c r="N6" s="3" t="s">
        <v>24</v>
      </c>
      <c r="O6" s="3" t="s">
        <v>25</v>
      </c>
      <c r="P6" s="3" t="s">
        <v>102</v>
      </c>
      <c r="Q6" s="3" t="s">
        <v>26</v>
      </c>
      <c r="R6" s="3" t="s">
        <v>27</v>
      </c>
      <c r="S6" s="3" t="s">
        <v>28</v>
      </c>
      <c r="T6" s="4" t="s">
        <v>29</v>
      </c>
      <c r="U6" s="3" t="s">
        <v>30</v>
      </c>
      <c r="V6" s="3" t="s">
        <v>31</v>
      </c>
      <c r="W6" s="5" t="s">
        <v>32</v>
      </c>
      <c r="X6" s="5" t="s">
        <v>33</v>
      </c>
      <c r="Y6" s="5" t="s">
        <v>36</v>
      </c>
      <c r="Z6" s="5" t="s">
        <v>132</v>
      </c>
      <c r="AA6" s="5" t="s">
        <v>133</v>
      </c>
      <c r="AB6" s="5" t="s">
        <v>134</v>
      </c>
      <c r="AC6" s="5" t="s">
        <v>135</v>
      </c>
      <c r="AD6" s="5" t="s">
        <v>136</v>
      </c>
      <c r="AE6" s="3" t="s">
        <v>39</v>
      </c>
      <c r="AMJ6" s="0"/>
    </row>
    <row collapsed="false" customFormat="false" customHeight="false" hidden="false" ht="12.85" outlineLevel="0" r="7">
      <c r="A7" s="0" t="s">
        <v>208</v>
      </c>
      <c r="B7" s="0" t="s">
        <v>209</v>
      </c>
      <c r="C7" s="1" t="s">
        <v>41</v>
      </c>
      <c r="D7" s="1" t="n">
        <v>1</v>
      </c>
      <c r="E7" s="6" t="n">
        <v>30</v>
      </c>
      <c r="F7" s="0" t="n">
        <v>400</v>
      </c>
      <c r="G7" s="0" t="n">
        <v>750</v>
      </c>
      <c r="H7" s="17" t="n">
        <f aca="false">60/G7</f>
        <v>0.08</v>
      </c>
      <c r="I7" s="0" t="n">
        <v>400</v>
      </c>
      <c r="J7" s="0" t="n">
        <f aca="false">'Rifle and Machinegun Ammo'!$F$4</f>
        <v>0.81</v>
      </c>
      <c r="K7" s="11" t="n">
        <f aca="false">E7*J7</f>
        <v>24.3</v>
      </c>
      <c r="L7" s="8" t="n">
        <v>4.85</v>
      </c>
      <c r="M7" s="0" t="n">
        <f aca="false">ROUND(L7*Settings!$B$2, 0)</f>
        <v>5</v>
      </c>
      <c r="N7" s="11" t="n">
        <v>1411.2</v>
      </c>
      <c r="O7" s="11" t="n">
        <f aca="false">N7/Settings!$B$1</f>
        <v>70.56</v>
      </c>
      <c r="P7" s="16" t="n">
        <v>3360</v>
      </c>
      <c r="Q7" s="0" t="n">
        <f aca="false">FLOOR(P7/Settings!$B$4,1)</f>
        <v>0</v>
      </c>
      <c r="R7" s="0" t="n">
        <v>0.7</v>
      </c>
      <c r="S7" s="11" t="n">
        <f aca="false">O7*R7/(1-POWER((1-R7), (Q7+1)))</f>
        <v>70.56</v>
      </c>
      <c r="T7" s="0" t="n">
        <f aca="false">ROUND(S7,0)</f>
        <v>71</v>
      </c>
      <c r="U7" s="11" t="n">
        <f aca="false">T7*(1-POWER((1-R7), (Q7+1)))/R7</f>
        <v>71</v>
      </c>
      <c r="V7" s="13" t="n">
        <f aca="false">U7/O7</f>
        <v>1.0062358276644</v>
      </c>
      <c r="W7" s="11" t="n">
        <v>1.5</v>
      </c>
      <c r="X7" s="11" t="n">
        <f aca="false">T7*W7</f>
        <v>106.5</v>
      </c>
      <c r="Y7" s="6" t="str">
        <f aca="false">CEILING($C$1/(U7*$C$4),1, )&amp;" ("&amp;ROUND($C$1/(U7*$C$4),2)&amp;")"</f>
        <v>5 (4,41)</v>
      </c>
      <c r="Z7" s="6" t="str">
        <f aca="false">CEILING($C$2/(U7*$C$4),1, )&amp;" ("&amp;ROUND($C$2/(U7*$C$4),2)&amp;")"</f>
        <v>10 (9,78)</v>
      </c>
      <c r="AA7" s="6" t="str">
        <f aca="false">CEILING($C$3/(X7*$C$4),1, )&amp;" ("&amp;ROUND($C$3/(X7*$C$4),2)&amp;")"</f>
        <v>3 (2,08)</v>
      </c>
      <c r="AB7" s="18" t="n">
        <f aca="false">T7*G7/60</f>
        <v>887.5</v>
      </c>
      <c r="AC7" s="18" t="n">
        <f aca="false">E7*T7</f>
        <v>2130</v>
      </c>
      <c r="AD7" s="18" t="n">
        <f aca="false">E7*60/G7</f>
        <v>2.4</v>
      </c>
    </row>
    <row collapsed="false" customFormat="false" customHeight="false" hidden="false" ht="12.85" outlineLevel="0" r="8">
      <c r="A8" s="0" t="s">
        <v>210</v>
      </c>
      <c r="B8" s="0" t="s">
        <v>211</v>
      </c>
      <c r="C8" s="0" t="s">
        <v>41</v>
      </c>
      <c r="E8" s="6" t="n">
        <v>25</v>
      </c>
      <c r="F8" s="0" t="n">
        <v>300</v>
      </c>
      <c r="G8" s="0" t="n">
        <v>550</v>
      </c>
      <c r="H8" s="17" t="n">
        <f aca="false">60/G8</f>
        <v>0.109090909090909</v>
      </c>
      <c r="I8" s="0" t="n">
        <v>1100</v>
      </c>
      <c r="J8" s="0" t="n">
        <f aca="false">'Rifle and Machinegun Ammo'!$F$9</f>
        <v>2.11</v>
      </c>
      <c r="K8" s="11" t="n">
        <f aca="false">E8*J8</f>
        <v>52.75</v>
      </c>
      <c r="L8" s="8" t="n">
        <v>5.1</v>
      </c>
      <c r="M8" s="0" t="n">
        <f aca="false">ROUND(L8*Settings!$B$2, 0)</f>
        <v>5</v>
      </c>
      <c r="N8" s="11" t="n">
        <v>1900.36125</v>
      </c>
      <c r="O8" s="11" t="n">
        <f aca="false">N8/Settings!$B$1</f>
        <v>95.0180625</v>
      </c>
      <c r="P8" s="16" t="n">
        <v>5548.5</v>
      </c>
      <c r="Q8" s="0" t="n">
        <f aca="false">FLOOR(P8/Settings!$B$4,1)</f>
        <v>1</v>
      </c>
      <c r="R8" s="0" t="n">
        <v>0.7</v>
      </c>
      <c r="S8" s="11" t="n">
        <f aca="false">O8*R8/(1-POWER((1-R8), (Q8+1)))</f>
        <v>73.0908173076923</v>
      </c>
      <c r="T8" s="0" t="n">
        <f aca="false">ROUND(S8,0)</f>
        <v>73</v>
      </c>
      <c r="U8" s="11" t="n">
        <f aca="false">T8*(1-POWER((1-R8), (Q8+1)))/R8</f>
        <v>94.9</v>
      </c>
      <c r="V8" s="13" t="n">
        <f aca="false">U8/O8</f>
        <v>0.998757473085709</v>
      </c>
      <c r="W8" s="11" t="n">
        <v>1.5</v>
      </c>
      <c r="X8" s="11" t="n">
        <f aca="false">T8*W8</f>
        <v>109.5</v>
      </c>
      <c r="Y8" s="6" t="str">
        <f aca="false">CEILING($C$1/(U8*$C$4),1, )&amp;" ("&amp;ROUND($C$1/(U8*$C$4),2)&amp;")"</f>
        <v>4 (3,3)</v>
      </c>
      <c r="Z8" s="6" t="str">
        <f aca="false">CEILING($C$2/(U8*$C$4),1, )&amp;" ("&amp;ROUND($C$2/(U8*$C$4),2)&amp;")"</f>
        <v>8 (7,32)</v>
      </c>
      <c r="AA8" s="6" t="str">
        <f aca="false">CEILING($C$3/(X8*$C$4),1, )&amp;" ("&amp;ROUND($C$3/(X8*$C$4),2)&amp;")"</f>
        <v>3 (2,03)</v>
      </c>
      <c r="AB8" s="18" t="n">
        <f aca="false">T8*G8/60</f>
        <v>669.166666666667</v>
      </c>
      <c r="AC8" s="18" t="n">
        <f aca="false">E8*T8</f>
        <v>1825</v>
      </c>
      <c r="AD8" s="18" t="n">
        <f aca="false">E8*60/G8</f>
        <v>2.72727272727273</v>
      </c>
    </row>
    <row collapsed="false" customFormat="false" customHeight="false" hidden="false" ht="12.85" outlineLevel="0" r="9">
      <c r="A9" s="0" t="s">
        <v>212</v>
      </c>
      <c r="B9" s="0" t="s">
        <v>213</v>
      </c>
      <c r="C9" s="0" t="s">
        <v>41</v>
      </c>
      <c r="D9" s="0" t="n">
        <v>2</v>
      </c>
      <c r="E9" s="6" t="n">
        <v>30</v>
      </c>
      <c r="F9" s="0" t="n">
        <v>400</v>
      </c>
      <c r="G9" s="0" t="n">
        <v>800</v>
      </c>
      <c r="H9" s="17" t="n">
        <f aca="false">60/G9</f>
        <v>0.075</v>
      </c>
      <c r="I9" s="0" t="n">
        <v>1000</v>
      </c>
      <c r="J9" s="0" t="n">
        <f aca="false">'Rifle and Machinegun Ammo'!$F$4</f>
        <v>0.81</v>
      </c>
      <c r="K9" s="11" t="n">
        <f aca="false">E9*J9</f>
        <v>24.3</v>
      </c>
      <c r="L9" s="8" t="n">
        <v>3.4</v>
      </c>
      <c r="M9" s="0" t="n">
        <f aca="false">ROUND(L9*Settings!$B$2, 0)</f>
        <v>4</v>
      </c>
      <c r="N9" s="11" t="n">
        <v>1513.8</v>
      </c>
      <c r="O9" s="11" t="n">
        <f aca="false">N9/Settings!$B$1</f>
        <v>75.69</v>
      </c>
      <c r="P9" s="16" t="n">
        <v>3480</v>
      </c>
      <c r="Q9" s="0" t="n">
        <f aca="false">FLOOR(P9/Settings!$B$4,1)</f>
        <v>0</v>
      </c>
      <c r="R9" s="0" t="n">
        <v>0.7</v>
      </c>
      <c r="S9" s="11" t="n">
        <f aca="false">O9*R9/(1-POWER((1-R9), (Q9+1)))</f>
        <v>75.69</v>
      </c>
      <c r="T9" s="0" t="n">
        <f aca="false">ROUND(S9,0)</f>
        <v>76</v>
      </c>
      <c r="U9" s="11" t="n">
        <f aca="false">T9*(1-POWER((1-R9), (Q9+1)))/R9</f>
        <v>76</v>
      </c>
      <c r="V9" s="13" t="n">
        <f aca="false">U9/O9</f>
        <v>1.00409565332276</v>
      </c>
      <c r="W9" s="11" t="n">
        <v>1.5</v>
      </c>
      <c r="X9" s="11" t="n">
        <f aca="false">T9*W9</f>
        <v>114</v>
      </c>
      <c r="Y9" s="6" t="str">
        <f aca="false">CEILING($C$1/(U9*$C$4),1, )&amp;" ("&amp;ROUND($C$1/(U9*$C$4),2)&amp;")"</f>
        <v>5 (4,12)</v>
      </c>
      <c r="Z9" s="6" t="str">
        <f aca="false">CEILING($C$2/(U9*$C$4),1, )&amp;" ("&amp;ROUND($C$2/(U9*$C$4),2)&amp;")"</f>
        <v>10 (9,14)</v>
      </c>
      <c r="AA9" s="6" t="str">
        <f aca="false">CEILING($C$3/(X9*$C$4),1, )&amp;" ("&amp;ROUND($C$3/(X9*$C$4),2)&amp;")"</f>
        <v>2 (1,95)</v>
      </c>
      <c r="AB9" s="18" t="n">
        <f aca="false">T9*G9/60</f>
        <v>1013.33333333333</v>
      </c>
      <c r="AC9" s="18" t="n">
        <f aca="false">E9*T9</f>
        <v>2280</v>
      </c>
      <c r="AD9" s="18" t="n">
        <f aca="false">E9*60/G9</f>
        <v>2.25</v>
      </c>
    </row>
    <row collapsed="false" customFormat="false" customHeight="false" hidden="false" ht="12.85" outlineLevel="0" r="10">
      <c r="A10" s="0" t="s">
        <v>214</v>
      </c>
      <c r="B10" s="0" t="s">
        <v>215</v>
      </c>
      <c r="C10" s="0" t="s">
        <v>41</v>
      </c>
      <c r="D10" s="0" t="n">
        <v>3</v>
      </c>
      <c r="E10" s="6" t="n">
        <v>20</v>
      </c>
      <c r="F10" s="0" t="n">
        <v>300</v>
      </c>
      <c r="G10" s="0" t="n">
        <v>600</v>
      </c>
      <c r="H10" s="17" t="n">
        <f aca="false">60/G10</f>
        <v>0.1</v>
      </c>
      <c r="I10" s="0" t="n">
        <v>2500</v>
      </c>
      <c r="J10" s="0" t="n">
        <f aca="false">'Rifle and Machinegun Ammo'!$F$6</f>
        <v>1.14</v>
      </c>
      <c r="K10" s="11" t="n">
        <f aca="false">E10*J10</f>
        <v>22.8</v>
      </c>
      <c r="L10" s="8" t="n">
        <v>3.58</v>
      </c>
      <c r="M10" s="0" t="n">
        <f aca="false">ROUND(L10*Settings!$B$2, 0)</f>
        <v>4</v>
      </c>
      <c r="N10" s="11" t="n">
        <v>2434.2759</v>
      </c>
      <c r="O10" s="11" t="n">
        <f aca="false">N10/Settings!$B$1</f>
        <v>121.713795</v>
      </c>
      <c r="P10" s="16" t="n">
        <v>6818.7</v>
      </c>
      <c r="Q10" s="0" t="n">
        <f aca="false">FLOOR(P10/Settings!$B$4,1)</f>
        <v>1</v>
      </c>
      <c r="R10" s="0" t="n">
        <v>0.7</v>
      </c>
      <c r="S10" s="11" t="n">
        <f aca="false">O10*R10/(1-POWER((1-R10), (Q10+1)))</f>
        <v>93.6259961538462</v>
      </c>
      <c r="T10" s="0" t="n">
        <f aca="false">ROUND(S10,0)</f>
        <v>94</v>
      </c>
      <c r="U10" s="11" t="n">
        <f aca="false">T10*(1-POWER((1-R10), (Q10+1)))/R10</f>
        <v>122.2</v>
      </c>
      <c r="V10" s="13" t="n">
        <f aca="false">U10/O10</f>
        <v>1.003994658124</v>
      </c>
      <c r="W10" s="11" t="n">
        <v>1.5</v>
      </c>
      <c r="X10" s="11" t="n">
        <f aca="false">T10*W10</f>
        <v>141</v>
      </c>
      <c r="Y10" s="6" t="str">
        <f aca="false">CEILING($C$1/(U10*$C$4),1, )&amp;" ("&amp;ROUND($C$1/(U10*$C$4),2)&amp;")"</f>
        <v>3 (2,56)</v>
      </c>
      <c r="Z10" s="6" t="str">
        <f aca="false">CEILING($C$2/(U10*$C$4),1, )&amp;" ("&amp;ROUND($C$2/(U10*$C$4),2)&amp;")"</f>
        <v>6 (5,68)</v>
      </c>
      <c r="AA10" s="6" t="str">
        <f aca="false">CEILING($C$3/(X10*$C$4),1, )&amp;" ("&amp;ROUND($C$3/(X10*$C$4),2)&amp;")"</f>
        <v>2 (1,57)</v>
      </c>
      <c r="AB10" s="18" t="n">
        <f aca="false">T10*G10/60</f>
        <v>940</v>
      </c>
      <c r="AC10" s="18" t="n">
        <f aca="false">E10*T10</f>
        <v>1880</v>
      </c>
      <c r="AD10" s="18" t="n">
        <f aca="false">E10*60/G10</f>
        <v>2</v>
      </c>
    </row>
    <row collapsed="false" customFormat="false" customHeight="false" hidden="false" ht="12.85" outlineLevel="0" r="11">
      <c r="A11" s="0" t="s">
        <v>216</v>
      </c>
      <c r="B11" s="0" t="s">
        <v>216</v>
      </c>
      <c r="C11" s="0" t="s">
        <v>41</v>
      </c>
      <c r="D11" s="0" t="n">
        <v>3</v>
      </c>
      <c r="E11" s="6" t="n">
        <v>20</v>
      </c>
      <c r="F11" s="0" t="n">
        <v>300</v>
      </c>
      <c r="G11" s="0" t="n">
        <v>675</v>
      </c>
      <c r="H11" s="17" t="n">
        <f aca="false">60/G11</f>
        <v>0.0888888888888889</v>
      </c>
      <c r="I11" s="0" t="n">
        <v>2750</v>
      </c>
      <c r="J11" s="0" t="n">
        <f aca="false">'Rifle and Machinegun Ammo'!$F$6</f>
        <v>1.14</v>
      </c>
      <c r="K11" s="11" t="n">
        <f aca="false">E11*J11</f>
        <v>22.8</v>
      </c>
      <c r="L11" s="8" t="n">
        <v>4.98</v>
      </c>
      <c r="M11" s="0" t="n">
        <f aca="false">ROUND(L11*Settings!$B$2, 0)</f>
        <v>5</v>
      </c>
      <c r="N11" s="11" t="n">
        <v>3249.984375</v>
      </c>
      <c r="O11" s="11" t="n">
        <f aca="false">N11/Settings!$B$1</f>
        <v>162.49921875</v>
      </c>
      <c r="P11" s="16" t="n">
        <v>7878.75</v>
      </c>
      <c r="Q11" s="0" t="n">
        <f aca="false">FLOOR(P11/Settings!$B$4,1)</f>
        <v>2</v>
      </c>
      <c r="R11" s="0" t="n">
        <v>0.7</v>
      </c>
      <c r="S11" s="11" t="n">
        <f aca="false">O11*R11/(1-POWER((1-R11), (Q11+1)))</f>
        <v>116.905912769784</v>
      </c>
      <c r="T11" s="0" t="n">
        <f aca="false">ROUND(S11,0)</f>
        <v>117</v>
      </c>
      <c r="U11" s="11" t="n">
        <f aca="false">T11*(1-POWER((1-R11), (Q11+1)))/R11</f>
        <v>162.63</v>
      </c>
      <c r="V11" s="13" t="n">
        <f aca="false">U11/O11</f>
        <v>1.00080481156159</v>
      </c>
      <c r="W11" s="11" t="n">
        <v>1.5</v>
      </c>
      <c r="X11" s="11" t="n">
        <f aca="false">T11*W11</f>
        <v>175.5</v>
      </c>
      <c r="Y11" s="6" t="str">
        <f aca="false">CEILING($C$1/(U11*$C$4),1, )&amp;" ("&amp;ROUND($C$1/(U11*$C$4),2)&amp;")"</f>
        <v>2 (1,93)</v>
      </c>
      <c r="Z11" s="6" t="str">
        <f aca="false">CEILING($C$2/(U11*$C$4),1, )&amp;" ("&amp;ROUND($C$2/(U11*$C$4),2)&amp;")"</f>
        <v>5 (4,27)</v>
      </c>
      <c r="AA11" s="6" t="str">
        <f aca="false">CEILING($C$3/(X11*$C$4),1, )&amp;" ("&amp;ROUND($C$3/(X11*$C$4),2)&amp;")"</f>
        <v>2 (1,26)</v>
      </c>
      <c r="AB11" s="18" t="n">
        <f aca="false">T11*G11/60</f>
        <v>1316.25</v>
      </c>
      <c r="AC11" s="18" t="n">
        <f aca="false">E11*T11</f>
        <v>2340</v>
      </c>
      <c r="AD11" s="18" t="n">
        <f aca="false">E11*60/G11</f>
        <v>1.77777777777778</v>
      </c>
    </row>
    <row collapsed="false" customFormat="false" customHeight="false" hidden="false" ht="12.85" outlineLevel="0" r="12">
      <c r="A12" s="0" t="s">
        <v>217</v>
      </c>
      <c r="B12" s="0" t="s">
        <v>217</v>
      </c>
      <c r="C12" s="0" t="s">
        <v>41</v>
      </c>
      <c r="D12" s="0" t="n">
        <v>3</v>
      </c>
      <c r="E12" s="6" t="n">
        <v>30</v>
      </c>
      <c r="F12" s="0" t="n">
        <v>400</v>
      </c>
      <c r="G12" s="0" t="n">
        <v>650</v>
      </c>
      <c r="H12" s="17" t="n">
        <f aca="false">60/G12</f>
        <v>0.0923076923076923</v>
      </c>
      <c r="J12" s="0" t="n">
        <f aca="false">'Rifle and Machinegun Ammo'!$F$4</f>
        <v>0.81</v>
      </c>
      <c r="K12" s="11" t="n">
        <f aca="false">E12*J12</f>
        <v>24.3</v>
      </c>
      <c r="L12" s="8" t="n">
        <v>4.98</v>
      </c>
      <c r="M12" s="0" t="n">
        <f aca="false">ROUND(L12*Settings!$B$2, 0)</f>
        <v>5</v>
      </c>
      <c r="N12" s="11" t="n">
        <v>1711.25</v>
      </c>
      <c r="O12" s="11" t="n">
        <f aca="false">N12/Settings!$B$1</f>
        <v>85.5625</v>
      </c>
      <c r="P12" s="16" t="n">
        <v>3700</v>
      </c>
      <c r="Q12" s="0" t="n">
        <f aca="false">FLOOR(P12/Settings!$B$4,1)</f>
        <v>0</v>
      </c>
      <c r="R12" s="0" t="n">
        <v>0.7</v>
      </c>
      <c r="S12" s="11" t="n">
        <f aca="false">O12*R12/(1-POWER((1-R12), (Q12+1)))</f>
        <v>85.5625</v>
      </c>
      <c r="T12" s="0" t="n">
        <f aca="false">ROUND(S12,0)</f>
        <v>86</v>
      </c>
      <c r="U12" s="11" t="n">
        <f aca="false">T12*(1-POWER((1-R12), (Q12+1)))/R12</f>
        <v>86</v>
      </c>
      <c r="V12" s="13" t="n">
        <f aca="false">U12/O12</f>
        <v>1.00511322132944</v>
      </c>
      <c r="W12" s="11" t="n">
        <v>1.5</v>
      </c>
      <c r="X12" s="11" t="n">
        <f aca="false">T12*W12</f>
        <v>129</v>
      </c>
      <c r="Y12" s="6" t="str">
        <f aca="false">CEILING($C$1/(U12*$C$4),1, )&amp;" ("&amp;ROUND($C$1/(U12*$C$4),2)&amp;")"</f>
        <v>4 (3,64)</v>
      </c>
      <c r="Z12" s="6" t="str">
        <f aca="false">CEILING($C$2/(U12*$C$4),1, )&amp;" ("&amp;ROUND($C$2/(U12*$C$4),2)&amp;")"</f>
        <v>9 (8,07)</v>
      </c>
      <c r="AA12" s="6" t="str">
        <f aca="false">CEILING($C$3/(X12*$C$4),1, )&amp;" ("&amp;ROUND($C$3/(X12*$C$4),2)&amp;")"</f>
        <v>2 (1,72)</v>
      </c>
      <c r="AB12" s="18" t="n">
        <f aca="false">T12*G12/60</f>
        <v>931.666666666667</v>
      </c>
      <c r="AC12" s="18" t="n">
        <f aca="false">E12*T12</f>
        <v>2580</v>
      </c>
      <c r="AD12" s="18" t="n">
        <f aca="false">E12*60/G12</f>
        <v>2.76923076923077</v>
      </c>
    </row>
    <row collapsed="false" customFormat="false" customHeight="false" hidden="false" ht="12.85" outlineLevel="0" r="13">
      <c r="A13" s="0" t="s">
        <v>218</v>
      </c>
      <c r="B13" s="0" t="s">
        <v>219</v>
      </c>
      <c r="C13" s="0" t="s">
        <v>41</v>
      </c>
      <c r="D13" s="0" t="n">
        <v>2</v>
      </c>
      <c r="E13" s="6" t="n">
        <v>30</v>
      </c>
      <c r="F13" s="0" t="n">
        <v>400</v>
      </c>
      <c r="G13" s="0" t="n">
        <v>700</v>
      </c>
      <c r="H13" s="17" t="n">
        <f aca="false">60/G13</f>
        <v>0.0857142857142857</v>
      </c>
      <c r="J13" s="0" t="n">
        <f aca="false">'Rifle and Machinegun Ammo'!$F$4</f>
        <v>0.81</v>
      </c>
      <c r="K13" s="11" t="n">
        <f aca="false">E13*J13</f>
        <v>24.3</v>
      </c>
      <c r="L13" s="8" t="n">
        <v>4.09</v>
      </c>
      <c r="M13" s="0" t="n">
        <f aca="false">ROUND(L13*Settings!$B$2, 0)</f>
        <v>4</v>
      </c>
      <c r="N13" s="11" t="n">
        <v>1656.2</v>
      </c>
      <c r="O13" s="11" t="n">
        <f aca="false">N13/Settings!$B$1</f>
        <v>82.81</v>
      </c>
      <c r="P13" s="16" t="n">
        <v>3640</v>
      </c>
      <c r="Q13" s="0" t="n">
        <f aca="false">FLOOR(P13/Settings!$B$4,1)</f>
        <v>0</v>
      </c>
      <c r="R13" s="0" t="n">
        <v>0.7</v>
      </c>
      <c r="S13" s="11" t="n">
        <f aca="false">O13*R13/(1-POWER((1-R13), (Q13+1)))</f>
        <v>82.81</v>
      </c>
      <c r="T13" s="0" t="n">
        <f aca="false">ROUND(S13,0)</f>
        <v>83</v>
      </c>
      <c r="U13" s="11" t="n">
        <f aca="false">T13*(1-POWER((1-R13), (Q13+1)))/R13</f>
        <v>83</v>
      </c>
      <c r="V13" s="13" t="n">
        <f aca="false">U13/O13</f>
        <v>1.00229440888782</v>
      </c>
      <c r="W13" s="11" t="n">
        <v>1.5</v>
      </c>
      <c r="X13" s="11" t="n">
        <f aca="false">T13*W13</f>
        <v>124.5</v>
      </c>
      <c r="Y13" s="6" t="str">
        <f aca="false">CEILING($C$1/(U13*$C$4),1, )&amp;" ("&amp;ROUND($C$1/(U13*$C$4),2)&amp;")"</f>
        <v>4 (3,78)</v>
      </c>
      <c r="Z13" s="6" t="str">
        <f aca="false">CEILING($C$2/(U13*$C$4),1, )&amp;" ("&amp;ROUND($C$2/(U13*$C$4),2)&amp;")"</f>
        <v>9 (8,36)</v>
      </c>
      <c r="AA13" s="6" t="str">
        <f aca="false">CEILING($C$3/(X13*$C$4),1, )&amp;" ("&amp;ROUND($C$3/(X13*$C$4),2)&amp;")"</f>
        <v>2 (1,78)</v>
      </c>
      <c r="AB13" s="18" t="n">
        <f aca="false">T13*G13/60</f>
        <v>968.333333333333</v>
      </c>
      <c r="AC13" s="18" t="n">
        <f aca="false">E13*T13</f>
        <v>2490</v>
      </c>
      <c r="AD13" s="18" t="n">
        <f aca="false">E13*60/G13</f>
        <v>2.57142857142857</v>
      </c>
    </row>
    <row collapsed="false" customFormat="false" customHeight="false" hidden="false" ht="12.85" outlineLevel="0" r="14">
      <c r="A14" s="0" t="s">
        <v>220</v>
      </c>
      <c r="B14" s="0" t="s">
        <v>220</v>
      </c>
      <c r="C14" s="0" t="s">
        <v>41</v>
      </c>
      <c r="D14" s="0" t="n">
        <v>1</v>
      </c>
      <c r="E14" s="6" t="n">
        <v>30</v>
      </c>
      <c r="F14" s="0" t="n">
        <v>400</v>
      </c>
      <c r="G14" s="0" t="n">
        <v>750</v>
      </c>
      <c r="H14" s="17" t="n">
        <f aca="false">60/G14</f>
        <v>0.08</v>
      </c>
      <c r="J14" s="0" t="n">
        <f aca="false">'Rifle and Machinegun Ammo'!$F$4</f>
        <v>0.81</v>
      </c>
      <c r="K14" s="11" t="n">
        <f aca="false">E14*J14</f>
        <v>24.3</v>
      </c>
      <c r="L14" s="8" t="n">
        <v>3.31</v>
      </c>
      <c r="M14" s="0" t="n">
        <f aca="false">ROUND(L14*Settings!$B$2, 0)</f>
        <v>3</v>
      </c>
      <c r="N14" s="11" t="n">
        <v>1125</v>
      </c>
      <c r="O14" s="11" t="n">
        <f aca="false">N14/Settings!$B$1</f>
        <v>56.25</v>
      </c>
      <c r="P14" s="16" t="n">
        <v>3000</v>
      </c>
      <c r="Q14" s="0" t="n">
        <f aca="false">FLOOR(P14/Settings!$B$4,1)</f>
        <v>0</v>
      </c>
      <c r="R14" s="0" t="n">
        <v>0.7</v>
      </c>
      <c r="S14" s="11" t="n">
        <f aca="false">O14*R14/(1-POWER((1-R14), (Q14+1)))</f>
        <v>56.25</v>
      </c>
      <c r="T14" s="0" t="n">
        <f aca="false">ROUND(S14,0)</f>
        <v>56</v>
      </c>
      <c r="U14" s="11" t="n">
        <f aca="false">T14*(1-POWER((1-R14), (Q14+1)))/R14</f>
        <v>56</v>
      </c>
      <c r="V14" s="13" t="n">
        <f aca="false">U14/O14</f>
        <v>0.995555555555555</v>
      </c>
      <c r="W14" s="11" t="n">
        <v>1.5</v>
      </c>
      <c r="X14" s="11" t="n">
        <f aca="false">T14*W14</f>
        <v>84</v>
      </c>
      <c r="Y14" s="6" t="str">
        <f aca="false">CEILING($C$1/(U14*$C$4),1, )&amp;" ("&amp;ROUND($C$1/(U14*$C$4),2)&amp;")"</f>
        <v>6 (5,6)</v>
      </c>
      <c r="Z14" s="6" t="str">
        <f aca="false">CEILING($C$2/(U14*$C$4),1, )&amp;" ("&amp;ROUND($C$2/(U14*$C$4),2)&amp;")"</f>
        <v>13 (12,4)</v>
      </c>
      <c r="AA14" s="6" t="str">
        <f aca="false">CEILING($C$3/(X14*$C$4),1, )&amp;" ("&amp;ROUND($C$3/(X14*$C$4),2)&amp;")"</f>
        <v>3 (2,64)</v>
      </c>
      <c r="AB14" s="18" t="n">
        <f aca="false">T14*G14/60</f>
        <v>700</v>
      </c>
      <c r="AC14" s="18" t="n">
        <f aca="false">E14*T14</f>
        <v>1680</v>
      </c>
      <c r="AD14" s="18" t="n">
        <f aca="false">E14*60/G14</f>
        <v>2.4</v>
      </c>
    </row>
    <row collapsed="false" customFormat="false" customHeight="false" hidden="false" ht="12.85" outlineLevel="0" r="15">
      <c r="A15" s="0" t="s">
        <v>221</v>
      </c>
      <c r="B15" s="0" t="s">
        <v>221</v>
      </c>
      <c r="C15" s="0" t="s">
        <v>114</v>
      </c>
      <c r="D15" s="0" t="n">
        <v>2</v>
      </c>
      <c r="E15" s="6" t="n">
        <v>30</v>
      </c>
      <c r="F15" s="0" t="n">
        <v>350</v>
      </c>
      <c r="G15" s="0" t="n">
        <v>600</v>
      </c>
      <c r="H15" s="17" t="n">
        <f aca="false">60/G15</f>
        <v>0.1</v>
      </c>
      <c r="I15" s="0" t="n">
        <v>1000</v>
      </c>
      <c r="J15" s="0" t="n">
        <f aca="false">'Rifle and Machinegun Ammo'!$F$5</f>
        <v>0.6</v>
      </c>
      <c r="K15" s="11" t="n">
        <f aca="false">E15*J15</f>
        <v>18</v>
      </c>
      <c r="L15" s="8" t="n">
        <v>3.74</v>
      </c>
      <c r="M15" s="0" t="n">
        <f aca="false">ROUND(L15*Settings!$B$2, 0)</f>
        <v>4</v>
      </c>
      <c r="N15" s="11" t="n">
        <v>2076.21875</v>
      </c>
      <c r="O15" s="11" t="n">
        <f aca="false">N15/Settings!$B$1</f>
        <v>103.8109375</v>
      </c>
      <c r="P15" s="16" t="n">
        <v>5727.5</v>
      </c>
      <c r="Q15" s="0" t="n">
        <f aca="false">FLOOR(P15/Settings!$B$4,1)</f>
        <v>1</v>
      </c>
      <c r="R15" s="0" t="n">
        <v>0.7</v>
      </c>
      <c r="S15" s="11" t="n">
        <f aca="false">O15*R15/(1-POWER((1-R15), (Q15+1)))</f>
        <v>79.8545673076923</v>
      </c>
      <c r="T15" s="0" t="n">
        <f aca="false">ROUND(S15,0)</f>
        <v>80</v>
      </c>
      <c r="U15" s="11" t="n">
        <f aca="false">T15*(1-POWER((1-R15), (Q15+1)))/R15</f>
        <v>104</v>
      </c>
      <c r="V15" s="13" t="n">
        <f aca="false">U15/O15</f>
        <v>1.00182121946447</v>
      </c>
      <c r="W15" s="11" t="n">
        <v>1.5</v>
      </c>
      <c r="X15" s="11" t="n">
        <f aca="false">T15*W15</f>
        <v>120</v>
      </c>
      <c r="Y15" s="6" t="str">
        <f aca="false">CEILING($C$1/(U15*$C$4),1, )&amp;" ("&amp;ROUND($C$1/(U15*$C$4),2)&amp;")"</f>
        <v>4 (3,01)</v>
      </c>
      <c r="Z15" s="6" t="str">
        <f aca="false">CEILING($C$2/(U15*$C$4),1, )&amp;" ("&amp;ROUND($C$2/(U15*$C$4),2)&amp;")"</f>
        <v>7 (6,68)</v>
      </c>
      <c r="AA15" s="6" t="str">
        <f aca="false">CEILING($C$3/(X15*$C$4),1, )&amp;" ("&amp;ROUND($C$3/(X15*$C$4),2)&amp;")"</f>
        <v>2 (1,85)</v>
      </c>
      <c r="AB15" s="18" t="n">
        <f aca="false">T15*G15/60</f>
        <v>800</v>
      </c>
      <c r="AC15" s="18" t="n">
        <f aca="false">E15*T15</f>
        <v>2400</v>
      </c>
      <c r="AD15" s="18" t="n">
        <f aca="false">E15*60/G15</f>
        <v>3</v>
      </c>
    </row>
    <row collapsed="false" customFormat="false" customHeight="false" hidden="false" ht="12.85" outlineLevel="0" r="16">
      <c r="A16" s="0" t="s">
        <v>222</v>
      </c>
      <c r="B16" s="0" t="s">
        <v>222</v>
      </c>
      <c r="C16" s="0" t="s">
        <v>41</v>
      </c>
      <c r="D16" s="0" t="n">
        <v>2</v>
      </c>
      <c r="E16" s="6" t="n">
        <v>30</v>
      </c>
      <c r="F16" s="0" t="n">
        <v>350</v>
      </c>
      <c r="G16" s="0" t="n">
        <v>600</v>
      </c>
      <c r="H16" s="17" t="n">
        <f aca="false">60/G16</f>
        <v>0.1</v>
      </c>
      <c r="I16" s="0" t="n">
        <v>1000</v>
      </c>
      <c r="J16" s="0" t="n">
        <f aca="false">'Rifle and Machinegun Ammo'!$F$5</f>
        <v>0.6</v>
      </c>
      <c r="K16" s="11" t="n">
        <f aca="false">E16*J16</f>
        <v>18</v>
      </c>
      <c r="L16" s="8" t="n">
        <v>4.3</v>
      </c>
      <c r="M16" s="0" t="n">
        <f aca="false">ROUND(L16*Settings!$B$2, 0)</f>
        <v>5</v>
      </c>
      <c r="N16" s="11" t="n">
        <v>2076.21875</v>
      </c>
      <c r="O16" s="11" t="n">
        <f aca="false">N16/Settings!$B$1</f>
        <v>103.8109375</v>
      </c>
      <c r="P16" s="16" t="n">
        <v>5727.5</v>
      </c>
      <c r="Q16" s="0" t="n">
        <f aca="false">FLOOR(P16/Settings!$B$4,1)</f>
        <v>1</v>
      </c>
      <c r="R16" s="0" t="n">
        <v>0.7</v>
      </c>
      <c r="S16" s="11" t="n">
        <f aca="false">O16*R16/(1-POWER((1-R16), (Q16+1)))</f>
        <v>79.8545673076923</v>
      </c>
      <c r="T16" s="0" t="n">
        <f aca="false">ROUND(S16,0)</f>
        <v>80</v>
      </c>
      <c r="U16" s="11" t="n">
        <f aca="false">T16*(1-POWER((1-R16), (Q16+1)))/R16</f>
        <v>104</v>
      </c>
      <c r="V16" s="13" t="n">
        <f aca="false">U16/O16</f>
        <v>1.00182121946447</v>
      </c>
      <c r="W16" s="11" t="n">
        <v>1.5</v>
      </c>
      <c r="X16" s="11" t="n">
        <f aca="false">T16*W16</f>
        <v>120</v>
      </c>
      <c r="Y16" s="6" t="str">
        <f aca="false">CEILING($C$1/(U16*$C$4),1, )&amp;" ("&amp;ROUND($C$1/(U16*$C$4),2)&amp;")"</f>
        <v>4 (3,01)</v>
      </c>
      <c r="Z16" s="6" t="str">
        <f aca="false">CEILING($C$2/(U16*$C$4),1, )&amp;" ("&amp;ROUND($C$2/(U16*$C$4),2)&amp;")"</f>
        <v>7 (6,68)</v>
      </c>
      <c r="AA16" s="6" t="str">
        <f aca="false">CEILING($C$3/(X16*$C$4),1, )&amp;" ("&amp;ROUND($C$3/(X16*$C$4),2)&amp;")"</f>
        <v>2 (1,85)</v>
      </c>
      <c r="AB16" s="18" t="n">
        <f aca="false">T16*G16/60</f>
        <v>800</v>
      </c>
      <c r="AC16" s="18" t="n">
        <f aca="false">E16*T16</f>
        <v>2400</v>
      </c>
      <c r="AD16" s="18" t="n">
        <f aca="false">E16*60/G16</f>
        <v>3</v>
      </c>
    </row>
    <row collapsed="false" customFormat="false" customHeight="false" hidden="false" ht="12.85" outlineLevel="0" r="17">
      <c r="A17" s="0" t="s">
        <v>223</v>
      </c>
      <c r="B17" s="0" t="s">
        <v>224</v>
      </c>
      <c r="C17" s="0" t="s">
        <v>114</v>
      </c>
      <c r="E17" s="6" t="n">
        <v>30</v>
      </c>
      <c r="F17" s="0" t="n">
        <v>400</v>
      </c>
      <c r="G17" s="0" t="n">
        <v>850</v>
      </c>
      <c r="H17" s="17" t="n">
        <f aca="false">60/G17</f>
        <v>0.0705882352941176</v>
      </c>
      <c r="J17" s="0" t="n">
        <f aca="false">'Rifle and Machinegun Ammo'!$F$4</f>
        <v>0.81</v>
      </c>
      <c r="K17" s="11" t="n">
        <f aca="false">E17*J17</f>
        <v>24.3</v>
      </c>
      <c r="L17" s="8" t="n">
        <v>4.1</v>
      </c>
      <c r="M17" s="0" t="n">
        <f aca="false">ROUND(L17*Settings!$B$2, 0)</f>
        <v>4</v>
      </c>
      <c r="N17" s="11" t="n">
        <v>1559.378</v>
      </c>
      <c r="O17" s="11" t="n">
        <f aca="false">N17/Settings!$B$1</f>
        <v>77.9689</v>
      </c>
      <c r="P17" s="16" t="n">
        <v>3532</v>
      </c>
      <c r="Q17" s="0" t="n">
        <f aca="false">FLOOR(P17/Settings!$B$4,1)</f>
        <v>0</v>
      </c>
      <c r="R17" s="0" t="n">
        <v>0.7</v>
      </c>
      <c r="S17" s="11" t="n">
        <f aca="false">O17*R17/(1-POWER((1-R17), (Q17+1)))</f>
        <v>77.9689</v>
      </c>
      <c r="T17" s="0" t="n">
        <f aca="false">ROUND(S17,0)</f>
        <v>78</v>
      </c>
      <c r="U17" s="11" t="n">
        <f aca="false">T17*(1-POWER((1-R17), (Q17+1)))/R17</f>
        <v>78</v>
      </c>
      <c r="V17" s="13" t="n">
        <f aca="false">U17/O17</f>
        <v>1.00039887698813</v>
      </c>
      <c r="W17" s="11" t="n">
        <v>1.5</v>
      </c>
      <c r="X17" s="11" t="n">
        <f aca="false">T17*W17</f>
        <v>117</v>
      </c>
      <c r="Y17" s="6" t="str">
        <f aca="false">CEILING($C$1/(U17*$C$4),1, )&amp;" ("&amp;ROUND($C$1/(U17*$C$4),2)&amp;")"</f>
        <v>5 (4,02)</v>
      </c>
      <c r="Z17" s="6" t="str">
        <f aca="false">CEILING($C$2/(U17*$C$4),1, )&amp;" ("&amp;ROUND($C$2/(U17*$C$4),2)&amp;")"</f>
        <v>9 (8,9)</v>
      </c>
      <c r="AA17" s="6" t="str">
        <f aca="false">CEILING($C$3/(X17*$C$4),1, )&amp;" ("&amp;ROUND($C$3/(X17*$C$4),2)&amp;")"</f>
        <v>2 (1,9)</v>
      </c>
      <c r="AB17" s="18" t="n">
        <f aca="false">T17*G17/60</f>
        <v>1105</v>
      </c>
      <c r="AC17" s="18" t="n">
        <f aca="false">E17*T17</f>
        <v>2340</v>
      </c>
      <c r="AD17" s="18" t="n">
        <f aca="false">E17*60/G17</f>
        <v>2.11764705882353</v>
      </c>
    </row>
    <row collapsed="false" customFormat="false" customHeight="false" hidden="false" ht="12.85" outlineLevel="0" r="18">
      <c r="A18" s="0" t="s">
        <v>225</v>
      </c>
      <c r="B18" s="0" t="s">
        <v>225</v>
      </c>
      <c r="C18" s="0" t="s">
        <v>41</v>
      </c>
      <c r="D18" s="0" t="n">
        <v>1</v>
      </c>
      <c r="E18" s="6" t="n">
        <v>30</v>
      </c>
      <c r="F18" s="0" t="n">
        <v>400</v>
      </c>
      <c r="G18" s="0" t="n">
        <v>900</v>
      </c>
      <c r="H18" s="17" t="n">
        <f aca="false">60/G18</f>
        <v>0.0666666666666667</v>
      </c>
      <c r="J18" s="0" t="n">
        <f aca="false">'Rifle and Machinegun Ammo'!$F$10</f>
        <v>0.74</v>
      </c>
      <c r="K18" s="11" t="n">
        <f aca="false">E18*J18</f>
        <v>22.2</v>
      </c>
      <c r="L18" s="8" t="n">
        <v>3.615</v>
      </c>
      <c r="M18" s="0" t="n">
        <f aca="false">ROUND(L18*Settings!$B$2, 0)</f>
        <v>4</v>
      </c>
      <c r="N18" s="11" t="n">
        <v>1328.096</v>
      </c>
      <c r="O18" s="11" t="n">
        <f aca="false">N18/Settings!$B$1</f>
        <v>66.4048</v>
      </c>
      <c r="P18" s="16" t="n">
        <v>3018.4</v>
      </c>
      <c r="Q18" s="0" t="n">
        <f aca="false">FLOOR(P18/Settings!$B$4,1)</f>
        <v>0</v>
      </c>
      <c r="R18" s="0" t="n">
        <v>0.7</v>
      </c>
      <c r="S18" s="11" t="n">
        <f aca="false">O18*R18/(1-POWER((1-R18), (Q18+1)))</f>
        <v>66.4048</v>
      </c>
      <c r="T18" s="0" t="n">
        <f aca="false">ROUND(S18,0)</f>
        <v>66</v>
      </c>
      <c r="U18" s="11" t="n">
        <f aca="false">T18*(1-POWER((1-R18), (Q18+1)))/R18</f>
        <v>66</v>
      </c>
      <c r="V18" s="13" t="n">
        <f aca="false">U18/O18</f>
        <v>0.993904055128545</v>
      </c>
      <c r="W18" s="11" t="n">
        <v>1.5</v>
      </c>
      <c r="X18" s="11" t="n">
        <f aca="false">T18*W18</f>
        <v>99</v>
      </c>
      <c r="Y18" s="6" t="str">
        <f aca="false">CEILING($C$1/(U18*$C$4),1, )&amp;" ("&amp;ROUND($C$1/(U18*$C$4),2)&amp;")"</f>
        <v>5 (4,75)</v>
      </c>
      <c r="Z18" s="6" t="str">
        <f aca="false">CEILING($C$2/(U18*$C$4),1, )&amp;" ("&amp;ROUND($C$2/(U18*$C$4),2)&amp;")"</f>
        <v>11 (10,52)</v>
      </c>
      <c r="AA18" s="6" t="str">
        <f aca="false">CEILING($C$3/(X18*$C$4),1, )&amp;" ("&amp;ROUND($C$3/(X18*$C$4),2)&amp;")"</f>
        <v>3 (2,24)</v>
      </c>
      <c r="AB18" s="18" t="n">
        <f aca="false">T18*G18/60</f>
        <v>990</v>
      </c>
      <c r="AC18" s="18" t="n">
        <f aca="false">E18*T18</f>
        <v>1980</v>
      </c>
      <c r="AD18" s="18" t="n">
        <f aca="false">E18*60/G18</f>
        <v>2</v>
      </c>
    </row>
    <row collapsed="false" customFormat="false" customHeight="false" hidden="false" ht="12.85" outlineLevel="0" r="19">
      <c r="A19" s="0" t="s">
        <v>226</v>
      </c>
      <c r="B19" s="0" t="s">
        <v>227</v>
      </c>
      <c r="C19" s="0" t="s">
        <v>114</v>
      </c>
      <c r="E19" s="6" t="n">
        <v>30</v>
      </c>
      <c r="F19" s="0" t="n">
        <v>400</v>
      </c>
      <c r="G19" s="0" t="n">
        <v>600</v>
      </c>
      <c r="H19" s="17" t="n">
        <f aca="false">60/G19</f>
        <v>0.1</v>
      </c>
      <c r="J19" s="0" t="n">
        <f aca="false">'Rifle and Machinegun Ammo'!$F$10</f>
        <v>0.74</v>
      </c>
      <c r="K19" s="11" t="n">
        <f aca="false">E19*J19</f>
        <v>22.2</v>
      </c>
      <c r="L19" s="8" t="n">
        <v>4.165</v>
      </c>
      <c r="M19" s="0" t="n">
        <f aca="false">ROUND(L19*Settings!$B$2, 0)</f>
        <v>4</v>
      </c>
      <c r="N19" s="11" t="n">
        <v>1298.0835</v>
      </c>
      <c r="O19" s="11" t="n">
        <f aca="false">N19/Settings!$B$1</f>
        <v>64.904175</v>
      </c>
      <c r="P19" s="16" t="n">
        <v>2984.1</v>
      </c>
      <c r="Q19" s="0" t="n">
        <f aca="false">FLOOR(P19/Settings!$B$4,1)</f>
        <v>0</v>
      </c>
      <c r="R19" s="0" t="n">
        <v>0.7</v>
      </c>
      <c r="S19" s="11" t="n">
        <f aca="false">O19*R19/(1-POWER((1-R19), (Q19+1)))</f>
        <v>64.904175</v>
      </c>
      <c r="T19" s="0" t="n">
        <f aca="false">ROUND(S19,0)</f>
        <v>65</v>
      </c>
      <c r="U19" s="11" t="n">
        <f aca="false">T19*(1-POWER((1-R19), (Q19+1)))/R19</f>
        <v>65</v>
      </c>
      <c r="V19" s="13" t="n">
        <f aca="false">U19/O19</f>
        <v>1.00147640733435</v>
      </c>
      <c r="W19" s="11" t="n">
        <v>1.5</v>
      </c>
      <c r="X19" s="11" t="n">
        <f aca="false">T19*W19</f>
        <v>97.5</v>
      </c>
      <c r="Y19" s="6" t="str">
        <f aca="false">CEILING($C$1/(U19*$C$4),1, )&amp;" ("&amp;ROUND($C$1/(U19*$C$4),2)&amp;")"</f>
        <v>5 (4,82)</v>
      </c>
      <c r="Z19" s="6" t="str">
        <f aca="false">CEILING($C$2/(U19*$C$4),1, )&amp;" ("&amp;ROUND($C$2/(U19*$C$4),2)&amp;")"</f>
        <v>11 (10,68)</v>
      </c>
      <c r="AA19" s="6" t="str">
        <f aca="false">CEILING($C$3/(X19*$C$4),1, )&amp;" ("&amp;ROUND($C$3/(X19*$C$4),2)&amp;")"</f>
        <v>3 (2,27)</v>
      </c>
      <c r="AB19" s="18" t="n">
        <f aca="false">T19*G19/60</f>
        <v>650</v>
      </c>
      <c r="AC19" s="18" t="n">
        <f aca="false">E19*T19</f>
        <v>1950</v>
      </c>
      <c r="AD19" s="18" t="n">
        <f aca="false">E19*60/G19</f>
        <v>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0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bottomRight" state="frozen" topLeftCell="E7" xSplit="4" ySplit="6"/>
      <selection activeCell="A1" activeCellId="0" pane="topLeft" sqref="A1"/>
      <selection activeCell="E1" activeCellId="0" pane="topRight" sqref="E1"/>
      <selection activeCell="A7" activeCellId="0" pane="bottomLeft" sqref="A7"/>
      <selection activeCell="U10" activeCellId="0" pane="bottomRight" sqref="U10"/>
    </sheetView>
  </sheetViews>
  <sheetFormatPr defaultRowHeight="12.85"/>
  <cols>
    <col collapsed="false" hidden="false" max="1" min="1" style="0" width="13.265306122449"/>
    <col collapsed="false" hidden="false" max="2" min="2" style="0" width="29.219387755102"/>
    <col collapsed="false" hidden="false" max="3" min="3" style="0" width="7.07142857142857"/>
    <col collapsed="false" hidden="false" max="5" min="4" style="0" width="9.47448979591837"/>
    <col collapsed="false" hidden="false" max="6" min="6" style="0" width="11.5918367346939"/>
    <col collapsed="false" hidden="false" max="7" min="7" style="0" width="11.4489795918367"/>
    <col collapsed="false" hidden="false" max="8" min="8" style="0" width="13.1377551020408"/>
    <col collapsed="false" hidden="false" max="10" min="9" style="0" width="11.4489795918367"/>
    <col collapsed="false" hidden="false" max="12" min="12" style="0" width="7.91836734693878"/>
    <col collapsed="false" hidden="false" max="13" min="13" style="0" width="8.06122448979592"/>
    <col collapsed="false" hidden="false" max="14" min="14" style="0" width="9.05102040816327"/>
    <col collapsed="false" hidden="false" max="15" min="15" style="0" width="10.7448979591837"/>
    <col collapsed="false" hidden="false" max="16" min="16" style="0" width="8.63265306122449"/>
    <col collapsed="false" hidden="false" max="17" min="17" style="0" width="12.5816326530612"/>
    <col collapsed="false" hidden="false" max="18" min="18" style="0" width="13.2857142857143"/>
    <col collapsed="false" hidden="false" max="19" min="19" style="0" width="13.1377551020408"/>
    <col collapsed="false" hidden="false" max="20" min="20" style="0" width="8.35204081632653"/>
    <col collapsed="false" hidden="false" max="21" min="21" style="0" width="6.09183673469388"/>
    <col collapsed="false" hidden="false" max="22" min="22" style="0" width="9.75510204081633"/>
    <col collapsed="false" hidden="false" max="23" min="23" style="0" width="12.8622448979592"/>
    <col collapsed="false" hidden="false" max="24" min="24" style="0" width="8.48469387755102"/>
    <col collapsed="false" hidden="false" max="26" min="25" style="0" width="10.3214285714286"/>
    <col collapsed="false" hidden="false" max="27" min="27" style="0" width="7.07142857142857"/>
    <col collapsed="false" hidden="false" max="28" min="28" style="0" width="9.47448979591837"/>
    <col collapsed="false" hidden="false" max="29" min="29" style="0" width="9.62244897959184"/>
    <col collapsed="false" hidden="false" max="30" min="30" style="0" width="6.37244897959184"/>
    <col collapsed="false" hidden="false" max="1025" min="31" style="0" width="11.5204081632653"/>
  </cols>
  <sheetData>
    <row collapsed="false" customFormat="false" customHeight="false" hidden="false" ht="12.85" outlineLevel="0" r="1">
      <c r="B1" s="2" t="s">
        <v>5</v>
      </c>
      <c r="C1" s="2" t="n">
        <v>438.75</v>
      </c>
      <c r="D1" s="1"/>
    </row>
    <row collapsed="false" customFormat="false" customHeight="false" hidden="false" ht="12.85" outlineLevel="0" r="2">
      <c r="B2" s="2" t="s">
        <v>6</v>
      </c>
      <c r="C2" s="2" t="n">
        <v>972</v>
      </c>
      <c r="D2" s="1"/>
    </row>
    <row collapsed="false" customFormat="false" customHeight="false" hidden="false" ht="12.85" outlineLevel="0" r="3">
      <c r="B3" s="2" t="s">
        <v>7</v>
      </c>
      <c r="C3" s="2" t="n">
        <v>310.5</v>
      </c>
      <c r="D3" s="1"/>
    </row>
    <row collapsed="false" customFormat="false" customHeight="false" hidden="false" ht="12.85" outlineLevel="0" r="4">
      <c r="B4" s="2" t="s">
        <v>8</v>
      </c>
      <c r="C4" s="2" t="n">
        <v>1.4</v>
      </c>
      <c r="D4" s="1"/>
    </row>
    <row collapsed="false" customFormat="true" customHeight="false" hidden="false" ht="12.85" outlineLevel="0" r="6" s="1">
      <c r="A6" s="3" t="s">
        <v>9</v>
      </c>
      <c r="B6" s="3" t="s">
        <v>10</v>
      </c>
      <c r="C6" s="3" t="s">
        <v>11</v>
      </c>
      <c r="D6" s="3" t="s">
        <v>12</v>
      </c>
      <c r="E6" s="4" t="s">
        <v>13</v>
      </c>
      <c r="F6" s="4" t="s">
        <v>16</v>
      </c>
      <c r="G6" s="4" t="s">
        <v>14</v>
      </c>
      <c r="H6" s="4" t="s">
        <v>17</v>
      </c>
      <c r="I6" s="4" t="s">
        <v>18</v>
      </c>
      <c r="J6" s="4" t="s">
        <v>19</v>
      </c>
      <c r="K6" s="3" t="s">
        <v>207</v>
      </c>
      <c r="L6" s="4" t="s">
        <v>21</v>
      </c>
      <c r="M6" s="3" t="s">
        <v>24</v>
      </c>
      <c r="N6" s="3" t="s">
        <v>25</v>
      </c>
      <c r="O6" s="3" t="s">
        <v>102</v>
      </c>
      <c r="P6" s="3" t="s">
        <v>26</v>
      </c>
      <c r="Q6" s="3" t="s">
        <v>27</v>
      </c>
      <c r="R6" s="3" t="s">
        <v>28</v>
      </c>
      <c r="S6" s="4" t="s">
        <v>29</v>
      </c>
      <c r="T6" s="3" t="s">
        <v>30</v>
      </c>
      <c r="U6" s="3" t="s">
        <v>31</v>
      </c>
      <c r="V6" s="5" t="s">
        <v>32</v>
      </c>
      <c r="W6" s="5" t="s">
        <v>33</v>
      </c>
      <c r="X6" s="5" t="s">
        <v>36</v>
      </c>
      <c r="Y6" s="5" t="s">
        <v>132</v>
      </c>
      <c r="Z6" s="5" t="s">
        <v>133</v>
      </c>
      <c r="AA6" s="5" t="s">
        <v>134</v>
      </c>
      <c r="AB6" s="5" t="s">
        <v>135</v>
      </c>
      <c r="AC6" s="5" t="s">
        <v>136</v>
      </c>
      <c r="AD6" s="3" t="s">
        <v>39</v>
      </c>
      <c r="AMI6" s="0"/>
      <c r="AMJ6" s="0"/>
    </row>
    <row collapsed="false" customFormat="false" customHeight="false" hidden="false" ht="12.85" outlineLevel="0" r="7">
      <c r="A7" s="0" t="s">
        <v>228</v>
      </c>
      <c r="B7" s="0" t="s">
        <v>228</v>
      </c>
      <c r="C7" s="0" t="s">
        <v>41</v>
      </c>
      <c r="E7" s="0" t="n">
        <v>200</v>
      </c>
      <c r="F7" s="0" t="n">
        <v>600</v>
      </c>
      <c r="G7" s="0" t="n">
        <v>775</v>
      </c>
      <c r="I7" s="0" t="n">
        <f aca="false">'Rifle and Machinegun Ammo'!$F$4</f>
        <v>0.81</v>
      </c>
      <c r="J7" s="11" t="n">
        <f aca="false">E7*I7</f>
        <v>162</v>
      </c>
      <c r="K7" s="8" t="n">
        <v>8.2</v>
      </c>
      <c r="L7" s="0" t="n">
        <f aca="false">ROUND(K7*Settings!$B$2, 0)</f>
        <v>9</v>
      </c>
      <c r="M7" s="0" t="n">
        <v>1686</v>
      </c>
      <c r="N7" s="11" t="n">
        <f aca="false">M7/Settings!$B$1</f>
        <v>84.3</v>
      </c>
      <c r="O7" s="11"/>
      <c r="P7" s="0" t="n">
        <f aca="false">FLOOR(O7/Settings!$B$4,1)</f>
        <v>0</v>
      </c>
      <c r="Q7" s="0" t="n">
        <v>0.7</v>
      </c>
      <c r="R7" s="11" t="n">
        <f aca="false">N7*Q7/(1-POWER((1-Q7), (P7+1)))</f>
        <v>84.3</v>
      </c>
      <c r="S7" s="0" t="n">
        <f aca="false">ROUND(R7,0)</f>
        <v>84</v>
      </c>
      <c r="T7" s="11" t="n">
        <f aca="false">S7*(1-POWER((1-Q7), (P7+1)))/Q7</f>
        <v>84</v>
      </c>
      <c r="U7" s="13" t="n">
        <f aca="false">T7/N7</f>
        <v>0.99644128113879</v>
      </c>
      <c r="V7" s="11" t="n">
        <v>1.5</v>
      </c>
      <c r="W7" s="11" t="n">
        <f aca="false">S7*V7</f>
        <v>126</v>
      </c>
      <c r="X7" s="6" t="str">
        <f aca="false">CEILING($C$1/(T7*$C$4),1, )&amp;" ("&amp;ROUND($C$1/(T7*$C$4),2)&amp;")"</f>
        <v>4 (3,73)</v>
      </c>
      <c r="Y7" s="6" t="str">
        <f aca="false">CEILING($C$2/(T7*$C$4),1, )&amp;" ("&amp;ROUND($C$2/(T7*$C$4),2)&amp;")"</f>
        <v>9 (8,27)</v>
      </c>
      <c r="Z7" s="6" t="str">
        <f aca="false">CEILING($C$3/(W7*$C$4),1, )&amp;" ("&amp;ROUND($C$3/(W7*$C$4),2)&amp;")"</f>
        <v>2 (1,76)</v>
      </c>
      <c r="AA7" s="18" t="n">
        <f aca="false">S7*G7/60</f>
        <v>1085</v>
      </c>
      <c r="AB7" s="18" t="n">
        <f aca="false">E7*S7</f>
        <v>16800</v>
      </c>
      <c r="AC7" s="18" t="n">
        <f aca="false">E7*60/G7</f>
        <v>15.4838709677419</v>
      </c>
    </row>
    <row collapsed="false" customFormat="false" customHeight="false" hidden="false" ht="12.85" outlineLevel="0" r="8">
      <c r="A8" s="0" t="s">
        <v>229</v>
      </c>
      <c r="B8" s="0" t="s">
        <v>229</v>
      </c>
      <c r="C8" s="0" t="s">
        <v>41</v>
      </c>
      <c r="E8" s="0" t="n">
        <v>40</v>
      </c>
      <c r="F8" s="0" t="n">
        <v>400</v>
      </c>
      <c r="G8" s="0" t="n">
        <v>600</v>
      </c>
      <c r="I8" s="0" t="n">
        <f aca="false">'Rifle and Machinegun Ammo'!$F$5</f>
        <v>0.6</v>
      </c>
      <c r="J8" s="11" t="n">
        <f aca="false">E8*I8</f>
        <v>24</v>
      </c>
      <c r="K8" s="8" t="n">
        <v>5.85</v>
      </c>
      <c r="L8" s="0" t="n">
        <f aca="false">ROUND(K8*Settings!$B$2, 0)</f>
        <v>6</v>
      </c>
      <c r="M8" s="0" t="n">
        <v>2280</v>
      </c>
      <c r="N8" s="11" t="n">
        <f aca="false">M8/Settings!$B$1</f>
        <v>114</v>
      </c>
      <c r="O8" s="11"/>
      <c r="P8" s="0" t="n">
        <f aca="false">FLOOR(O8/Settings!$B$4,1)</f>
        <v>0</v>
      </c>
      <c r="Q8" s="0" t="n">
        <v>0.7</v>
      </c>
      <c r="R8" s="11" t="n">
        <f aca="false">N8*Q8/(1-POWER((1-Q8), (P8+1)))</f>
        <v>114</v>
      </c>
      <c r="S8" s="0" t="n">
        <f aca="false">ROUND(R8,0)</f>
        <v>114</v>
      </c>
      <c r="T8" s="11" t="n">
        <f aca="false">S8*(1-POWER((1-Q8), (P8+1)))/Q8</f>
        <v>114</v>
      </c>
      <c r="U8" s="13" t="n">
        <f aca="false">T8/N8</f>
        <v>1</v>
      </c>
      <c r="V8" s="11" t="n">
        <v>1.5</v>
      </c>
      <c r="W8" s="11" t="n">
        <f aca="false">S8*V8</f>
        <v>171</v>
      </c>
      <c r="X8" s="6" t="str">
        <f aca="false">CEILING($C$1/(T8*$C$4),1, )&amp;" ("&amp;ROUND($C$1/(T8*$C$4),2)&amp;")"</f>
        <v>3 (2,75)</v>
      </c>
      <c r="Y8" s="6" t="str">
        <f aca="false">CEILING($C$2/(T8*$C$4),1, )&amp;" ("&amp;ROUND($C$2/(T8*$C$4),2)&amp;")"</f>
        <v>7 (6,09)</v>
      </c>
      <c r="Z8" s="6" t="str">
        <f aca="false">CEILING($C$3/(W8*$C$4),1, )&amp;" ("&amp;ROUND($C$3/(W8*$C$4),2)&amp;")"</f>
        <v>2 (1,3)</v>
      </c>
      <c r="AA8" s="18" t="n">
        <f aca="false">S8*G8/60</f>
        <v>1140</v>
      </c>
      <c r="AB8" s="18" t="n">
        <f aca="false">E8*S8</f>
        <v>4560</v>
      </c>
      <c r="AC8" s="18" t="n">
        <f aca="false">E8*60/G8</f>
        <v>4</v>
      </c>
    </row>
    <row collapsed="false" customFormat="false" customHeight="false" hidden="false" ht="12.85" outlineLevel="0" r="9">
      <c r="A9" s="0" t="s">
        <v>230</v>
      </c>
      <c r="B9" s="0" t="s">
        <v>230</v>
      </c>
      <c r="C9" s="0" t="s">
        <v>41</v>
      </c>
      <c r="E9" s="0" t="n">
        <v>200</v>
      </c>
      <c r="F9" s="0" t="n">
        <v>600</v>
      </c>
      <c r="G9" s="0" t="n">
        <v>700</v>
      </c>
      <c r="I9" s="0" t="n">
        <f aca="false">'Rifle and Machinegun Ammo'!$F$7</f>
        <v>0.59</v>
      </c>
      <c r="J9" s="11" t="n">
        <f aca="false">E9*I9</f>
        <v>118</v>
      </c>
      <c r="K9" s="8" t="n">
        <v>12.86</v>
      </c>
      <c r="L9" s="0" t="n">
        <f aca="false">ROUND(K9*Settings!$B$2, 0)</f>
        <v>14</v>
      </c>
      <c r="M9" s="0" t="n">
        <v>3270</v>
      </c>
      <c r="N9" s="11" t="n">
        <f aca="false">M9/Settings!$B$1</f>
        <v>163.5</v>
      </c>
      <c r="O9" s="11"/>
      <c r="P9" s="0" t="n">
        <f aca="false">FLOOR(O9/Settings!$B$4,1)</f>
        <v>0</v>
      </c>
      <c r="Q9" s="0" t="n">
        <v>0.7</v>
      </c>
      <c r="R9" s="11" t="n">
        <f aca="false">N9*Q9/(1-POWER((1-Q9), (P9+1)))</f>
        <v>163.5</v>
      </c>
      <c r="S9" s="0" t="n">
        <f aca="false">ROUND(R9,0)</f>
        <v>164</v>
      </c>
      <c r="T9" s="11" t="n">
        <f aca="false">S9*(1-POWER((1-Q9), (P9+1)))/Q9</f>
        <v>164</v>
      </c>
      <c r="U9" s="13" t="n">
        <f aca="false">T9/N9</f>
        <v>1.00305810397554</v>
      </c>
      <c r="V9" s="11" t="n">
        <v>1.5</v>
      </c>
      <c r="W9" s="11" t="n">
        <f aca="false">S9*V9</f>
        <v>246</v>
      </c>
      <c r="X9" s="6" t="str">
        <f aca="false">CEILING($C$1/(T9*$C$4),1, )&amp;" ("&amp;ROUND($C$1/(T9*$C$4),2)&amp;")"</f>
        <v>2 (1,91)</v>
      </c>
      <c r="Y9" s="6" t="str">
        <f aca="false">CEILING($C$2/(T9*$C$4),1, )&amp;" ("&amp;ROUND($C$2/(T9*$C$4),2)&amp;")"</f>
        <v>5 (4,23)</v>
      </c>
      <c r="Z9" s="6" t="str">
        <f aca="false">CEILING($C$3/(W9*$C$4),1, )&amp;" ("&amp;ROUND($C$3/(W9*$C$4),2)&amp;")"</f>
        <v>1 (0,9)</v>
      </c>
      <c r="AA9" s="18" t="n">
        <f aca="false">S9*G9/60</f>
        <v>1913.33333333333</v>
      </c>
      <c r="AB9" s="18" t="n">
        <f aca="false">E9*S9</f>
        <v>32800</v>
      </c>
      <c r="AC9" s="18" t="n">
        <f aca="false">E9*60/G9</f>
        <v>17.1428571428571</v>
      </c>
    </row>
    <row collapsed="false" customFormat="false" customHeight="false" hidden="false" ht="12.85" outlineLevel="0" r="10">
      <c r="A10" s="0" t="s">
        <v>231</v>
      </c>
      <c r="B10" s="0" t="s">
        <v>231</v>
      </c>
      <c r="C10" s="0" t="s">
        <v>128</v>
      </c>
      <c r="E10" s="0" t="n">
        <v>200</v>
      </c>
      <c r="J10" s="11" t="n">
        <f aca="false">E10*I10</f>
        <v>0</v>
      </c>
      <c r="L10" s="0" t="n">
        <f aca="false">ROUND(K10*Settings!$B$2, 0)</f>
        <v>0</v>
      </c>
      <c r="N10" s="11" t="n">
        <f aca="false">M10/Settings!$B$1</f>
        <v>0</v>
      </c>
      <c r="P10" s="0" t="n">
        <f aca="false">FLOOR(O10/Settings!$B$4,1)</f>
        <v>0</v>
      </c>
      <c r="Q10" s="0" t="n">
        <v>0.7</v>
      </c>
      <c r="R10" s="11" t="n">
        <f aca="false">N10*Q10/(1-POWER((1-Q10), (P10+1)))</f>
        <v>0</v>
      </c>
      <c r="S10" s="0" t="n">
        <f aca="false">ROUND(R10,0)</f>
        <v>0</v>
      </c>
      <c r="T10" s="11" t="n">
        <f aca="false">S10*(1-POWER((1-Q10), (P10+1)))/Q10</f>
        <v>0</v>
      </c>
      <c r="U10" s="13" t="e">
        <f aca="false">T10/N10</f>
        <v>#DIV/0!</v>
      </c>
      <c r="V10" s="11" t="n">
        <v>1.5</v>
      </c>
      <c r="W10" s="11" t="n">
        <f aca="false">S10*V10</f>
        <v>0</v>
      </c>
      <c r="X10" s="6" t="e">
        <f aca="false">CEILING($C$1/(T10*$C$4),1, )&amp;" ("&amp;ROUND($C$1/(T10*$C$4),2)&amp;")"</f>
        <v>#DIV/0!</v>
      </c>
      <c r="Y10" s="6" t="e">
        <f aca="false">CEILING($C$2/(T10*$C$4),1, )&amp;" ("&amp;ROUND($C$2/(T10*$C$4),2)&amp;")"</f>
        <v>#DIV/0!</v>
      </c>
      <c r="Z10" s="6" t="e">
        <f aca="false">CEILING($C$3/(W10*$C$4),1, )&amp;" ("&amp;ROUND($C$3/(W10*$C$4),2)&amp;")"</f>
        <v>#DIV/0!</v>
      </c>
      <c r="AA10" s="18" t="n">
        <f aca="false">S10*G10/60</f>
        <v>0</v>
      </c>
      <c r="AB10" s="18" t="n">
        <f aca="false">E10*S10</f>
        <v>0</v>
      </c>
      <c r="AC10" s="18" t="e">
        <f aca="false">E10*60/G10</f>
        <v>#DIV/0!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4265377</TotalTime>
  <Application>LibreOffice/4.1.3.2$Windows_x86 LibreOffice_project/70feb7d99726f064edab4605a8ab840c50ec57a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2013-10-20T20:55:51Z</dcterms:created>
  <dcterms:modified xsi:type="dcterms:W3CDTF">2015-08-29T19:27:20Z</dcterms:modified>
  <cp:revision>71</cp:revision>
</cp:coreProperties>
</file>