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elch\Google Drive\Work\Nhaka Life\myNhaka\Administration\"/>
    </mc:Choice>
  </mc:AlternateContent>
  <xr:revisionPtr revIDLastSave="0" documentId="13_ncr:1_{487C99E2-C4BB-493D-B9AC-A514CF12E7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B52" i="1"/>
  <c r="L56" i="1"/>
  <c r="L58" i="1"/>
  <c r="L60" i="1"/>
  <c r="L62" i="1"/>
  <c r="L65" i="1"/>
  <c r="L70" i="1"/>
  <c r="L72" i="1"/>
  <c r="L74" i="1"/>
  <c r="L76" i="1"/>
  <c r="L78" i="1"/>
  <c r="L80" i="1"/>
  <c r="L82" i="1"/>
  <c r="L84" i="1"/>
  <c r="L86" i="1"/>
  <c r="L88" i="1"/>
  <c r="L90" i="1"/>
  <c r="L92" i="1"/>
  <c r="L98" i="1"/>
  <c r="L100" i="1"/>
  <c r="L102" i="1"/>
  <c r="L104" i="1"/>
  <c r="L106" i="1"/>
  <c r="L108" i="1"/>
  <c r="L110" i="1"/>
  <c r="L112" i="1"/>
  <c r="L115" i="1"/>
  <c r="L117" i="1"/>
  <c r="L119" i="1"/>
  <c r="L121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83" i="1"/>
  <c r="L185" i="1"/>
  <c r="L187" i="1"/>
  <c r="L189" i="1"/>
  <c r="L191" i="1"/>
  <c r="L193" i="1"/>
  <c r="L195" i="1"/>
  <c r="C114" i="1"/>
  <c r="B195" i="1"/>
  <c r="E195" i="1" s="1"/>
  <c r="B193" i="1"/>
  <c r="E193" i="1" s="1"/>
  <c r="B191" i="1"/>
  <c r="E191" i="1" s="1"/>
  <c r="B189" i="1"/>
  <c r="E189" i="1" s="1"/>
  <c r="B187" i="1"/>
  <c r="E187" i="1" s="1"/>
  <c r="B185" i="1"/>
  <c r="E185" i="1" s="1"/>
  <c r="B183" i="1"/>
  <c r="E183" i="1" s="1"/>
  <c r="D178" i="1"/>
  <c r="B177" i="1"/>
  <c r="E177" i="1" s="1"/>
  <c r="B175" i="1"/>
  <c r="E175" i="1" s="1"/>
  <c r="B173" i="1"/>
  <c r="E173" i="1" s="1"/>
  <c r="B171" i="1"/>
  <c r="E171" i="1" s="1"/>
  <c r="B169" i="1"/>
  <c r="E169" i="1" s="1"/>
  <c r="B167" i="1"/>
  <c r="E167" i="1" s="1"/>
  <c r="B165" i="1"/>
  <c r="E165" i="1" s="1"/>
  <c r="B163" i="1"/>
  <c r="E163" i="1" s="1"/>
  <c r="B161" i="1"/>
  <c r="E161" i="1" s="1"/>
  <c r="B159" i="1"/>
  <c r="E159" i="1" s="1"/>
  <c r="B157" i="1"/>
  <c r="E157" i="1" s="1"/>
  <c r="B155" i="1"/>
  <c r="E155" i="1" s="1"/>
  <c r="D150" i="1"/>
  <c r="B149" i="1"/>
  <c r="E149" i="1" s="1"/>
  <c r="B147" i="1"/>
  <c r="E147" i="1" s="1"/>
  <c r="B145" i="1"/>
  <c r="E145" i="1" s="1"/>
  <c r="B143" i="1"/>
  <c r="E143" i="1" s="1"/>
  <c r="B141" i="1"/>
  <c r="E141" i="1" s="1"/>
  <c r="B139" i="1"/>
  <c r="E139" i="1" s="1"/>
  <c r="B137" i="1"/>
  <c r="E137" i="1" s="1"/>
  <c r="B135" i="1"/>
  <c r="E135" i="1" s="1"/>
  <c r="B133" i="1"/>
  <c r="E133" i="1" s="1"/>
  <c r="B131" i="1"/>
  <c r="E131" i="1" s="1"/>
  <c r="B129" i="1"/>
  <c r="E129" i="1" s="1"/>
  <c r="B127" i="1"/>
  <c r="E127" i="1" s="1"/>
  <c r="D122" i="1"/>
  <c r="B121" i="1"/>
  <c r="E121" i="1" s="1"/>
  <c r="B119" i="1"/>
  <c r="E119" i="1" s="1"/>
  <c r="B117" i="1"/>
  <c r="E117" i="1" s="1"/>
  <c r="B115" i="1"/>
  <c r="B112" i="1"/>
  <c r="E112" i="1" s="1"/>
  <c r="B110" i="1"/>
  <c r="E110" i="1" s="1"/>
  <c r="B108" i="1"/>
  <c r="E108" i="1" s="1"/>
  <c r="B106" i="1"/>
  <c r="E106" i="1" s="1"/>
  <c r="B104" i="1"/>
  <c r="E104" i="1" s="1"/>
  <c r="B102" i="1"/>
  <c r="E102" i="1" s="1"/>
  <c r="B100" i="1"/>
  <c r="E100" i="1" s="1"/>
  <c r="B98" i="1"/>
  <c r="B92" i="1"/>
  <c r="E92" i="1" s="1"/>
  <c r="B90" i="1"/>
  <c r="E90" i="1" s="1"/>
  <c r="B88" i="1"/>
  <c r="E88" i="1" s="1"/>
  <c r="B86" i="1"/>
  <c r="E86" i="1" s="1"/>
  <c r="B84" i="1"/>
  <c r="E84" i="1" s="1"/>
  <c r="B82" i="1"/>
  <c r="E82" i="1" s="1"/>
  <c r="B80" i="1"/>
  <c r="E80" i="1" s="1"/>
  <c r="B78" i="1"/>
  <c r="E78" i="1" s="1"/>
  <c r="B76" i="1"/>
  <c r="E76" i="1" s="1"/>
  <c r="B74" i="1"/>
  <c r="E74" i="1" s="1"/>
  <c r="B72" i="1"/>
  <c r="E72" i="1" s="1"/>
  <c r="B70" i="1"/>
  <c r="D93" i="1"/>
  <c r="D65" i="1"/>
  <c r="B64" i="1"/>
  <c r="E64" i="1" s="1"/>
  <c r="B62" i="1"/>
  <c r="E62" i="1" s="1"/>
  <c r="B60" i="1"/>
  <c r="E60" i="1" s="1"/>
  <c r="B58" i="1"/>
  <c r="E58" i="1" s="1"/>
  <c r="B56" i="1"/>
  <c r="E56" i="1" s="1"/>
  <c r="B26" i="1"/>
  <c r="G56" i="1" l="1"/>
  <c r="G117" i="1"/>
  <c r="G112" i="1"/>
  <c r="M65" i="1"/>
  <c r="Q65" i="1" s="1"/>
  <c r="O65" i="1"/>
  <c r="S65" i="1" s="1"/>
  <c r="G58" i="1"/>
  <c r="N65" i="1"/>
  <c r="R65" i="1" s="1"/>
  <c r="G62" i="1"/>
  <c r="G74" i="1"/>
  <c r="M80" i="1"/>
  <c r="Q80" i="1" s="1"/>
  <c r="O80" i="1"/>
  <c r="S80" i="1" s="1"/>
  <c r="N80" i="1"/>
  <c r="R80" i="1" s="1"/>
  <c r="G78" i="1"/>
  <c r="M84" i="1"/>
  <c r="Q84" i="1" s="1"/>
  <c r="O84" i="1"/>
  <c r="S84" i="1" s="1"/>
  <c r="N84" i="1"/>
  <c r="R84" i="1" s="1"/>
  <c r="G82" i="1"/>
  <c r="M88" i="1"/>
  <c r="Q88" i="1" s="1"/>
  <c r="O88" i="1"/>
  <c r="S88" i="1" s="1"/>
  <c r="N88" i="1"/>
  <c r="R88" i="1" s="1"/>
  <c r="G86" i="1"/>
  <c r="M92" i="1"/>
  <c r="Q92" i="1" s="1"/>
  <c r="O92" i="1"/>
  <c r="S92" i="1" s="1"/>
  <c r="N92" i="1"/>
  <c r="R92" i="1" s="1"/>
  <c r="G90" i="1"/>
  <c r="G102" i="1"/>
  <c r="O108" i="1"/>
  <c r="S108" i="1" s="1"/>
  <c r="M108" i="1"/>
  <c r="Q108" i="1" s="1"/>
  <c r="N108" i="1"/>
  <c r="R108" i="1" s="1"/>
  <c r="G106" i="1"/>
  <c r="O112" i="1"/>
  <c r="S112" i="1" s="1"/>
  <c r="M112" i="1"/>
  <c r="Q112" i="1" s="1"/>
  <c r="N112" i="1"/>
  <c r="R112" i="1" s="1"/>
  <c r="G110" i="1"/>
  <c r="N129" i="1"/>
  <c r="R129" i="1" s="1"/>
  <c r="O129" i="1"/>
  <c r="S129" i="1" s="1"/>
  <c r="M129" i="1"/>
  <c r="Q129" i="1" s="1"/>
  <c r="G119" i="1"/>
  <c r="N135" i="1"/>
  <c r="R135" i="1" s="1"/>
  <c r="O135" i="1"/>
  <c r="S135" i="1" s="1"/>
  <c r="M135" i="1"/>
  <c r="Q135" i="1" s="1"/>
  <c r="G129" i="1"/>
  <c r="G133" i="1"/>
  <c r="O139" i="1"/>
  <c r="S139" i="1" s="1"/>
  <c r="M139" i="1"/>
  <c r="Q139" i="1" s="1"/>
  <c r="N139" i="1"/>
  <c r="R139" i="1" s="1"/>
  <c r="G137" i="1"/>
  <c r="O143" i="1"/>
  <c r="S143" i="1" s="1"/>
  <c r="M143" i="1"/>
  <c r="Q143" i="1" s="1"/>
  <c r="N143" i="1"/>
  <c r="R143" i="1" s="1"/>
  <c r="G141" i="1"/>
  <c r="O147" i="1"/>
  <c r="S147" i="1" s="1"/>
  <c r="M147" i="1"/>
  <c r="Q147" i="1" s="1"/>
  <c r="N147" i="1"/>
  <c r="R147" i="1" s="1"/>
  <c r="G145" i="1"/>
  <c r="N155" i="1"/>
  <c r="R155" i="1" s="1"/>
  <c r="M155" i="1"/>
  <c r="Q155" i="1" s="1"/>
  <c r="O155" i="1"/>
  <c r="S155" i="1" s="1"/>
  <c r="N159" i="1"/>
  <c r="R159" i="1" s="1"/>
  <c r="O159" i="1"/>
  <c r="S159" i="1" s="1"/>
  <c r="M159" i="1"/>
  <c r="Q159" i="1" s="1"/>
  <c r="G149" i="1"/>
  <c r="G155" i="1"/>
  <c r="O161" i="1"/>
  <c r="S161" i="1" s="1"/>
  <c r="M161" i="1"/>
  <c r="Q161" i="1" s="1"/>
  <c r="N161" i="1"/>
  <c r="R161" i="1" s="1"/>
  <c r="G159" i="1"/>
  <c r="O165" i="1"/>
  <c r="S165" i="1" s="1"/>
  <c r="M165" i="1"/>
  <c r="Q165" i="1" s="1"/>
  <c r="N165" i="1"/>
  <c r="R165" i="1" s="1"/>
  <c r="G163" i="1"/>
  <c r="O169" i="1"/>
  <c r="S169" i="1" s="1"/>
  <c r="M169" i="1"/>
  <c r="Q169" i="1" s="1"/>
  <c r="N169" i="1"/>
  <c r="R169" i="1" s="1"/>
  <c r="G167" i="1"/>
  <c r="O173" i="1"/>
  <c r="S173" i="1" s="1"/>
  <c r="M173" i="1"/>
  <c r="Q173" i="1" s="1"/>
  <c r="N173" i="1"/>
  <c r="R173" i="1" s="1"/>
  <c r="O177" i="1"/>
  <c r="S177" i="1" s="1"/>
  <c r="M177" i="1"/>
  <c r="Q177" i="1" s="1"/>
  <c r="N177" i="1"/>
  <c r="R177" i="1" s="1"/>
  <c r="G171" i="1"/>
  <c r="G175" i="1"/>
  <c r="O185" i="1"/>
  <c r="S185" i="1" s="1"/>
  <c r="M185" i="1"/>
  <c r="Q185" i="1" s="1"/>
  <c r="N185" i="1"/>
  <c r="R185" i="1" s="1"/>
  <c r="N191" i="1"/>
  <c r="R191" i="1" s="1"/>
  <c r="M191" i="1"/>
  <c r="Q191" i="1" s="1"/>
  <c r="O191" i="1"/>
  <c r="S191" i="1" s="1"/>
  <c r="N195" i="1"/>
  <c r="R195" i="1" s="1"/>
  <c r="O195" i="1"/>
  <c r="S195" i="1" s="1"/>
  <c r="M195" i="1"/>
  <c r="Q195" i="1" s="1"/>
  <c r="O62" i="1"/>
  <c r="S62" i="1" s="1"/>
  <c r="M62" i="1"/>
  <c r="Q62" i="1" s="1"/>
  <c r="N62" i="1"/>
  <c r="R62" i="1" s="1"/>
  <c r="O70" i="1"/>
  <c r="S70" i="1" s="1"/>
  <c r="M70" i="1"/>
  <c r="Q70" i="1" s="1"/>
  <c r="N70" i="1"/>
  <c r="R70" i="1" s="1"/>
  <c r="G60" i="1"/>
  <c r="G64" i="1"/>
  <c r="G72" i="1"/>
  <c r="N78" i="1"/>
  <c r="R78" i="1" s="1"/>
  <c r="O78" i="1"/>
  <c r="S78" i="1" s="1"/>
  <c r="M78" i="1"/>
  <c r="Q78" i="1" s="1"/>
  <c r="G76" i="1"/>
  <c r="N82" i="1"/>
  <c r="R82" i="1" s="1"/>
  <c r="M82" i="1"/>
  <c r="Q82" i="1" s="1"/>
  <c r="O82" i="1"/>
  <c r="S82" i="1" s="1"/>
  <c r="G80" i="1"/>
  <c r="N86" i="1"/>
  <c r="R86" i="1" s="1"/>
  <c r="O86" i="1"/>
  <c r="S86" i="1" s="1"/>
  <c r="M86" i="1"/>
  <c r="Q86" i="1" s="1"/>
  <c r="N90" i="1"/>
  <c r="R90" i="1" s="1"/>
  <c r="M90" i="1"/>
  <c r="Q90" i="1" s="1"/>
  <c r="O90" i="1"/>
  <c r="S90" i="1" s="1"/>
  <c r="G84" i="1"/>
  <c r="G88" i="1"/>
  <c r="N98" i="1"/>
  <c r="R98" i="1" s="1"/>
  <c r="M98" i="1"/>
  <c r="Q98" i="1" s="1"/>
  <c r="O98" i="1"/>
  <c r="S98" i="1" s="1"/>
  <c r="G92" i="1"/>
  <c r="G100" i="1"/>
  <c r="N106" i="1"/>
  <c r="R106" i="1" s="1"/>
  <c r="M106" i="1"/>
  <c r="Q106" i="1" s="1"/>
  <c r="O106" i="1"/>
  <c r="S106" i="1" s="1"/>
  <c r="G104" i="1"/>
  <c r="N110" i="1"/>
  <c r="R110" i="1" s="1"/>
  <c r="O110" i="1"/>
  <c r="S110" i="1" s="1"/>
  <c r="M110" i="1"/>
  <c r="Q110" i="1" s="1"/>
  <c r="N115" i="1"/>
  <c r="R115" i="1" s="1"/>
  <c r="M115" i="1"/>
  <c r="Q115" i="1" s="1"/>
  <c r="O115" i="1"/>
  <c r="S115" i="1" s="1"/>
  <c r="G108" i="1"/>
  <c r="N127" i="1"/>
  <c r="R127" i="1" s="1"/>
  <c r="M127" i="1"/>
  <c r="Q127" i="1" s="1"/>
  <c r="O127" i="1"/>
  <c r="S127" i="1" s="1"/>
  <c r="G121" i="1"/>
  <c r="M131" i="1"/>
  <c r="Q131" i="1" s="1"/>
  <c r="N131" i="1"/>
  <c r="R131" i="1" s="1"/>
  <c r="O131" i="1"/>
  <c r="S131" i="1" s="1"/>
  <c r="G127" i="1"/>
  <c r="O133" i="1"/>
  <c r="S133" i="1" s="1"/>
  <c r="M133" i="1"/>
  <c r="Q133" i="1" s="1"/>
  <c r="N133" i="1"/>
  <c r="R133" i="1" s="1"/>
  <c r="G131" i="1"/>
  <c r="M137" i="1"/>
  <c r="Q137" i="1" s="1"/>
  <c r="N137" i="1"/>
  <c r="R137" i="1" s="1"/>
  <c r="O137" i="1"/>
  <c r="S137" i="1" s="1"/>
  <c r="N141" i="1"/>
  <c r="R141" i="1" s="1"/>
  <c r="O141" i="1"/>
  <c r="S141" i="1" s="1"/>
  <c r="M141" i="1"/>
  <c r="Q141" i="1" s="1"/>
  <c r="G135" i="1"/>
  <c r="N145" i="1"/>
  <c r="R145" i="1" s="1"/>
  <c r="M145" i="1"/>
  <c r="Q145" i="1" s="1"/>
  <c r="O145" i="1"/>
  <c r="S145" i="1" s="1"/>
  <c r="G139" i="1"/>
  <c r="N149" i="1"/>
  <c r="R149" i="1" s="1"/>
  <c r="O149" i="1"/>
  <c r="S149" i="1" s="1"/>
  <c r="M149" i="1"/>
  <c r="Q149" i="1" s="1"/>
  <c r="G143" i="1"/>
  <c r="G147" i="1"/>
  <c r="O157" i="1"/>
  <c r="S157" i="1" s="1"/>
  <c r="M157" i="1"/>
  <c r="Q157" i="1" s="1"/>
  <c r="N157" i="1"/>
  <c r="R157" i="1" s="1"/>
  <c r="G157" i="1"/>
  <c r="N163" i="1"/>
  <c r="R163" i="1" s="1"/>
  <c r="M163" i="1"/>
  <c r="Q163" i="1" s="1"/>
  <c r="O163" i="1"/>
  <c r="S163" i="1" s="1"/>
  <c r="G161" i="1"/>
  <c r="N167" i="1"/>
  <c r="R167" i="1" s="1"/>
  <c r="O167" i="1"/>
  <c r="S167" i="1" s="1"/>
  <c r="M167" i="1"/>
  <c r="Q167" i="1" s="1"/>
  <c r="G165" i="1"/>
  <c r="N171" i="1"/>
  <c r="R171" i="1" s="1"/>
  <c r="M171" i="1"/>
  <c r="Q171" i="1" s="1"/>
  <c r="O171" i="1"/>
  <c r="S171" i="1" s="1"/>
  <c r="G169" i="1"/>
  <c r="N175" i="1"/>
  <c r="R175" i="1" s="1"/>
  <c r="O175" i="1"/>
  <c r="S175" i="1" s="1"/>
  <c r="M175" i="1"/>
  <c r="Q175" i="1" s="1"/>
  <c r="G173" i="1"/>
  <c r="N183" i="1"/>
  <c r="R183" i="1" s="1"/>
  <c r="M183" i="1"/>
  <c r="Q183" i="1" s="1"/>
  <c r="O183" i="1"/>
  <c r="S183" i="1" s="1"/>
  <c r="G177" i="1"/>
  <c r="N187" i="1"/>
  <c r="R187" i="1" s="1"/>
  <c r="O187" i="1"/>
  <c r="S187" i="1" s="1"/>
  <c r="M187" i="1"/>
  <c r="Q187" i="1" s="1"/>
  <c r="O189" i="1"/>
  <c r="S189" i="1" s="1"/>
  <c r="M189" i="1"/>
  <c r="Q189" i="1" s="1"/>
  <c r="N189" i="1"/>
  <c r="R189" i="1" s="1"/>
  <c r="G183" i="1"/>
  <c r="O193" i="1"/>
  <c r="S193" i="1" s="1"/>
  <c r="M193" i="1"/>
  <c r="Q193" i="1" s="1"/>
  <c r="N193" i="1"/>
  <c r="R193" i="1" s="1"/>
  <c r="E52" i="1"/>
  <c r="F58" i="1" s="1"/>
  <c r="C200" i="1"/>
  <c r="E114" i="1"/>
  <c r="B178" i="1"/>
  <c r="B198" i="1"/>
  <c r="B150" i="1"/>
  <c r="E115" i="1"/>
  <c r="G115" i="1" s="1"/>
  <c r="G191" i="1"/>
  <c r="G185" i="1"/>
  <c r="G193" i="1"/>
  <c r="B122" i="1"/>
  <c r="G187" i="1"/>
  <c r="G195" i="1"/>
  <c r="B93" i="1"/>
  <c r="G189" i="1"/>
  <c r="E98" i="1"/>
  <c r="M102" i="1" s="1"/>
  <c r="Q102" i="1" s="1"/>
  <c r="B65" i="1"/>
  <c r="E70" i="1"/>
  <c r="G114" i="1" l="1"/>
  <c r="O72" i="1"/>
  <c r="S72" i="1" s="1"/>
  <c r="N102" i="1"/>
  <c r="R102" i="1" s="1"/>
  <c r="M100" i="1"/>
  <c r="Q100" i="1" s="1"/>
  <c r="B200" i="1"/>
  <c r="O74" i="1"/>
  <c r="S74" i="1" s="1"/>
  <c r="O121" i="1"/>
  <c r="S121" i="1" s="1"/>
  <c r="M121" i="1"/>
  <c r="Q121" i="1" s="1"/>
  <c r="N121" i="1"/>
  <c r="R121" i="1" s="1"/>
  <c r="M60" i="1"/>
  <c r="Q60" i="1" s="1"/>
  <c r="N60" i="1"/>
  <c r="R60" i="1" s="1"/>
  <c r="N58" i="1"/>
  <c r="R58" i="1" s="1"/>
  <c r="O58" i="1"/>
  <c r="S58" i="1" s="1"/>
  <c r="O60" i="1"/>
  <c r="S60" i="1" s="1"/>
  <c r="M58" i="1"/>
  <c r="G52" i="1"/>
  <c r="O119" i="1"/>
  <c r="S119" i="1" s="1"/>
  <c r="N119" i="1"/>
  <c r="R119" i="1" s="1"/>
  <c r="N117" i="1"/>
  <c r="R117" i="1" s="1"/>
  <c r="O117" i="1"/>
  <c r="S117" i="1" s="1"/>
  <c r="O76" i="1"/>
  <c r="S76" i="1" s="1"/>
  <c r="M76" i="1"/>
  <c r="Q76" i="1" s="1"/>
  <c r="N76" i="1"/>
  <c r="R76" i="1" s="1"/>
  <c r="G70" i="1"/>
  <c r="G98" i="1"/>
  <c r="O104" i="1"/>
  <c r="S104" i="1" s="1"/>
  <c r="M104" i="1"/>
  <c r="Q104" i="1" s="1"/>
  <c r="N104" i="1"/>
  <c r="R104" i="1" s="1"/>
  <c r="F56" i="1"/>
  <c r="M119" i="1"/>
  <c r="Q119" i="1" s="1"/>
  <c r="O102" i="1"/>
  <c r="S102" i="1" s="1"/>
  <c r="M74" i="1"/>
  <c r="Q74" i="1" s="1"/>
  <c r="N74" i="1"/>
  <c r="R74" i="1" s="1"/>
  <c r="M117" i="1"/>
  <c r="Q117" i="1" s="1"/>
  <c r="N100" i="1"/>
  <c r="R100" i="1" s="1"/>
  <c r="O100" i="1"/>
  <c r="S100" i="1" s="1"/>
  <c r="M72" i="1"/>
  <c r="Q72" i="1" s="1"/>
  <c r="N72" i="1"/>
  <c r="R72" i="1" s="1"/>
  <c r="F62" i="1"/>
  <c r="F52" i="1"/>
  <c r="I56" i="1" s="1"/>
  <c r="I58" i="1" s="1"/>
  <c r="F64" i="1"/>
  <c r="F60" i="1"/>
  <c r="E200" i="1"/>
  <c r="Q58" i="1" l="1"/>
  <c r="M59" i="1"/>
  <c r="I60" i="1"/>
  <c r="I62" i="1" s="1"/>
  <c r="I64" i="1" s="1"/>
  <c r="I65" i="1" s="1"/>
  <c r="O56" i="1"/>
  <c r="S56" i="1" s="1"/>
  <c r="M56" i="1"/>
  <c r="Q56" i="1" s="1"/>
  <c r="N56" i="1"/>
  <c r="R56" i="1" s="1"/>
  <c r="J60" i="1"/>
  <c r="J58" i="1"/>
  <c r="J62" i="1"/>
  <c r="J56" i="1"/>
  <c r="J52" i="1"/>
  <c r="G65" i="1" l="1"/>
  <c r="H65" i="1" s="1"/>
  <c r="J65" i="1" s="1"/>
  <c r="F68" i="1" l="1"/>
  <c r="I70" i="1" l="1"/>
  <c r="I72" i="1" s="1"/>
  <c r="I74" i="1" s="1"/>
  <c r="I76" i="1" s="1"/>
  <c r="I78" i="1" s="1"/>
  <c r="I80" i="1" s="1"/>
  <c r="I82" i="1" s="1"/>
  <c r="I84" i="1" s="1"/>
  <c r="I86" i="1" s="1"/>
  <c r="I88" i="1" s="1"/>
  <c r="I90" i="1" s="1"/>
  <c r="I92" i="1" s="1"/>
  <c r="I93" i="1" s="1"/>
  <c r="G68" i="1"/>
  <c r="G93" i="1" s="1"/>
  <c r="F92" i="1"/>
  <c r="F76" i="1"/>
  <c r="J76" i="1" s="1"/>
  <c r="F82" i="1"/>
  <c r="J82" i="1" s="1"/>
  <c r="F90" i="1"/>
  <c r="J90" i="1" s="1"/>
  <c r="F72" i="1"/>
  <c r="J72" i="1" s="1"/>
  <c r="F86" i="1"/>
  <c r="J86" i="1" s="1"/>
  <c r="F74" i="1"/>
  <c r="J74" i="1" s="1"/>
  <c r="F88" i="1"/>
  <c r="J88" i="1" s="1"/>
  <c r="F78" i="1"/>
  <c r="J78" i="1" s="1"/>
  <c r="F70" i="1"/>
  <c r="J70" i="1" s="1"/>
  <c r="F84" i="1"/>
  <c r="J84" i="1" s="1"/>
  <c r="F80" i="1"/>
  <c r="J80" i="1" s="1"/>
  <c r="H93" i="1" l="1"/>
  <c r="F96" i="1" s="1"/>
  <c r="I98" i="1" l="1"/>
  <c r="I100" i="1" s="1"/>
  <c r="I102" i="1" s="1"/>
  <c r="I104" i="1" s="1"/>
  <c r="I106" i="1" s="1"/>
  <c r="I108" i="1" s="1"/>
  <c r="I110" i="1" s="1"/>
  <c r="I112" i="1" s="1"/>
  <c r="I115" i="1" s="1"/>
  <c r="I117" i="1" s="1"/>
  <c r="I119" i="1" s="1"/>
  <c r="I121" i="1" s="1"/>
  <c r="I122" i="1" s="1"/>
  <c r="J93" i="1"/>
  <c r="G96" i="1"/>
  <c r="F112" i="1"/>
  <c r="F104" i="1"/>
  <c r="F119" i="1"/>
  <c r="F110" i="1"/>
  <c r="F102" i="1"/>
  <c r="F121" i="1"/>
  <c r="F115" i="1"/>
  <c r="F106" i="1"/>
  <c r="F98" i="1"/>
  <c r="F117" i="1"/>
  <c r="F108" i="1"/>
  <c r="F100" i="1"/>
  <c r="J108" i="1" l="1"/>
  <c r="J117" i="1"/>
  <c r="J104" i="1"/>
  <c r="J98" i="1"/>
  <c r="J102" i="1"/>
  <c r="J112" i="1"/>
  <c r="J100" i="1"/>
  <c r="J106" i="1"/>
  <c r="J110" i="1"/>
  <c r="J115" i="1"/>
  <c r="J119" i="1"/>
  <c r="G122" i="1" l="1"/>
  <c r="H122" i="1" l="1"/>
  <c r="F125" i="1" l="1"/>
  <c r="J122" i="1"/>
  <c r="I127" i="1" l="1"/>
  <c r="I129" i="1" s="1"/>
  <c r="I131" i="1" s="1"/>
  <c r="I133" i="1" s="1"/>
  <c r="I135" i="1" s="1"/>
  <c r="I137" i="1" s="1"/>
  <c r="I139" i="1" s="1"/>
  <c r="I141" i="1" s="1"/>
  <c r="I143" i="1" s="1"/>
  <c r="I145" i="1" s="1"/>
  <c r="I147" i="1" s="1"/>
  <c r="I149" i="1" s="1"/>
  <c r="I150" i="1" s="1"/>
  <c r="F141" i="1"/>
  <c r="F147" i="1"/>
  <c r="F139" i="1"/>
  <c r="F131" i="1"/>
  <c r="F145" i="1"/>
  <c r="F137" i="1"/>
  <c r="F129" i="1"/>
  <c r="F133" i="1"/>
  <c r="F149" i="1"/>
  <c r="F143" i="1"/>
  <c r="F135" i="1"/>
  <c r="F127" i="1"/>
  <c r="G125" i="1"/>
  <c r="J131" i="1" l="1"/>
  <c r="J143" i="1"/>
  <c r="J129" i="1"/>
  <c r="J139" i="1"/>
  <c r="J135" i="1"/>
  <c r="J137" i="1"/>
  <c r="J147" i="1"/>
  <c r="J127" i="1"/>
  <c r="J133" i="1"/>
  <c r="J145" i="1"/>
  <c r="J141" i="1"/>
  <c r="G150" i="1" l="1"/>
  <c r="H150" i="1" s="1"/>
  <c r="J150" i="1" l="1"/>
  <c r="F153" i="1"/>
  <c r="I155" i="1" l="1"/>
  <c r="I157" i="1" s="1"/>
  <c r="I159" i="1" s="1"/>
  <c r="I161" i="1" s="1"/>
  <c r="I163" i="1" s="1"/>
  <c r="I165" i="1" s="1"/>
  <c r="I167" i="1" s="1"/>
  <c r="I169" i="1" s="1"/>
  <c r="I171" i="1" s="1"/>
  <c r="I173" i="1" s="1"/>
  <c r="I175" i="1" s="1"/>
  <c r="I177" i="1" s="1"/>
  <c r="I178" i="1" s="1"/>
  <c r="F173" i="1"/>
  <c r="F165" i="1"/>
  <c r="F157" i="1"/>
  <c r="F177" i="1"/>
  <c r="F171" i="1"/>
  <c r="F163" i="1"/>
  <c r="F155" i="1"/>
  <c r="F175" i="1"/>
  <c r="F167" i="1"/>
  <c r="F159" i="1"/>
  <c r="F169" i="1"/>
  <c r="F161" i="1"/>
  <c r="G153" i="1"/>
  <c r="J157" i="1" l="1"/>
  <c r="J159" i="1"/>
  <c r="J163" i="1"/>
  <c r="J165" i="1"/>
  <c r="J169" i="1"/>
  <c r="J175" i="1"/>
  <c r="J155" i="1"/>
  <c r="J161" i="1"/>
  <c r="J167" i="1"/>
  <c r="J171" i="1"/>
  <c r="J173" i="1"/>
  <c r="G178" i="1" l="1"/>
  <c r="H178" i="1" s="1"/>
  <c r="J178" i="1" l="1"/>
  <c r="F181" i="1"/>
  <c r="I183" i="1" l="1"/>
  <c r="I185" i="1" s="1"/>
  <c r="I187" i="1" s="1"/>
  <c r="I189" i="1" s="1"/>
  <c r="I191" i="1" s="1"/>
  <c r="I193" i="1" s="1"/>
  <c r="I195" i="1" s="1"/>
  <c r="I197" i="1" s="1"/>
  <c r="F191" i="1"/>
  <c r="F183" i="1"/>
  <c r="F189" i="1"/>
  <c r="F193" i="1"/>
  <c r="F185" i="1"/>
  <c r="F195" i="1"/>
  <c r="F187" i="1"/>
  <c r="G181" i="1"/>
  <c r="J187" i="1" l="1"/>
  <c r="J189" i="1"/>
  <c r="J183" i="1"/>
  <c r="J193" i="1"/>
  <c r="J195" i="1"/>
  <c r="J185" i="1"/>
  <c r="J191" i="1"/>
  <c r="G197" i="1" l="1"/>
  <c r="H197" i="1" s="1"/>
  <c r="J197" i="1" s="1"/>
  <c r="G200" i="1" l="1"/>
  <c r="J200" i="1"/>
  <c r="H200" i="1" l="1"/>
  <c r="J202" i="1" s="1"/>
  <c r="J204" i="1" s="1"/>
</calcChain>
</file>

<file path=xl/sharedStrings.xml><?xml version="1.0" encoding="utf-8"?>
<sst xmlns="http://schemas.openxmlformats.org/spreadsheetml/2006/main" count="174" uniqueCount="81">
  <si>
    <t>NHAKA</t>
  </si>
  <si>
    <t>First name</t>
  </si>
  <si>
    <t>Surname</t>
  </si>
  <si>
    <t>Policyholder</t>
  </si>
  <si>
    <t>Date of birth</t>
  </si>
  <si>
    <t>Gender</t>
  </si>
  <si>
    <t>Email address</t>
  </si>
  <si>
    <t>Mobile phone number</t>
  </si>
  <si>
    <t>Alternative mobile phone number</t>
  </si>
  <si>
    <t>Direct</t>
  </si>
  <si>
    <t>Premium payment method</t>
  </si>
  <si>
    <t>Payments</t>
  </si>
  <si>
    <t>Aggregator</t>
  </si>
  <si>
    <t>Sales agent</t>
  </si>
  <si>
    <t>Edward Bowie</t>
  </si>
  <si>
    <t>Beneficiary</t>
  </si>
  <si>
    <t>Policy</t>
  </si>
  <si>
    <t>Inception date</t>
  </si>
  <si>
    <t>Expected maturity date</t>
  </si>
  <si>
    <t>Product</t>
  </si>
  <si>
    <t>Annual bonus pa</t>
  </si>
  <si>
    <t>Partial withdrawal charge</t>
  </si>
  <si>
    <t>Refund charge</t>
  </si>
  <si>
    <t>Term</t>
  </si>
  <si>
    <t>Premium payment</t>
  </si>
  <si>
    <t>Date</t>
  </si>
  <si>
    <t>Investment Account balance</t>
  </si>
  <si>
    <t>BCC</t>
  </si>
  <si>
    <t>MC</t>
  </si>
  <si>
    <t>Wisrod</t>
  </si>
  <si>
    <t>Zamar</t>
  </si>
  <si>
    <t>John</t>
  </si>
  <si>
    <t>Peter</t>
  </si>
  <si>
    <t>Paul</t>
  </si>
  <si>
    <t>Clive</t>
  </si>
  <si>
    <t>Sibanda</t>
  </si>
  <si>
    <t>Male</t>
  </si>
  <si>
    <t>0775002958</t>
  </si>
  <si>
    <t>0775235789</t>
  </si>
  <si>
    <t>csibanda@gmail.com</t>
  </si>
  <si>
    <t>Martha</t>
  </si>
  <si>
    <t>Matthew</t>
  </si>
  <si>
    <t>First day of month after receipt of premium</t>
  </si>
  <si>
    <t>Withdrawals</t>
  </si>
  <si>
    <t>GRAND TOTAL</t>
  </si>
  <si>
    <t>Monthly cover commencing</t>
  </si>
  <si>
    <t>On surrender, the charge is the bonus kilogrammes previously credited to the Investment Account</t>
  </si>
  <si>
    <t>etc</t>
  </si>
  <si>
    <t>Hospital cash multiple</t>
  </si>
  <si>
    <t>Personal accident cash multiple</t>
  </si>
  <si>
    <t>Funeral cash multiple</t>
  </si>
  <si>
    <t>Only one claim can be paid for each of hospital cash, personal accident and funeral from he Insurance Account</t>
  </si>
  <si>
    <t>Conditions</t>
  </si>
  <si>
    <t>maturity cash</t>
  </si>
  <si>
    <t>OR</t>
  </si>
  <si>
    <t>plus</t>
  </si>
  <si>
    <t>Nhaka sets the Price per Kilogramme each month</t>
  </si>
  <si>
    <t>Lock-in period before withdrawal</t>
  </si>
  <si>
    <t>Relationship</t>
  </si>
  <si>
    <t>Spouse</t>
  </si>
  <si>
    <t>Price per kg</t>
  </si>
  <si>
    <t>Kgs</t>
  </si>
  <si>
    <t>Investment Account kgs</t>
  </si>
  <si>
    <t>Bonus kgs at year end</t>
  </si>
  <si>
    <t>Investment Account kgs at year end</t>
  </si>
  <si>
    <t>Investment Account kgs at year end (check)</t>
  </si>
  <si>
    <r>
      <rPr>
        <b/>
        <sz val="11"/>
        <color theme="1"/>
        <rFont val="Arial"/>
        <family val="2"/>
      </rPr>
      <t>Nhaka yangu / Ilifa lami</t>
    </r>
    <r>
      <rPr>
        <b/>
        <i/>
        <sz val="11"/>
        <color theme="1"/>
        <rFont val="Arial"/>
        <family val="2"/>
      </rPr>
      <t xml:space="preserve"> Product requirements</t>
    </r>
  </si>
  <si>
    <t>head</t>
  </si>
  <si>
    <t>Kgs for one cow</t>
  </si>
  <si>
    <t>Hospital kgs</t>
  </si>
  <si>
    <t>Personal accident kgs</t>
  </si>
  <si>
    <t>Funeral kgs</t>
  </si>
  <si>
    <t>Hospital $</t>
  </si>
  <si>
    <t>Personal accident $</t>
  </si>
  <si>
    <t>Funeral $</t>
  </si>
  <si>
    <t>INSURANCE ACCOUNT</t>
  </si>
  <si>
    <t>INVESTMENT ACCOUNT</t>
  </si>
  <si>
    <t>Minimum entry age is 18</t>
  </si>
  <si>
    <t>No maximum age but no Insurance Account benefits are due from age 75</t>
  </si>
  <si>
    <t>Only one partial withdrawal in any 12-month period</t>
  </si>
  <si>
    <t>Maximum partial withdrawal is 50% of kilogrammes at previous 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</si>
</sst>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7" formatCode="[$$-C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i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 wrapText="1"/>
    </xf>
    <xf numFmtId="2" fontId="4" fillId="0" borderId="0" xfId="1" applyNumberFormat="1" applyFont="1"/>
    <xf numFmtId="43" fontId="5" fillId="0" borderId="0" xfId="1" applyFont="1" applyFill="1"/>
    <xf numFmtId="43" fontId="4" fillId="0" borderId="0" xfId="1" applyFont="1"/>
    <xf numFmtId="43" fontId="5" fillId="0" borderId="1" xfId="1" applyFont="1" applyFill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7" fillId="2" borderId="0" xfId="0" applyFont="1" applyFill="1"/>
    <xf numFmtId="14" fontId="7" fillId="2" borderId="0" xfId="0" applyNumberFormat="1" applyFont="1" applyFill="1" applyAlignment="1">
      <alignment horizontal="left"/>
    </xf>
    <xf numFmtId="49" fontId="7" fillId="2" borderId="0" xfId="0" applyNumberFormat="1" applyFont="1" applyFill="1"/>
    <xf numFmtId="0" fontId="8" fillId="2" borderId="0" xfId="2" applyFont="1" applyFill="1"/>
    <xf numFmtId="14" fontId="7" fillId="2" borderId="0" xfId="0" applyNumberFormat="1" applyFont="1" applyFill="1"/>
    <xf numFmtId="14" fontId="7" fillId="0" borderId="0" xfId="0" applyNumberFormat="1" applyFont="1"/>
    <xf numFmtId="165" fontId="7" fillId="0" borderId="0" xfId="1" applyNumberFormat="1" applyFont="1"/>
    <xf numFmtId="9" fontId="7" fillId="0" borderId="0" xfId="0" applyNumberFormat="1" applyFont="1"/>
    <xf numFmtId="43" fontId="7" fillId="0" borderId="0" xfId="1" applyFont="1"/>
    <xf numFmtId="0" fontId="6" fillId="0" borderId="0" xfId="0" applyFont="1" applyAlignment="1">
      <alignment vertical="top" wrapText="1"/>
    </xf>
    <xf numFmtId="43" fontId="6" fillId="0" borderId="0" xfId="1" applyFont="1" applyAlignment="1">
      <alignment vertical="top" wrapTex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vertical="top" wrapText="1"/>
    </xf>
    <xf numFmtId="43" fontId="7" fillId="2" borderId="0" xfId="1" applyFont="1" applyFill="1"/>
    <xf numFmtId="14" fontId="6" fillId="0" borderId="0" xfId="0" applyNumberFormat="1" applyFont="1" applyAlignment="1">
      <alignment vertical="top" wrapText="1"/>
    </xf>
    <xf numFmtId="2" fontId="6" fillId="0" borderId="0" xfId="0" applyNumberFormat="1" applyFont="1" applyFill="1"/>
    <xf numFmtId="2" fontId="7" fillId="0" borderId="0" xfId="1" applyNumberFormat="1" applyFont="1"/>
    <xf numFmtId="43" fontId="6" fillId="0" borderId="0" xfId="1" applyFont="1" applyFill="1"/>
    <xf numFmtId="14" fontId="6" fillId="0" borderId="0" xfId="0" applyNumberFormat="1" applyFont="1" applyFill="1"/>
    <xf numFmtId="0" fontId="7" fillId="0" borderId="0" xfId="0" applyFont="1" applyFill="1"/>
    <xf numFmtId="43" fontId="7" fillId="0" borderId="0" xfId="1" applyFont="1" applyFill="1"/>
    <xf numFmtId="2" fontId="7" fillId="0" borderId="0" xfId="0" applyNumberFormat="1" applyFont="1"/>
    <xf numFmtId="0" fontId="6" fillId="0" borderId="0" xfId="0" applyFont="1" applyFill="1"/>
    <xf numFmtId="164" fontId="7" fillId="0" borderId="0" xfId="0" applyNumberFormat="1" applyFont="1" applyFill="1"/>
    <xf numFmtId="14" fontId="7" fillId="0" borderId="0" xfId="0" applyNumberFormat="1" applyFont="1" applyFill="1"/>
    <xf numFmtId="2" fontId="7" fillId="0" borderId="0" xfId="0" applyNumberFormat="1" applyFont="1" applyFill="1"/>
    <xf numFmtId="2" fontId="6" fillId="0" borderId="0" xfId="0" applyNumberFormat="1" applyFont="1"/>
    <xf numFmtId="14" fontId="6" fillId="0" borderId="1" xfId="0" applyNumberFormat="1" applyFont="1" applyFill="1" applyBorder="1"/>
    <xf numFmtId="43" fontId="6" fillId="0" borderId="1" xfId="1" applyFont="1" applyFill="1" applyBorder="1"/>
    <xf numFmtId="43" fontId="6" fillId="0" borderId="1" xfId="1" applyFont="1" applyBorder="1"/>
    <xf numFmtId="2" fontId="6" fillId="0" borderId="1" xfId="0" applyNumberFormat="1" applyFont="1" applyBorder="1"/>
    <xf numFmtId="164" fontId="7" fillId="0" borderId="0" xfId="0" applyNumberFormat="1" applyFont="1"/>
    <xf numFmtId="43" fontId="6" fillId="0" borderId="0" xfId="1" applyFont="1"/>
    <xf numFmtId="167" fontId="7" fillId="0" borderId="0" xfId="0" applyNumberFormat="1" applyFont="1"/>
    <xf numFmtId="167" fontId="6" fillId="0" borderId="0" xfId="0" applyNumberFormat="1" applyFont="1" applyAlignment="1">
      <alignment vertical="top" wrapText="1"/>
    </xf>
    <xf numFmtId="167" fontId="6" fillId="0" borderId="0" xfId="0" applyNumberFormat="1" applyFont="1" applyFill="1"/>
    <xf numFmtId="167" fontId="6" fillId="0" borderId="0" xfId="0" applyNumberFormat="1" applyFont="1"/>
    <xf numFmtId="167" fontId="6" fillId="0" borderId="1" xfId="0" applyNumberFormat="1" applyFont="1" applyBorder="1"/>
    <xf numFmtId="167" fontId="7" fillId="2" borderId="0" xfId="1" applyNumberFormat="1" applyFont="1" applyFill="1"/>
    <xf numFmtId="167" fontId="6" fillId="0" borderId="0" xfId="1" applyNumberFormat="1" applyFont="1" applyFill="1"/>
    <xf numFmtId="167" fontId="7" fillId="0" borderId="0" xfId="1" applyNumberFormat="1" applyFont="1" applyFill="1"/>
    <xf numFmtId="167" fontId="6" fillId="0" borderId="1" xfId="1" applyNumberFormat="1" applyFont="1" applyFill="1" applyBorder="1"/>
    <xf numFmtId="167" fontId="6" fillId="0" borderId="0" xfId="1" applyNumberFormat="1" applyFont="1" applyAlignment="1">
      <alignment vertical="top" wrapText="1"/>
    </xf>
    <xf numFmtId="167" fontId="7" fillId="0" borderId="0" xfId="1" applyNumberFormat="1" applyFont="1"/>
    <xf numFmtId="167" fontId="6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iban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5"/>
  <sheetViews>
    <sheetView tabSelected="1" zoomScale="80" zoomScaleNormal="80" workbookViewId="0">
      <selection activeCell="A44" sqref="A44"/>
    </sheetView>
  </sheetViews>
  <sheetFormatPr defaultRowHeight="14.25" x14ac:dyDescent="0.2"/>
  <cols>
    <col min="1" max="1" width="34.85546875" style="29" customWidth="1"/>
    <col min="2" max="2" width="22.42578125" style="30" customWidth="1"/>
    <col min="3" max="3" width="14" style="8" customWidth="1"/>
    <col min="4" max="4" width="13" style="43" customWidth="1"/>
    <col min="5" max="7" width="12.7109375" style="8" customWidth="1"/>
    <col min="8" max="8" width="12.42578125" style="18" customWidth="1"/>
    <col min="9" max="9" width="12.7109375" style="1" customWidth="1"/>
    <col min="10" max="10" width="14.42578125" style="43" bestFit="1" customWidth="1"/>
    <col min="11" max="11" width="3.85546875" style="8" customWidth="1"/>
    <col min="12" max="12" width="14.28515625" style="8" customWidth="1"/>
    <col min="13" max="13" width="12" style="8" customWidth="1"/>
    <col min="14" max="14" width="13.140625" style="8" customWidth="1"/>
    <col min="15" max="15" width="12.7109375" style="8" customWidth="1"/>
    <col min="16" max="16" width="5.5703125" style="8" customWidth="1"/>
    <col min="17" max="17" width="16.140625" style="8" customWidth="1"/>
    <col min="18" max="19" width="13.28515625" style="8" customWidth="1"/>
    <col min="20" max="16384" width="9.140625" style="8"/>
  </cols>
  <sheetData>
    <row r="1" spans="1:8" ht="15" x14ac:dyDescent="0.25">
      <c r="A1" s="7" t="s">
        <v>0</v>
      </c>
      <c r="B1" s="8"/>
      <c r="H1" s="8"/>
    </row>
    <row r="2" spans="1:8" ht="15" x14ac:dyDescent="0.25">
      <c r="A2" s="9" t="s">
        <v>66</v>
      </c>
      <c r="B2" s="8"/>
      <c r="H2" s="8"/>
    </row>
    <row r="3" spans="1:8" x14ac:dyDescent="0.2">
      <c r="A3" s="8"/>
      <c r="B3" s="8"/>
      <c r="H3" s="8"/>
    </row>
    <row r="4" spans="1:8" ht="15" x14ac:dyDescent="0.25">
      <c r="A4" s="7" t="s">
        <v>3</v>
      </c>
      <c r="B4" s="8"/>
      <c r="H4" s="8"/>
    </row>
    <row r="5" spans="1:8" x14ac:dyDescent="0.2">
      <c r="A5" s="8" t="s">
        <v>1</v>
      </c>
      <c r="B5" s="10" t="s">
        <v>34</v>
      </c>
      <c r="H5" s="8"/>
    </row>
    <row r="6" spans="1:8" x14ac:dyDescent="0.2">
      <c r="A6" s="8" t="s">
        <v>2</v>
      </c>
      <c r="B6" s="10" t="s">
        <v>35</v>
      </c>
      <c r="H6" s="8"/>
    </row>
    <row r="7" spans="1:8" x14ac:dyDescent="0.2">
      <c r="A7" s="8" t="s">
        <v>4</v>
      </c>
      <c r="B7" s="11">
        <v>23795</v>
      </c>
      <c r="H7" s="8"/>
    </row>
    <row r="8" spans="1:8" x14ac:dyDescent="0.2">
      <c r="A8" s="8" t="s">
        <v>5</v>
      </c>
      <c r="B8" s="10" t="s">
        <v>36</v>
      </c>
      <c r="H8" s="8"/>
    </row>
    <row r="9" spans="1:8" x14ac:dyDescent="0.2">
      <c r="A9" s="8" t="s">
        <v>7</v>
      </c>
      <c r="B9" s="12" t="s">
        <v>37</v>
      </c>
      <c r="H9" s="8"/>
    </row>
    <row r="10" spans="1:8" x14ac:dyDescent="0.2">
      <c r="A10" s="8" t="s">
        <v>8</v>
      </c>
      <c r="B10" s="12" t="s">
        <v>38</v>
      </c>
      <c r="H10" s="8"/>
    </row>
    <row r="11" spans="1:8" x14ac:dyDescent="0.2">
      <c r="A11" s="8" t="s">
        <v>6</v>
      </c>
      <c r="B11" s="13" t="s">
        <v>39</v>
      </c>
      <c r="H11" s="8"/>
    </row>
    <row r="12" spans="1:8" x14ac:dyDescent="0.2">
      <c r="A12" s="8"/>
      <c r="B12" s="8"/>
      <c r="H12" s="8"/>
    </row>
    <row r="13" spans="1:8" ht="15" x14ac:dyDescent="0.25">
      <c r="A13" s="7" t="s">
        <v>15</v>
      </c>
      <c r="B13" s="8"/>
      <c r="H13" s="8"/>
    </row>
    <row r="14" spans="1:8" x14ac:dyDescent="0.2">
      <c r="A14" s="8" t="s">
        <v>1</v>
      </c>
      <c r="B14" s="10" t="s">
        <v>40</v>
      </c>
      <c r="H14" s="8"/>
    </row>
    <row r="15" spans="1:8" x14ac:dyDescent="0.2">
      <c r="A15" s="8" t="s">
        <v>2</v>
      </c>
      <c r="B15" s="10" t="s">
        <v>35</v>
      </c>
      <c r="H15" s="8"/>
    </row>
    <row r="16" spans="1:8" x14ac:dyDescent="0.2">
      <c r="A16" s="8" t="s">
        <v>58</v>
      </c>
      <c r="B16" s="10" t="s">
        <v>59</v>
      </c>
      <c r="H16" s="8"/>
    </row>
    <row r="17" spans="1:8" x14ac:dyDescent="0.2">
      <c r="A17" s="8"/>
      <c r="B17" s="8"/>
      <c r="H17" s="8"/>
    </row>
    <row r="18" spans="1:8" ht="15" x14ac:dyDescent="0.25">
      <c r="A18" s="7" t="s">
        <v>11</v>
      </c>
      <c r="B18" s="8"/>
      <c r="H18" s="8"/>
    </row>
    <row r="19" spans="1:8" x14ac:dyDescent="0.2">
      <c r="A19" s="8" t="s">
        <v>10</v>
      </c>
      <c r="B19" s="10" t="s">
        <v>12</v>
      </c>
      <c r="C19" s="8" t="s">
        <v>12</v>
      </c>
      <c r="D19" s="43" t="s">
        <v>9</v>
      </c>
      <c r="H19" s="8"/>
    </row>
    <row r="20" spans="1:8" x14ac:dyDescent="0.2">
      <c r="A20" s="8" t="s">
        <v>12</v>
      </c>
      <c r="B20" s="10" t="s">
        <v>27</v>
      </c>
      <c r="C20" s="8" t="s">
        <v>27</v>
      </c>
      <c r="D20" s="43" t="s">
        <v>28</v>
      </c>
      <c r="E20" s="8" t="s">
        <v>29</v>
      </c>
      <c r="F20" s="8" t="s">
        <v>30</v>
      </c>
      <c r="G20" s="8" t="s">
        <v>47</v>
      </c>
      <c r="H20" s="8"/>
    </row>
    <row r="21" spans="1:8" x14ac:dyDescent="0.2">
      <c r="A21" s="8"/>
      <c r="B21" s="8"/>
      <c r="H21" s="8"/>
    </row>
    <row r="22" spans="1:8" ht="15" x14ac:dyDescent="0.25">
      <c r="A22" s="7" t="s">
        <v>13</v>
      </c>
      <c r="B22" s="10" t="s">
        <v>14</v>
      </c>
      <c r="C22" s="8" t="s">
        <v>31</v>
      </c>
      <c r="D22" s="43" t="s">
        <v>32</v>
      </c>
      <c r="E22" s="8" t="s">
        <v>33</v>
      </c>
      <c r="F22" s="8" t="s">
        <v>41</v>
      </c>
      <c r="G22" s="8" t="s">
        <v>47</v>
      </c>
      <c r="H22" s="8"/>
    </row>
    <row r="23" spans="1:8" x14ac:dyDescent="0.2">
      <c r="A23" s="8"/>
      <c r="B23" s="8"/>
      <c r="H23" s="8"/>
    </row>
    <row r="24" spans="1:8" ht="15" x14ac:dyDescent="0.25">
      <c r="A24" s="7" t="s">
        <v>16</v>
      </c>
      <c r="B24" s="8"/>
      <c r="H24" s="8"/>
    </row>
    <row r="25" spans="1:8" x14ac:dyDescent="0.2">
      <c r="A25" s="8" t="s">
        <v>17</v>
      </c>
      <c r="B25" s="14">
        <v>44409</v>
      </c>
      <c r="C25" s="8" t="s">
        <v>42</v>
      </c>
      <c r="H25" s="8"/>
    </row>
    <row r="26" spans="1:8" x14ac:dyDescent="0.2">
      <c r="A26" s="8" t="s">
        <v>18</v>
      </c>
      <c r="B26" s="15">
        <f>DATE(YEAR(B25)+5,MONTH(B25),DAY(B25)-1)</f>
        <v>46234</v>
      </c>
      <c r="H26" s="8"/>
    </row>
    <row r="27" spans="1:8" x14ac:dyDescent="0.2">
      <c r="A27" s="8"/>
      <c r="B27" s="15"/>
      <c r="H27" s="8"/>
    </row>
    <row r="28" spans="1:8" ht="15" x14ac:dyDescent="0.25">
      <c r="A28" s="7" t="s">
        <v>19</v>
      </c>
      <c r="B28" s="8"/>
      <c r="H28" s="8"/>
    </row>
    <row r="29" spans="1:8" x14ac:dyDescent="0.2">
      <c r="A29" s="8" t="s">
        <v>23</v>
      </c>
      <c r="B29" s="8">
        <v>60</v>
      </c>
      <c r="H29" s="8"/>
    </row>
    <row r="30" spans="1:8" x14ac:dyDescent="0.2">
      <c r="A30" s="8" t="s">
        <v>57</v>
      </c>
      <c r="B30" s="16">
        <v>24</v>
      </c>
      <c r="H30" s="8"/>
    </row>
    <row r="31" spans="1:8" x14ac:dyDescent="0.2">
      <c r="A31" s="8" t="s">
        <v>20</v>
      </c>
      <c r="B31" s="17">
        <v>0.1</v>
      </c>
      <c r="H31" s="8"/>
    </row>
    <row r="32" spans="1:8" x14ac:dyDescent="0.2">
      <c r="A32" s="8" t="s">
        <v>21</v>
      </c>
      <c r="B32" s="17">
        <v>0.05</v>
      </c>
      <c r="H32" s="8"/>
    </row>
    <row r="33" spans="1:12" x14ac:dyDescent="0.2">
      <c r="A33" s="8" t="s">
        <v>22</v>
      </c>
      <c r="B33" s="17">
        <v>0.05</v>
      </c>
    </row>
    <row r="34" spans="1:12" x14ac:dyDescent="0.2">
      <c r="A34" s="8" t="s">
        <v>48</v>
      </c>
      <c r="B34" s="18">
        <v>0.5</v>
      </c>
    </row>
    <row r="35" spans="1:12" x14ac:dyDescent="0.2">
      <c r="A35" s="8" t="s">
        <v>49</v>
      </c>
      <c r="B35" s="18">
        <v>5</v>
      </c>
    </row>
    <row r="36" spans="1:12" x14ac:dyDescent="0.2">
      <c r="A36" s="8" t="s">
        <v>50</v>
      </c>
      <c r="B36" s="18">
        <v>5</v>
      </c>
    </row>
    <row r="37" spans="1:12" x14ac:dyDescent="0.2">
      <c r="A37" s="8" t="s">
        <v>68</v>
      </c>
      <c r="B37" s="18">
        <v>500</v>
      </c>
    </row>
    <row r="38" spans="1:12" x14ac:dyDescent="0.2">
      <c r="A38" s="8"/>
      <c r="B38" s="18"/>
    </row>
    <row r="39" spans="1:12" ht="15" x14ac:dyDescent="0.25">
      <c r="A39" s="7" t="s">
        <v>52</v>
      </c>
      <c r="B39" s="18"/>
    </row>
    <row r="40" spans="1:12" x14ac:dyDescent="0.2">
      <c r="A40" s="8" t="s">
        <v>46</v>
      </c>
      <c r="B40" s="17"/>
    </row>
    <row r="41" spans="1:12" x14ac:dyDescent="0.2">
      <c r="A41" s="8" t="s">
        <v>51</v>
      </c>
      <c r="B41" s="8"/>
    </row>
    <row r="42" spans="1:12" x14ac:dyDescent="0.2">
      <c r="A42" s="8" t="s">
        <v>79</v>
      </c>
      <c r="B42" s="8"/>
    </row>
    <row r="43" spans="1:12" x14ac:dyDescent="0.2">
      <c r="A43" s="8" t="s">
        <v>80</v>
      </c>
      <c r="B43" s="8"/>
    </row>
    <row r="44" spans="1:12" x14ac:dyDescent="0.2">
      <c r="A44" s="8" t="s">
        <v>56</v>
      </c>
      <c r="B44" s="8"/>
    </row>
    <row r="45" spans="1:12" x14ac:dyDescent="0.2">
      <c r="A45" s="8" t="s">
        <v>78</v>
      </c>
      <c r="B45" s="8"/>
    </row>
    <row r="46" spans="1:12" x14ac:dyDescent="0.2">
      <c r="A46" s="8" t="s">
        <v>77</v>
      </c>
      <c r="B46" s="8"/>
    </row>
    <row r="47" spans="1:12" x14ac:dyDescent="0.2">
      <c r="A47" s="8"/>
      <c r="B47" s="8"/>
    </row>
    <row r="48" spans="1:12" ht="15" x14ac:dyDescent="0.25">
      <c r="A48" s="7" t="s">
        <v>76</v>
      </c>
      <c r="B48" s="8"/>
      <c r="L48" s="7" t="s">
        <v>75</v>
      </c>
    </row>
    <row r="49" spans="1:19" x14ac:dyDescent="0.2">
      <c r="A49" s="8"/>
      <c r="B49" s="8"/>
    </row>
    <row r="50" spans="1:19" s="21" customFormat="1" ht="61.5" customHeight="1" x14ac:dyDescent="0.2">
      <c r="A50" s="19" t="s">
        <v>25</v>
      </c>
      <c r="B50" s="19" t="s">
        <v>24</v>
      </c>
      <c r="C50" s="19" t="s">
        <v>43</v>
      </c>
      <c r="D50" s="44" t="s">
        <v>60</v>
      </c>
      <c r="E50" s="19" t="s">
        <v>61</v>
      </c>
      <c r="F50" s="19" t="s">
        <v>62</v>
      </c>
      <c r="G50" s="19" t="s">
        <v>63</v>
      </c>
      <c r="H50" s="19" t="s">
        <v>64</v>
      </c>
      <c r="I50" s="2" t="s">
        <v>65</v>
      </c>
      <c r="J50" s="52" t="s">
        <v>26</v>
      </c>
      <c r="K50" s="20"/>
      <c r="L50" s="19" t="s">
        <v>45</v>
      </c>
      <c r="M50" s="19" t="s">
        <v>69</v>
      </c>
      <c r="N50" s="19" t="s">
        <v>70</v>
      </c>
      <c r="O50" s="19" t="s">
        <v>71</v>
      </c>
      <c r="Q50" s="19" t="s">
        <v>72</v>
      </c>
      <c r="R50" s="19" t="s">
        <v>73</v>
      </c>
      <c r="S50" s="19" t="s">
        <v>74</v>
      </c>
    </row>
    <row r="51" spans="1:19" s="21" customFormat="1" ht="15" x14ac:dyDescent="0.2">
      <c r="A51" s="22">
        <v>44383</v>
      </c>
      <c r="B51" s="48">
        <v>1756.34</v>
      </c>
      <c r="C51" s="19"/>
      <c r="D51" s="44"/>
      <c r="E51" s="19"/>
      <c r="F51" s="19"/>
      <c r="G51" s="19"/>
      <c r="H51" s="19"/>
      <c r="I51" s="2"/>
      <c r="J51" s="52"/>
      <c r="K51" s="20"/>
      <c r="L51" s="19"/>
      <c r="M51" s="19"/>
      <c r="N51" s="19"/>
      <c r="O51" s="19"/>
    </row>
    <row r="52" spans="1:19" s="21" customFormat="1" ht="15" x14ac:dyDescent="0.25">
      <c r="A52" s="24">
        <v>44408</v>
      </c>
      <c r="B52" s="44">
        <f>SUM(B51:B51)</f>
        <v>1756.34</v>
      </c>
      <c r="C52" s="19"/>
      <c r="D52" s="44">
        <v>143.34</v>
      </c>
      <c r="E52" s="25">
        <f>ROUND(B52/D52,2)</f>
        <v>12.25</v>
      </c>
      <c r="F52" s="25">
        <f>SUM(E$52:E52)</f>
        <v>12.25</v>
      </c>
      <c r="G52" s="26">
        <f>(E52*((1+$B$31)^((12-MONTH(A52))/12)-1))</f>
        <v>0.49626786022251917</v>
      </c>
      <c r="H52" s="19"/>
      <c r="I52" s="3"/>
      <c r="J52" s="49">
        <f>ROUND(D52*F52,2)</f>
        <v>1755.92</v>
      </c>
      <c r="K52" s="20"/>
      <c r="L52" s="15">
        <f>DATE(YEAR(A52),MONTH(A52),1)</f>
        <v>44378</v>
      </c>
      <c r="M52" s="20">
        <v>0</v>
      </c>
      <c r="N52" s="20">
        <v>0</v>
      </c>
      <c r="O52" s="20">
        <v>0</v>
      </c>
      <c r="Q52" s="20">
        <v>0</v>
      </c>
      <c r="R52" s="20">
        <v>0</v>
      </c>
      <c r="S52" s="20">
        <v>0</v>
      </c>
    </row>
    <row r="53" spans="1:19" x14ac:dyDescent="0.2">
      <c r="A53" s="14">
        <v>44419</v>
      </c>
      <c r="B53" s="48">
        <v>1500</v>
      </c>
      <c r="H53" s="8"/>
      <c r="J53" s="53"/>
      <c r="K53" s="18"/>
      <c r="M53" s="18"/>
      <c r="N53" s="18"/>
      <c r="O53" s="18"/>
      <c r="Q53" s="50"/>
      <c r="R53" s="50"/>
      <c r="S53" s="50"/>
    </row>
    <row r="54" spans="1:19" x14ac:dyDescent="0.2">
      <c r="A54" s="14">
        <v>44429</v>
      </c>
      <c r="B54" s="48">
        <v>1785.25</v>
      </c>
      <c r="H54" s="8"/>
      <c r="J54" s="53"/>
      <c r="K54" s="18"/>
      <c r="M54" s="18"/>
      <c r="N54" s="18"/>
      <c r="O54" s="18"/>
      <c r="Q54" s="50"/>
      <c r="R54" s="50"/>
      <c r="S54" s="50"/>
    </row>
    <row r="55" spans="1:19" x14ac:dyDescent="0.2">
      <c r="A55" s="14">
        <v>44439</v>
      </c>
      <c r="B55" s="48">
        <v>1578.25</v>
      </c>
      <c r="H55" s="8"/>
      <c r="J55" s="53"/>
      <c r="K55" s="18"/>
      <c r="M55" s="18"/>
      <c r="N55" s="18"/>
      <c r="O55" s="18"/>
      <c r="Q55" s="50"/>
      <c r="R55" s="50"/>
      <c r="S55" s="50"/>
    </row>
    <row r="56" spans="1:19" s="29" customFormat="1" ht="15" x14ac:dyDescent="0.25">
      <c r="A56" s="28">
        <v>44439</v>
      </c>
      <c r="B56" s="49">
        <f>SUM(B53:B55)</f>
        <v>4863.5</v>
      </c>
      <c r="D56" s="45">
        <v>146.5</v>
      </c>
      <c r="E56" s="25">
        <f>ROUND(B56/D56,2)</f>
        <v>33.200000000000003</v>
      </c>
      <c r="F56" s="25">
        <f>SUM(E$52:E56)</f>
        <v>45.45</v>
      </c>
      <c r="G56" s="26">
        <f>(E56*((1+$B$31)^((12-MONTH(A56))/12)-1))</f>
        <v>1.0716998331513918</v>
      </c>
      <c r="I56" s="4">
        <f>F52*(1+$B$31)^(1/12)</f>
        <v>12.347683220254071</v>
      </c>
      <c r="J56" s="49">
        <f>ROUND(D56*F56,2)</f>
        <v>6658.43</v>
      </c>
      <c r="L56" s="15">
        <f>DATE(YEAR(A56),MONTH(A56),1)</f>
        <v>44409</v>
      </c>
      <c r="M56" s="30">
        <f>F52*B$34</f>
        <v>6.125</v>
      </c>
      <c r="N56" s="30">
        <f>B$35*F52</f>
        <v>61.25</v>
      </c>
      <c r="O56" s="30">
        <f>B$36*F52</f>
        <v>61.25</v>
      </c>
      <c r="Q56" s="50">
        <f>ROUNDDOWN(M56*$D52,2)</f>
        <v>877.95</v>
      </c>
      <c r="R56" s="50">
        <f t="shared" ref="R56:S56" si="0">ROUNDDOWN(N56*$D52,2)</f>
        <v>8779.57</v>
      </c>
      <c r="S56" s="50">
        <f t="shared" si="0"/>
        <v>8779.57</v>
      </c>
    </row>
    <row r="57" spans="1:19" x14ac:dyDescent="0.2">
      <c r="A57" s="14">
        <v>44450</v>
      </c>
      <c r="B57" s="48">
        <v>1600</v>
      </c>
      <c r="G57" s="31"/>
      <c r="H57" s="8"/>
      <c r="I57" s="5"/>
      <c r="J57" s="53"/>
      <c r="M57" s="18"/>
      <c r="N57" s="18"/>
      <c r="O57" s="18"/>
    </row>
    <row r="58" spans="1:19" s="29" customFormat="1" ht="15" x14ac:dyDescent="0.25">
      <c r="A58" s="28">
        <v>44469</v>
      </c>
      <c r="B58" s="49">
        <f>SUM(B57)</f>
        <v>1600</v>
      </c>
      <c r="D58" s="45">
        <v>150.32</v>
      </c>
      <c r="E58" s="32">
        <f>ROUND(B58/D58,2)</f>
        <v>10.64</v>
      </c>
      <c r="F58" s="25">
        <f>SUM(E$52:E58)</f>
        <v>56.09</v>
      </c>
      <c r="G58" s="26">
        <f>(E58*((1+$B$31)^((12-MONTH(A58))/12)-1))</f>
        <v>0.25656965185849601</v>
      </c>
      <c r="I58" s="4">
        <f>(E56+I56)*(1+$B$31)^(1/12)</f>
        <v>45.910886842463604</v>
      </c>
      <c r="J58" s="49">
        <f>ROUND(D58*F58,2)</f>
        <v>8431.4500000000007</v>
      </c>
      <c r="L58" s="15">
        <f>DATE(YEAR(A58),MONTH(A58),1)</f>
        <v>44440</v>
      </c>
      <c r="M58" s="30">
        <f>(E52+E56)*B$34</f>
        <v>22.725000000000001</v>
      </c>
      <c r="N58" s="30">
        <f>(E52+E56)*B$35</f>
        <v>227.25</v>
      </c>
      <c r="O58" s="30">
        <f>(E52+E56)*B$36</f>
        <v>227.25</v>
      </c>
      <c r="P58" s="33"/>
      <c r="Q58" s="50">
        <f>ROUNDDOWN(M58*$D56,2)</f>
        <v>3329.21</v>
      </c>
      <c r="R58" s="50">
        <f t="shared" ref="R58:S58" si="1">ROUNDDOWN(N58*$D56,2)</f>
        <v>33292.120000000003</v>
      </c>
      <c r="S58" s="50">
        <f t="shared" si="1"/>
        <v>33292.120000000003</v>
      </c>
    </row>
    <row r="59" spans="1:19" x14ac:dyDescent="0.2">
      <c r="A59" s="14">
        <v>44480</v>
      </c>
      <c r="B59" s="48">
        <v>1800</v>
      </c>
      <c r="G59" s="31"/>
      <c r="H59" s="8"/>
      <c r="I59" s="5"/>
      <c r="J59" s="53"/>
      <c r="M59" s="18">
        <f>M58*$D54</f>
        <v>0</v>
      </c>
      <c r="N59" s="18"/>
      <c r="O59" s="18"/>
    </row>
    <row r="60" spans="1:19" s="29" customFormat="1" ht="15" x14ac:dyDescent="0.25">
      <c r="A60" s="28">
        <v>44500</v>
      </c>
      <c r="B60" s="49">
        <f>SUM(B59)</f>
        <v>1800</v>
      </c>
      <c r="D60" s="45">
        <v>140.68</v>
      </c>
      <c r="E60" s="32">
        <f>ROUND(B60/D60,2)</f>
        <v>12.79</v>
      </c>
      <c r="F60" s="25">
        <f>SUM(E$52:E60)</f>
        <v>68.88</v>
      </c>
      <c r="G60" s="26">
        <f>(E60*((1+$B$31)^((12-MONTH(A60))/12)-1))</f>
        <v>0.20479178882162441</v>
      </c>
      <c r="I60" s="4">
        <f>(E58+I58)*(1+$B$31)^(1/12)</f>
        <v>57.001831555524454</v>
      </c>
      <c r="J60" s="49">
        <f>ROUND(D60*F60,2)</f>
        <v>9690.0400000000009</v>
      </c>
      <c r="L60" s="15">
        <f>DATE(YEAR(A60),MONTH(A60),1)</f>
        <v>44470</v>
      </c>
      <c r="M60" s="30">
        <f>(E52+E56+E58)*B$34</f>
        <v>28.045000000000002</v>
      </c>
      <c r="N60" s="30">
        <f>(E52+E56+E58)*B$35</f>
        <v>280.45000000000005</v>
      </c>
      <c r="O60" s="30">
        <f>(E52+E56+E58)*B$36</f>
        <v>280.45000000000005</v>
      </c>
      <c r="Q60" s="50">
        <f>ROUNDDOWN(M60*$D58,2)</f>
        <v>4215.72</v>
      </c>
      <c r="R60" s="50">
        <f t="shared" ref="R60:S60" si="2">ROUNDDOWN(N60*$D58,2)</f>
        <v>42157.24</v>
      </c>
      <c r="S60" s="50">
        <f t="shared" si="2"/>
        <v>42157.24</v>
      </c>
    </row>
    <row r="61" spans="1:19" x14ac:dyDescent="0.2">
      <c r="A61" s="14">
        <v>44515</v>
      </c>
      <c r="B61" s="48">
        <v>2000</v>
      </c>
      <c r="G61" s="31"/>
      <c r="H61" s="8"/>
      <c r="I61" s="5"/>
      <c r="J61" s="53"/>
      <c r="M61" s="18"/>
      <c r="N61" s="18"/>
      <c r="O61" s="18"/>
    </row>
    <row r="62" spans="1:19" s="29" customFormat="1" ht="15" x14ac:dyDescent="0.25">
      <c r="A62" s="28">
        <v>44530</v>
      </c>
      <c r="B62" s="49">
        <f>SUM(B61)</f>
        <v>2000</v>
      </c>
      <c r="D62" s="45">
        <v>162.77000000000001</v>
      </c>
      <c r="E62" s="32">
        <f>ROUND(B62/D62,2)</f>
        <v>12.29</v>
      </c>
      <c r="F62" s="25">
        <f>SUM(E$52:E62)</f>
        <v>81.169999999999987</v>
      </c>
      <c r="G62" s="26">
        <f>(E62*((1+$B$31)^((12-MONTH(A62))/12)-1))</f>
        <v>9.8002185871227263E-2</v>
      </c>
      <c r="I62" s="4">
        <f>(E60+I60)*(1+$B$31)^(1/12)</f>
        <v>70.348361421138605</v>
      </c>
      <c r="J62" s="49">
        <f>ROUND(D62*F62,2)</f>
        <v>13212.04</v>
      </c>
      <c r="L62" s="15">
        <f>DATE(YEAR(A62),MONTH(A62),1)</f>
        <v>44501</v>
      </c>
      <c r="M62" s="30">
        <f>(E56+E58+E60)*B$34</f>
        <v>28.315000000000001</v>
      </c>
      <c r="N62" s="30">
        <f>(E56+E58+E60)*B$35</f>
        <v>283.15000000000003</v>
      </c>
      <c r="O62" s="30">
        <f>(E56+E58+E60)*B$36</f>
        <v>283.15000000000003</v>
      </c>
      <c r="Q62" s="50">
        <f>ROUNDDOWN(M62*$D60,2)</f>
        <v>3983.35</v>
      </c>
      <c r="R62" s="50">
        <f t="shared" ref="R62:S62" si="3">ROUNDDOWN(N62*$D60,2)</f>
        <v>39833.54</v>
      </c>
      <c r="S62" s="50">
        <f t="shared" si="3"/>
        <v>39833.54</v>
      </c>
    </row>
    <row r="63" spans="1:19" x14ac:dyDescent="0.2">
      <c r="A63" s="14">
        <v>44545</v>
      </c>
      <c r="B63" s="48">
        <v>2000</v>
      </c>
      <c r="G63" s="31"/>
      <c r="H63" s="8"/>
      <c r="I63" s="5"/>
      <c r="J63" s="53"/>
      <c r="M63" s="18"/>
      <c r="N63" s="18"/>
      <c r="O63" s="18"/>
    </row>
    <row r="64" spans="1:19" x14ac:dyDescent="0.2">
      <c r="A64" s="34">
        <v>44561</v>
      </c>
      <c r="B64" s="50">
        <f>SUM(B63)</f>
        <v>2000</v>
      </c>
      <c r="D64" s="43">
        <v>180.02</v>
      </c>
      <c r="E64" s="35">
        <f>ROUNDDOWN(B64/D64,2)</f>
        <v>11.1</v>
      </c>
      <c r="F64" s="35">
        <f>SUM(E$52:E64)</f>
        <v>92.269999999999982</v>
      </c>
      <c r="G64" s="26">
        <f>(E64*((1+$B$31)^((12-MONTH(A64))/12)-1))</f>
        <v>0</v>
      </c>
      <c r="H64" s="29"/>
      <c r="I64" s="4">
        <f>(E62+I62)*(1+$B$31)^(1/12)</f>
        <v>83.297331319925263</v>
      </c>
      <c r="J64" s="53"/>
    </row>
    <row r="65" spans="1:19" ht="15" x14ac:dyDescent="0.25">
      <c r="A65" s="28">
        <v>44561</v>
      </c>
      <c r="B65" s="49">
        <f>B56+B58+B60+B62+B64</f>
        <v>12263.5</v>
      </c>
      <c r="D65" s="46">
        <f>D64</f>
        <v>180.02</v>
      </c>
      <c r="E65" s="7"/>
      <c r="F65" s="36"/>
      <c r="G65" s="36">
        <f>SUM(G52:G64)</f>
        <v>2.127331319925259</v>
      </c>
      <c r="H65" s="36">
        <f>F64+G65</f>
        <v>94.397331319925243</v>
      </c>
      <c r="I65" s="4">
        <f>(E64+I64)</f>
        <v>94.397331319925257</v>
      </c>
      <c r="J65" s="49">
        <f>ROUND(D65*H65,2)</f>
        <v>16993.41</v>
      </c>
      <c r="L65" s="15">
        <f>DATE(YEAR(A65),MONTH(A65),1)</f>
        <v>44531</v>
      </c>
      <c r="M65" s="30">
        <f>(E58+E60+E62)*B$34</f>
        <v>17.86</v>
      </c>
      <c r="N65" s="30">
        <f>(E62+E60+E58)*B$36</f>
        <v>178.6</v>
      </c>
      <c r="O65" s="30">
        <f>(E58+E60+E62)*B$36</f>
        <v>178.6</v>
      </c>
      <c r="Q65" s="50">
        <f>ROUNDDOWN(M65*$D62,2)</f>
        <v>2907.07</v>
      </c>
      <c r="R65" s="50">
        <f t="shared" ref="R65:S65" si="4">ROUNDDOWN(N65*$D62,2)</f>
        <v>29070.720000000001</v>
      </c>
      <c r="S65" s="50">
        <f t="shared" si="4"/>
        <v>29070.720000000001</v>
      </c>
    </row>
    <row r="66" spans="1:19" ht="15" x14ac:dyDescent="0.25">
      <c r="A66" s="28"/>
      <c r="B66" s="49"/>
      <c r="D66" s="46"/>
      <c r="E66" s="7"/>
      <c r="F66" s="36"/>
      <c r="G66" s="36"/>
      <c r="H66" s="36"/>
      <c r="I66" s="4"/>
      <c r="J66" s="49"/>
      <c r="L66" s="15"/>
      <c r="M66" s="30"/>
      <c r="N66" s="30"/>
      <c r="O66" s="30"/>
      <c r="Q66" s="50"/>
      <c r="R66" s="50"/>
      <c r="S66" s="50"/>
    </row>
    <row r="67" spans="1:19" s="21" customFormat="1" ht="63.75" customHeight="1" x14ac:dyDescent="0.2">
      <c r="A67" s="19" t="s">
        <v>25</v>
      </c>
      <c r="B67" s="19" t="s">
        <v>24</v>
      </c>
      <c r="C67" s="19" t="s">
        <v>43</v>
      </c>
      <c r="D67" s="44" t="s">
        <v>60</v>
      </c>
      <c r="E67" s="19" t="s">
        <v>61</v>
      </c>
      <c r="F67" s="19" t="s">
        <v>62</v>
      </c>
      <c r="G67" s="19" t="s">
        <v>63</v>
      </c>
      <c r="H67" s="19" t="s">
        <v>64</v>
      </c>
      <c r="I67" s="2" t="s">
        <v>65</v>
      </c>
      <c r="J67" s="52" t="s">
        <v>26</v>
      </c>
      <c r="K67" s="20"/>
      <c r="L67" s="19" t="s">
        <v>45</v>
      </c>
      <c r="M67" s="19" t="s">
        <v>69</v>
      </c>
      <c r="N67" s="19" t="s">
        <v>70</v>
      </c>
      <c r="O67" s="19" t="s">
        <v>71</v>
      </c>
      <c r="Q67" s="19" t="s">
        <v>72</v>
      </c>
      <c r="R67" s="19" t="s">
        <v>73</v>
      </c>
      <c r="S67" s="19" t="s">
        <v>74</v>
      </c>
    </row>
    <row r="68" spans="1:19" ht="15" x14ac:dyDescent="0.25">
      <c r="A68" s="34">
        <v>44562</v>
      </c>
      <c r="B68" s="50"/>
      <c r="F68" s="31">
        <f>H65</f>
        <v>94.397331319925243</v>
      </c>
      <c r="G68" s="26">
        <f>ROUNDDOWN(F68*((1+$B$31)-1),2)</f>
        <v>9.43</v>
      </c>
      <c r="H68" s="8"/>
      <c r="I68" s="4"/>
      <c r="J68" s="49"/>
    </row>
    <row r="69" spans="1:19" x14ac:dyDescent="0.2">
      <c r="A69" s="14">
        <v>44576</v>
      </c>
      <c r="B69" s="48">
        <v>3000</v>
      </c>
      <c r="H69" s="8"/>
      <c r="I69" s="5"/>
      <c r="J69" s="53"/>
    </row>
    <row r="70" spans="1:19" ht="15" x14ac:dyDescent="0.25">
      <c r="A70" s="28">
        <v>44592</v>
      </c>
      <c r="B70" s="49">
        <f>SUM(B69)</f>
        <v>3000</v>
      </c>
      <c r="D70" s="46">
        <v>200.09</v>
      </c>
      <c r="E70" s="32">
        <f>ROUND(B70/D70,2)</f>
        <v>14.99</v>
      </c>
      <c r="F70" s="36">
        <f>F$68+SUM(E$70:E70)</f>
        <v>109.38733131992524</v>
      </c>
      <c r="G70" s="26">
        <f>ROUNDDOWN(E70*((1+$B$31)^((12-MONTH(A70))/12)-1),2)</f>
        <v>1.36</v>
      </c>
      <c r="H70" s="26"/>
      <c r="I70" s="4">
        <f>F68*(1+$B$31)^(1/12)</f>
        <v>95.150068895984077</v>
      </c>
      <c r="J70" s="49">
        <f>ROUND(D70*F70,2)</f>
        <v>21887.31</v>
      </c>
      <c r="L70" s="15">
        <f>DATE(YEAR(A70),MONTH(A70),1)</f>
        <v>44562</v>
      </c>
      <c r="M70" s="30">
        <f>(E60+E62+E64)*B$34</f>
        <v>18.09</v>
      </c>
      <c r="N70" s="30">
        <f>(E60+E62+E64)*B$35</f>
        <v>180.9</v>
      </c>
      <c r="O70" s="30">
        <f>(E60+E62+E64)*B$36</f>
        <v>180.9</v>
      </c>
      <c r="Q70" s="50">
        <f>ROUNDDOWN(M70*$D65,2)</f>
        <v>3256.56</v>
      </c>
      <c r="R70" s="50">
        <f t="shared" ref="R70:S70" si="5">ROUNDDOWN(N70*$D65,2)</f>
        <v>32565.61</v>
      </c>
      <c r="S70" s="50">
        <f t="shared" si="5"/>
        <v>32565.61</v>
      </c>
    </row>
    <row r="71" spans="1:19" x14ac:dyDescent="0.2">
      <c r="A71" s="14">
        <v>44607</v>
      </c>
      <c r="B71" s="48">
        <v>3000</v>
      </c>
      <c r="H71" s="8"/>
      <c r="I71" s="5"/>
      <c r="J71" s="53"/>
    </row>
    <row r="72" spans="1:19" ht="15" x14ac:dyDescent="0.25">
      <c r="A72" s="28">
        <v>44620</v>
      </c>
      <c r="B72" s="49">
        <f t="shared" ref="B72" si="6">SUM(B71)</f>
        <v>3000</v>
      </c>
      <c r="D72" s="46">
        <v>201.2</v>
      </c>
      <c r="E72" s="32">
        <f>ROUND(B72/D72,2)</f>
        <v>14.91</v>
      </c>
      <c r="F72" s="36">
        <f>F$68+SUM(E$70:E72)</f>
        <v>124.29733131992523</v>
      </c>
      <c r="G72" s="26">
        <f>ROUNDDOWN(E72*((1+$B$31)^((12-MONTH(A72))/12)-1),2)</f>
        <v>1.23</v>
      </c>
      <c r="H72" s="26"/>
      <c r="I72" s="4">
        <f>(E70+I70)*(1+$B$31)^(1/12)</f>
        <v>111.01834127220978</v>
      </c>
      <c r="J72" s="49">
        <f>ROUND(D72*F72,2)</f>
        <v>25008.62</v>
      </c>
      <c r="L72" s="15">
        <f>DATE(YEAR(A72),MONTH(A72),1)</f>
        <v>44593</v>
      </c>
      <c r="M72" s="30">
        <f>(E62+E64+E70)*B$34</f>
        <v>19.190000000000001</v>
      </c>
      <c r="N72" s="30">
        <f>(E62+E64+E70)*B$35</f>
        <v>191.9</v>
      </c>
      <c r="O72" s="30">
        <f>(E62+E64+E70)*B$36</f>
        <v>191.9</v>
      </c>
      <c r="Q72" s="50">
        <f>ROUNDDOWN(M72*$D70,2)</f>
        <v>3839.72</v>
      </c>
      <c r="R72" s="50">
        <f t="shared" ref="R72:S72" si="7">ROUNDDOWN(N72*$D70,2)</f>
        <v>38397.269999999997</v>
      </c>
      <c r="S72" s="50">
        <f t="shared" si="7"/>
        <v>38397.269999999997</v>
      </c>
    </row>
    <row r="73" spans="1:19" x14ac:dyDescent="0.2">
      <c r="A73" s="14">
        <v>44635</v>
      </c>
      <c r="B73" s="48">
        <v>3000</v>
      </c>
      <c r="H73" s="8"/>
      <c r="I73" s="5"/>
      <c r="J73" s="53"/>
    </row>
    <row r="74" spans="1:19" ht="15" x14ac:dyDescent="0.25">
      <c r="A74" s="28">
        <v>44651</v>
      </c>
      <c r="B74" s="49">
        <f t="shared" ref="B74" si="8">SUM(B73)</f>
        <v>3000</v>
      </c>
      <c r="D74" s="46">
        <v>256.2</v>
      </c>
      <c r="E74" s="32">
        <f>ROUND(B74/D74,2)</f>
        <v>11.71</v>
      </c>
      <c r="F74" s="36">
        <f>F$68+SUM(E$70:E74)</f>
        <v>136.00733131992524</v>
      </c>
      <c r="G74" s="26">
        <f>ROUNDDOWN(E74*((1+$B$31)^((12-MONTH(A74))/12)-1),2)</f>
        <v>0.86</v>
      </c>
      <c r="H74" s="26"/>
      <c r="I74" s="4">
        <f>(E72+I72)*(1+$B$31)^(1/12)</f>
        <v>126.9325115494933</v>
      </c>
      <c r="J74" s="49">
        <f>ROUND(D74*F74,2)</f>
        <v>34845.08</v>
      </c>
      <c r="L74" s="15">
        <f>DATE(YEAR(A74),MONTH(A74),1)</f>
        <v>44621</v>
      </c>
      <c r="M74" s="30">
        <f>(E64+E70+E72)*B$34</f>
        <v>20.5</v>
      </c>
      <c r="N74" s="30">
        <f>(E64+E70+E72)*B$35</f>
        <v>205</v>
      </c>
      <c r="O74" s="30">
        <f>(E64+E70+E72)*B$36</f>
        <v>205</v>
      </c>
      <c r="Q74" s="50">
        <f>ROUNDDOWN(M74*$D72,2)</f>
        <v>4124.6000000000004</v>
      </c>
      <c r="R74" s="50">
        <f t="shared" ref="R74:S74" si="9">ROUNDDOWN(N74*$D72,2)</f>
        <v>41246</v>
      </c>
      <c r="S74" s="50">
        <f t="shared" si="9"/>
        <v>41246</v>
      </c>
    </row>
    <row r="75" spans="1:19" x14ac:dyDescent="0.2">
      <c r="A75" s="14">
        <v>44666</v>
      </c>
      <c r="B75" s="48">
        <v>3000</v>
      </c>
      <c r="H75" s="8"/>
      <c r="I75" s="5"/>
      <c r="J75" s="53"/>
    </row>
    <row r="76" spans="1:19" ht="15" x14ac:dyDescent="0.25">
      <c r="A76" s="28">
        <v>44681</v>
      </c>
      <c r="B76" s="49">
        <f t="shared" ref="B76" si="10">SUM(B75)</f>
        <v>3000</v>
      </c>
      <c r="D76" s="46">
        <v>241.5</v>
      </c>
      <c r="E76" s="32">
        <f>ROUND(B76/D76,2)</f>
        <v>12.42</v>
      </c>
      <c r="F76" s="36">
        <f>F$68+SUM(E$70:E76)</f>
        <v>148.42733131992526</v>
      </c>
      <c r="G76" s="26">
        <f>ROUNDDOWN(E76*((1+$B$31)^((12-MONTH(A76))/12)-1),2)</f>
        <v>0.81</v>
      </c>
      <c r="H76" s="26"/>
      <c r="I76" s="4">
        <f>(E74+I74)*(1+$B$31)^(1/12)</f>
        <v>139.74806640600485</v>
      </c>
      <c r="J76" s="49">
        <f>ROUND(D76*F76,2)</f>
        <v>35845.199999999997</v>
      </c>
      <c r="L76" s="15">
        <f>DATE(YEAR(A76),MONTH(A76),1)</f>
        <v>44652</v>
      </c>
      <c r="M76" s="30">
        <f>(E70+E72+E74)*B$34</f>
        <v>20.805</v>
      </c>
      <c r="N76" s="30">
        <f>(E70+E72+E74)*B$35</f>
        <v>208.05</v>
      </c>
      <c r="O76" s="30">
        <f>(E70+E72+E74)*B$36</f>
        <v>208.05</v>
      </c>
      <c r="Q76" s="50">
        <f>ROUNDDOWN(M76*$D74,2)</f>
        <v>5330.24</v>
      </c>
      <c r="R76" s="50">
        <f t="shared" ref="R76:S76" si="11">ROUNDDOWN(N76*$D74,2)</f>
        <v>53302.41</v>
      </c>
      <c r="S76" s="50">
        <f t="shared" si="11"/>
        <v>53302.41</v>
      </c>
    </row>
    <row r="77" spans="1:19" x14ac:dyDescent="0.2">
      <c r="A77" s="14">
        <v>44696</v>
      </c>
      <c r="B77" s="48">
        <v>3000</v>
      </c>
      <c r="H77" s="8"/>
      <c r="I77" s="5"/>
      <c r="J77" s="53"/>
      <c r="M77" s="30"/>
      <c r="N77" s="30"/>
      <c r="O77" s="30"/>
    </row>
    <row r="78" spans="1:19" ht="15" x14ac:dyDescent="0.25">
      <c r="A78" s="28">
        <v>44712</v>
      </c>
      <c r="B78" s="49">
        <f t="shared" ref="B78" si="12">SUM(B77)</f>
        <v>3000</v>
      </c>
      <c r="D78" s="46">
        <v>200.56</v>
      </c>
      <c r="E78" s="32">
        <f>ROUND(B78/D78,2)</f>
        <v>14.96</v>
      </c>
      <c r="F78" s="36">
        <f>F$68+SUM(E$70:E78)</f>
        <v>163.38733131992524</v>
      </c>
      <c r="G78" s="26">
        <f>ROUNDDOWN(E78*((1+$B$31)^((12-MONTH(A78))/12)-1),2)</f>
        <v>0.85</v>
      </c>
      <c r="H78" s="26"/>
      <c r="I78" s="4">
        <f>(E76+I76)*(1+$B$31)^(1/12)</f>
        <v>153.38147593632107</v>
      </c>
      <c r="J78" s="49">
        <f>ROUND(D78*F78,2)</f>
        <v>32768.959999999999</v>
      </c>
      <c r="L78" s="15">
        <f>DATE(YEAR(A78),MONTH(A78),1)</f>
        <v>44682</v>
      </c>
      <c r="M78" s="30">
        <f t="shared" ref="M78:M86" si="13">(E72+E74+E76)*B$34</f>
        <v>19.52</v>
      </c>
      <c r="N78" s="30">
        <f>(E72+E74+E76)*B$35</f>
        <v>195.2</v>
      </c>
      <c r="O78" s="30">
        <f>(E72+E74+E76)*B$36</f>
        <v>195.2</v>
      </c>
      <c r="Q78" s="50">
        <f>ROUNDDOWN(M78*$D76,2)</f>
        <v>4714.08</v>
      </c>
      <c r="R78" s="50">
        <f t="shared" ref="R78:S78" si="14">ROUNDDOWN(N78*$D76,2)</f>
        <v>47140.800000000003</v>
      </c>
      <c r="S78" s="50">
        <f t="shared" si="14"/>
        <v>47140.800000000003</v>
      </c>
    </row>
    <row r="79" spans="1:19" x14ac:dyDescent="0.2">
      <c r="A79" s="14">
        <v>44727</v>
      </c>
      <c r="B79" s="48">
        <v>3000</v>
      </c>
      <c r="H79" s="8"/>
      <c r="I79" s="5"/>
      <c r="J79" s="53"/>
      <c r="M79" s="30"/>
      <c r="N79" s="30"/>
      <c r="O79" s="30"/>
    </row>
    <row r="80" spans="1:19" ht="15" x14ac:dyDescent="0.25">
      <c r="A80" s="28">
        <v>44742</v>
      </c>
      <c r="B80" s="49">
        <f t="shared" ref="B80" si="15">SUM(B79)</f>
        <v>3000</v>
      </c>
      <c r="D80" s="46">
        <v>198.56</v>
      </c>
      <c r="E80" s="32">
        <f>ROUND(B80/D80,2)</f>
        <v>15.11</v>
      </c>
      <c r="F80" s="36">
        <f>F$68+SUM(E$70:E80)</f>
        <v>178.49733131992525</v>
      </c>
      <c r="G80" s="26">
        <f>ROUNDDOWN(E80*((1+$B$31)^((12-MONTH(A80))/12)-1),2)</f>
        <v>0.73</v>
      </c>
      <c r="H80" s="26"/>
      <c r="I80" s="4">
        <f>(E78+I78)*(1+$B$31)^(1/12)</f>
        <v>169.68385450544622</v>
      </c>
      <c r="J80" s="49">
        <f>ROUND(D80*F80,2)</f>
        <v>35442.43</v>
      </c>
      <c r="L80" s="15">
        <f>DATE(YEAR(A80),MONTH(A80),1)</f>
        <v>44713</v>
      </c>
      <c r="M80" s="30">
        <f t="shared" si="13"/>
        <v>19.545000000000002</v>
      </c>
      <c r="N80" s="30">
        <f>(E74+E76+E78)*B$35</f>
        <v>195.45000000000002</v>
      </c>
      <c r="O80" s="30">
        <f>(E74+E76+E78)*B$36</f>
        <v>195.45000000000002</v>
      </c>
      <c r="Q80" s="50">
        <f>ROUNDDOWN(M80*$D78,2)</f>
        <v>3919.94</v>
      </c>
      <c r="R80" s="50">
        <f t="shared" ref="R80:S80" si="16">ROUNDDOWN(N80*$D78,2)</f>
        <v>39199.449999999997</v>
      </c>
      <c r="S80" s="50">
        <f t="shared" si="16"/>
        <v>39199.449999999997</v>
      </c>
    </row>
    <row r="81" spans="1:19" x14ac:dyDescent="0.2">
      <c r="A81" s="14">
        <v>44757</v>
      </c>
      <c r="B81" s="48">
        <v>3000</v>
      </c>
      <c r="H81" s="8"/>
      <c r="I81" s="5"/>
      <c r="J81" s="53"/>
      <c r="M81" s="30"/>
      <c r="N81" s="30"/>
      <c r="O81" s="30"/>
    </row>
    <row r="82" spans="1:19" ht="15" x14ac:dyDescent="0.25">
      <c r="A82" s="28">
        <v>44773</v>
      </c>
      <c r="B82" s="49">
        <f t="shared" ref="B82" si="17">SUM(B81)</f>
        <v>3000</v>
      </c>
      <c r="D82" s="46">
        <v>199.89</v>
      </c>
      <c r="E82" s="32">
        <f>ROUND(B82/D82,2)</f>
        <v>15.01</v>
      </c>
      <c r="F82" s="36">
        <f>F$68+SUM(E$70:E82)</f>
        <v>193.50733131992524</v>
      </c>
      <c r="G82" s="26">
        <f>ROUNDDOWN(E82*((1+$B$31)^((12-MONTH(A82))/12)-1),2)</f>
        <v>0.6</v>
      </c>
      <c r="H82" s="26"/>
      <c r="I82" s="4">
        <f>(E80+I80)*(1+$B$31)^(1/12)</f>
        <v>186.26742665167106</v>
      </c>
      <c r="J82" s="49">
        <f>ROUND(D82*F82,2)</f>
        <v>38680.18</v>
      </c>
      <c r="L82" s="15">
        <f>DATE(YEAR(A82),MONTH(A82),1)</f>
        <v>44743</v>
      </c>
      <c r="M82" s="30">
        <f t="shared" si="13"/>
        <v>21.245000000000001</v>
      </c>
      <c r="N82" s="30">
        <f>(E76+E78+E80)*B$35</f>
        <v>212.45000000000002</v>
      </c>
      <c r="O82" s="30">
        <f>(E76+E78+E80)*B$36</f>
        <v>212.45000000000002</v>
      </c>
      <c r="Q82" s="50">
        <f>ROUNDDOWN(M82*$D80,2)</f>
        <v>4218.3999999999996</v>
      </c>
      <c r="R82" s="50">
        <f t="shared" ref="R82:S82" si="18">ROUNDDOWN(N82*$D80,2)</f>
        <v>42184.07</v>
      </c>
      <c r="S82" s="50">
        <f t="shared" si="18"/>
        <v>42184.07</v>
      </c>
    </row>
    <row r="83" spans="1:19" x14ac:dyDescent="0.2">
      <c r="A83" s="14">
        <v>44788</v>
      </c>
      <c r="B83" s="48">
        <v>3000</v>
      </c>
      <c r="H83" s="8"/>
      <c r="I83" s="5"/>
      <c r="J83" s="53"/>
      <c r="M83" s="30"/>
      <c r="N83" s="30"/>
      <c r="O83" s="30"/>
    </row>
    <row r="84" spans="1:19" ht="15" x14ac:dyDescent="0.25">
      <c r="A84" s="28">
        <v>44804</v>
      </c>
      <c r="B84" s="50">
        <f t="shared" ref="B84" si="19">SUM(B83)</f>
        <v>3000</v>
      </c>
      <c r="D84" s="45">
        <v>200.89</v>
      </c>
      <c r="E84" s="32">
        <f>ROUND(B84/D84,2)</f>
        <v>14.93</v>
      </c>
      <c r="F84" s="36">
        <f>F$68+SUM(E$70:E84)</f>
        <v>208.43733131992525</v>
      </c>
      <c r="G84" s="26">
        <f>ROUNDDOWN(E84*((1+$B$31)^((12-MONTH(A84))/12)-1),2)</f>
        <v>0.48</v>
      </c>
      <c r="H84" s="26"/>
      <c r="I84" s="4">
        <f>(E82+I82)*(1+$B$31)^(1/12)</f>
        <v>202.88244111695985</v>
      </c>
      <c r="J84" s="49">
        <f>ROUND(D84*F84,2)</f>
        <v>41872.980000000003</v>
      </c>
      <c r="L84" s="15">
        <f>DATE(YEAR(A84),MONTH(A84),1)</f>
        <v>44774</v>
      </c>
      <c r="M84" s="30">
        <f t="shared" si="13"/>
        <v>22.54</v>
      </c>
      <c r="N84" s="30">
        <f>(E78+E80+E82)*B$35</f>
        <v>225.39999999999998</v>
      </c>
      <c r="O84" s="30">
        <f>(E78+E80+E82)*B$36</f>
        <v>225.39999999999998</v>
      </c>
      <c r="Q84" s="50">
        <f>ROUNDDOWN(M84*$D82,2)</f>
        <v>4505.5200000000004</v>
      </c>
      <c r="R84" s="50">
        <f t="shared" ref="R84:S84" si="20">ROUNDDOWN(N84*$D82,2)</f>
        <v>45055.199999999997</v>
      </c>
      <c r="S84" s="50">
        <f t="shared" si="20"/>
        <v>45055.199999999997</v>
      </c>
    </row>
    <row r="85" spans="1:19" x14ac:dyDescent="0.2">
      <c r="A85" s="14">
        <v>44815</v>
      </c>
      <c r="B85" s="48">
        <v>3000</v>
      </c>
      <c r="G85" s="31"/>
      <c r="H85" s="8"/>
      <c r="I85" s="5"/>
      <c r="J85" s="53"/>
      <c r="M85" s="30"/>
      <c r="N85" s="30"/>
      <c r="O85" s="30"/>
    </row>
    <row r="86" spans="1:19" ht="15" x14ac:dyDescent="0.25">
      <c r="A86" s="28">
        <v>44834</v>
      </c>
      <c r="B86" s="50">
        <f t="shared" ref="B86" si="21">SUM(B85)</f>
        <v>3000</v>
      </c>
      <c r="D86" s="45">
        <v>205.32</v>
      </c>
      <c r="E86" s="32">
        <f>ROUND(B86/D86,2)</f>
        <v>14.61</v>
      </c>
      <c r="F86" s="36">
        <f>F$68+SUM(E$70:E86)</f>
        <v>223.04733131992526</v>
      </c>
      <c r="G86" s="26">
        <f>ROUNDDOWN(E86*((1+$B$31)^((12-MONTH(A86))/12)-1),2)</f>
        <v>0.35</v>
      </c>
      <c r="H86" s="26"/>
      <c r="I86" s="4">
        <f>(E84+I84)*(1+$B$31)^(1/12)</f>
        <v>219.54930810958882</v>
      </c>
      <c r="J86" s="49">
        <f>ROUND(D86*F86,2)</f>
        <v>45796.08</v>
      </c>
      <c r="L86" s="15">
        <f>DATE(YEAR(A86),MONTH(A86),1)</f>
        <v>44805</v>
      </c>
      <c r="M86" s="30">
        <f t="shared" si="13"/>
        <v>22.524999999999999</v>
      </c>
      <c r="N86" s="30">
        <f>(E80+E82+E84)*B$35</f>
        <v>225.25</v>
      </c>
      <c r="O86" s="30">
        <f>(E80+E82+E84)*B$36</f>
        <v>225.25</v>
      </c>
      <c r="Q86" s="50">
        <f>ROUNDDOWN(M86*$D84,2)</f>
        <v>4525.04</v>
      </c>
      <c r="R86" s="50">
        <f t="shared" ref="R86:S86" si="22">ROUNDDOWN(N86*$D84,2)</f>
        <v>45250.47</v>
      </c>
      <c r="S86" s="50">
        <f t="shared" si="22"/>
        <v>45250.47</v>
      </c>
    </row>
    <row r="87" spans="1:19" x14ac:dyDescent="0.2">
      <c r="A87" s="14">
        <v>44845</v>
      </c>
      <c r="B87" s="48">
        <v>3000</v>
      </c>
      <c r="G87" s="31"/>
      <c r="H87" s="8"/>
      <c r="I87" s="5"/>
      <c r="J87" s="53"/>
      <c r="M87" s="30"/>
      <c r="N87" s="30"/>
      <c r="O87" s="30"/>
    </row>
    <row r="88" spans="1:19" ht="15" x14ac:dyDescent="0.25">
      <c r="A88" s="28">
        <v>44865</v>
      </c>
      <c r="B88" s="50">
        <f t="shared" ref="B88" si="23">SUM(B87)</f>
        <v>3000</v>
      </c>
      <c r="D88" s="45">
        <v>200.68</v>
      </c>
      <c r="E88" s="32">
        <f>ROUND(B88/D88,2)</f>
        <v>14.95</v>
      </c>
      <c r="F88" s="36">
        <f>F$68+SUM(E$70:E88)</f>
        <v>237.99733131992525</v>
      </c>
      <c r="G88" s="26">
        <f>ROUNDDOWN(E88*((1+$B$31)^((12-MONTH(A88))/12)-1),2)</f>
        <v>0.23</v>
      </c>
      <c r="H88" s="26"/>
      <c r="I88" s="4">
        <f>(E86+I86)*(1+$B$31)^(1/12)</f>
        <v>236.02652731518964</v>
      </c>
      <c r="J88" s="49">
        <f>ROUND(D88*F88,2)</f>
        <v>47761.3</v>
      </c>
      <c r="L88" s="15">
        <f>DATE(YEAR(A88),MONTH(A88),1)</f>
        <v>44835</v>
      </c>
      <c r="M88" s="30">
        <f t="shared" ref="M88:M92" si="24">(E82+E84+E86)*B$34</f>
        <v>22.274999999999999</v>
      </c>
      <c r="N88" s="30">
        <f>(E82+E84+E86)*B$35</f>
        <v>222.75</v>
      </c>
      <c r="O88" s="30">
        <f>(E82+E84+E86)*B$36</f>
        <v>222.75</v>
      </c>
      <c r="Q88" s="50">
        <f>ROUNDDOWN(M88*$D86,2)</f>
        <v>4573.5</v>
      </c>
      <c r="R88" s="50">
        <f t="shared" ref="R88:S88" si="25">ROUNDDOWN(N88*$D86,2)</f>
        <v>45735.03</v>
      </c>
      <c r="S88" s="50">
        <f t="shared" si="25"/>
        <v>45735.03</v>
      </c>
    </row>
    <row r="89" spans="1:19" x14ac:dyDescent="0.2">
      <c r="A89" s="14">
        <v>44880</v>
      </c>
      <c r="B89" s="48">
        <v>3000</v>
      </c>
      <c r="G89" s="31"/>
      <c r="H89" s="8"/>
      <c r="I89" s="5"/>
      <c r="J89" s="53"/>
      <c r="M89" s="30"/>
      <c r="N89" s="30"/>
      <c r="O89" s="30"/>
    </row>
    <row r="90" spans="1:19" ht="15" x14ac:dyDescent="0.25">
      <c r="A90" s="28">
        <v>44895</v>
      </c>
      <c r="B90" s="50">
        <f t="shared" ref="B90" si="26">SUM(B89)</f>
        <v>3000</v>
      </c>
      <c r="D90" s="45">
        <v>202.77</v>
      </c>
      <c r="E90" s="25">
        <f>ROUND(B90/D90,2)</f>
        <v>14.8</v>
      </c>
      <c r="F90" s="36">
        <f>F$68+SUM(E$70:E90)</f>
        <v>252.79733131992526</v>
      </c>
      <c r="G90" s="26">
        <f>ROUNDDOWN(E90*((1+$B$31)^((12-MONTH(A90))/12)-1),2)</f>
        <v>0.11</v>
      </c>
      <c r="H90" s="26"/>
      <c r="I90" s="4">
        <f>(E88+I88)*(1+$B$31)^(1/12)</f>
        <v>252.97784938835954</v>
      </c>
      <c r="J90" s="49">
        <f>ROUND(D90*F90,2)</f>
        <v>51259.71</v>
      </c>
      <c r="L90" s="15">
        <f>DATE(YEAR(A90),MONTH(A90),1)</f>
        <v>44866</v>
      </c>
      <c r="M90" s="30">
        <f t="shared" si="24"/>
        <v>22.244999999999997</v>
      </c>
      <c r="N90" s="30">
        <f>(E84+E86+E88)*B$35</f>
        <v>222.45</v>
      </c>
      <c r="O90" s="30">
        <f>(E84+E86+E88)*B$36</f>
        <v>222.45</v>
      </c>
      <c r="Q90" s="50">
        <f>ROUNDDOWN(M90*$D88,2)</f>
        <v>4464.12</v>
      </c>
      <c r="R90" s="50">
        <f t="shared" ref="R90:S90" si="27">ROUNDDOWN(N90*$D88,2)</f>
        <v>44641.26</v>
      </c>
      <c r="S90" s="50">
        <f t="shared" si="27"/>
        <v>44641.26</v>
      </c>
    </row>
    <row r="91" spans="1:19" x14ac:dyDescent="0.2">
      <c r="A91" s="14">
        <v>44910</v>
      </c>
      <c r="B91" s="48">
        <v>3000</v>
      </c>
      <c r="G91" s="31"/>
      <c r="H91" s="8"/>
      <c r="I91" s="5"/>
      <c r="J91" s="53"/>
      <c r="M91" s="30"/>
      <c r="N91" s="30"/>
      <c r="O91" s="30"/>
    </row>
    <row r="92" spans="1:19" x14ac:dyDescent="0.2">
      <c r="A92" s="34">
        <v>44926</v>
      </c>
      <c r="B92" s="50">
        <f t="shared" ref="B92" si="28">SUM(B91)</f>
        <v>3000</v>
      </c>
      <c r="D92" s="43">
        <v>210.02</v>
      </c>
      <c r="E92" s="35">
        <f>ROUNDDOWN(B92/D92,2)</f>
        <v>14.28</v>
      </c>
      <c r="F92" s="31">
        <f>F$68+SUM(E$70:E92)</f>
        <v>267.07733131992529</v>
      </c>
      <c r="G92" s="26">
        <f>ROUNDDOWN(E92*((1+$B$31)^((12-MONTH(A92))/12)-1),2)</f>
        <v>0</v>
      </c>
      <c r="H92" s="26"/>
      <c r="I92" s="4">
        <f>(E90+I90)*(1+$B$31)^(1/12)</f>
        <v>269.91314756313216</v>
      </c>
      <c r="J92" s="53"/>
      <c r="L92" s="15">
        <f>DATE(YEAR(A92),MONTH(A92),1)</f>
        <v>44896</v>
      </c>
      <c r="M92" s="30">
        <f t="shared" si="24"/>
        <v>22.18</v>
      </c>
      <c r="N92" s="30">
        <f>(E86+E88+E90)*B$35</f>
        <v>221.8</v>
      </c>
      <c r="O92" s="30">
        <f>(E86+E88+E90)*B$36</f>
        <v>221.8</v>
      </c>
      <c r="Q92" s="50">
        <f>ROUNDDOWN(M92*$D90,2)</f>
        <v>4497.43</v>
      </c>
      <c r="R92" s="50">
        <f t="shared" ref="R92:S92" si="29">ROUNDDOWN(N92*$D90,2)</f>
        <v>44974.38</v>
      </c>
      <c r="S92" s="50">
        <f t="shared" si="29"/>
        <v>44974.38</v>
      </c>
    </row>
    <row r="93" spans="1:19" ht="15" x14ac:dyDescent="0.25">
      <c r="A93" s="28">
        <v>44926</v>
      </c>
      <c r="B93" s="49">
        <f>B70+B72+B74+B76+B78+B80+B82+B84+B86+B88+B90+B92</f>
        <v>36000</v>
      </c>
      <c r="D93" s="46">
        <f>D92</f>
        <v>210.02</v>
      </c>
      <c r="E93" s="7"/>
      <c r="F93" s="36"/>
      <c r="G93" s="36">
        <f>SUM(G68:G92)</f>
        <v>17.04</v>
      </c>
      <c r="H93" s="36">
        <f>F92+G93</f>
        <v>284.11733131992531</v>
      </c>
      <c r="I93" s="4">
        <f>E92+I92</f>
        <v>284.19314756313213</v>
      </c>
      <c r="J93" s="49">
        <f>ROUND(D93*H93,2)</f>
        <v>59670.32</v>
      </c>
    </row>
    <row r="94" spans="1:19" ht="15" x14ac:dyDescent="0.25">
      <c r="A94" s="28"/>
      <c r="B94" s="49"/>
      <c r="D94" s="46"/>
      <c r="E94" s="7"/>
      <c r="F94" s="36"/>
      <c r="G94" s="36"/>
      <c r="H94" s="36"/>
      <c r="I94" s="4"/>
      <c r="J94" s="49"/>
    </row>
    <row r="95" spans="1:19" s="21" customFormat="1" ht="65.25" customHeight="1" x14ac:dyDescent="0.2">
      <c r="A95" s="19" t="s">
        <v>25</v>
      </c>
      <c r="B95" s="19" t="s">
        <v>24</v>
      </c>
      <c r="C95" s="19" t="s">
        <v>43</v>
      </c>
      <c r="D95" s="44" t="s">
        <v>60</v>
      </c>
      <c r="E95" s="19" t="s">
        <v>61</v>
      </c>
      <c r="F95" s="19" t="s">
        <v>62</v>
      </c>
      <c r="G95" s="19" t="s">
        <v>63</v>
      </c>
      <c r="H95" s="19" t="s">
        <v>64</v>
      </c>
      <c r="I95" s="2" t="s">
        <v>65</v>
      </c>
      <c r="J95" s="52" t="s">
        <v>26</v>
      </c>
      <c r="K95" s="20"/>
      <c r="L95" s="19" t="s">
        <v>45</v>
      </c>
      <c r="M95" s="19" t="s">
        <v>69</v>
      </c>
      <c r="N95" s="19" t="s">
        <v>70</v>
      </c>
      <c r="O95" s="19" t="s">
        <v>71</v>
      </c>
      <c r="Q95" s="19" t="s">
        <v>72</v>
      </c>
      <c r="R95" s="19" t="s">
        <v>73</v>
      </c>
      <c r="S95" s="19" t="s">
        <v>74</v>
      </c>
    </row>
    <row r="96" spans="1:19" ht="15" x14ac:dyDescent="0.25">
      <c r="A96" s="34">
        <v>44927</v>
      </c>
      <c r="B96" s="50"/>
      <c r="F96" s="31">
        <f>H93</f>
        <v>284.11733131992531</v>
      </c>
      <c r="G96" s="26">
        <f>ROUNDDOWN(F96*((1+$B$31)-1),2)</f>
        <v>28.41</v>
      </c>
      <c r="H96" s="8"/>
      <c r="I96" s="4"/>
      <c r="J96" s="49"/>
    </row>
    <row r="97" spans="1:19" x14ac:dyDescent="0.2">
      <c r="A97" s="14">
        <v>44941</v>
      </c>
      <c r="B97" s="48">
        <v>3000</v>
      </c>
      <c r="H97" s="8"/>
      <c r="I97" s="5"/>
      <c r="J97" s="53"/>
    </row>
    <row r="98" spans="1:19" ht="15" x14ac:dyDescent="0.25">
      <c r="A98" s="28">
        <v>44957</v>
      </c>
      <c r="B98" s="49">
        <f>SUM(B97)</f>
        <v>3000</v>
      </c>
      <c r="D98" s="46">
        <v>200.09</v>
      </c>
      <c r="E98" s="32">
        <f>ROUND(B98/D98,2)</f>
        <v>14.99</v>
      </c>
      <c r="F98" s="36">
        <f>F$96+SUM(E$98:E98)</f>
        <v>299.10733131992532</v>
      </c>
      <c r="G98" s="26">
        <f>ROUNDDOWN(E98*((1+$B$31)^((12-MONTH(A98))/12)-1),2)</f>
        <v>1.36</v>
      </c>
      <c r="H98" s="8"/>
      <c r="I98" s="4">
        <f>F96*(1+$B$31)^(1/12)</f>
        <v>286.38292281815575</v>
      </c>
      <c r="J98" s="49">
        <f>ROUND(D98*F98,2)</f>
        <v>59848.39</v>
      </c>
      <c r="L98" s="15">
        <f>DATE(YEAR(A98),MONTH(A98),1)</f>
        <v>44927</v>
      </c>
      <c r="M98" s="30">
        <f>(E88+E90+E92)*B$34</f>
        <v>22.015000000000001</v>
      </c>
      <c r="N98" s="30">
        <f>(E88+E90+E92)*B$35</f>
        <v>220.15</v>
      </c>
      <c r="O98" s="30">
        <f>(E88+E90+E92)*B$36</f>
        <v>220.15</v>
      </c>
      <c r="Q98" s="50">
        <f>ROUNDDOWN(M98*$D93,2)</f>
        <v>4623.59</v>
      </c>
      <c r="R98" s="50">
        <f t="shared" ref="R98:S98" si="30">ROUNDDOWN(N98*$D93,2)</f>
        <v>46235.9</v>
      </c>
      <c r="S98" s="50">
        <f t="shared" si="30"/>
        <v>46235.9</v>
      </c>
    </row>
    <row r="99" spans="1:19" x14ac:dyDescent="0.2">
      <c r="A99" s="14">
        <v>44972</v>
      </c>
      <c r="B99" s="48">
        <v>3000</v>
      </c>
      <c r="H99" s="8"/>
      <c r="I99" s="5"/>
      <c r="J99" s="53"/>
    </row>
    <row r="100" spans="1:19" ht="15" x14ac:dyDescent="0.25">
      <c r="A100" s="28">
        <v>44985</v>
      </c>
      <c r="B100" s="49">
        <f t="shared" ref="B100" si="31">SUM(B99)</f>
        <v>3000</v>
      </c>
      <c r="D100" s="46">
        <v>201.2</v>
      </c>
      <c r="E100" s="32">
        <f>ROUND(B100/D100,2)</f>
        <v>14.91</v>
      </c>
      <c r="F100" s="36">
        <f>F$96+SUM(E$98:E100)</f>
        <v>314.01733131992529</v>
      </c>
      <c r="G100" s="26">
        <f>ROUNDDOWN(E100*((1+$B$31)^((12-MONTH(A100))/12)-1),2)</f>
        <v>1.23</v>
      </c>
      <c r="H100" s="8"/>
      <c r="I100" s="4">
        <f>(E98+I98)*(1+$B$31)^(1/12)</f>
        <v>303.77611282617693</v>
      </c>
      <c r="J100" s="49">
        <f>ROUND(D100*F100,2)</f>
        <v>63180.29</v>
      </c>
      <c r="L100" s="15">
        <f>DATE(YEAR(A100),MONTH(A100),1)</f>
        <v>44958</v>
      </c>
      <c r="M100" s="30">
        <f>(E90+E92+E98)*B$34</f>
        <v>22.035</v>
      </c>
      <c r="N100" s="30">
        <f>(E90+E92+E98)*B$35</f>
        <v>220.35</v>
      </c>
      <c r="O100" s="30">
        <f>(E90+E92+E98)*B$36</f>
        <v>220.35</v>
      </c>
      <c r="Q100" s="50">
        <f>ROUNDDOWN(M100*$D98,2)</f>
        <v>4408.9799999999996</v>
      </c>
      <c r="R100" s="50">
        <f t="shared" ref="R100:S100" si="32">ROUNDDOWN(N100*$D98,2)</f>
        <v>44089.83</v>
      </c>
      <c r="S100" s="50">
        <f t="shared" si="32"/>
        <v>44089.83</v>
      </c>
    </row>
    <row r="101" spans="1:19" x14ac:dyDescent="0.2">
      <c r="A101" s="14">
        <v>45000</v>
      </c>
      <c r="B101" s="48">
        <v>3000</v>
      </c>
      <c r="H101" s="8"/>
      <c r="I101" s="5"/>
      <c r="J101" s="53"/>
    </row>
    <row r="102" spans="1:19" ht="15" x14ac:dyDescent="0.25">
      <c r="A102" s="28">
        <v>45016</v>
      </c>
      <c r="B102" s="49">
        <f t="shared" ref="B102" si="33">SUM(B101)</f>
        <v>3000</v>
      </c>
      <c r="D102" s="46">
        <v>256.2</v>
      </c>
      <c r="E102" s="32">
        <f>ROUND(B102/D102,2)</f>
        <v>11.71</v>
      </c>
      <c r="F102" s="36">
        <f>F$96+SUM(E$98:E102)</f>
        <v>325.72733131992533</v>
      </c>
      <c r="G102" s="26">
        <f>ROUNDDOWN(E102*((1+$B$31)^((12-MONTH(A102))/12)-1),2)</f>
        <v>0.86</v>
      </c>
      <c r="H102" s="8"/>
      <c r="I102" s="4">
        <f>(E100+I100)*(1+$B$31)^(1/12)</f>
        <v>321.22736064259436</v>
      </c>
      <c r="J102" s="49">
        <f>ROUND(D102*F102,2)</f>
        <v>83451.34</v>
      </c>
      <c r="L102" s="15">
        <f>DATE(YEAR(A102),MONTH(A102),1)</f>
        <v>44986</v>
      </c>
      <c r="M102" s="30">
        <f>(E92+E98+E100)*B$34</f>
        <v>22.09</v>
      </c>
      <c r="N102" s="30">
        <f>(E92+E98+E100)*B$35</f>
        <v>220.9</v>
      </c>
      <c r="O102" s="30">
        <f>(E92+E98+E100)*B$36</f>
        <v>220.9</v>
      </c>
      <c r="Q102" s="50">
        <f>ROUNDDOWN(M102*$D100,2)</f>
        <v>4444.5</v>
      </c>
      <c r="R102" s="50">
        <f t="shared" ref="R102:S102" si="34">ROUNDDOWN(N102*$D100,2)</f>
        <v>44445.08</v>
      </c>
      <c r="S102" s="50">
        <f t="shared" si="34"/>
        <v>44445.08</v>
      </c>
    </row>
    <row r="103" spans="1:19" x14ac:dyDescent="0.2">
      <c r="A103" s="14">
        <v>45031</v>
      </c>
      <c r="B103" s="48">
        <v>3000</v>
      </c>
      <c r="H103" s="8"/>
      <c r="I103" s="5"/>
      <c r="J103" s="53"/>
    </row>
    <row r="104" spans="1:19" ht="15" x14ac:dyDescent="0.25">
      <c r="A104" s="28">
        <v>45046</v>
      </c>
      <c r="B104" s="49">
        <f t="shared" ref="B104" si="35">SUM(B103)</f>
        <v>3000</v>
      </c>
      <c r="D104" s="46">
        <v>241.5</v>
      </c>
      <c r="E104" s="32">
        <f>ROUND(B104/D104,2)</f>
        <v>12.42</v>
      </c>
      <c r="F104" s="36">
        <f>F$96+SUM(E$98:E104)</f>
        <v>338.14733131992534</v>
      </c>
      <c r="G104" s="26">
        <f>ROUNDDOWN(E104*((1+$B$31)^((12-MONTH(A104))/12)-1),2)</f>
        <v>0.81</v>
      </c>
      <c r="H104" s="8"/>
      <c r="I104" s="4">
        <f>(E102+I102)*(1+$B$31)^(1/12)</f>
        <v>335.59224991038695</v>
      </c>
      <c r="J104" s="49">
        <f>ROUND(D104*F104,2)</f>
        <v>81662.58</v>
      </c>
      <c r="L104" s="15">
        <f>DATE(YEAR(A104),MONTH(A104),1)</f>
        <v>45017</v>
      </c>
      <c r="M104" s="30">
        <f>(E98+E100+E102)*B$34</f>
        <v>20.805</v>
      </c>
      <c r="N104" s="30">
        <f>(E98+E100+E102)*B$35</f>
        <v>208.05</v>
      </c>
      <c r="O104" s="30">
        <f>(E98+E100+E102)*B$36</f>
        <v>208.05</v>
      </c>
      <c r="Q104" s="50">
        <f>ROUNDDOWN(M104*$D102,2)</f>
        <v>5330.24</v>
      </c>
      <c r="R104" s="50">
        <f t="shared" ref="R104:S104" si="36">ROUNDDOWN(N104*$D102,2)</f>
        <v>53302.41</v>
      </c>
      <c r="S104" s="50">
        <f t="shared" si="36"/>
        <v>53302.41</v>
      </c>
    </row>
    <row r="105" spans="1:19" x14ac:dyDescent="0.2">
      <c r="A105" s="14">
        <v>45061</v>
      </c>
      <c r="B105" s="48">
        <v>3000</v>
      </c>
      <c r="H105" s="8"/>
      <c r="I105" s="5"/>
      <c r="J105" s="53"/>
      <c r="M105" s="30"/>
      <c r="N105" s="30"/>
      <c r="O105" s="30"/>
    </row>
    <row r="106" spans="1:19" ht="15" x14ac:dyDescent="0.25">
      <c r="A106" s="28">
        <v>45077</v>
      </c>
      <c r="B106" s="49">
        <f t="shared" ref="B106" si="37">SUM(B105)</f>
        <v>3000</v>
      </c>
      <c r="D106" s="46">
        <v>200.56</v>
      </c>
      <c r="E106" s="32">
        <f>ROUND(B106/D106,2)</f>
        <v>14.96</v>
      </c>
      <c r="F106" s="36">
        <f>F$96+SUM(E$98:E106)</f>
        <v>353.10733131992532</v>
      </c>
      <c r="G106" s="26">
        <f>ROUNDDOWN(E106*((1+$B$31)^((12-MONTH(A106))/12)-1),2)</f>
        <v>0.85</v>
      </c>
      <c r="H106" s="8"/>
      <c r="I106" s="4">
        <f>(E104+I104)*(1+$B$31)^(1/12)</f>
        <v>350.78734846215116</v>
      </c>
      <c r="J106" s="49">
        <f>ROUND(D106*F106,2)</f>
        <v>70819.210000000006</v>
      </c>
      <c r="L106" s="15">
        <f>DATE(YEAR(A106),MONTH(A106),1)</f>
        <v>45047</v>
      </c>
      <c r="M106" s="30">
        <f t="shared" ref="M106" si="38">(E100+E102+E104)*B$34</f>
        <v>19.52</v>
      </c>
      <c r="N106" s="30">
        <f t="shared" ref="N106" si="39">(E100+E102+E104)*B$35</f>
        <v>195.2</v>
      </c>
      <c r="O106" s="30">
        <f t="shared" ref="O106" si="40">(E100+E102+E104)*B$36</f>
        <v>195.2</v>
      </c>
      <c r="Q106" s="50">
        <f>ROUNDDOWN(M106*$D104,2)</f>
        <v>4714.08</v>
      </c>
      <c r="R106" s="50">
        <f t="shared" ref="R106:S106" si="41">ROUNDDOWN(N106*$D104,2)</f>
        <v>47140.800000000003</v>
      </c>
      <c r="S106" s="50">
        <f t="shared" si="41"/>
        <v>47140.800000000003</v>
      </c>
    </row>
    <row r="107" spans="1:19" x14ac:dyDescent="0.2">
      <c r="A107" s="14">
        <v>45092</v>
      </c>
      <c r="B107" s="48">
        <v>3000</v>
      </c>
      <c r="H107" s="8"/>
      <c r="I107" s="5"/>
      <c r="J107" s="53"/>
      <c r="M107" s="30"/>
      <c r="N107" s="30"/>
      <c r="O107" s="30"/>
    </row>
    <row r="108" spans="1:19" ht="15" x14ac:dyDescent="0.25">
      <c r="A108" s="28">
        <v>45107</v>
      </c>
      <c r="B108" s="49">
        <f t="shared" ref="B108" si="42">SUM(B107)</f>
        <v>3000</v>
      </c>
      <c r="D108" s="46">
        <v>198.56</v>
      </c>
      <c r="E108" s="32">
        <f>ROUND(B108/D108,2)</f>
        <v>15.11</v>
      </c>
      <c r="F108" s="36">
        <f>F$96+SUM(E$98:E108)</f>
        <v>368.21733131992534</v>
      </c>
      <c r="G108" s="26">
        <f>ROUNDDOWN(E108*((1+$B$31)^((12-MONTH(A108))/12)-1),2)</f>
        <v>0.73</v>
      </c>
      <c r="H108" s="8"/>
      <c r="I108" s="4">
        <f>(E106+I106)*(1+$B$31)^(1/12)</f>
        <v>368.66386918028752</v>
      </c>
      <c r="J108" s="49">
        <f>ROUND(D108*F108,2)</f>
        <v>73113.23</v>
      </c>
      <c r="L108" s="15">
        <f>DATE(YEAR(A108),MONTH(A108),1)</f>
        <v>45078</v>
      </c>
      <c r="M108" s="30">
        <f t="shared" ref="M108" si="43">(E102+E104+E106)*B$34</f>
        <v>19.545000000000002</v>
      </c>
      <c r="N108" s="30">
        <f t="shared" ref="N108" si="44">(E102+E104+E106)*B$35</f>
        <v>195.45000000000002</v>
      </c>
      <c r="O108" s="30">
        <f t="shared" ref="O108" si="45">(E102+E104+E106)*B$36</f>
        <v>195.45000000000002</v>
      </c>
      <c r="Q108" s="50">
        <f>ROUNDDOWN(M108*$D106,2)</f>
        <v>3919.94</v>
      </c>
      <c r="R108" s="50">
        <f t="shared" ref="R108:S108" si="46">ROUNDDOWN(N108*$D106,2)</f>
        <v>39199.449999999997</v>
      </c>
      <c r="S108" s="50">
        <f t="shared" si="46"/>
        <v>39199.449999999997</v>
      </c>
    </row>
    <row r="109" spans="1:19" x14ac:dyDescent="0.2">
      <c r="A109" s="14">
        <v>45122</v>
      </c>
      <c r="B109" s="48">
        <v>3000</v>
      </c>
      <c r="H109" s="8"/>
      <c r="I109" s="5"/>
      <c r="J109" s="53"/>
      <c r="M109" s="30"/>
      <c r="N109" s="30"/>
      <c r="O109" s="30"/>
    </row>
    <row r="110" spans="1:19" ht="15" x14ac:dyDescent="0.25">
      <c r="A110" s="28">
        <v>45138</v>
      </c>
      <c r="B110" s="49">
        <f t="shared" ref="B110" si="47">SUM(B109)</f>
        <v>3000</v>
      </c>
      <c r="D110" s="46">
        <v>199.89</v>
      </c>
      <c r="E110" s="32">
        <f>ROUND(B110/D110,2)</f>
        <v>15.01</v>
      </c>
      <c r="F110" s="36">
        <f>F$96+SUM(E$98:E110)</f>
        <v>383.22733131992533</v>
      </c>
      <c r="G110" s="26">
        <f>ROUNDDOWN(E110*((1+$B$31)^((12-MONTH(A110))/12)-1),2)</f>
        <v>0.6</v>
      </c>
      <c r="H110" s="8"/>
      <c r="I110" s="4">
        <f>(E108+I108)*(1+$B$31)^(1/12)</f>
        <v>386.83413590607489</v>
      </c>
      <c r="J110" s="49">
        <f>ROUND(D110*F110,2)</f>
        <v>76603.31</v>
      </c>
      <c r="L110" s="15">
        <f>DATE(YEAR(A110),MONTH(A110),1)</f>
        <v>45108</v>
      </c>
      <c r="M110" s="30">
        <f t="shared" ref="M110" si="48">(E104+E106+E108)*B$34</f>
        <v>21.245000000000001</v>
      </c>
      <c r="N110" s="30">
        <f t="shared" ref="N110" si="49">(E104+E106+E108)*B$35</f>
        <v>212.45000000000002</v>
      </c>
      <c r="O110" s="30">
        <f t="shared" ref="O110" si="50">(E104+E106+E108)*B$36</f>
        <v>212.45000000000002</v>
      </c>
      <c r="Q110" s="50">
        <f>ROUNDDOWN(M110*$D108,2)</f>
        <v>4218.3999999999996</v>
      </c>
      <c r="R110" s="50">
        <f t="shared" ref="R110:S110" si="51">ROUNDDOWN(N110*$D108,2)</f>
        <v>42184.07</v>
      </c>
      <c r="S110" s="50">
        <f t="shared" si="51"/>
        <v>42184.07</v>
      </c>
    </row>
    <row r="111" spans="1:19" x14ac:dyDescent="0.2">
      <c r="A111" s="14">
        <v>45153</v>
      </c>
      <c r="B111" s="48">
        <v>3000</v>
      </c>
      <c r="H111" s="8"/>
      <c r="I111" s="5"/>
      <c r="J111" s="53"/>
      <c r="M111" s="30"/>
      <c r="N111" s="30"/>
      <c r="O111" s="30"/>
    </row>
    <row r="112" spans="1:19" ht="15" x14ac:dyDescent="0.25">
      <c r="A112" s="28">
        <v>45169</v>
      </c>
      <c r="B112" s="50">
        <f t="shared" ref="B112" si="52">SUM(B111)</f>
        <v>3000</v>
      </c>
      <c r="D112" s="45">
        <v>200.89</v>
      </c>
      <c r="E112" s="32">
        <f>ROUND(B112/D112,2)</f>
        <v>14.93</v>
      </c>
      <c r="F112" s="36">
        <f>F$96+SUM(E$98:E112)</f>
        <v>398.15733131992533</v>
      </c>
      <c r="G112" s="26">
        <f>ROUNDDOWN(E112*((1+$B$31)^((12-MONTH(A112))/12)-1),2)</f>
        <v>0.48</v>
      </c>
      <c r="H112" s="29"/>
      <c r="I112" s="4">
        <f>(E110+I110)*(1+$B$31)^(1/12)</f>
        <v>405.04849747632142</v>
      </c>
      <c r="J112" s="49">
        <f>ROUND(D112*F112,2)</f>
        <v>79985.83</v>
      </c>
      <c r="L112" s="15">
        <f>DATE(YEAR(A112),MONTH(A112),1)</f>
        <v>45139</v>
      </c>
      <c r="M112" s="30">
        <f t="shared" ref="M112" si="53">(E106+E108+E110)*B$34</f>
        <v>22.54</v>
      </c>
      <c r="N112" s="30">
        <f t="shared" ref="N112" si="54">(E106+E108+E110)*B$35</f>
        <v>225.39999999999998</v>
      </c>
      <c r="O112" s="30">
        <f t="shared" ref="O112" si="55">(E106+E108+E110)*B$36</f>
        <v>225.39999999999998</v>
      </c>
      <c r="Q112" s="50">
        <f>ROUNDDOWN(M112*$D110,2)</f>
        <v>4505.5200000000004</v>
      </c>
      <c r="R112" s="50">
        <f t="shared" ref="R112:S112" si="56">ROUNDDOWN(N112*$D110,2)</f>
        <v>45055.199999999997</v>
      </c>
      <c r="S112" s="50">
        <f t="shared" si="56"/>
        <v>45055.199999999997</v>
      </c>
    </row>
    <row r="113" spans="1:19" x14ac:dyDescent="0.2">
      <c r="A113" s="14">
        <v>45180</v>
      </c>
      <c r="B113" s="48">
        <v>3000</v>
      </c>
      <c r="G113" s="31"/>
      <c r="H113" s="8"/>
      <c r="I113" s="5"/>
      <c r="J113" s="53"/>
      <c r="L113" s="15"/>
    </row>
    <row r="114" spans="1:19" ht="15" x14ac:dyDescent="0.25">
      <c r="A114" s="14">
        <v>45199</v>
      </c>
      <c r="B114" s="48"/>
      <c r="C114" s="23">
        <f>-36953.66</f>
        <v>-36953.660000000003</v>
      </c>
      <c r="E114" s="32">
        <f>ROUND(C114/D115*(1+B32),2)</f>
        <v>-188.98</v>
      </c>
      <c r="G114" s="26">
        <f>ROUNDDOWN(E114*((1+$B$31)^((12-MONTH(A114))/12)-1),2)</f>
        <v>-4.55</v>
      </c>
      <c r="H114" s="8"/>
      <c r="J114" s="53"/>
      <c r="Q114" s="50"/>
      <c r="R114" s="50"/>
      <c r="S114" s="50"/>
    </row>
    <row r="115" spans="1:19" ht="15" x14ac:dyDescent="0.25">
      <c r="A115" s="28">
        <v>45199</v>
      </c>
      <c r="B115" s="50">
        <f t="shared" ref="B115" si="57">SUM(B113)</f>
        <v>3000</v>
      </c>
      <c r="D115" s="45">
        <v>205.32</v>
      </c>
      <c r="E115" s="32">
        <f>ROUND(B115/D115,2)</f>
        <v>14.61</v>
      </c>
      <c r="F115" s="36">
        <f>F$96+SUM(E$98:E115)</f>
        <v>223.78733131992533</v>
      </c>
      <c r="G115" s="26">
        <f>ROUNDDOWN(E115*((1+$B$31)^((12-MONTH(A115))/12)-1),2)</f>
        <v>0.35</v>
      </c>
      <c r="H115" s="29"/>
      <c r="I115" s="4">
        <f>(E112+I112)*(1+$B$31)^(1/12)</f>
        <v>423.32746499231763</v>
      </c>
      <c r="J115" s="49">
        <f>ROUND(D115*F115,2)</f>
        <v>45948.01</v>
      </c>
      <c r="L115" s="15">
        <f>DATE(YEAR(A115),MONTH(A115),1)</f>
        <v>45170</v>
      </c>
      <c r="M115" s="30">
        <f>(E108+E110+E112)*B$34</f>
        <v>22.524999999999999</v>
      </c>
      <c r="N115" s="30">
        <f>(E108+E110+E112)*B$35</f>
        <v>225.25</v>
      </c>
      <c r="O115" s="30">
        <f>(E108+E110+E112)*B$36</f>
        <v>225.25</v>
      </c>
      <c r="Q115" s="50">
        <f>ROUNDDOWN(M115*$D112,2)</f>
        <v>4525.04</v>
      </c>
      <c r="R115" s="50">
        <f t="shared" ref="R115:S115" si="58">ROUNDDOWN(N115*$D112,2)</f>
        <v>45250.47</v>
      </c>
      <c r="S115" s="50">
        <f t="shared" si="58"/>
        <v>45250.47</v>
      </c>
    </row>
    <row r="116" spans="1:19" x14ac:dyDescent="0.2">
      <c r="A116" s="14">
        <v>45210</v>
      </c>
      <c r="B116" s="48">
        <v>3000</v>
      </c>
      <c r="G116" s="31"/>
      <c r="H116" s="8"/>
      <c r="I116" s="5"/>
      <c r="J116" s="53"/>
      <c r="Q116" s="50"/>
      <c r="R116" s="50"/>
      <c r="S116" s="50"/>
    </row>
    <row r="117" spans="1:19" ht="15" x14ac:dyDescent="0.25">
      <c r="A117" s="28">
        <v>45230</v>
      </c>
      <c r="B117" s="50">
        <f>SUM(B116)</f>
        <v>3000</v>
      </c>
      <c r="D117" s="45">
        <v>200.68</v>
      </c>
      <c r="E117" s="32">
        <f>ROUND(B117/D117,2)</f>
        <v>14.95</v>
      </c>
      <c r="F117" s="36">
        <f>F$96+SUM(E$98:E117)</f>
        <v>238.73733131992535</v>
      </c>
      <c r="G117" s="26">
        <f>ROUNDDOWN(E117*((1+$B$31)^((12-MONTH(A117))/12)-1),2)</f>
        <v>0.23</v>
      </c>
      <c r="H117" s="29"/>
      <c r="I117" s="4">
        <f>(E114+E115+I115)*(1+$B$31)^(1/12)</f>
        <v>250.94268677899026</v>
      </c>
      <c r="J117" s="49">
        <f>ROUND(D117*F117,2)</f>
        <v>47909.81</v>
      </c>
      <c r="L117" s="15">
        <f>DATE(YEAR(A117),MONTH(A117),1)</f>
        <v>45200</v>
      </c>
      <c r="M117" s="30">
        <f>(E110+E112+E115)*B$34</f>
        <v>22.274999999999999</v>
      </c>
      <c r="N117" s="30">
        <f>(E110+E112+E115)*B$35</f>
        <v>222.75</v>
      </c>
      <c r="O117" s="30">
        <f>(E110+E112+E115)*B$36</f>
        <v>222.75</v>
      </c>
      <c r="Q117" s="50">
        <f>ROUNDDOWN(M117*$D115,2)</f>
        <v>4573.5</v>
      </c>
      <c r="R117" s="50">
        <f t="shared" ref="R117:S117" si="59">ROUNDDOWN(N117*$D115,2)</f>
        <v>45735.03</v>
      </c>
      <c r="S117" s="50">
        <f t="shared" si="59"/>
        <v>45735.03</v>
      </c>
    </row>
    <row r="118" spans="1:19" x14ac:dyDescent="0.2">
      <c r="A118" s="14">
        <v>45245</v>
      </c>
      <c r="B118" s="48">
        <v>3000</v>
      </c>
      <c r="G118" s="31"/>
      <c r="H118" s="8"/>
      <c r="I118" s="5"/>
      <c r="J118" s="53"/>
      <c r="Q118" s="50"/>
      <c r="R118" s="50"/>
      <c r="S118" s="50"/>
    </row>
    <row r="119" spans="1:19" ht="15" x14ac:dyDescent="0.25">
      <c r="A119" s="28">
        <v>45260</v>
      </c>
      <c r="B119" s="50">
        <f t="shared" ref="B119" si="60">SUM(B118)</f>
        <v>3000</v>
      </c>
      <c r="D119" s="45">
        <v>202.77</v>
      </c>
      <c r="E119" s="25">
        <f>ROUND(B119/D119,2)</f>
        <v>14.8</v>
      </c>
      <c r="F119" s="36">
        <f>F$96+SUM(E$98:E119)</f>
        <v>253.53733131992536</v>
      </c>
      <c r="G119" s="26">
        <f>ROUNDDOWN(E119*((1+$B$31)^((12-MONTH(A119))/12)-1),2)</f>
        <v>0.11</v>
      </c>
      <c r="H119" s="29"/>
      <c r="I119" s="4">
        <f>(E117+I117)*(1+$B$31)^(1/12)</f>
        <v>268.01295240238443</v>
      </c>
      <c r="J119" s="49">
        <f>ROUND(D119*F119,2)</f>
        <v>51409.760000000002</v>
      </c>
      <c r="L119" s="15">
        <f>DATE(YEAR(A119),MONTH(A119),1)</f>
        <v>45231</v>
      </c>
      <c r="M119" s="30">
        <f>(E112+E115+E117)*B$34</f>
        <v>22.244999999999997</v>
      </c>
      <c r="N119" s="30">
        <f>(E112+E115+E117)*B$35</f>
        <v>222.45</v>
      </c>
      <c r="O119" s="30">
        <f>(E112+E115+E117)*B$36</f>
        <v>222.45</v>
      </c>
      <c r="Q119" s="50">
        <f>ROUNDDOWN(M119*$D117,2)</f>
        <v>4464.12</v>
      </c>
      <c r="R119" s="50">
        <f t="shared" ref="R119:S119" si="61">ROUNDDOWN(N119*$D117,2)</f>
        <v>44641.26</v>
      </c>
      <c r="S119" s="50">
        <f t="shared" si="61"/>
        <v>44641.26</v>
      </c>
    </row>
    <row r="120" spans="1:19" x14ac:dyDescent="0.2">
      <c r="A120" s="14">
        <v>45275</v>
      </c>
      <c r="B120" s="48">
        <v>3000</v>
      </c>
      <c r="G120" s="31"/>
      <c r="H120" s="8"/>
      <c r="I120" s="5"/>
      <c r="J120" s="53"/>
      <c r="Q120" s="50"/>
      <c r="R120" s="50"/>
      <c r="S120" s="50"/>
    </row>
    <row r="121" spans="1:19" x14ac:dyDescent="0.2">
      <c r="A121" s="34">
        <v>45291</v>
      </c>
      <c r="B121" s="50">
        <f t="shared" ref="B121" si="62">SUM(B120)</f>
        <v>3000</v>
      </c>
      <c r="D121" s="43">
        <v>210.02</v>
      </c>
      <c r="E121" s="35">
        <f>ROUNDDOWN(B121/D121,2)</f>
        <v>14.28</v>
      </c>
      <c r="F121" s="31">
        <f>F$96+SUM(E$98:E121)</f>
        <v>267.81733131992536</v>
      </c>
      <c r="G121" s="26">
        <f>ROUNDDOWN(E121*((1+$B$31)^((12-MONTH(A121))/12)-1),2)</f>
        <v>0</v>
      </c>
      <c r="H121" s="8"/>
      <c r="I121" s="4">
        <f>(E119+I119)*(1+$B$31)^(1/12)</f>
        <v>285.06814259995394</v>
      </c>
      <c r="J121" s="53"/>
      <c r="L121" s="15">
        <f>DATE(YEAR(A121),MONTH(A121),1)</f>
        <v>45261</v>
      </c>
      <c r="M121" s="30">
        <f>(E115+E117+E119)*B$34</f>
        <v>22.18</v>
      </c>
      <c r="N121" s="30">
        <f>(E115+E117+E119)*B$35</f>
        <v>221.8</v>
      </c>
      <c r="O121" s="30">
        <f>(E115+E117+E119)*B$36</f>
        <v>221.8</v>
      </c>
      <c r="Q121" s="50">
        <f>ROUNDDOWN(M121*$D119,2)</f>
        <v>4497.43</v>
      </c>
      <c r="R121" s="50">
        <f t="shared" ref="R121:S121" si="63">ROUNDDOWN(N121*$D119,2)</f>
        <v>44974.38</v>
      </c>
      <c r="S121" s="50">
        <f t="shared" si="63"/>
        <v>44974.38</v>
      </c>
    </row>
    <row r="122" spans="1:19" ht="15" x14ac:dyDescent="0.25">
      <c r="A122" s="28">
        <v>45291</v>
      </c>
      <c r="B122" s="49">
        <f>B98+B100+B102+B104+B106+B108+B110+B112+B115+B117+B119+B121</f>
        <v>36000</v>
      </c>
      <c r="D122" s="46">
        <f>D121</f>
        <v>210.02</v>
      </c>
      <c r="E122" s="7"/>
      <c r="F122" s="36"/>
      <c r="G122" s="36">
        <f>SUM(G96:G121)</f>
        <v>31.47</v>
      </c>
      <c r="H122" s="36">
        <f>F121+G122</f>
        <v>299.28733131992533</v>
      </c>
      <c r="I122" s="4">
        <f>E121+I121</f>
        <v>299.34814259995392</v>
      </c>
      <c r="J122" s="49">
        <f>ROUND(D122*H122,2)</f>
        <v>62856.33</v>
      </c>
    </row>
    <row r="123" spans="1:19" ht="15" x14ac:dyDescent="0.25">
      <c r="A123" s="28"/>
      <c r="B123" s="49"/>
      <c r="D123" s="46"/>
      <c r="E123" s="7"/>
      <c r="F123" s="36"/>
      <c r="G123" s="36"/>
      <c r="H123" s="36"/>
      <c r="I123" s="4"/>
      <c r="J123" s="49"/>
    </row>
    <row r="124" spans="1:19" s="21" customFormat="1" ht="60" customHeight="1" x14ac:dyDescent="0.2">
      <c r="A124" s="19" t="s">
        <v>25</v>
      </c>
      <c r="B124" s="19" t="s">
        <v>24</v>
      </c>
      <c r="C124" s="19" t="s">
        <v>43</v>
      </c>
      <c r="D124" s="44" t="s">
        <v>60</v>
      </c>
      <c r="E124" s="19" t="s">
        <v>61</v>
      </c>
      <c r="F124" s="19" t="s">
        <v>62</v>
      </c>
      <c r="G124" s="19" t="s">
        <v>63</v>
      </c>
      <c r="H124" s="19" t="s">
        <v>64</v>
      </c>
      <c r="I124" s="2" t="s">
        <v>65</v>
      </c>
      <c r="J124" s="52" t="s">
        <v>26</v>
      </c>
      <c r="K124" s="20"/>
      <c r="L124" s="19" t="s">
        <v>45</v>
      </c>
      <c r="M124" s="19" t="s">
        <v>69</v>
      </c>
      <c r="N124" s="19" t="s">
        <v>70</v>
      </c>
      <c r="O124" s="19" t="s">
        <v>71</v>
      </c>
      <c r="Q124" s="19" t="s">
        <v>72</v>
      </c>
      <c r="R124" s="19" t="s">
        <v>73</v>
      </c>
      <c r="S124" s="19" t="s">
        <v>74</v>
      </c>
    </row>
    <row r="125" spans="1:19" ht="15" x14ac:dyDescent="0.25">
      <c r="A125" s="34">
        <v>45292</v>
      </c>
      <c r="B125" s="50"/>
      <c r="F125" s="31">
        <f>H122</f>
        <v>299.28733131992533</v>
      </c>
      <c r="G125" s="26">
        <f>ROUNDDOWN(F125*((1+$B$31)-1),2)</f>
        <v>29.92</v>
      </c>
      <c r="H125" s="8"/>
      <c r="I125" s="4"/>
      <c r="J125" s="49"/>
      <c r="L125" s="15"/>
    </row>
    <row r="126" spans="1:19" x14ac:dyDescent="0.2">
      <c r="A126" s="14">
        <v>45306</v>
      </c>
      <c r="B126" s="48">
        <v>3000</v>
      </c>
      <c r="H126" s="8"/>
      <c r="I126" s="5"/>
      <c r="J126" s="53"/>
    </row>
    <row r="127" spans="1:19" ht="15" x14ac:dyDescent="0.25">
      <c r="A127" s="28">
        <v>45322</v>
      </c>
      <c r="B127" s="49">
        <f>SUM(B126)</f>
        <v>3000</v>
      </c>
      <c r="D127" s="46">
        <v>200.09</v>
      </c>
      <c r="E127" s="32">
        <f>ROUND(B127/D127,2)</f>
        <v>14.99</v>
      </c>
      <c r="F127" s="36">
        <f>F$125+SUM(E$127:E127)</f>
        <v>314.27733131992534</v>
      </c>
      <c r="G127" s="26">
        <f>ROUNDDOWN(E127*((1+$B$31)^((12-MONTH(A127))/12)-1),2)</f>
        <v>1.36</v>
      </c>
      <c r="H127" s="8"/>
      <c r="I127" s="4">
        <f>F125*(1+$B$31)^(1/12)</f>
        <v>301.67389052846227</v>
      </c>
      <c r="J127" s="49">
        <f>ROUND(D127*F127,2)</f>
        <v>62883.75</v>
      </c>
      <c r="L127" s="15">
        <f>DATE(YEAR(A127),MONTH(A127),1)</f>
        <v>45292</v>
      </c>
      <c r="M127" s="30">
        <f>(E117+E119+E121)*B$34</f>
        <v>22.015000000000001</v>
      </c>
      <c r="N127" s="30">
        <f>(E117+E119+E121)*B$35</f>
        <v>220.15</v>
      </c>
      <c r="O127" s="30">
        <f>(E117+E119+E121)*B$36</f>
        <v>220.15</v>
      </c>
      <c r="Q127" s="50">
        <f>ROUNDDOWN(M127*$D122,2)</f>
        <v>4623.59</v>
      </c>
      <c r="R127" s="50">
        <f t="shared" ref="R127:S127" si="64">ROUNDDOWN(N127*$D122,2)</f>
        <v>46235.9</v>
      </c>
      <c r="S127" s="50">
        <f t="shared" si="64"/>
        <v>46235.9</v>
      </c>
    </row>
    <row r="128" spans="1:19" x14ac:dyDescent="0.2">
      <c r="A128" s="14">
        <v>45337</v>
      </c>
      <c r="B128" s="48">
        <v>3000</v>
      </c>
      <c r="H128" s="8"/>
      <c r="I128" s="5"/>
      <c r="J128" s="53"/>
    </row>
    <row r="129" spans="1:19" ht="15" x14ac:dyDescent="0.25">
      <c r="A129" s="28">
        <v>45350</v>
      </c>
      <c r="B129" s="49">
        <f t="shared" ref="B129" si="65">SUM(B128)</f>
        <v>3000</v>
      </c>
      <c r="D129" s="46">
        <v>201.2</v>
      </c>
      <c r="E129" s="32">
        <f>ROUND(B129/D129,2)</f>
        <v>14.91</v>
      </c>
      <c r="F129" s="36">
        <f>F$125+SUM(E$127:E129)</f>
        <v>329.18733131992531</v>
      </c>
      <c r="G129" s="26">
        <f>ROUNDDOWN(E129*((1+$B$31)^((12-MONTH(A129))/12)-1),2)</f>
        <v>1.23</v>
      </c>
      <c r="H129" s="8"/>
      <c r="I129" s="4">
        <f>(E127+I127)*(1+$B$31)^(1/12)</f>
        <v>319.18901286029921</v>
      </c>
      <c r="J129" s="49">
        <f>ROUND(D129*F129,2)</f>
        <v>66232.490000000005</v>
      </c>
      <c r="L129" s="15">
        <f>DATE(YEAR(A129),MONTH(A129),1)</f>
        <v>45323</v>
      </c>
      <c r="M129" s="30">
        <f>(E119+E121+E127)*B$34</f>
        <v>22.035</v>
      </c>
      <c r="N129" s="30">
        <f>(E119+E121+E127)*B$35</f>
        <v>220.35</v>
      </c>
      <c r="O129" s="30">
        <f>(E119+E121+E127)*B$36</f>
        <v>220.35</v>
      </c>
      <c r="Q129" s="50">
        <f>ROUNDDOWN(M129*$D127,2)</f>
        <v>4408.9799999999996</v>
      </c>
      <c r="R129" s="50">
        <f t="shared" ref="R129:S129" si="66">ROUNDDOWN(N129*$D127,2)</f>
        <v>44089.83</v>
      </c>
      <c r="S129" s="50">
        <f t="shared" si="66"/>
        <v>44089.83</v>
      </c>
    </row>
    <row r="130" spans="1:19" x14ac:dyDescent="0.2">
      <c r="A130" s="14">
        <v>45366</v>
      </c>
      <c r="B130" s="48">
        <v>3000</v>
      </c>
      <c r="H130" s="8"/>
      <c r="I130" s="5"/>
      <c r="J130" s="53"/>
    </row>
    <row r="131" spans="1:19" ht="15" x14ac:dyDescent="0.25">
      <c r="A131" s="28">
        <v>45382</v>
      </c>
      <c r="B131" s="49">
        <f t="shared" ref="B131" si="67">SUM(B130)</f>
        <v>3000</v>
      </c>
      <c r="D131" s="46">
        <v>256.2</v>
      </c>
      <c r="E131" s="32">
        <f>ROUND(B131/D131,2)</f>
        <v>11.71</v>
      </c>
      <c r="F131" s="36">
        <f>F$125+SUM(E$127:E131)</f>
        <v>340.89733131992534</v>
      </c>
      <c r="G131" s="26">
        <f>ROUNDDOWN(E131*((1+$B$31)^((12-MONTH(A131))/12)-1),2)</f>
        <v>0.86</v>
      </c>
      <c r="H131" s="8"/>
      <c r="I131" s="4">
        <f>(E129+I129)*(1+$B$31)^(1/12)</f>
        <v>336.76316530600542</v>
      </c>
      <c r="J131" s="49">
        <f>ROUND(D131*F131,2)</f>
        <v>87337.9</v>
      </c>
      <c r="L131" s="15">
        <f>DATE(YEAR(A131),MONTH(A131),1)</f>
        <v>45352</v>
      </c>
      <c r="M131" s="30">
        <f>(E121+E127+E129)*B$34</f>
        <v>22.09</v>
      </c>
      <c r="N131" s="30">
        <f>(E121+E127+E129)*B$35</f>
        <v>220.9</v>
      </c>
      <c r="O131" s="30">
        <f>(E121+E127+E129)*B$36</f>
        <v>220.9</v>
      </c>
      <c r="Q131" s="50">
        <f>ROUNDDOWN(M131*$D129,2)</f>
        <v>4444.5</v>
      </c>
      <c r="R131" s="50">
        <f t="shared" ref="R131:S131" si="68">ROUNDDOWN(N131*$D129,2)</f>
        <v>44445.08</v>
      </c>
      <c r="S131" s="50">
        <f t="shared" si="68"/>
        <v>44445.08</v>
      </c>
    </row>
    <row r="132" spans="1:19" x14ac:dyDescent="0.2">
      <c r="A132" s="14">
        <v>45397</v>
      </c>
      <c r="B132" s="48">
        <v>3000</v>
      </c>
      <c r="H132" s="8"/>
      <c r="I132" s="5"/>
      <c r="J132" s="53"/>
    </row>
    <row r="133" spans="1:19" ht="15" x14ac:dyDescent="0.25">
      <c r="A133" s="28">
        <v>45412</v>
      </c>
      <c r="B133" s="49">
        <f t="shared" ref="B133" si="69">SUM(B132)</f>
        <v>3000</v>
      </c>
      <c r="D133" s="46">
        <v>241.5</v>
      </c>
      <c r="E133" s="32">
        <f>ROUND(B133/D133,2)</f>
        <v>12.42</v>
      </c>
      <c r="F133" s="36">
        <f>F$125+SUM(E$127:E133)</f>
        <v>353.3173313199253</v>
      </c>
      <c r="G133" s="26">
        <f>ROUNDDOWN(E133*((1+$B$31)^((12-MONTH(A133))/12)-1),2)</f>
        <v>0.81</v>
      </c>
      <c r="H133" s="8"/>
      <c r="I133" s="4">
        <f>(E131+I131)*(1+$B$31)^(1/12)</f>
        <v>351.25193926186006</v>
      </c>
      <c r="J133" s="49">
        <f>ROUND(D133*F133,2)</f>
        <v>85326.14</v>
      </c>
      <c r="L133" s="15">
        <f>DATE(YEAR(A133),MONTH(A133),1)</f>
        <v>45383</v>
      </c>
      <c r="M133" s="30">
        <f>(E127+E129+E131)*B$34</f>
        <v>20.805</v>
      </c>
      <c r="N133" s="30">
        <f>(E127+E129+E131)*B$35</f>
        <v>208.05</v>
      </c>
      <c r="O133" s="30">
        <f>(E127+E129+E131)*B$36</f>
        <v>208.05</v>
      </c>
      <c r="Q133" s="50">
        <f>ROUNDDOWN(M133*$D131,2)</f>
        <v>5330.24</v>
      </c>
      <c r="R133" s="50">
        <f t="shared" ref="R133:S133" si="70">ROUNDDOWN(N133*$D131,2)</f>
        <v>53302.41</v>
      </c>
      <c r="S133" s="50">
        <f t="shared" si="70"/>
        <v>53302.41</v>
      </c>
    </row>
    <row r="134" spans="1:19" x14ac:dyDescent="0.2">
      <c r="A134" s="14">
        <v>45427</v>
      </c>
      <c r="B134" s="48">
        <v>3000</v>
      </c>
      <c r="H134" s="8"/>
      <c r="I134" s="5"/>
      <c r="J134" s="53"/>
      <c r="M134" s="30"/>
      <c r="N134" s="30"/>
      <c r="O134" s="30"/>
    </row>
    <row r="135" spans="1:19" ht="15" x14ac:dyDescent="0.25">
      <c r="A135" s="28">
        <v>45443</v>
      </c>
      <c r="B135" s="49">
        <f t="shared" ref="B135" si="71">SUM(B134)</f>
        <v>3000</v>
      </c>
      <c r="D135" s="46">
        <v>200.56</v>
      </c>
      <c r="E135" s="32">
        <f>ROUND(B135/D135,2)</f>
        <v>14.96</v>
      </c>
      <c r="F135" s="36">
        <f>F$125+SUM(E$127:E135)</f>
        <v>368.27733131992534</v>
      </c>
      <c r="G135" s="26">
        <f>ROUNDDOWN(E135*((1+$B$31)^((12-MONTH(A135))/12)-1),2)</f>
        <v>0.85</v>
      </c>
      <c r="H135" s="8"/>
      <c r="I135" s="4">
        <f>(E133+I133)*(1+$B$31)^(1/12)</f>
        <v>366.5719103755859</v>
      </c>
      <c r="J135" s="49">
        <f>ROUND(D135*F135,2)</f>
        <v>73861.7</v>
      </c>
      <c r="L135" s="15">
        <f>DATE(YEAR(A135),MONTH(A135),1)</f>
        <v>45413</v>
      </c>
      <c r="M135" s="30">
        <f t="shared" ref="M135" si="72">(E129+E131+E133)*B$34</f>
        <v>19.52</v>
      </c>
      <c r="N135" s="30">
        <f t="shared" ref="N135" si="73">(E129+E131+E133)*B$35</f>
        <v>195.2</v>
      </c>
      <c r="O135" s="30">
        <f t="shared" ref="O135" si="74">(E129+E131+E133)*B$36</f>
        <v>195.2</v>
      </c>
      <c r="Q135" s="50">
        <f>ROUNDDOWN(M135*$D133,2)</f>
        <v>4714.08</v>
      </c>
      <c r="R135" s="50">
        <f t="shared" ref="R135:S135" si="75">ROUNDDOWN(N135*$D133,2)</f>
        <v>47140.800000000003</v>
      </c>
      <c r="S135" s="50">
        <f t="shared" si="75"/>
        <v>47140.800000000003</v>
      </c>
    </row>
    <row r="136" spans="1:19" x14ac:dyDescent="0.2">
      <c r="A136" s="14">
        <v>45458</v>
      </c>
      <c r="B136" s="48">
        <v>3000</v>
      </c>
      <c r="H136" s="8"/>
      <c r="I136" s="5"/>
      <c r="J136" s="53"/>
      <c r="M136" s="30"/>
      <c r="N136" s="30"/>
      <c r="O136" s="30"/>
    </row>
    <row r="137" spans="1:19" ht="15" x14ac:dyDescent="0.25">
      <c r="A137" s="28">
        <v>45473</v>
      </c>
      <c r="B137" s="49">
        <f t="shared" ref="B137" si="76">SUM(B136)</f>
        <v>3000</v>
      </c>
      <c r="D137" s="46">
        <v>198.56</v>
      </c>
      <c r="E137" s="32">
        <f>ROUND(B137/D137,2)</f>
        <v>15.11</v>
      </c>
      <c r="F137" s="36">
        <f>F$125+SUM(E$127:E137)</f>
        <v>383.38733131992535</v>
      </c>
      <c r="G137" s="26">
        <f>ROUNDDOWN(E137*((1+$B$31)^((12-MONTH(A137))/12)-1),2)</f>
        <v>0.73</v>
      </c>
      <c r="H137" s="8"/>
      <c r="I137" s="4">
        <f>(E135+I135)*(1+$B$31)^(1/12)</f>
        <v>384.57429940702872</v>
      </c>
      <c r="J137" s="49">
        <f>ROUND(D137*F137,2)</f>
        <v>76125.39</v>
      </c>
      <c r="L137" s="15">
        <f>DATE(YEAR(A137),MONTH(A137),1)</f>
        <v>45444</v>
      </c>
      <c r="M137" s="30">
        <f>(E131+E133+E135)*B$34</f>
        <v>19.545000000000002</v>
      </c>
      <c r="N137" s="30">
        <f t="shared" ref="N137" si="77">(E131+E133+E135)*B$35</f>
        <v>195.45000000000002</v>
      </c>
      <c r="O137" s="30">
        <f t="shared" ref="O137" si="78">(E131+E133+E135)*B$36</f>
        <v>195.45000000000002</v>
      </c>
      <c r="Q137" s="50">
        <f>ROUNDDOWN(M137*$D135,2)</f>
        <v>3919.94</v>
      </c>
      <c r="R137" s="50">
        <f t="shared" ref="R137:S137" si="79">ROUNDDOWN(N137*$D135,2)</f>
        <v>39199.449999999997</v>
      </c>
      <c r="S137" s="50">
        <f t="shared" si="79"/>
        <v>39199.449999999997</v>
      </c>
    </row>
    <row r="138" spans="1:19" x14ac:dyDescent="0.2">
      <c r="A138" s="14">
        <v>45488</v>
      </c>
      <c r="B138" s="48">
        <v>3000</v>
      </c>
      <c r="H138" s="8"/>
      <c r="I138" s="5"/>
      <c r="J138" s="53"/>
      <c r="M138" s="30"/>
      <c r="N138" s="30"/>
      <c r="O138" s="30"/>
    </row>
    <row r="139" spans="1:19" ht="15" x14ac:dyDescent="0.25">
      <c r="A139" s="28">
        <v>45504</v>
      </c>
      <c r="B139" s="49">
        <f t="shared" ref="B139" si="80">SUM(B138)</f>
        <v>3000</v>
      </c>
      <c r="D139" s="46">
        <v>199.89</v>
      </c>
      <c r="E139" s="32">
        <f>ROUND(B139/D139,2)</f>
        <v>15.01</v>
      </c>
      <c r="F139" s="36">
        <f>F$125+SUM(E$127:E139)</f>
        <v>398.39733131992534</v>
      </c>
      <c r="G139" s="26">
        <f>ROUNDDOWN(E139*((1+$B$31)^((12-MONTH(A139))/12)-1),2)</f>
        <v>0.6</v>
      </c>
      <c r="H139" s="8"/>
      <c r="I139" s="4">
        <f>(E137+I137)*(1+$B$31)^(1/12)</f>
        <v>402.87143813772838</v>
      </c>
      <c r="J139" s="49">
        <f>ROUND(D139*F139,2)</f>
        <v>79635.64</v>
      </c>
      <c r="L139" s="15">
        <f>DATE(YEAR(A139),MONTH(A139),1)</f>
        <v>45474</v>
      </c>
      <c r="M139" s="30">
        <f t="shared" ref="M139" si="81">(E133+E135+E137)*B$34</f>
        <v>21.245000000000001</v>
      </c>
      <c r="N139" s="30">
        <f t="shared" ref="N139" si="82">(E133+E135+E137)*B$35</f>
        <v>212.45000000000002</v>
      </c>
      <c r="O139" s="30">
        <f t="shared" ref="O139" si="83">(E133+E135+E137)*B$36</f>
        <v>212.45000000000002</v>
      </c>
      <c r="Q139" s="50">
        <f>ROUNDDOWN(M139*$D137,2)</f>
        <v>4218.3999999999996</v>
      </c>
      <c r="R139" s="50">
        <f t="shared" ref="R139:S139" si="84">ROUNDDOWN(N139*$D137,2)</f>
        <v>42184.07</v>
      </c>
      <c r="S139" s="50">
        <f t="shared" si="84"/>
        <v>42184.07</v>
      </c>
    </row>
    <row r="140" spans="1:19" x14ac:dyDescent="0.2">
      <c r="A140" s="14">
        <v>45519</v>
      </c>
      <c r="B140" s="48">
        <v>3000</v>
      </c>
      <c r="H140" s="8"/>
      <c r="I140" s="5"/>
      <c r="J140" s="53"/>
      <c r="M140" s="30"/>
      <c r="N140" s="30"/>
      <c r="O140" s="30"/>
    </row>
    <row r="141" spans="1:19" ht="15" x14ac:dyDescent="0.25">
      <c r="A141" s="28">
        <v>45535</v>
      </c>
      <c r="B141" s="50">
        <f t="shared" ref="B141" si="85">SUM(B140)</f>
        <v>3000</v>
      </c>
      <c r="D141" s="45">
        <v>200.89</v>
      </c>
      <c r="E141" s="32">
        <f>ROUND(B141/D141,2)</f>
        <v>14.93</v>
      </c>
      <c r="F141" s="36">
        <f>F$125+SUM(E$127:E141)</f>
        <v>413.32733131992535</v>
      </c>
      <c r="G141" s="26">
        <f>ROUNDDOWN(E141*((1+$B$31)^((12-MONTH(A141))/12)-1),2)</f>
        <v>0.48</v>
      </c>
      <c r="H141" s="29"/>
      <c r="I141" s="4">
        <f>(E139+I139)*(1+$B$31)^(1/12)</f>
        <v>421.21368340807089</v>
      </c>
      <c r="J141" s="49">
        <f>ROUND(D141*F141,2)</f>
        <v>83033.33</v>
      </c>
      <c r="L141" s="15">
        <f>DATE(YEAR(A141),MONTH(A141),1)</f>
        <v>45505</v>
      </c>
      <c r="M141" s="30">
        <f t="shared" ref="M141" si="86">(E135+E137+E139)*B$34</f>
        <v>22.54</v>
      </c>
      <c r="N141" s="30">
        <f t="shared" ref="N141" si="87">(E135+E137+E139)*B$35</f>
        <v>225.39999999999998</v>
      </c>
      <c r="O141" s="30">
        <f t="shared" ref="O141" si="88">(E135+E137+E139)*B$36</f>
        <v>225.39999999999998</v>
      </c>
      <c r="Q141" s="50">
        <f>ROUNDDOWN(M141*$D139,2)</f>
        <v>4505.5200000000004</v>
      </c>
      <c r="R141" s="50">
        <f t="shared" ref="R141:S141" si="89">ROUNDDOWN(N141*$D139,2)</f>
        <v>45055.199999999997</v>
      </c>
      <c r="S141" s="50">
        <f t="shared" si="89"/>
        <v>45055.199999999997</v>
      </c>
    </row>
    <row r="142" spans="1:19" x14ac:dyDescent="0.2">
      <c r="A142" s="14">
        <v>45546</v>
      </c>
      <c r="B142" s="48">
        <v>3000</v>
      </c>
      <c r="G142" s="31"/>
      <c r="H142" s="8"/>
      <c r="I142" s="5"/>
      <c r="J142" s="53"/>
      <c r="M142" s="30"/>
      <c r="N142" s="30"/>
      <c r="O142" s="30"/>
    </row>
    <row r="143" spans="1:19" ht="15" x14ac:dyDescent="0.25">
      <c r="A143" s="28">
        <v>45565</v>
      </c>
      <c r="B143" s="50">
        <f t="shared" ref="B143" si="90">SUM(B142)</f>
        <v>3000</v>
      </c>
      <c r="D143" s="45">
        <v>205.32</v>
      </c>
      <c r="E143" s="32">
        <f>ROUND(B143/D143,2)</f>
        <v>14.61</v>
      </c>
      <c r="F143" s="36">
        <f>F$125+SUM(E$127:E143)</f>
        <v>427.93733131992536</v>
      </c>
      <c r="G143" s="26">
        <f>ROUNDDOWN(E143*((1+$B$31)^((12-MONTH(A143))/12)-1),2)</f>
        <v>0.35</v>
      </c>
      <c r="H143" s="29"/>
      <c r="I143" s="4">
        <f>(E141+I141)*(1+$B$31)^(1/12)</f>
        <v>439.6215543867462</v>
      </c>
      <c r="J143" s="49">
        <f>ROUND(D143*F143,2)</f>
        <v>87864.09</v>
      </c>
      <c r="L143" s="15">
        <f>DATE(YEAR(A143),MONTH(A143),1)</f>
        <v>45536</v>
      </c>
      <c r="M143" s="30">
        <f t="shared" ref="M143" si="91">(E137+E139+E141)*B$34</f>
        <v>22.524999999999999</v>
      </c>
      <c r="N143" s="30">
        <f t="shared" ref="N143" si="92">(E137+E139+E141)*B$35</f>
        <v>225.25</v>
      </c>
      <c r="O143" s="30">
        <f t="shared" ref="O143" si="93">(E137+E139+E141)*B$36</f>
        <v>225.25</v>
      </c>
      <c r="Q143" s="50">
        <f>ROUNDDOWN(M143*$D141,2)</f>
        <v>4525.04</v>
      </c>
      <c r="R143" s="50">
        <f t="shared" ref="R143:S143" si="94">ROUNDDOWN(N143*$D141,2)</f>
        <v>45250.47</v>
      </c>
      <c r="S143" s="50">
        <f t="shared" si="94"/>
        <v>45250.47</v>
      </c>
    </row>
    <row r="144" spans="1:19" x14ac:dyDescent="0.2">
      <c r="A144" s="14">
        <v>45576</v>
      </c>
      <c r="B144" s="48">
        <v>3000</v>
      </c>
      <c r="G144" s="31"/>
      <c r="H144" s="8"/>
      <c r="I144" s="5"/>
      <c r="J144" s="53"/>
      <c r="M144" s="30"/>
      <c r="N144" s="30"/>
      <c r="O144" s="30"/>
    </row>
    <row r="145" spans="1:19" ht="15" x14ac:dyDescent="0.25">
      <c r="A145" s="28">
        <v>45596</v>
      </c>
      <c r="B145" s="50">
        <f t="shared" ref="B145" si="95">SUM(B144)</f>
        <v>3000</v>
      </c>
      <c r="D145" s="45">
        <v>200.68</v>
      </c>
      <c r="E145" s="32">
        <f>ROUND(B145/D145,2)</f>
        <v>14.95</v>
      </c>
      <c r="F145" s="36">
        <f>F$125+SUM(E$127:E145)</f>
        <v>442.88733131992535</v>
      </c>
      <c r="G145" s="26">
        <f>ROUNDDOWN(E145*((1+$B$31)^((12-MONTH(A145))/12)-1),2)</f>
        <v>0.23</v>
      </c>
      <c r="H145" s="29"/>
      <c r="I145" s="4">
        <f>(E143+I143)*(1+$B$31)^(1/12)</f>
        <v>457.85366058866538</v>
      </c>
      <c r="J145" s="49">
        <f>ROUND(D145*F145,2)</f>
        <v>88878.63</v>
      </c>
      <c r="L145" s="15">
        <f>DATE(YEAR(A145),MONTH(A145),1)</f>
        <v>45566</v>
      </c>
      <c r="M145" s="30">
        <f t="shared" ref="M145" si="96">(E139+E141+E143)*B$34</f>
        <v>22.274999999999999</v>
      </c>
      <c r="N145" s="30">
        <f t="shared" ref="N145" si="97">(E139+E141+E143)*B$35</f>
        <v>222.75</v>
      </c>
      <c r="O145" s="30">
        <f t="shared" ref="O145" si="98">(E139+E141+E143)*B$36</f>
        <v>222.75</v>
      </c>
      <c r="Q145" s="50">
        <f>ROUNDDOWN(M145*$D143,2)</f>
        <v>4573.5</v>
      </c>
      <c r="R145" s="50">
        <f t="shared" ref="R145:S145" si="99">ROUNDDOWN(N145*$D143,2)</f>
        <v>45735.03</v>
      </c>
      <c r="S145" s="50">
        <f t="shared" si="99"/>
        <v>45735.03</v>
      </c>
    </row>
    <row r="146" spans="1:19" x14ac:dyDescent="0.2">
      <c r="A146" s="14">
        <v>45611</v>
      </c>
      <c r="B146" s="48">
        <v>3000</v>
      </c>
      <c r="G146" s="31"/>
      <c r="H146" s="8"/>
      <c r="I146" s="5"/>
      <c r="J146" s="53"/>
      <c r="M146" s="30"/>
      <c r="N146" s="30"/>
      <c r="O146" s="30"/>
    </row>
    <row r="147" spans="1:19" ht="15" x14ac:dyDescent="0.25">
      <c r="A147" s="28">
        <v>45626</v>
      </c>
      <c r="B147" s="50">
        <f t="shared" ref="B147" si="100">SUM(B146)</f>
        <v>3000</v>
      </c>
      <c r="D147" s="45">
        <v>202.77</v>
      </c>
      <c r="E147" s="25">
        <f>ROUND(B147/D147,2)</f>
        <v>14.8</v>
      </c>
      <c r="F147" s="36">
        <f>F$125+SUM(E$127:E147)</f>
        <v>457.68733131992536</v>
      </c>
      <c r="G147" s="26">
        <f>ROUNDDOWN(E147*((1+$B$31)^((12-MONTH(A147))/12)-1),2)</f>
        <v>0.11</v>
      </c>
      <c r="H147" s="29"/>
      <c r="I147" s="4">
        <f>(E145+I145)*(1+$B$31)^(1/12)</f>
        <v>476.57386337349914</v>
      </c>
      <c r="J147" s="49">
        <f>ROUND(D147*F147,2)</f>
        <v>92805.26</v>
      </c>
      <c r="L147" s="15">
        <f>DATE(YEAR(A147),MONTH(A147),1)</f>
        <v>45597</v>
      </c>
      <c r="M147" s="30">
        <f t="shared" ref="M147" si="101">(E141+E143+E145)*B$34</f>
        <v>22.244999999999997</v>
      </c>
      <c r="N147" s="30">
        <f t="shared" ref="N147" si="102">(E141+E143+E145)*B$35</f>
        <v>222.45</v>
      </c>
      <c r="O147" s="30">
        <f t="shared" ref="O147" si="103">(E141+E143+E145)*B$36</f>
        <v>222.45</v>
      </c>
      <c r="Q147" s="50">
        <f>ROUNDDOWN(M147*$D145,2)</f>
        <v>4464.12</v>
      </c>
      <c r="R147" s="50">
        <f t="shared" ref="R147:S147" si="104">ROUNDDOWN(N147*$D145,2)</f>
        <v>44641.26</v>
      </c>
      <c r="S147" s="50">
        <f t="shared" si="104"/>
        <v>44641.26</v>
      </c>
    </row>
    <row r="148" spans="1:19" x14ac:dyDescent="0.2">
      <c r="A148" s="14">
        <v>45641</v>
      </c>
      <c r="B148" s="48">
        <v>3000</v>
      </c>
      <c r="G148" s="31"/>
      <c r="H148" s="8"/>
      <c r="I148" s="5"/>
      <c r="J148" s="53"/>
      <c r="M148" s="30"/>
      <c r="N148" s="30"/>
      <c r="O148" s="30"/>
    </row>
    <row r="149" spans="1:19" x14ac:dyDescent="0.2">
      <c r="A149" s="34">
        <v>45657</v>
      </c>
      <c r="B149" s="50">
        <f t="shared" ref="B149" si="105">SUM(B148)</f>
        <v>3000</v>
      </c>
      <c r="D149" s="43">
        <v>210.02</v>
      </c>
      <c r="E149" s="35">
        <f>ROUNDDOWN(B149/D149,2)</f>
        <v>14.28</v>
      </c>
      <c r="F149" s="31">
        <f>F$125+SUM(E$127:E149)</f>
        <v>471.96733131992539</v>
      </c>
      <c r="G149" s="26">
        <f>ROUNDDOWN(E149*((1+$B$31)^((12-MONTH(A149))/12)-1),2)</f>
        <v>0</v>
      </c>
      <c r="H149" s="8"/>
      <c r="I149" s="4">
        <f>(E147+I147)*(1+$B$31)^(1/12)</f>
        <v>495.2921475631324</v>
      </c>
      <c r="J149" s="53"/>
      <c r="L149" s="15">
        <f>DATE(YEAR(A149),MONTH(A149),1)</f>
        <v>45627</v>
      </c>
      <c r="M149" s="30">
        <f t="shared" ref="M149" si="106">(E143+E145+E147)*B$34</f>
        <v>22.18</v>
      </c>
      <c r="N149" s="30">
        <f t="shared" ref="N149" si="107">(E143+E145+E147)*B$35</f>
        <v>221.8</v>
      </c>
      <c r="O149" s="30">
        <f t="shared" ref="O149" si="108">(E143+E145+E147)*B$36</f>
        <v>221.8</v>
      </c>
      <c r="Q149" s="50">
        <f>ROUNDDOWN(M149*$D147,2)</f>
        <v>4497.43</v>
      </c>
      <c r="R149" s="50">
        <f t="shared" ref="R149:S149" si="109">ROUNDDOWN(N149*$D147,2)</f>
        <v>44974.38</v>
      </c>
      <c r="S149" s="50">
        <f t="shared" si="109"/>
        <v>44974.38</v>
      </c>
    </row>
    <row r="150" spans="1:19" ht="15" x14ac:dyDescent="0.25">
      <c r="A150" s="28">
        <v>45657</v>
      </c>
      <c r="B150" s="49">
        <f>B127+B129+B131+B133+B135+B137+B139+B141+B143+B145+B147+B149</f>
        <v>36000</v>
      </c>
      <c r="D150" s="46">
        <f>D149</f>
        <v>210.02</v>
      </c>
      <c r="E150" s="7"/>
      <c r="F150" s="36"/>
      <c r="G150" s="36">
        <f>SUM(G125:G149)</f>
        <v>37.529999999999994</v>
      </c>
      <c r="H150" s="36">
        <f>F149+G150</f>
        <v>509.49733131992537</v>
      </c>
      <c r="I150" s="4">
        <f>E149+I149</f>
        <v>509.57214756313238</v>
      </c>
      <c r="J150" s="49">
        <f>ROUND(D150*H150,2)</f>
        <v>107004.63</v>
      </c>
    </row>
    <row r="151" spans="1:19" ht="15" x14ac:dyDescent="0.25">
      <c r="A151" s="28"/>
      <c r="B151" s="49"/>
      <c r="D151" s="46"/>
      <c r="E151" s="7"/>
      <c r="F151" s="36"/>
      <c r="G151" s="36"/>
      <c r="H151" s="36"/>
      <c r="I151" s="4"/>
      <c r="J151" s="49"/>
    </row>
    <row r="152" spans="1:19" s="21" customFormat="1" ht="61.5" customHeight="1" x14ac:dyDescent="0.2">
      <c r="A152" s="19" t="s">
        <v>25</v>
      </c>
      <c r="B152" s="19" t="s">
        <v>24</v>
      </c>
      <c r="C152" s="19" t="s">
        <v>43</v>
      </c>
      <c r="D152" s="44" t="s">
        <v>60</v>
      </c>
      <c r="E152" s="19" t="s">
        <v>61</v>
      </c>
      <c r="F152" s="19" t="s">
        <v>62</v>
      </c>
      <c r="G152" s="19" t="s">
        <v>63</v>
      </c>
      <c r="H152" s="19" t="s">
        <v>64</v>
      </c>
      <c r="I152" s="2" t="s">
        <v>65</v>
      </c>
      <c r="J152" s="52" t="s">
        <v>26</v>
      </c>
      <c r="K152" s="20"/>
      <c r="L152" s="19" t="s">
        <v>45</v>
      </c>
      <c r="M152" s="19" t="s">
        <v>69</v>
      </c>
      <c r="N152" s="19" t="s">
        <v>70</v>
      </c>
      <c r="O152" s="19" t="s">
        <v>71</v>
      </c>
      <c r="Q152" s="19" t="s">
        <v>72</v>
      </c>
      <c r="R152" s="19" t="s">
        <v>73</v>
      </c>
      <c r="S152" s="19" t="s">
        <v>74</v>
      </c>
    </row>
    <row r="153" spans="1:19" ht="15" x14ac:dyDescent="0.25">
      <c r="A153" s="34">
        <v>45658</v>
      </c>
      <c r="B153" s="50"/>
      <c r="F153" s="31">
        <f>H150</f>
        <v>509.49733131992537</v>
      </c>
      <c r="G153" s="26">
        <f>ROUNDDOWN(F153*((1+$B$31)-1),2)</f>
        <v>50.94</v>
      </c>
      <c r="H153" s="8"/>
      <c r="I153" s="4"/>
      <c r="J153" s="49"/>
      <c r="L153" s="15"/>
    </row>
    <row r="154" spans="1:19" x14ac:dyDescent="0.2">
      <c r="A154" s="14">
        <v>45672</v>
      </c>
      <c r="B154" s="48">
        <v>3000</v>
      </c>
      <c r="H154" s="8"/>
      <c r="I154" s="5"/>
      <c r="J154" s="53"/>
    </row>
    <row r="155" spans="1:19" ht="15" x14ac:dyDescent="0.25">
      <c r="A155" s="28">
        <v>45688</v>
      </c>
      <c r="B155" s="49">
        <f>SUM(B154)</f>
        <v>3000</v>
      </c>
      <c r="D155" s="46">
        <v>200.09</v>
      </c>
      <c r="E155" s="32">
        <f>ROUND(B155/D155,2)</f>
        <v>14.99</v>
      </c>
      <c r="F155" s="36">
        <f>F$153+SUM(E$155:E155)</f>
        <v>524.48733131992537</v>
      </c>
      <c r="G155" s="26">
        <f>ROUNDDOWN(E155*((1+$B$31)^((12-MONTH(A155))/12)-1),2)</f>
        <v>1.36</v>
      </c>
      <c r="H155" s="8"/>
      <c r="I155" s="4">
        <f>F153*(1+$B$31)^(1/12)</f>
        <v>513.56013458802215</v>
      </c>
      <c r="J155" s="49">
        <f>ROUND(D155*F155,2)</f>
        <v>104944.67</v>
      </c>
      <c r="L155" s="15">
        <f>DATE(YEAR(A155),MONTH(A155),1)</f>
        <v>45658</v>
      </c>
      <c r="M155" s="30">
        <f>(E145+E147+E149)*B$34</f>
        <v>22.015000000000001</v>
      </c>
      <c r="N155" s="30">
        <f>(E145+E147+E149)*B$35</f>
        <v>220.15</v>
      </c>
      <c r="O155" s="30">
        <f>(E145+E147+E149)*B$36</f>
        <v>220.15</v>
      </c>
      <c r="Q155" s="50">
        <f>ROUNDDOWN(M155*$D150,2)</f>
        <v>4623.59</v>
      </c>
      <c r="R155" s="50">
        <f t="shared" ref="R155:S155" si="110">ROUNDDOWN(N155*$D150,2)</f>
        <v>46235.9</v>
      </c>
      <c r="S155" s="50">
        <f t="shared" si="110"/>
        <v>46235.9</v>
      </c>
    </row>
    <row r="156" spans="1:19" x14ac:dyDescent="0.2">
      <c r="A156" s="14">
        <v>45703</v>
      </c>
      <c r="B156" s="48">
        <v>3000</v>
      </c>
      <c r="H156" s="8"/>
      <c r="I156" s="5"/>
      <c r="J156" s="53"/>
    </row>
    <row r="157" spans="1:19" ht="15" x14ac:dyDescent="0.25">
      <c r="A157" s="28">
        <v>45716</v>
      </c>
      <c r="B157" s="49">
        <f t="shared" ref="B157" si="111">SUM(B156)</f>
        <v>3000</v>
      </c>
      <c r="D157" s="46">
        <v>201.2</v>
      </c>
      <c r="E157" s="32">
        <f>ROUND(B157/D157,2)</f>
        <v>14.91</v>
      </c>
      <c r="F157" s="36">
        <f>F$153+SUM(E$155:E157)</f>
        <v>539.39733131992534</v>
      </c>
      <c r="G157" s="26">
        <f>ROUNDDOWN(E157*((1+$B$31)^((12-MONTH(A157))/12)-1),2)</f>
        <v>1.23</v>
      </c>
      <c r="H157" s="8"/>
      <c r="I157" s="4">
        <f>(E155+I155)*(1+$B$31)^(1/12)</f>
        <v>532.76486758494309</v>
      </c>
      <c r="J157" s="49">
        <f>ROUND(D157*F157,2)</f>
        <v>108526.74</v>
      </c>
      <c r="L157" s="15">
        <f>DATE(YEAR(A157),MONTH(A157),1)</f>
        <v>45689</v>
      </c>
      <c r="M157" s="30">
        <f>(E147+E149+E155)*B$34</f>
        <v>22.035</v>
      </c>
      <c r="N157" s="30">
        <f>(E147+E149+E155)*B$35</f>
        <v>220.35</v>
      </c>
      <c r="O157" s="30">
        <f>(E147+E149+E155)*B$36</f>
        <v>220.35</v>
      </c>
      <c r="Q157" s="50">
        <f>ROUNDDOWN(M157*$D155,2)</f>
        <v>4408.9799999999996</v>
      </c>
      <c r="R157" s="50">
        <f t="shared" ref="R157:S157" si="112">ROUNDDOWN(N157*$D155,2)</f>
        <v>44089.83</v>
      </c>
      <c r="S157" s="50">
        <f t="shared" si="112"/>
        <v>44089.83</v>
      </c>
    </row>
    <row r="158" spans="1:19" x14ac:dyDescent="0.2">
      <c r="A158" s="14">
        <v>45731</v>
      </c>
      <c r="B158" s="48">
        <v>3000</v>
      </c>
      <c r="H158" s="8"/>
      <c r="I158" s="5"/>
      <c r="J158" s="53"/>
    </row>
    <row r="159" spans="1:19" ht="15" x14ac:dyDescent="0.25">
      <c r="A159" s="28">
        <v>45747</v>
      </c>
      <c r="B159" s="49">
        <f t="shared" ref="B159" si="113">SUM(B158)</f>
        <v>3000</v>
      </c>
      <c r="D159" s="46">
        <v>256.2</v>
      </c>
      <c r="E159" s="32">
        <f>ROUND(B159/D159,2)</f>
        <v>11.71</v>
      </c>
      <c r="F159" s="36">
        <f>F$153+SUM(E$155:E159)</f>
        <v>551.10733131992538</v>
      </c>
      <c r="G159" s="26">
        <f>ROUNDDOWN(E159*((1+$B$31)^((12-MONTH(A159))/12)-1),2)</f>
        <v>0.86</v>
      </c>
      <c r="H159" s="8"/>
      <c r="I159" s="4">
        <f>(E157+I157)*(1+$B$31)^(1/12)</f>
        <v>552.04210388844672</v>
      </c>
      <c r="J159" s="49">
        <f>ROUND(D159*F159,2)</f>
        <v>141193.70000000001</v>
      </c>
      <c r="L159" s="15">
        <f>DATE(YEAR(A159),MONTH(A159),1)</f>
        <v>45717</v>
      </c>
      <c r="M159" s="30">
        <f>(E149+E155+E157)*B$34</f>
        <v>22.09</v>
      </c>
      <c r="N159" s="30">
        <f>(E149+E155+E157)*B$35</f>
        <v>220.9</v>
      </c>
      <c r="O159" s="30">
        <f>(E149+E155+E157)*B$36</f>
        <v>220.9</v>
      </c>
      <c r="Q159" s="50">
        <f>ROUNDDOWN(M159*$D157,2)</f>
        <v>4444.5</v>
      </c>
      <c r="R159" s="50">
        <f t="shared" ref="R159:S159" si="114">ROUNDDOWN(N159*$D157,2)</f>
        <v>44445.08</v>
      </c>
      <c r="S159" s="50">
        <f t="shared" si="114"/>
        <v>44445.08</v>
      </c>
    </row>
    <row r="160" spans="1:19" x14ac:dyDescent="0.2">
      <c r="A160" s="14">
        <v>45762</v>
      </c>
      <c r="B160" s="48">
        <v>3000</v>
      </c>
      <c r="H160" s="8"/>
      <c r="I160" s="5"/>
      <c r="J160" s="53"/>
    </row>
    <row r="161" spans="1:19" ht="15" x14ac:dyDescent="0.25">
      <c r="A161" s="28">
        <v>45777</v>
      </c>
      <c r="B161" s="49">
        <f t="shared" ref="B161" si="115">SUM(B160)</f>
        <v>3000</v>
      </c>
      <c r="D161" s="46">
        <v>241.5</v>
      </c>
      <c r="E161" s="32">
        <f>ROUND(B161/D161,2)</f>
        <v>12.42</v>
      </c>
      <c r="F161" s="36">
        <f>F$153+SUM(E$155:E161)</f>
        <v>563.52733131992534</v>
      </c>
      <c r="G161" s="26">
        <f>ROUNDDOWN(E161*((1+$B$31)^((12-MONTH(A161))/12)-1),2)</f>
        <v>0.81</v>
      </c>
      <c r="H161" s="8"/>
      <c r="I161" s="4">
        <f>(E159+I159)*(1+$B$31)^(1/12)</f>
        <v>568.24754233194312</v>
      </c>
      <c r="J161" s="49">
        <f>ROUND(D161*F161,2)</f>
        <v>136091.85</v>
      </c>
      <c r="L161" s="15">
        <f>DATE(YEAR(A161),MONTH(A161),1)</f>
        <v>45748</v>
      </c>
      <c r="M161" s="30">
        <f>(E155+E157+E159)*B$34</f>
        <v>20.805</v>
      </c>
      <c r="N161" s="30">
        <f>(E155+E157+E159)*B$35</f>
        <v>208.05</v>
      </c>
      <c r="O161" s="30">
        <f>(E155+E157+E159)*B$36</f>
        <v>208.05</v>
      </c>
      <c r="Q161" s="50">
        <f>ROUNDDOWN(M161*$D159,2)</f>
        <v>5330.24</v>
      </c>
      <c r="R161" s="50">
        <f t="shared" ref="R161:S161" si="116">ROUNDDOWN(N161*$D159,2)</f>
        <v>53302.41</v>
      </c>
      <c r="S161" s="50">
        <f t="shared" si="116"/>
        <v>53302.41</v>
      </c>
    </row>
    <row r="162" spans="1:19" x14ac:dyDescent="0.2">
      <c r="A162" s="14">
        <v>45792</v>
      </c>
      <c r="B162" s="48">
        <v>3000</v>
      </c>
      <c r="H162" s="8"/>
      <c r="I162" s="5"/>
      <c r="J162" s="53"/>
      <c r="M162" s="30"/>
      <c r="N162" s="30"/>
      <c r="O162" s="30"/>
    </row>
    <row r="163" spans="1:19" ht="15" x14ac:dyDescent="0.25">
      <c r="A163" s="28">
        <v>45808</v>
      </c>
      <c r="B163" s="49">
        <f t="shared" ref="B163" si="117">SUM(B162)</f>
        <v>3000</v>
      </c>
      <c r="D163" s="46">
        <v>200.56</v>
      </c>
      <c r="E163" s="32">
        <f>ROUND(B163/D163,2)</f>
        <v>14.96</v>
      </c>
      <c r="F163" s="36">
        <f>F$153+SUM(E$155:E163)</f>
        <v>578.48733131992537</v>
      </c>
      <c r="G163" s="26">
        <f>ROUNDDOWN(E163*((1+$B$31)^((12-MONTH(A163))/12)-1),2)</f>
        <v>0.85</v>
      </c>
      <c r="H163" s="8"/>
      <c r="I163" s="4">
        <f>(E161+I161)*(1+$B$31)^(1/12)</f>
        <v>585.29786685700446</v>
      </c>
      <c r="J163" s="49">
        <f>ROUND(D163*F163,2)</f>
        <v>116021.42</v>
      </c>
      <c r="L163" s="15">
        <f>DATE(YEAR(A163),MONTH(A163),1)</f>
        <v>45778</v>
      </c>
      <c r="M163" s="30">
        <f t="shared" ref="M163" si="118">(E157+E159+E161)*B$34</f>
        <v>19.52</v>
      </c>
      <c r="N163" s="30">
        <f t="shared" ref="N163" si="119">(E157+E159+E161)*B$35</f>
        <v>195.2</v>
      </c>
      <c r="O163" s="30">
        <f t="shared" ref="O163" si="120">(E157+E159+E161)*B$36</f>
        <v>195.2</v>
      </c>
      <c r="Q163" s="50">
        <f>ROUNDDOWN(M163*$D161,2)</f>
        <v>4714.08</v>
      </c>
      <c r="R163" s="50">
        <f t="shared" ref="R163:S163" si="121">ROUNDDOWN(N163*$D161,2)</f>
        <v>47140.800000000003</v>
      </c>
      <c r="S163" s="50">
        <f t="shared" si="121"/>
        <v>47140.800000000003</v>
      </c>
    </row>
    <row r="164" spans="1:19" x14ac:dyDescent="0.2">
      <c r="A164" s="14">
        <v>45823</v>
      </c>
      <c r="B164" s="48">
        <v>3000</v>
      </c>
      <c r="H164" s="8"/>
      <c r="I164" s="5"/>
      <c r="J164" s="53"/>
      <c r="M164" s="30"/>
      <c r="N164" s="30"/>
      <c r="O164" s="30"/>
    </row>
    <row r="165" spans="1:19" ht="15" x14ac:dyDescent="0.25">
      <c r="A165" s="28">
        <v>45838</v>
      </c>
      <c r="B165" s="49">
        <f t="shared" ref="B165" si="122">SUM(B164)</f>
        <v>3000</v>
      </c>
      <c r="D165" s="46">
        <v>198.56</v>
      </c>
      <c r="E165" s="32">
        <f>ROUND(B165/D165,2)</f>
        <v>15.11</v>
      </c>
      <c r="F165" s="36">
        <f>F$153+SUM(E$155:E165)</f>
        <v>593.59733131992539</v>
      </c>
      <c r="G165" s="26">
        <f>ROUNDDOWN(E165*((1+$B$31)^((12-MONTH(A165))/12)-1),2)</f>
        <v>0.73</v>
      </c>
      <c r="H165" s="8"/>
      <c r="I165" s="4">
        <f>(E163+I163)*(1+$B$31)^(1/12)</f>
        <v>605.04440738087646</v>
      </c>
      <c r="J165" s="49">
        <f>ROUND(D165*F165,2)</f>
        <v>117864.69</v>
      </c>
      <c r="L165" s="15">
        <f>DATE(YEAR(A165),MONTH(A165),1)</f>
        <v>45809</v>
      </c>
      <c r="M165" s="30">
        <f>(E159+E161+E163)*B$34</f>
        <v>19.545000000000002</v>
      </c>
      <c r="N165" s="30">
        <f t="shared" ref="N165" si="123">(E159+E161+E163)*B$35</f>
        <v>195.45000000000002</v>
      </c>
      <c r="O165" s="30">
        <f t="shared" ref="O165" si="124">(E159+E161+E163)*B$36</f>
        <v>195.45000000000002</v>
      </c>
      <c r="Q165" s="50">
        <f>ROUNDDOWN(M165*$D163,2)</f>
        <v>3919.94</v>
      </c>
      <c r="R165" s="50">
        <f t="shared" ref="R165:S165" si="125">ROUNDDOWN(N165*$D163,2)</f>
        <v>39199.449999999997</v>
      </c>
      <c r="S165" s="50">
        <f t="shared" si="125"/>
        <v>39199.449999999997</v>
      </c>
    </row>
    <row r="166" spans="1:19" x14ac:dyDescent="0.2">
      <c r="A166" s="14">
        <v>45853</v>
      </c>
      <c r="B166" s="48">
        <v>3000</v>
      </c>
      <c r="H166" s="8"/>
      <c r="I166" s="5"/>
      <c r="J166" s="53"/>
      <c r="M166" s="30"/>
      <c r="N166" s="30"/>
      <c r="O166" s="30"/>
    </row>
    <row r="167" spans="1:19" ht="15" x14ac:dyDescent="0.25">
      <c r="A167" s="28">
        <v>45869</v>
      </c>
      <c r="B167" s="49">
        <f t="shared" ref="B167" si="126">SUM(B166)</f>
        <v>3000</v>
      </c>
      <c r="D167" s="46">
        <v>199.89</v>
      </c>
      <c r="E167" s="32">
        <f>ROUND(B167/D167,2)</f>
        <v>15.01</v>
      </c>
      <c r="F167" s="36">
        <f>F$153+SUM(E$155:E167)</f>
        <v>608.60733131992538</v>
      </c>
      <c r="G167" s="26">
        <f>ROUNDDOWN(E167*((1+$B$31)^((12-MONTH(A167))/12)-1),2)</f>
        <v>0.6</v>
      </c>
      <c r="H167" s="8"/>
      <c r="I167" s="4">
        <f>(E165+I165)*(1+$B$31)^(1/12)</f>
        <v>625.09960571293516</v>
      </c>
      <c r="J167" s="49">
        <f>ROUND(D167*F167,2)</f>
        <v>121654.52</v>
      </c>
      <c r="L167" s="15">
        <f>DATE(YEAR(A167),MONTH(A167),1)</f>
        <v>45839</v>
      </c>
      <c r="M167" s="30">
        <f t="shared" ref="M167" si="127">(E161+E163+E165)*B$34</f>
        <v>21.245000000000001</v>
      </c>
      <c r="N167" s="30">
        <f t="shared" ref="N167" si="128">(E161+E163+E165)*B$35</f>
        <v>212.45000000000002</v>
      </c>
      <c r="O167" s="30">
        <f t="shared" ref="O167" si="129">(E161+E163+E165)*B$36</f>
        <v>212.45000000000002</v>
      </c>
      <c r="Q167" s="50">
        <f>ROUNDDOWN(M167*$D165,2)</f>
        <v>4218.3999999999996</v>
      </c>
      <c r="R167" s="50">
        <f t="shared" ref="R167:S167" si="130">ROUNDDOWN(N167*$D165,2)</f>
        <v>42184.07</v>
      </c>
      <c r="S167" s="50">
        <f t="shared" si="130"/>
        <v>42184.07</v>
      </c>
    </row>
    <row r="168" spans="1:19" x14ac:dyDescent="0.2">
      <c r="A168" s="14">
        <v>45884</v>
      </c>
      <c r="B168" s="48">
        <v>3000</v>
      </c>
      <c r="H168" s="8"/>
      <c r="I168" s="5"/>
      <c r="J168" s="53"/>
      <c r="M168" s="30"/>
      <c r="N168" s="30"/>
      <c r="O168" s="30"/>
    </row>
    <row r="169" spans="1:19" ht="15" x14ac:dyDescent="0.25">
      <c r="A169" s="28">
        <v>45900</v>
      </c>
      <c r="B169" s="50">
        <f t="shared" ref="B169" si="131">SUM(B168)</f>
        <v>3000</v>
      </c>
      <c r="D169" s="45">
        <v>200.89</v>
      </c>
      <c r="E169" s="32">
        <f>ROUND(B169/D169,2)</f>
        <v>14.93</v>
      </c>
      <c r="F169" s="36">
        <f>F$153+SUM(E$155:E169)</f>
        <v>623.53733131992544</v>
      </c>
      <c r="G169" s="26">
        <f>ROUNDDOWN(E169*((1+$B$31)^((12-MONTH(A169))/12)-1),2)</f>
        <v>0.48</v>
      </c>
      <c r="H169" s="29"/>
      <c r="I169" s="4">
        <f>(E167+I167)*(1+$B$31)^(1/12)</f>
        <v>645.21392959878028</v>
      </c>
      <c r="J169" s="49">
        <f>ROUND(D169*F169,2)</f>
        <v>125262.41</v>
      </c>
      <c r="L169" s="15">
        <f>DATE(YEAR(A169),MONTH(A169),1)</f>
        <v>45870</v>
      </c>
      <c r="M169" s="30">
        <f t="shared" ref="M169" si="132">(E163+E165+E167)*B$34</f>
        <v>22.54</v>
      </c>
      <c r="N169" s="30">
        <f t="shared" ref="N169" si="133">(E163+E165+E167)*B$35</f>
        <v>225.39999999999998</v>
      </c>
      <c r="O169" s="30">
        <f t="shared" ref="O169" si="134">(E163+E165+E167)*B$36</f>
        <v>225.39999999999998</v>
      </c>
      <c r="Q169" s="50">
        <f>ROUNDDOWN(M169*$D167,2)</f>
        <v>4505.5200000000004</v>
      </c>
      <c r="R169" s="50">
        <f t="shared" ref="R169:S169" si="135">ROUNDDOWN(N169*$D167,2)</f>
        <v>45055.199999999997</v>
      </c>
      <c r="S169" s="50">
        <f t="shared" si="135"/>
        <v>45055.199999999997</v>
      </c>
    </row>
    <row r="170" spans="1:19" x14ac:dyDescent="0.2">
      <c r="A170" s="14">
        <v>45911</v>
      </c>
      <c r="B170" s="48">
        <v>3000</v>
      </c>
      <c r="G170" s="31"/>
      <c r="H170" s="8"/>
      <c r="I170" s="5"/>
      <c r="J170" s="53"/>
      <c r="M170" s="30"/>
      <c r="N170" s="30"/>
      <c r="O170" s="30"/>
    </row>
    <row r="171" spans="1:19" ht="15" x14ac:dyDescent="0.25">
      <c r="A171" s="28">
        <v>45930</v>
      </c>
      <c r="B171" s="50">
        <f t="shared" ref="B171" si="136">SUM(B170)</f>
        <v>3000</v>
      </c>
      <c r="D171" s="45">
        <v>205.32</v>
      </c>
      <c r="E171" s="32">
        <f>ROUND(B171/D171,2)</f>
        <v>14.61</v>
      </c>
      <c r="F171" s="36">
        <f>F$153+SUM(E$155:E171)</f>
        <v>638.14733131992534</v>
      </c>
      <c r="G171" s="26">
        <f>ROUNDDOWN(E171*((1+$B$31)^((12-MONTH(A171))/12)-1),2)</f>
        <v>0.35</v>
      </c>
      <c r="H171" s="29"/>
      <c r="I171" s="4">
        <f>(E169+I169)*(1+$B$31)^(1/12)</f>
        <v>665.40800999668932</v>
      </c>
      <c r="J171" s="49">
        <f>ROUND(D171*F171,2)</f>
        <v>131024.41</v>
      </c>
      <c r="L171" s="15">
        <f>DATE(YEAR(A171),MONTH(A171),1)</f>
        <v>45901</v>
      </c>
      <c r="M171" s="30">
        <f t="shared" ref="M171" si="137">(E165+E167+E169)*B$34</f>
        <v>22.524999999999999</v>
      </c>
      <c r="N171" s="30">
        <f t="shared" ref="N171" si="138">(E165+E167+E169)*B$35</f>
        <v>225.25</v>
      </c>
      <c r="O171" s="30">
        <f t="shared" ref="O171" si="139">(E165+E167+E169)*B$36</f>
        <v>225.25</v>
      </c>
      <c r="Q171" s="50">
        <f>ROUNDDOWN(M171*$D169,2)</f>
        <v>4525.04</v>
      </c>
      <c r="R171" s="50">
        <f t="shared" ref="R171:S171" si="140">ROUNDDOWN(N171*$D169,2)</f>
        <v>45250.47</v>
      </c>
      <c r="S171" s="50">
        <f t="shared" si="140"/>
        <v>45250.47</v>
      </c>
    </row>
    <row r="172" spans="1:19" x14ac:dyDescent="0.2">
      <c r="A172" s="14">
        <v>45941</v>
      </c>
      <c r="B172" s="48">
        <v>3000</v>
      </c>
      <c r="G172" s="31"/>
      <c r="H172" s="8"/>
      <c r="I172" s="5"/>
      <c r="J172" s="53"/>
      <c r="M172" s="30"/>
      <c r="N172" s="30"/>
      <c r="O172" s="30"/>
    </row>
    <row r="173" spans="1:19" ht="15" x14ac:dyDescent="0.25">
      <c r="A173" s="28">
        <v>45961</v>
      </c>
      <c r="B173" s="50">
        <f t="shared" ref="B173" si="141">SUM(B172)</f>
        <v>3000</v>
      </c>
      <c r="D173" s="45">
        <v>200.68</v>
      </c>
      <c r="E173" s="32">
        <f>ROUND(B173/D173,2)</f>
        <v>14.95</v>
      </c>
      <c r="F173" s="36">
        <f>F$153+SUM(E$155:E173)</f>
        <v>653.09733131992539</v>
      </c>
      <c r="G173" s="26">
        <f>ROUNDDOWN(E173*((1+$B$31)^((12-MONTH(A173))/12)-1),2)</f>
        <v>0.23</v>
      </c>
      <c r="H173" s="29"/>
      <c r="I173" s="4">
        <f>(E171+I171)*(1+$B$31)^(1/12)</f>
        <v>685.44056910258666</v>
      </c>
      <c r="J173" s="49">
        <f>ROUND(D173*F173,2)</f>
        <v>131063.57</v>
      </c>
      <c r="L173" s="15">
        <f>DATE(YEAR(A173),MONTH(A173),1)</f>
        <v>45931</v>
      </c>
      <c r="M173" s="30">
        <f t="shared" ref="M173" si="142">(E167+E169+E171)*B$34</f>
        <v>22.274999999999999</v>
      </c>
      <c r="N173" s="30">
        <f t="shared" ref="N173" si="143">(E167+E169+E171)*B$35</f>
        <v>222.75</v>
      </c>
      <c r="O173" s="30">
        <f t="shared" ref="O173" si="144">(E167+E169+E171)*B$36</f>
        <v>222.75</v>
      </c>
      <c r="Q173" s="50">
        <f>ROUNDDOWN(M173*$D171,2)</f>
        <v>4573.5</v>
      </c>
      <c r="R173" s="50">
        <f t="shared" ref="R173:S173" si="145">ROUNDDOWN(N173*$D171,2)</f>
        <v>45735.03</v>
      </c>
      <c r="S173" s="50">
        <f t="shared" si="145"/>
        <v>45735.03</v>
      </c>
    </row>
    <row r="174" spans="1:19" x14ac:dyDescent="0.2">
      <c r="A174" s="14">
        <v>45976</v>
      </c>
      <c r="B174" s="48">
        <v>3000</v>
      </c>
      <c r="G174" s="31"/>
      <c r="H174" s="8"/>
      <c r="I174" s="5"/>
      <c r="J174" s="53"/>
      <c r="M174" s="30"/>
      <c r="N174" s="30"/>
      <c r="O174" s="30"/>
    </row>
    <row r="175" spans="1:19" ht="15" x14ac:dyDescent="0.25">
      <c r="A175" s="28">
        <v>45991</v>
      </c>
      <c r="B175" s="50">
        <f t="shared" ref="B175" si="146">SUM(B174)</f>
        <v>3000</v>
      </c>
      <c r="D175" s="45">
        <v>202.77</v>
      </c>
      <c r="E175" s="25">
        <f>ROUND(B175/D175,2)</f>
        <v>14.8</v>
      </c>
      <c r="F175" s="36">
        <f>F$153+SUM(E$155:E175)</f>
        <v>667.89733131992534</v>
      </c>
      <c r="G175" s="26">
        <f>ROUNDDOWN(E175*((1+$B$31)^((12-MONTH(A175))/12)-1),2)</f>
        <v>0.11</v>
      </c>
      <c r="H175" s="29"/>
      <c r="I175" s="4">
        <f>(E173+I173)*(1+$B$31)^(1/12)</f>
        <v>705.97558185569051</v>
      </c>
      <c r="J175" s="49">
        <f>ROUND(D175*F175,2)</f>
        <v>135429.54</v>
      </c>
      <c r="L175" s="15">
        <f>DATE(YEAR(A175),MONTH(A175),1)</f>
        <v>45962</v>
      </c>
      <c r="M175" s="30">
        <f t="shared" ref="M175" si="147">(E169+E171+E173)*B$34</f>
        <v>22.244999999999997</v>
      </c>
      <c r="N175" s="30">
        <f t="shared" ref="N175" si="148">(E169+E171+E173)*B$35</f>
        <v>222.45</v>
      </c>
      <c r="O175" s="30">
        <f t="shared" ref="O175" si="149">(E169+E171+E173)*B$36</f>
        <v>222.45</v>
      </c>
      <c r="Q175" s="50">
        <f>ROUNDDOWN(M175*$D173,2)</f>
        <v>4464.12</v>
      </c>
      <c r="R175" s="50">
        <f t="shared" ref="R175:S175" si="150">ROUNDDOWN(N175*$D173,2)</f>
        <v>44641.26</v>
      </c>
      <c r="S175" s="50">
        <f t="shared" si="150"/>
        <v>44641.26</v>
      </c>
    </row>
    <row r="176" spans="1:19" x14ac:dyDescent="0.2">
      <c r="A176" s="14">
        <v>46006</v>
      </c>
      <c r="B176" s="48">
        <v>3000</v>
      </c>
      <c r="G176" s="31"/>
      <c r="H176" s="8"/>
      <c r="I176" s="5"/>
      <c r="J176" s="53"/>
      <c r="M176" s="30"/>
      <c r="N176" s="30"/>
      <c r="O176" s="30"/>
    </row>
    <row r="177" spans="1:19" x14ac:dyDescent="0.2">
      <c r="A177" s="34">
        <v>46022</v>
      </c>
      <c r="B177" s="50">
        <f t="shared" ref="B177" si="151">SUM(B176)</f>
        <v>3000</v>
      </c>
      <c r="D177" s="43">
        <v>210.02</v>
      </c>
      <c r="E177" s="35">
        <f>ROUNDDOWN(B177/D177,2)</f>
        <v>14.28</v>
      </c>
      <c r="F177" s="31">
        <f>F$153+SUM(E$155:E177)</f>
        <v>682.17733131992543</v>
      </c>
      <c r="G177" s="26">
        <f>ROUNDDOWN(E177*((1+$B$31)^((12-MONTH(A177))/12)-1),2)</f>
        <v>0</v>
      </c>
      <c r="H177" s="8"/>
      <c r="I177" s="4">
        <f>(E175+I175)*(1+$B$31)^(1/12)</f>
        <v>726.52314756313251</v>
      </c>
      <c r="J177" s="53"/>
      <c r="L177" s="15">
        <f>DATE(YEAR(A177),MONTH(A177),1)</f>
        <v>45992</v>
      </c>
      <c r="M177" s="30">
        <f t="shared" ref="M177" si="152">(E171+E173+E175)*B$34</f>
        <v>22.18</v>
      </c>
      <c r="N177" s="30">
        <f t="shared" ref="N177" si="153">(E171+E173+E175)*B$35</f>
        <v>221.8</v>
      </c>
      <c r="O177" s="30">
        <f t="shared" ref="O177" si="154">(E171+E173+E175)*B$36</f>
        <v>221.8</v>
      </c>
      <c r="Q177" s="50">
        <f>ROUNDDOWN(M177*$D175,2)</f>
        <v>4497.43</v>
      </c>
      <c r="R177" s="50">
        <f t="shared" ref="R177:S177" si="155">ROUNDDOWN(N177*$D175,2)</f>
        <v>44974.38</v>
      </c>
      <c r="S177" s="50">
        <f t="shared" si="155"/>
        <v>44974.38</v>
      </c>
    </row>
    <row r="178" spans="1:19" ht="15" x14ac:dyDescent="0.25">
      <c r="A178" s="28">
        <v>46022</v>
      </c>
      <c r="B178" s="49">
        <f>B155+B157+B159+B161+B163+B165+B167+B169+B171+B173+B175+B177</f>
        <v>36000</v>
      </c>
      <c r="D178" s="46">
        <f>D177</f>
        <v>210.02</v>
      </c>
      <c r="E178" s="7"/>
      <c r="F178" s="36"/>
      <c r="G178" s="36">
        <f>SUM(G153:G177)</f>
        <v>58.54999999999999</v>
      </c>
      <c r="H178" s="36">
        <f>F177+G178</f>
        <v>740.72733131992538</v>
      </c>
      <c r="I178" s="4">
        <f>E177+I177</f>
        <v>740.80314756313248</v>
      </c>
      <c r="J178" s="49">
        <f>ROUND(D178*H178,2)</f>
        <v>155567.54999999999</v>
      </c>
    </row>
    <row r="179" spans="1:19" ht="15" x14ac:dyDescent="0.25">
      <c r="A179" s="28"/>
      <c r="B179" s="49"/>
      <c r="D179" s="46"/>
      <c r="E179" s="7"/>
      <c r="F179" s="36"/>
      <c r="G179" s="36"/>
      <c r="H179" s="36"/>
      <c r="I179" s="4"/>
      <c r="J179" s="49"/>
    </row>
    <row r="180" spans="1:19" s="21" customFormat="1" ht="69.75" customHeight="1" x14ac:dyDescent="0.2">
      <c r="A180" s="19" t="s">
        <v>25</v>
      </c>
      <c r="B180" s="19" t="s">
        <v>24</v>
      </c>
      <c r="C180" s="19" t="s">
        <v>43</v>
      </c>
      <c r="D180" s="44" t="s">
        <v>60</v>
      </c>
      <c r="E180" s="19" t="s">
        <v>61</v>
      </c>
      <c r="F180" s="19" t="s">
        <v>62</v>
      </c>
      <c r="G180" s="19" t="s">
        <v>63</v>
      </c>
      <c r="H180" s="19" t="s">
        <v>64</v>
      </c>
      <c r="I180" s="2" t="s">
        <v>65</v>
      </c>
      <c r="J180" s="52" t="s">
        <v>26</v>
      </c>
      <c r="K180" s="20"/>
      <c r="L180" s="19" t="s">
        <v>45</v>
      </c>
      <c r="M180" s="19" t="s">
        <v>69</v>
      </c>
      <c r="N180" s="19" t="s">
        <v>70</v>
      </c>
      <c r="O180" s="19" t="s">
        <v>71</v>
      </c>
      <c r="Q180" s="19" t="s">
        <v>72</v>
      </c>
      <c r="R180" s="19" t="s">
        <v>73</v>
      </c>
      <c r="S180" s="19" t="s">
        <v>74</v>
      </c>
    </row>
    <row r="181" spans="1:19" ht="15" x14ac:dyDescent="0.25">
      <c r="A181" s="34">
        <v>46023</v>
      </c>
      <c r="B181" s="50"/>
      <c r="F181" s="31">
        <f>H178</f>
        <v>740.72733131992538</v>
      </c>
      <c r="G181" s="26">
        <f>ROUNDDOWN(F181*((1+$B$31)^(MONTH(B26)/12)-1),2)</f>
        <v>42.34</v>
      </c>
      <c r="H181" s="8"/>
      <c r="I181" s="4"/>
      <c r="J181" s="49"/>
    </row>
    <row r="182" spans="1:19" x14ac:dyDescent="0.2">
      <c r="A182" s="14">
        <v>46037</v>
      </c>
      <c r="B182" s="48">
        <v>3000</v>
      </c>
      <c r="H182" s="8"/>
      <c r="I182" s="5"/>
      <c r="J182" s="53"/>
    </row>
    <row r="183" spans="1:19" ht="15" x14ac:dyDescent="0.25">
      <c r="A183" s="28">
        <v>46053</v>
      </c>
      <c r="B183" s="49">
        <f>SUM(B182)</f>
        <v>3000</v>
      </c>
      <c r="D183" s="46">
        <v>200.09</v>
      </c>
      <c r="E183" s="32">
        <f>ROUND(B183/D183,2)</f>
        <v>14.99</v>
      </c>
      <c r="F183" s="36">
        <f>F$181+SUM(E$183:E183)</f>
        <v>755.71733131992539</v>
      </c>
      <c r="G183" s="26">
        <f>ROUNDDOWN(E183*((1+$B$31)^((MONTH(B$26)-MONTH(A183))/12)-1),2)</f>
        <v>0.73</v>
      </c>
      <c r="H183" s="8"/>
      <c r="I183" s="4">
        <f>F181*(1+$B$31)^(1/12)</f>
        <v>746.63399507939755</v>
      </c>
      <c r="J183" s="49">
        <f>ROUND(D183*F183,2)</f>
        <v>151211.48000000001</v>
      </c>
      <c r="L183" s="15">
        <f>DATE(YEAR(A183),MONTH(A183),1)</f>
        <v>46023</v>
      </c>
      <c r="M183" s="30">
        <f>(E173+E175+E177)*B$34</f>
        <v>22.015000000000001</v>
      </c>
      <c r="N183" s="30">
        <f>(E173+E175+E177)*B$35</f>
        <v>220.15</v>
      </c>
      <c r="O183" s="30">
        <f>(E173+E175+E177)*B$36</f>
        <v>220.15</v>
      </c>
      <c r="Q183" s="50">
        <f>ROUNDDOWN(M183*$D178,2)</f>
        <v>4623.59</v>
      </c>
      <c r="R183" s="50">
        <f t="shared" ref="R183:S183" si="156">ROUNDDOWN(N183*$D178,2)</f>
        <v>46235.9</v>
      </c>
      <c r="S183" s="50">
        <f t="shared" si="156"/>
        <v>46235.9</v>
      </c>
    </row>
    <row r="184" spans="1:19" x14ac:dyDescent="0.2">
      <c r="A184" s="14">
        <v>46068</v>
      </c>
      <c r="B184" s="48">
        <v>3000</v>
      </c>
      <c r="H184" s="8"/>
      <c r="I184" s="5"/>
      <c r="J184" s="53"/>
    </row>
    <row r="185" spans="1:19" ht="15" x14ac:dyDescent="0.25">
      <c r="A185" s="28">
        <v>46081</v>
      </c>
      <c r="B185" s="49">
        <f t="shared" ref="B185" si="157">SUM(B184)</f>
        <v>3000</v>
      </c>
      <c r="D185" s="46">
        <v>201.2</v>
      </c>
      <c r="E185" s="32">
        <f>ROUND(B185/D185,2)</f>
        <v>14.91</v>
      </c>
      <c r="F185" s="36">
        <f>F$181+SUM(E$183:E185)</f>
        <v>770.62733131992536</v>
      </c>
      <c r="G185" s="26">
        <f>ROUNDDOWN(E185*((1+$B$31)^((MONTH(B$26)-MONTH(A185))/12)-1),2)</f>
        <v>0.6</v>
      </c>
      <c r="H185" s="8"/>
      <c r="I185" s="4">
        <f>(E183+I183)*(1+$B$31)^(1/12)</f>
        <v>767.69729177018337</v>
      </c>
      <c r="J185" s="49">
        <f>ROUND(D185*F185,2)</f>
        <v>155050.22</v>
      </c>
      <c r="L185" s="15">
        <f>DATE(YEAR(A185),MONTH(A185),1)</f>
        <v>46054</v>
      </c>
      <c r="M185" s="30">
        <f>(E175+E177+E183)*B$34</f>
        <v>22.035</v>
      </c>
      <c r="N185" s="30">
        <f>(E175+E177+E183)*B$35</f>
        <v>220.35</v>
      </c>
      <c r="O185" s="30">
        <f>(E175+E177+E183)*B$36</f>
        <v>220.35</v>
      </c>
      <c r="Q185" s="50">
        <f>ROUNDDOWN(M185*$D183,2)</f>
        <v>4408.9799999999996</v>
      </c>
      <c r="R185" s="50">
        <f t="shared" ref="R185:S185" si="158">ROUNDDOWN(N185*$D183,2)</f>
        <v>44089.83</v>
      </c>
      <c r="S185" s="50">
        <f t="shared" si="158"/>
        <v>44089.83</v>
      </c>
    </row>
    <row r="186" spans="1:19" x14ac:dyDescent="0.2">
      <c r="A186" s="14">
        <v>46096</v>
      </c>
      <c r="B186" s="48">
        <v>3000</v>
      </c>
      <c r="H186" s="8"/>
      <c r="I186" s="5"/>
      <c r="J186" s="53"/>
    </row>
    <row r="187" spans="1:19" ht="15" x14ac:dyDescent="0.25">
      <c r="A187" s="28">
        <v>46112</v>
      </c>
      <c r="B187" s="49">
        <f t="shared" ref="B187" si="159">SUM(B186)</f>
        <v>3000</v>
      </c>
      <c r="D187" s="46">
        <v>256.2</v>
      </c>
      <c r="E187" s="32">
        <f>ROUND(B187/D187,2)</f>
        <v>11.71</v>
      </c>
      <c r="F187" s="36">
        <f>F$181+SUM(E$183:E187)</f>
        <v>782.3373313199254</v>
      </c>
      <c r="G187" s="26">
        <f>ROUNDDOWN(E187*((1+$B$31)^((MONTH(B$26)-MONTH(A187))/12)-1),2)</f>
        <v>0.37</v>
      </c>
      <c r="H187" s="8"/>
      <c r="I187" s="4">
        <f>(E185+I185)*(1+$B$31)^(1/12)</f>
        <v>788.84791221544288</v>
      </c>
      <c r="J187" s="49">
        <f>ROUND(D187*F187,2)</f>
        <v>200434.82</v>
      </c>
      <c r="L187" s="15">
        <f>DATE(YEAR(A187),MONTH(A187),1)</f>
        <v>46082</v>
      </c>
      <c r="M187" s="30">
        <f>(E177+E183+E185)*B$34</f>
        <v>22.09</v>
      </c>
      <c r="N187" s="30">
        <f>(E177+E183+E185)*B$35</f>
        <v>220.9</v>
      </c>
      <c r="O187" s="30">
        <f>(E177+E183+E185)*B$36</f>
        <v>220.9</v>
      </c>
      <c r="Q187" s="50">
        <f>ROUNDDOWN(M187*$D185,2)</f>
        <v>4444.5</v>
      </c>
      <c r="R187" s="50">
        <f t="shared" ref="R187:S187" si="160">ROUNDDOWN(N187*$D185,2)</f>
        <v>44445.08</v>
      </c>
      <c r="S187" s="50">
        <f t="shared" si="160"/>
        <v>44445.08</v>
      </c>
    </row>
    <row r="188" spans="1:19" x14ac:dyDescent="0.2">
      <c r="A188" s="14">
        <v>46127</v>
      </c>
      <c r="B188" s="48">
        <v>3000</v>
      </c>
      <c r="H188" s="8"/>
      <c r="I188" s="5"/>
      <c r="J188" s="53"/>
    </row>
    <row r="189" spans="1:19" ht="15" x14ac:dyDescent="0.25">
      <c r="A189" s="28">
        <v>46142</v>
      </c>
      <c r="B189" s="49">
        <f t="shared" ref="B189" si="161">SUM(B188)</f>
        <v>3000</v>
      </c>
      <c r="D189" s="46">
        <v>241.5</v>
      </c>
      <c r="E189" s="32">
        <f>ROUND(B189/D189,2)</f>
        <v>12.42</v>
      </c>
      <c r="F189" s="36">
        <f>F$181+SUM(E$183:E189)</f>
        <v>794.75733131992536</v>
      </c>
      <c r="G189" s="26">
        <f>ROUNDDOWN(E189*((1+$B$31)^((MONTH(B$26)-MONTH(A189))/12)-1),2)</f>
        <v>0.28999999999999998</v>
      </c>
      <c r="H189" s="8"/>
      <c r="I189" s="4">
        <f>(E187+I187)*(1+$B$31)^(1/12)</f>
        <v>806.94167342891888</v>
      </c>
      <c r="J189" s="49">
        <f>ROUND(D189*F189,2)</f>
        <v>191933.9</v>
      </c>
      <c r="L189" s="15">
        <f>DATE(YEAR(A189),MONTH(A189),1)</f>
        <v>46113</v>
      </c>
      <c r="M189" s="30">
        <f>(E183+E185+E187)*B$34</f>
        <v>20.805</v>
      </c>
      <c r="N189" s="30">
        <f>(E183+E185+E187)*B$35</f>
        <v>208.05</v>
      </c>
      <c r="O189" s="30">
        <f>(E183+E185+E187)*B$36</f>
        <v>208.05</v>
      </c>
      <c r="Q189" s="50">
        <f>ROUNDDOWN(M189*$D187,2)</f>
        <v>5330.24</v>
      </c>
      <c r="R189" s="50">
        <f t="shared" ref="R189:S189" si="162">ROUNDDOWN(N189*$D187,2)</f>
        <v>53302.41</v>
      </c>
      <c r="S189" s="50">
        <f t="shared" si="162"/>
        <v>53302.41</v>
      </c>
    </row>
    <row r="190" spans="1:19" x14ac:dyDescent="0.2">
      <c r="A190" s="14">
        <v>46157</v>
      </c>
      <c r="B190" s="48">
        <v>3000</v>
      </c>
      <c r="H190" s="8"/>
      <c r="I190" s="5"/>
      <c r="J190" s="53"/>
      <c r="M190" s="30"/>
      <c r="N190" s="30"/>
      <c r="O190" s="30"/>
    </row>
    <row r="191" spans="1:19" ht="15" x14ac:dyDescent="0.25">
      <c r="A191" s="28">
        <v>46173</v>
      </c>
      <c r="B191" s="49">
        <f t="shared" ref="B191" si="163">SUM(B190)</f>
        <v>3000</v>
      </c>
      <c r="D191" s="46">
        <v>200.56</v>
      </c>
      <c r="E191" s="32">
        <f>ROUND(B191/D191,2)</f>
        <v>14.96</v>
      </c>
      <c r="F191" s="36">
        <f>F$181+SUM(E$183:E191)</f>
        <v>809.71733131992539</v>
      </c>
      <c r="G191" s="26">
        <f>ROUNDDOWN(E191*((1+$B$31)^((MONTH(B$26)-MONTH(A191))/12)-1),2)</f>
        <v>0.23</v>
      </c>
      <c r="H191" s="8"/>
      <c r="I191" s="4">
        <f>(E189+I189)*(1+$B$31)^(1/12)</f>
        <v>825.8953784749026</v>
      </c>
      <c r="J191" s="49">
        <f>ROUND(D191*F191,2)</f>
        <v>162396.91</v>
      </c>
      <c r="L191" s="15">
        <f>DATE(YEAR(A191),MONTH(A191),1)</f>
        <v>46143</v>
      </c>
      <c r="M191" s="30">
        <f t="shared" ref="M191" si="164">(E185+E187+E189)*B$34</f>
        <v>19.52</v>
      </c>
      <c r="N191" s="30">
        <f t="shared" ref="N191" si="165">(E185+E187+E189)*B$35</f>
        <v>195.2</v>
      </c>
      <c r="O191" s="30">
        <f t="shared" ref="O191" si="166">(E185+E187+E189)*B$36</f>
        <v>195.2</v>
      </c>
      <c r="Q191" s="50">
        <f>ROUNDDOWN(M191*$D189,2)</f>
        <v>4714.08</v>
      </c>
      <c r="R191" s="50">
        <f t="shared" ref="R191:S191" si="167">ROUNDDOWN(N191*$D189,2)</f>
        <v>47140.800000000003</v>
      </c>
      <c r="S191" s="50">
        <f t="shared" si="167"/>
        <v>47140.800000000003</v>
      </c>
    </row>
    <row r="192" spans="1:19" x14ac:dyDescent="0.2">
      <c r="A192" s="14">
        <v>46188</v>
      </c>
      <c r="B192" s="48">
        <v>3000</v>
      </c>
      <c r="H192" s="8"/>
      <c r="I192" s="5"/>
      <c r="J192" s="53"/>
      <c r="M192" s="30"/>
      <c r="N192" s="30"/>
      <c r="O192" s="30"/>
    </row>
    <row r="193" spans="1:19" ht="15" x14ac:dyDescent="0.25">
      <c r="A193" s="28">
        <v>46203</v>
      </c>
      <c r="B193" s="49">
        <f t="shared" ref="B193" si="168">SUM(B192)</f>
        <v>3000</v>
      </c>
      <c r="D193" s="46">
        <v>198.56</v>
      </c>
      <c r="E193" s="32">
        <f>ROUND(B193/D193,2)</f>
        <v>15.11</v>
      </c>
      <c r="F193" s="36">
        <f>F$181+SUM(E$183:E193)</f>
        <v>824.82733131992541</v>
      </c>
      <c r="G193" s="26">
        <f>ROUNDDOWN(E193*((1+$B$31)^((MONTH(B$26)-MONTH(A193))/12)-1),2)</f>
        <v>0.12</v>
      </c>
      <c r="H193" s="8"/>
      <c r="I193" s="4">
        <f>(E191+I191)*(1+$B$31)^(1/12)</f>
        <v>847.56047734326057</v>
      </c>
      <c r="J193" s="49">
        <f>ROUND(D193*F193,2)</f>
        <v>163777.71</v>
      </c>
      <c r="L193" s="15">
        <f>DATE(YEAR(A193),MONTH(A193),1)</f>
        <v>46174</v>
      </c>
      <c r="M193" s="30">
        <f>(E187+E189+E191)*B$34</f>
        <v>19.545000000000002</v>
      </c>
      <c r="N193" s="30">
        <f t="shared" ref="N193" si="169">(E187+E189+E191)*B$35</f>
        <v>195.45000000000002</v>
      </c>
      <c r="O193" s="30">
        <f t="shared" ref="O193" si="170">(E187+E189+E191)*B$36</f>
        <v>195.45000000000002</v>
      </c>
      <c r="Q193" s="50">
        <f>ROUNDDOWN(M193*$D191,2)</f>
        <v>3919.94</v>
      </c>
      <c r="R193" s="50">
        <f t="shared" ref="R193:S193" si="171">ROUNDDOWN(N193*$D191,2)</f>
        <v>39199.449999999997</v>
      </c>
      <c r="S193" s="50">
        <f t="shared" si="171"/>
        <v>39199.449999999997</v>
      </c>
    </row>
    <row r="194" spans="1:19" x14ac:dyDescent="0.2">
      <c r="A194" s="14">
        <v>46218</v>
      </c>
      <c r="B194" s="48">
        <v>3000</v>
      </c>
      <c r="H194" s="8"/>
      <c r="I194" s="5"/>
      <c r="J194" s="53"/>
      <c r="M194" s="30"/>
      <c r="N194" s="30"/>
      <c r="O194" s="30"/>
    </row>
    <row r="195" spans="1:19" ht="15" x14ac:dyDescent="0.25">
      <c r="A195" s="28">
        <v>46234</v>
      </c>
      <c r="B195" s="49">
        <f t="shared" ref="B195" si="172">SUM(B194)</f>
        <v>3000</v>
      </c>
      <c r="D195" s="46">
        <v>199.89</v>
      </c>
      <c r="E195" s="32">
        <f>ROUND(B195/D195,2)</f>
        <v>15.01</v>
      </c>
      <c r="F195" s="36">
        <f>F$181+SUM(E$183:E195)</f>
        <v>839.8373313199254</v>
      </c>
      <c r="G195" s="26">
        <f>ROUNDDOWN(E195*((1+$B$31)^((MONTH(B$26)-MONTH(A195))/12)-1),2)</f>
        <v>0</v>
      </c>
      <c r="H195" s="8"/>
      <c r="I195" s="4">
        <f>(E193+I193)*(1+$B$31)^(1/12)</f>
        <v>869.54953287346518</v>
      </c>
      <c r="J195" s="49">
        <f>ROUND(D195*F195,2)</f>
        <v>167875.08</v>
      </c>
      <c r="L195" s="15">
        <f>DATE(YEAR(A195),MONTH(A195),1)</f>
        <v>46204</v>
      </c>
      <c r="M195" s="30">
        <f t="shared" ref="M195" si="173">(E189+E191+E193)*B$34</f>
        <v>21.245000000000001</v>
      </c>
      <c r="N195" s="30">
        <f t="shared" ref="N195" si="174">(E189+E191+E193)*B$35</f>
        <v>212.45000000000002</v>
      </c>
      <c r="O195" s="30">
        <f t="shared" ref="O195" si="175">(E189+E191+E193)*B$36</f>
        <v>212.45000000000002</v>
      </c>
      <c r="Q195" s="50">
        <f>ROUNDDOWN(M195*$D193,2)</f>
        <v>4218.3999999999996</v>
      </c>
      <c r="R195" s="50">
        <f t="shared" ref="R195:S195" si="176">ROUNDDOWN(N195*$D193,2)</f>
        <v>42184.07</v>
      </c>
      <c r="S195" s="50">
        <f t="shared" si="176"/>
        <v>42184.07</v>
      </c>
    </row>
    <row r="196" spans="1:19" ht="15" x14ac:dyDescent="0.25">
      <c r="A196" s="28">
        <v>46265</v>
      </c>
      <c r="B196" s="49"/>
      <c r="D196" s="46"/>
      <c r="E196" s="32"/>
      <c r="F196" s="36"/>
      <c r="G196" s="26"/>
      <c r="H196" s="8"/>
      <c r="I196" s="5"/>
      <c r="J196" s="49"/>
      <c r="L196" s="15">
        <v>46235</v>
      </c>
      <c r="M196" s="30">
        <v>0</v>
      </c>
      <c r="N196" s="30">
        <v>0</v>
      </c>
      <c r="O196" s="30">
        <v>0</v>
      </c>
      <c r="Q196" s="30">
        <v>0</v>
      </c>
      <c r="R196" s="30">
        <v>0</v>
      </c>
      <c r="S196" s="30">
        <v>0</v>
      </c>
    </row>
    <row r="197" spans="1:19" ht="15" x14ac:dyDescent="0.25">
      <c r="A197" s="28">
        <v>46295</v>
      </c>
      <c r="B197" s="43"/>
      <c r="C197" s="18"/>
      <c r="D197" s="46">
        <v>200.32</v>
      </c>
      <c r="E197" s="7"/>
      <c r="F197" s="36"/>
      <c r="G197" s="36">
        <f>SUM(G181:G195)</f>
        <v>44.679999999999993</v>
      </c>
      <c r="H197" s="36">
        <f>F195+G197</f>
        <v>884.51733131992535</v>
      </c>
      <c r="I197" s="4">
        <f>E195+I195</f>
        <v>884.55953287346517</v>
      </c>
      <c r="J197" s="49">
        <f>ROUND(D197*H197,2)</f>
        <v>177186.51</v>
      </c>
      <c r="L197" s="15">
        <v>46266</v>
      </c>
      <c r="M197" s="30">
        <v>0</v>
      </c>
      <c r="N197" s="30">
        <v>0</v>
      </c>
      <c r="O197" s="30">
        <v>0</v>
      </c>
      <c r="Q197" s="30">
        <v>0</v>
      </c>
      <c r="R197" s="30">
        <v>0</v>
      </c>
      <c r="S197" s="30">
        <v>0</v>
      </c>
    </row>
    <row r="198" spans="1:19" ht="15" x14ac:dyDescent="0.25">
      <c r="A198" s="34"/>
      <c r="B198" s="49">
        <f>B183+B185+B187+B189+B191+B193+B195</f>
        <v>21000</v>
      </c>
      <c r="K198" s="18"/>
    </row>
    <row r="199" spans="1:19" ht="15" x14ac:dyDescent="0.25">
      <c r="A199" s="34"/>
      <c r="B199" s="50"/>
      <c r="K199" s="27"/>
      <c r="Q199" s="50"/>
    </row>
    <row r="200" spans="1:19" ht="15.75" thickBot="1" x14ac:dyDescent="0.3">
      <c r="A200" s="37" t="s">
        <v>44</v>
      </c>
      <c r="B200" s="51">
        <f>B65+B93+B122+B150+B178+B198</f>
        <v>177263.5</v>
      </c>
      <c r="C200" s="39">
        <f>SUM(C53:C197)</f>
        <v>-36953.660000000003</v>
      </c>
      <c r="D200" s="47"/>
      <c r="E200" s="40">
        <f>SUM(E56:E195)</f>
        <v>680.87</v>
      </c>
      <c r="F200" s="40"/>
      <c r="G200" s="38">
        <f>G65+G93+G122+G150+G178+G197</f>
        <v>191.39733131992523</v>
      </c>
      <c r="H200" s="39">
        <f>E200+G200</f>
        <v>872.26733131992523</v>
      </c>
      <c r="I200" s="6"/>
      <c r="J200" s="47">
        <f>J197</f>
        <v>177186.51</v>
      </c>
      <c r="K200" s="42" t="s">
        <v>53</v>
      </c>
    </row>
    <row r="201" spans="1:19" ht="15" thickTop="1" x14ac:dyDescent="0.2">
      <c r="A201" s="34"/>
      <c r="K201" s="30" t="s">
        <v>54</v>
      </c>
      <c r="Q201" s="50"/>
    </row>
    <row r="202" spans="1:19" ht="15" x14ac:dyDescent="0.25">
      <c r="A202" s="34"/>
      <c r="C202" s="41"/>
      <c r="H202" s="8"/>
      <c r="J202" s="54">
        <f>ROUNDDOWN(H200/B37,0)</f>
        <v>1</v>
      </c>
      <c r="K202" s="27" t="s">
        <v>67</v>
      </c>
    </row>
    <row r="203" spans="1:19" ht="15" x14ac:dyDescent="0.25">
      <c r="A203" s="34"/>
      <c r="H203" s="8"/>
      <c r="J203" s="54"/>
      <c r="K203" s="18" t="s">
        <v>55</v>
      </c>
      <c r="Q203" s="50"/>
    </row>
    <row r="204" spans="1:19" ht="15" x14ac:dyDescent="0.25">
      <c r="A204" s="34"/>
      <c r="H204" s="8"/>
      <c r="J204" s="54">
        <f>(H200-B37*J202)*D197</f>
        <v>74572.59181000742</v>
      </c>
      <c r="K204" s="27" t="s">
        <v>53</v>
      </c>
    </row>
    <row r="205" spans="1:19" ht="15" x14ac:dyDescent="0.25">
      <c r="A205" s="34"/>
      <c r="K205" s="27"/>
      <c r="Q205" s="50"/>
    </row>
    <row r="206" spans="1:19" x14ac:dyDescent="0.2">
      <c r="A206" s="34"/>
    </row>
    <row r="207" spans="1:19" x14ac:dyDescent="0.2">
      <c r="A207" s="34"/>
    </row>
    <row r="208" spans="1:19" x14ac:dyDescent="0.2">
      <c r="A208" s="34"/>
    </row>
    <row r="209" spans="1:8" x14ac:dyDescent="0.2">
      <c r="A209" s="34"/>
    </row>
    <row r="210" spans="1:8" x14ac:dyDescent="0.2">
      <c r="A210" s="34"/>
    </row>
    <row r="211" spans="1:8" x14ac:dyDescent="0.2">
      <c r="A211" s="34"/>
    </row>
    <row r="212" spans="1:8" x14ac:dyDescent="0.2">
      <c r="A212" s="34"/>
    </row>
    <row r="213" spans="1:8" x14ac:dyDescent="0.2">
      <c r="A213" s="34"/>
    </row>
    <row r="214" spans="1:8" x14ac:dyDescent="0.2">
      <c r="A214" s="34"/>
    </row>
    <row r="215" spans="1:8" x14ac:dyDescent="0.2">
      <c r="A215" s="34"/>
    </row>
    <row r="216" spans="1:8" x14ac:dyDescent="0.2">
      <c r="A216" s="34"/>
    </row>
    <row r="217" spans="1:8" x14ac:dyDescent="0.2">
      <c r="A217" s="34"/>
    </row>
    <row r="218" spans="1:8" x14ac:dyDescent="0.2">
      <c r="A218" s="34"/>
      <c r="B218" s="8"/>
      <c r="H218" s="8"/>
    </row>
    <row r="219" spans="1:8" x14ac:dyDescent="0.2">
      <c r="A219" s="34"/>
      <c r="B219" s="8"/>
      <c r="H219" s="8"/>
    </row>
    <row r="220" spans="1:8" x14ac:dyDescent="0.2">
      <c r="A220" s="34"/>
      <c r="B220" s="8"/>
      <c r="H220" s="8"/>
    </row>
    <row r="221" spans="1:8" x14ac:dyDescent="0.2">
      <c r="A221" s="34"/>
      <c r="B221" s="8"/>
      <c r="H221" s="8"/>
    </row>
    <row r="222" spans="1:8" x14ac:dyDescent="0.2">
      <c r="A222" s="34"/>
      <c r="B222" s="8"/>
      <c r="H222" s="8"/>
    </row>
    <row r="223" spans="1:8" x14ac:dyDescent="0.2">
      <c r="A223" s="34"/>
      <c r="B223" s="8"/>
      <c r="H223" s="8"/>
    </row>
    <row r="224" spans="1:8" x14ac:dyDescent="0.2">
      <c r="A224" s="34"/>
      <c r="B224" s="8"/>
      <c r="H224" s="8"/>
    </row>
    <row r="225" spans="1:8" x14ac:dyDescent="0.2">
      <c r="A225" s="34"/>
      <c r="B225" s="8"/>
      <c r="H225" s="8"/>
    </row>
    <row r="226" spans="1:8" x14ac:dyDescent="0.2">
      <c r="A226" s="34"/>
      <c r="B226" s="8"/>
      <c r="H226" s="8"/>
    </row>
    <row r="227" spans="1:8" x14ac:dyDescent="0.2">
      <c r="A227" s="34"/>
      <c r="B227" s="8"/>
      <c r="H227" s="8"/>
    </row>
    <row r="228" spans="1:8" x14ac:dyDescent="0.2">
      <c r="A228" s="34"/>
      <c r="B228" s="8"/>
      <c r="H228" s="8"/>
    </row>
    <row r="229" spans="1:8" x14ac:dyDescent="0.2">
      <c r="A229" s="34"/>
      <c r="B229" s="8"/>
      <c r="H229" s="8"/>
    </row>
    <row r="230" spans="1:8" x14ac:dyDescent="0.2">
      <c r="A230" s="34"/>
      <c r="B230" s="8"/>
      <c r="H230" s="8"/>
    </row>
    <row r="231" spans="1:8" x14ac:dyDescent="0.2">
      <c r="A231" s="34"/>
      <c r="B231" s="8"/>
      <c r="H231" s="8"/>
    </row>
    <row r="232" spans="1:8" x14ac:dyDescent="0.2">
      <c r="A232" s="34"/>
      <c r="B232" s="8"/>
      <c r="H232" s="8"/>
    </row>
    <row r="233" spans="1:8" x14ac:dyDescent="0.2">
      <c r="A233" s="34"/>
      <c r="B233" s="8"/>
      <c r="H233" s="8"/>
    </row>
    <row r="234" spans="1:8" x14ac:dyDescent="0.2">
      <c r="A234" s="34"/>
      <c r="B234" s="8"/>
      <c r="H234" s="8"/>
    </row>
    <row r="235" spans="1:8" x14ac:dyDescent="0.2">
      <c r="A235" s="34"/>
      <c r="B235" s="8"/>
      <c r="H235" s="8"/>
    </row>
    <row r="236" spans="1:8" x14ac:dyDescent="0.2">
      <c r="A236" s="34"/>
      <c r="B236" s="8"/>
      <c r="H236" s="8"/>
    </row>
    <row r="237" spans="1:8" x14ac:dyDescent="0.2">
      <c r="A237" s="34"/>
      <c r="B237" s="8"/>
      <c r="H237" s="8"/>
    </row>
    <row r="238" spans="1:8" x14ac:dyDescent="0.2">
      <c r="A238" s="34"/>
      <c r="B238" s="8"/>
      <c r="H238" s="8"/>
    </row>
    <row r="239" spans="1:8" x14ac:dyDescent="0.2">
      <c r="A239" s="34"/>
      <c r="B239" s="8"/>
      <c r="H239" s="8"/>
    </row>
    <row r="240" spans="1:8" x14ac:dyDescent="0.2">
      <c r="A240" s="34"/>
      <c r="B240" s="8"/>
      <c r="H240" s="8"/>
    </row>
    <row r="241" spans="1:8" x14ac:dyDescent="0.2">
      <c r="A241" s="34"/>
      <c r="B241" s="8"/>
      <c r="H241" s="8"/>
    </row>
    <row r="242" spans="1:8" x14ac:dyDescent="0.2">
      <c r="A242" s="34"/>
      <c r="B242" s="8"/>
      <c r="H242" s="8"/>
    </row>
    <row r="243" spans="1:8" x14ac:dyDescent="0.2">
      <c r="A243" s="34"/>
      <c r="B243" s="8"/>
      <c r="H243" s="8"/>
    </row>
    <row r="244" spans="1:8" x14ac:dyDescent="0.2">
      <c r="A244" s="34"/>
      <c r="B244" s="8"/>
      <c r="H244" s="8"/>
    </row>
    <row r="245" spans="1:8" x14ac:dyDescent="0.2">
      <c r="A245" s="34"/>
      <c r="B245" s="8"/>
      <c r="H245" s="8"/>
    </row>
    <row r="246" spans="1:8" x14ac:dyDescent="0.2">
      <c r="A246" s="34"/>
      <c r="B246" s="8"/>
      <c r="H246" s="8"/>
    </row>
    <row r="247" spans="1:8" x14ac:dyDescent="0.2">
      <c r="A247" s="34"/>
      <c r="B247" s="8"/>
      <c r="H247" s="8"/>
    </row>
    <row r="248" spans="1:8" x14ac:dyDescent="0.2">
      <c r="A248" s="34"/>
      <c r="B248" s="8"/>
      <c r="H248" s="8"/>
    </row>
    <row r="249" spans="1:8" x14ac:dyDescent="0.2">
      <c r="A249" s="34"/>
      <c r="B249" s="8"/>
      <c r="H249" s="8"/>
    </row>
    <row r="250" spans="1:8" x14ac:dyDescent="0.2">
      <c r="A250" s="34"/>
      <c r="B250" s="8"/>
      <c r="H250" s="8"/>
    </row>
    <row r="251" spans="1:8" x14ac:dyDescent="0.2">
      <c r="A251" s="34"/>
      <c r="B251" s="8"/>
      <c r="H251" s="8"/>
    </row>
    <row r="252" spans="1:8" x14ac:dyDescent="0.2">
      <c r="A252" s="34"/>
      <c r="B252" s="8"/>
      <c r="H252" s="8"/>
    </row>
    <row r="253" spans="1:8" x14ac:dyDescent="0.2">
      <c r="A253" s="34"/>
      <c r="B253" s="8"/>
      <c r="H253" s="8"/>
    </row>
    <row r="254" spans="1:8" x14ac:dyDescent="0.2">
      <c r="A254" s="34"/>
      <c r="B254" s="8"/>
      <c r="H254" s="8"/>
    </row>
    <row r="255" spans="1:8" x14ac:dyDescent="0.2">
      <c r="A255" s="34"/>
      <c r="B255" s="8"/>
      <c r="H255" s="8"/>
    </row>
    <row r="256" spans="1:8" x14ac:dyDescent="0.2">
      <c r="A256" s="34"/>
      <c r="B256" s="8"/>
      <c r="H256" s="8"/>
    </row>
    <row r="257" spans="1:8" x14ac:dyDescent="0.2">
      <c r="A257" s="34"/>
      <c r="B257" s="8"/>
      <c r="H257" s="8"/>
    </row>
    <row r="258" spans="1:8" x14ac:dyDescent="0.2">
      <c r="A258" s="34"/>
      <c r="B258" s="8"/>
      <c r="H258" s="8"/>
    </row>
    <row r="259" spans="1:8" x14ac:dyDescent="0.2">
      <c r="A259" s="34"/>
      <c r="B259" s="8"/>
      <c r="H259" s="8"/>
    </row>
    <row r="260" spans="1:8" x14ac:dyDescent="0.2">
      <c r="A260" s="34"/>
      <c r="B260" s="8"/>
      <c r="H260" s="8"/>
    </row>
    <row r="261" spans="1:8" x14ac:dyDescent="0.2">
      <c r="A261" s="34"/>
      <c r="B261" s="8"/>
      <c r="H261" s="8"/>
    </row>
    <row r="262" spans="1:8" x14ac:dyDescent="0.2">
      <c r="A262" s="34"/>
      <c r="B262" s="8"/>
      <c r="H262" s="8"/>
    </row>
    <row r="263" spans="1:8" x14ac:dyDescent="0.2">
      <c r="A263" s="34"/>
      <c r="B263" s="8"/>
      <c r="H263" s="8"/>
    </row>
    <row r="264" spans="1:8" x14ac:dyDescent="0.2">
      <c r="A264" s="34"/>
      <c r="B264" s="8"/>
      <c r="H264" s="8"/>
    </row>
    <row r="265" spans="1:8" x14ac:dyDescent="0.2">
      <c r="A265" s="34"/>
      <c r="B265" s="8"/>
      <c r="H265" s="8"/>
    </row>
  </sheetData>
  <hyperlinks>
    <hyperlink ref="B11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Chamunorwa</dc:creator>
  <cp:lastModifiedBy>Kelvin from Nhaka</cp:lastModifiedBy>
  <dcterms:created xsi:type="dcterms:W3CDTF">2015-06-05T18:17:20Z</dcterms:created>
  <dcterms:modified xsi:type="dcterms:W3CDTF">2021-08-12T18:11:10Z</dcterms:modified>
</cp:coreProperties>
</file>